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diana.gonzalezf\Downloads\"/>
    </mc:Choice>
  </mc:AlternateContent>
  <bookViews>
    <workbookView xWindow="0" yWindow="0" windowWidth="21540" windowHeight="8145"/>
  </bookViews>
  <sheets>
    <sheet name="Hoja1" sheetId="1" r:id="rId1"/>
  </sheets>
  <externalReferences>
    <externalReference r:id="rId2"/>
  </externalReferences>
  <definedNames>
    <definedName name="_xlnm._FilterDatabase" localSheetId="0" hidden="1">Hoja1!$A$1:$Q$9677</definedName>
    <definedName name="fo">'[1]Hidro-Lluvias, inund. y ciclons'!$T$66</definedName>
    <definedName name="va">'[1]Hidro-Lluvias, inund. y ciclons'!$G$115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575" i="1" l="1"/>
  <c r="J9559" i="1"/>
  <c r="J9516" i="1"/>
  <c r="J9511" i="1"/>
  <c r="J9507" i="1"/>
  <c r="J9498" i="1"/>
  <c r="J9495" i="1"/>
  <c r="J9478" i="1"/>
  <c r="J9470" i="1"/>
  <c r="J9458" i="1"/>
  <c r="J9437" i="1"/>
  <c r="J9376" i="1"/>
  <c r="J9360" i="1"/>
  <c r="J9354" i="1"/>
  <c r="J9351" i="1"/>
  <c r="J9309" i="1"/>
  <c r="M9297" i="1"/>
  <c r="J9110" i="1"/>
  <c r="K8912" i="1"/>
  <c r="K8873" i="1"/>
  <c r="P6774" i="1"/>
  <c r="P6575" i="1"/>
  <c r="P6573" i="1"/>
  <c r="P6572"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4" i="1"/>
  <c r="P6533" i="1"/>
  <c r="P6532" i="1"/>
  <c r="P6531" i="1"/>
  <c r="P6530" i="1"/>
  <c r="P6529" i="1"/>
  <c r="P6528" i="1"/>
  <c r="P6527" i="1"/>
  <c r="P6526" i="1"/>
  <c r="P6524" i="1"/>
  <c r="P6523" i="1"/>
  <c r="P6522" i="1"/>
  <c r="P6519" i="1"/>
  <c r="P6517" i="1"/>
  <c r="P6512" i="1"/>
  <c r="P6509" i="1"/>
  <c r="P6501" i="1"/>
  <c r="P6496" i="1"/>
  <c r="P6431" i="1"/>
  <c r="P6398" i="1"/>
  <c r="P6397" i="1"/>
  <c r="P6391" i="1"/>
  <c r="P6377" i="1"/>
  <c r="P6247" i="1"/>
  <c r="P6239" i="1"/>
  <c r="P6231" i="1"/>
  <c r="P6227" i="1"/>
  <c r="P6226" i="1"/>
  <c r="P6223" i="1"/>
  <c r="P6220" i="1"/>
  <c r="P6201" i="1"/>
  <c r="P6200" i="1"/>
  <c r="P6195" i="1"/>
  <c r="P6147" i="1"/>
  <c r="P6136" i="1"/>
  <c r="P6135" i="1"/>
  <c r="P6134" i="1"/>
  <c r="P6127" i="1"/>
  <c r="P6125" i="1"/>
  <c r="P6119" i="1"/>
  <c r="J6118" i="1"/>
  <c r="J6114" i="1"/>
  <c r="J6110" i="1"/>
  <c r="P6108" i="1"/>
  <c r="P6105" i="1"/>
  <c r="P6104" i="1"/>
  <c r="P6091" i="1"/>
  <c r="P6089" i="1"/>
  <c r="P6078" i="1"/>
  <c r="P6072" i="1"/>
  <c r="P6071" i="1"/>
  <c r="P6048" i="1"/>
  <c r="P6044" i="1"/>
  <c r="P6038" i="1"/>
  <c r="P6035" i="1"/>
  <c r="P6034" i="1"/>
  <c r="P6033" i="1"/>
  <c r="P6032"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J5804" i="1"/>
  <c r="J5795" i="1"/>
  <c r="J5776" i="1"/>
  <c r="J5775" i="1"/>
  <c r="P5722" i="1"/>
  <c r="J5646" i="1"/>
  <c r="J5603" i="1"/>
  <c r="J5592" i="1"/>
  <c r="P5579" i="1"/>
  <c r="J5563" i="1"/>
  <c r="P5559" i="1"/>
  <c r="P5557" i="1"/>
  <c r="P5552" i="1"/>
  <c r="P5549" i="1"/>
  <c r="P5546" i="1"/>
  <c r="P5526" i="1"/>
  <c r="J5509" i="1"/>
  <c r="P5497" i="1"/>
  <c r="J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35" i="1"/>
  <c r="J5389" i="1"/>
  <c r="P5351" i="1"/>
  <c r="P5350" i="1"/>
  <c r="P5349" i="1"/>
  <c r="P5346" i="1"/>
  <c r="P5345" i="1"/>
  <c r="P5344" i="1"/>
  <c r="P5343" i="1"/>
  <c r="P5342" i="1"/>
  <c r="P5339" i="1"/>
  <c r="P5337" i="1"/>
  <c r="P5336" i="1"/>
  <c r="P5334" i="1"/>
  <c r="P5333" i="1"/>
  <c r="P5328" i="1"/>
  <c r="P5324" i="1"/>
  <c r="P5309" i="1"/>
  <c r="P5295" i="1"/>
  <c r="P5263" i="1"/>
  <c r="P5213" i="1"/>
  <c r="P5063"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4996" i="1"/>
  <c r="P4995" i="1"/>
  <c r="P4992" i="1"/>
  <c r="P4983" i="1"/>
  <c r="P4980" i="1"/>
  <c r="P4970" i="1"/>
  <c r="P4969" i="1"/>
  <c r="P4968" i="1"/>
  <c r="P4963" i="1"/>
  <c r="P4962" i="1"/>
  <c r="P4960" i="1"/>
  <c r="P4957" i="1"/>
  <c r="P4938" i="1"/>
  <c r="P4935" i="1"/>
  <c r="P4933" i="1"/>
  <c r="P4929" i="1"/>
  <c r="P4928" i="1"/>
  <c r="P4926" i="1"/>
  <c r="P4925" i="1"/>
  <c r="P4919" i="1"/>
  <c r="P4916" i="1"/>
  <c r="P4915" i="1"/>
  <c r="P4911" i="1"/>
  <c r="P4908" i="1"/>
  <c r="P4895" i="1"/>
  <c r="P4894" i="1"/>
  <c r="P4893" i="1"/>
  <c r="P4890" i="1"/>
  <c r="P4886" i="1"/>
  <c r="P4885" i="1"/>
  <c r="P4881" i="1"/>
  <c r="P4877" i="1"/>
  <c r="P4875" i="1"/>
  <c r="P4869" i="1"/>
  <c r="P4868" i="1"/>
  <c r="P4865" i="1"/>
  <c r="P4862" i="1"/>
  <c r="P4861" i="1"/>
  <c r="P4860" i="1"/>
  <c r="P4854" i="1"/>
  <c r="P4851" i="1"/>
  <c r="P4850" i="1"/>
  <c r="P4849" i="1"/>
  <c r="P4845" i="1"/>
  <c r="P4844" i="1"/>
  <c r="P4843" i="1"/>
  <c r="P4842" i="1"/>
  <c r="P4841" i="1"/>
  <c r="P4840" i="1"/>
  <c r="P4839" i="1"/>
  <c r="P4837" i="1"/>
  <c r="P4836" i="1"/>
  <c r="P4835" i="1"/>
  <c r="P4833" i="1"/>
  <c r="P4832" i="1"/>
  <c r="P4828" i="1"/>
  <c r="P4826" i="1"/>
  <c r="P4825" i="1"/>
  <c r="P4824" i="1"/>
  <c r="P4823" i="1"/>
  <c r="P4821" i="1"/>
  <c r="P4819" i="1"/>
  <c r="P4817" i="1"/>
  <c r="P4815" i="1"/>
  <c r="P4813" i="1"/>
  <c r="P4811" i="1"/>
  <c r="P4809" i="1"/>
  <c r="P4808" i="1"/>
  <c r="P4807" i="1"/>
  <c r="P4806" i="1"/>
  <c r="P4804" i="1"/>
  <c r="P4803" i="1"/>
  <c r="P4801" i="1"/>
  <c r="P4799" i="1"/>
  <c r="P4797" i="1"/>
  <c r="P4794" i="1"/>
  <c r="P4793" i="1"/>
  <c r="P4792" i="1"/>
  <c r="P4791" i="1"/>
  <c r="P4785" i="1"/>
  <c r="P4782" i="1"/>
  <c r="P4778" i="1"/>
  <c r="P4776" i="1"/>
  <c r="P4775" i="1"/>
  <c r="P4773" i="1"/>
  <c r="P4771" i="1"/>
  <c r="P4769" i="1"/>
  <c r="P4766" i="1"/>
  <c r="P4765" i="1"/>
  <c r="P4761" i="1"/>
  <c r="P4760" i="1"/>
  <c r="P4755" i="1"/>
  <c r="P4751" i="1"/>
  <c r="P4750" i="1"/>
  <c r="P4747" i="1"/>
  <c r="P4746" i="1"/>
  <c r="P4745" i="1"/>
  <c r="P4744" i="1"/>
  <c r="P4743" i="1"/>
  <c r="P4742" i="1"/>
  <c r="P4739" i="1"/>
  <c r="P4737" i="1"/>
  <c r="P4736" i="1"/>
  <c r="P4735" i="1"/>
  <c r="P4732" i="1"/>
  <c r="P4731" i="1"/>
  <c r="P4730" i="1"/>
  <c r="P4728" i="1"/>
  <c r="P4727" i="1"/>
  <c r="P4726" i="1"/>
  <c r="P4723" i="1"/>
  <c r="P4722" i="1"/>
  <c r="P4721" i="1"/>
  <c r="P4720" i="1"/>
  <c r="P4704" i="1"/>
  <c r="P4698" i="1"/>
  <c r="P4696" i="1"/>
  <c r="P4693" i="1"/>
  <c r="P4691" i="1"/>
  <c r="P4690" i="1"/>
  <c r="P4687" i="1"/>
  <c r="P4686" i="1"/>
  <c r="P4685" i="1"/>
  <c r="P4684" i="1"/>
  <c r="P4675" i="1"/>
  <c r="P4674" i="1"/>
  <c r="P4673" i="1"/>
  <c r="P4671" i="1"/>
  <c r="P4668" i="1"/>
  <c r="P4661" i="1"/>
  <c r="P4656" i="1"/>
  <c r="P4655" i="1"/>
  <c r="P4654" i="1"/>
  <c r="P4653" i="1"/>
  <c r="P4649" i="1"/>
  <c r="J4649" i="1"/>
  <c r="P4637" i="1"/>
  <c r="P4635" i="1"/>
  <c r="P4633" i="1"/>
  <c r="P4629" i="1"/>
  <c r="P4626" i="1"/>
  <c r="P4625" i="1"/>
  <c r="P4624" i="1"/>
  <c r="P4621" i="1"/>
  <c r="P4611" i="1"/>
  <c r="P4608" i="1"/>
  <c r="P4605" i="1"/>
  <c r="P4604" i="1"/>
  <c r="P4602" i="1"/>
  <c r="P4596" i="1"/>
  <c r="P4594" i="1"/>
  <c r="P4592" i="1"/>
  <c r="P4588" i="1"/>
  <c r="P4587" i="1"/>
  <c r="P4576" i="1"/>
  <c r="P4571" i="1"/>
  <c r="P4557"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59" i="1"/>
  <c r="P4458" i="1"/>
  <c r="P4457" i="1"/>
  <c r="P4456" i="1"/>
  <c r="J4370" i="1"/>
  <c r="J4369" i="1"/>
  <c r="J4322" i="1"/>
  <c r="J4320" i="1"/>
  <c r="J4319" i="1"/>
  <c r="J4308" i="1"/>
  <c r="J4307" i="1"/>
  <c r="J4294" i="1"/>
  <c r="J4283" i="1"/>
  <c r="J4281" i="1"/>
  <c r="J4270" i="1"/>
  <c r="K4239" i="1"/>
  <c r="J4239" i="1"/>
  <c r="J4215" i="1"/>
  <c r="J4175" i="1"/>
  <c r="J4161" i="1"/>
  <c r="J4139" i="1"/>
  <c r="J4113" i="1"/>
  <c r="J4109" i="1"/>
  <c r="J4088" i="1"/>
  <c r="J4087" i="1"/>
  <c r="J4057" i="1"/>
  <c r="J4036" i="1"/>
  <c r="J4030" i="1"/>
  <c r="J3982" i="1"/>
  <c r="P3526" i="1"/>
  <c r="P3525" i="1"/>
  <c r="P3522" i="1"/>
  <c r="P3520" i="1"/>
  <c r="P3519" i="1"/>
  <c r="P3518" i="1"/>
  <c r="P3515" i="1"/>
  <c r="P3514" i="1"/>
  <c r="P3513" i="1"/>
  <c r="P3512" i="1"/>
  <c r="P3511" i="1"/>
  <c r="P3510" i="1"/>
  <c r="P3509" i="1"/>
  <c r="P3508" i="1"/>
  <c r="P3507" i="1"/>
  <c r="P3505" i="1"/>
  <c r="P3501" i="1"/>
  <c r="P3500" i="1"/>
  <c r="P3498" i="1"/>
  <c r="P3497" i="1"/>
  <c r="P3494" i="1"/>
  <c r="P3493" i="1"/>
  <c r="P3490" i="1"/>
  <c r="P3488" i="1"/>
  <c r="P3487" i="1"/>
  <c r="P3486" i="1"/>
  <c r="P3485" i="1"/>
  <c r="P3484" i="1"/>
  <c r="P3483" i="1"/>
  <c r="P3482" i="1"/>
  <c r="P3480" i="1"/>
  <c r="P3479" i="1"/>
  <c r="P3475" i="1"/>
  <c r="P3473" i="1"/>
  <c r="P3472" i="1"/>
  <c r="P3471" i="1"/>
  <c r="P3470" i="1"/>
  <c r="P3469" i="1"/>
  <c r="P3468" i="1"/>
  <c r="P3467" i="1"/>
  <c r="P3466" i="1"/>
  <c r="P3465" i="1"/>
  <c r="P3464" i="1"/>
  <c r="P3463" i="1"/>
  <c r="P3462" i="1"/>
  <c r="P3461" i="1"/>
  <c r="P3460" i="1"/>
  <c r="P3459" i="1"/>
  <c r="P3458" i="1"/>
  <c r="P3457" i="1"/>
  <c r="P3455" i="1"/>
  <c r="P3454" i="1"/>
  <c r="P3453" i="1"/>
  <c r="P3452" i="1"/>
  <c r="P3451" i="1"/>
  <c r="P3450" i="1"/>
  <c r="P3449" i="1"/>
  <c r="P3448" i="1"/>
  <c r="P3447" i="1"/>
  <c r="P3445" i="1"/>
  <c r="P3442" i="1"/>
  <c r="P3441" i="1"/>
  <c r="P3440" i="1"/>
  <c r="P3438" i="1"/>
  <c r="P3437" i="1"/>
  <c r="P3436" i="1"/>
  <c r="P3434" i="1"/>
  <c r="P3433" i="1"/>
  <c r="P3432" i="1"/>
  <c r="P3429" i="1"/>
  <c r="P3427" i="1"/>
  <c r="P3426" i="1"/>
  <c r="P3423" i="1"/>
  <c r="P3421" i="1"/>
  <c r="P3420" i="1"/>
  <c r="P3419" i="1"/>
  <c r="P3418" i="1"/>
  <c r="P3417" i="1"/>
  <c r="P3416" i="1"/>
  <c r="P3415" i="1"/>
  <c r="P3412" i="1"/>
  <c r="P3411" i="1"/>
  <c r="P3410" i="1"/>
  <c r="P3409" i="1"/>
  <c r="P3408" i="1"/>
  <c r="P3407" i="1"/>
  <c r="P3406" i="1"/>
  <c r="P3405" i="1"/>
  <c r="P3404" i="1"/>
  <c r="P3403" i="1"/>
  <c r="P3402" i="1"/>
  <c r="P3401" i="1"/>
  <c r="P3399" i="1"/>
  <c r="P3397" i="1"/>
  <c r="P3396" i="1"/>
  <c r="P3395" i="1"/>
  <c r="P3394" i="1"/>
  <c r="P3393" i="1"/>
  <c r="P3392" i="1"/>
  <c r="P3391" i="1"/>
  <c r="P3390" i="1"/>
  <c r="P3389" i="1"/>
  <c r="P3387" i="1"/>
  <c r="P3386" i="1"/>
  <c r="P3384" i="1"/>
  <c r="P3383" i="1"/>
  <c r="P3382" i="1"/>
  <c r="P3380" i="1"/>
  <c r="P3379" i="1"/>
  <c r="P3378" i="1"/>
  <c r="P3377" i="1"/>
  <c r="P3375" i="1"/>
  <c r="P3374" i="1"/>
  <c r="P3373" i="1"/>
  <c r="P3372" i="1"/>
  <c r="P3369" i="1"/>
  <c r="P3368" i="1"/>
  <c r="P3367" i="1"/>
  <c r="P3365" i="1"/>
  <c r="P3364" i="1"/>
  <c r="P3363" i="1"/>
  <c r="P3362" i="1"/>
  <c r="P3361" i="1"/>
  <c r="P3360" i="1"/>
  <c r="P3359" i="1"/>
  <c r="P3358" i="1"/>
  <c r="P3357" i="1"/>
  <c r="P3356" i="1"/>
  <c r="P3355" i="1"/>
  <c r="P3352" i="1"/>
  <c r="P3351" i="1"/>
  <c r="P3348" i="1"/>
  <c r="P3347" i="1"/>
  <c r="P3346" i="1"/>
  <c r="P3345" i="1"/>
  <c r="P3344" i="1"/>
  <c r="P3343" i="1"/>
  <c r="P3323" i="1"/>
  <c r="P3321"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65" i="1"/>
  <c r="P3260" i="1"/>
  <c r="P3253" i="1"/>
  <c r="P3241" i="1"/>
  <c r="P3240" i="1"/>
  <c r="P3238" i="1"/>
  <c r="P3237" i="1"/>
  <c r="P3236" i="1"/>
  <c r="P3233" i="1"/>
  <c r="P3213" i="1"/>
  <c r="P3178" i="1"/>
  <c r="J3178" i="1"/>
  <c r="P3172" i="1"/>
  <c r="P3170" i="1"/>
  <c r="J3168" i="1"/>
  <c r="P3163" i="1"/>
  <c r="P3159" i="1"/>
  <c r="P3152" i="1"/>
  <c r="P3147" i="1"/>
  <c r="P3139" i="1"/>
  <c r="P3137" i="1"/>
  <c r="P3136" i="1"/>
  <c r="P3134" i="1"/>
  <c r="P3133" i="1"/>
  <c r="P3132" i="1"/>
  <c r="P3131" i="1"/>
  <c r="P3130" i="1"/>
  <c r="P3128" i="1"/>
  <c r="P3127" i="1"/>
  <c r="P3124" i="1"/>
  <c r="P3115" i="1"/>
  <c r="P3114" i="1"/>
  <c r="P3113" i="1"/>
  <c r="P3112" i="1"/>
  <c r="P3111" i="1"/>
  <c r="P3110" i="1"/>
  <c r="P3109" i="1"/>
  <c r="P3108" i="1"/>
  <c r="P3107" i="1"/>
  <c r="P3106" i="1"/>
  <c r="P3105" i="1"/>
  <c r="P3104" i="1"/>
  <c r="P3103" i="1"/>
  <c r="P3102" i="1"/>
  <c r="P3101" i="1"/>
  <c r="P3100" i="1"/>
  <c r="P3099" i="1"/>
  <c r="P3098" i="1"/>
  <c r="P3097" i="1"/>
  <c r="P3096" i="1"/>
  <c r="P3095" i="1"/>
  <c r="J3093" i="1"/>
  <c r="P3090" i="1"/>
  <c r="J3090" i="1"/>
  <c r="P3089" i="1"/>
  <c r="P3088" i="1"/>
  <c r="P3085" i="1"/>
  <c r="P3084" i="1"/>
  <c r="P3080" i="1"/>
  <c r="P3079" i="1"/>
  <c r="P3078" i="1"/>
  <c r="P3077" i="1"/>
  <c r="P3076" i="1"/>
  <c r="P3074" i="1"/>
  <c r="P3072" i="1"/>
  <c r="P3071" i="1"/>
  <c r="P3070" i="1"/>
  <c r="P3069" i="1"/>
  <c r="P3067" i="1"/>
  <c r="P3066" i="1"/>
  <c r="P3065" i="1"/>
  <c r="P3064" i="1"/>
  <c r="P3063" i="1"/>
  <c r="P3061" i="1"/>
  <c r="J3061" i="1"/>
  <c r="P3060" i="1"/>
  <c r="J3057" i="1"/>
  <c r="P3055" i="1"/>
  <c r="P3054" i="1"/>
  <c r="P3053" i="1"/>
  <c r="P3052" i="1"/>
  <c r="P3050" i="1"/>
  <c r="P3049" i="1"/>
  <c r="P3048" i="1"/>
  <c r="P3047" i="1"/>
  <c r="P3046" i="1"/>
  <c r="P3045" i="1"/>
  <c r="P3044" i="1"/>
  <c r="P3043" i="1"/>
  <c r="P3042" i="1"/>
  <c r="P3041" i="1"/>
  <c r="P3040" i="1"/>
  <c r="P3039" i="1"/>
  <c r="P3038" i="1"/>
  <c r="P3037" i="1"/>
  <c r="P3036" i="1"/>
  <c r="P3035" i="1"/>
  <c r="P3034" i="1"/>
  <c r="P3031" i="1"/>
  <c r="P3030" i="1"/>
  <c r="P3029" i="1"/>
  <c r="P3026" i="1"/>
  <c r="P3023" i="1"/>
  <c r="P3022" i="1"/>
  <c r="P3021" i="1"/>
  <c r="J3021" i="1"/>
  <c r="P3020" i="1"/>
  <c r="P3018" i="1"/>
  <c r="P3017" i="1"/>
  <c r="P3016" i="1"/>
  <c r="P3013" i="1"/>
  <c r="P3012" i="1"/>
  <c r="P3010" i="1"/>
  <c r="P3009" i="1"/>
  <c r="P3008" i="1"/>
  <c r="P3007" i="1"/>
  <c r="P3006" i="1"/>
  <c r="P3005" i="1"/>
  <c r="P3004" i="1"/>
  <c r="J3002" i="1"/>
  <c r="G2977" i="1"/>
  <c r="E2972" i="1"/>
  <c r="E2965" i="1"/>
  <c r="E2838" i="1"/>
  <c r="E2839" i="1" s="1"/>
  <c r="Q2746" i="1"/>
  <c r="J2746" i="1"/>
  <c r="J2733" i="1"/>
  <c r="J2682" i="1"/>
  <c r="J2677" i="1"/>
  <c r="J2675" i="1"/>
  <c r="J2671" i="1"/>
  <c r="J2670" i="1"/>
  <c r="J2667" i="1"/>
  <c r="J2666" i="1"/>
  <c r="Q2665" i="1"/>
  <c r="G2665" i="1"/>
  <c r="Q2664" i="1"/>
  <c r="J2664" i="1"/>
  <c r="G2664" i="1"/>
  <c r="J2657" i="1"/>
  <c r="H2655" i="1"/>
  <c r="H2648" i="1" s="1"/>
  <c r="H2649" i="1" s="1"/>
  <c r="H2652" i="1" s="1"/>
  <c r="J2652" i="1"/>
  <c r="Q2651" i="1"/>
  <c r="J2651" i="1"/>
  <c r="G2651" i="1"/>
  <c r="E2651" i="1"/>
  <c r="J2648" i="1"/>
  <c r="J2646" i="1"/>
  <c r="G2646" i="1"/>
  <c r="Q2644" i="1"/>
  <c r="J2644" i="1"/>
  <c r="J2643" i="1"/>
  <c r="J2642" i="1"/>
  <c r="J2641" i="1"/>
  <c r="Q2640" i="1"/>
  <c r="J2640" i="1"/>
  <c r="J2639" i="1"/>
  <c r="Q2637" i="1"/>
  <c r="J2637" i="1"/>
  <c r="J2636" i="1"/>
  <c r="Q2634" i="1"/>
  <c r="J2634" i="1"/>
  <c r="G2634" i="1"/>
  <c r="Q2633" i="1"/>
  <c r="J2633" i="1"/>
  <c r="G2633" i="1"/>
  <c r="J2628" i="1"/>
  <c r="J2627" i="1"/>
  <c r="Q2626" i="1"/>
  <c r="J2626" i="1"/>
  <c r="E2626" i="1"/>
  <c r="Q2622" i="1"/>
  <c r="J2622" i="1"/>
  <c r="E2622" i="1"/>
  <c r="Q2621" i="1"/>
  <c r="J2621" i="1"/>
  <c r="J2617" i="1"/>
  <c r="J2615" i="1"/>
  <c r="J2613" i="1"/>
  <c r="Q2612" i="1"/>
  <c r="J2612" i="1"/>
  <c r="E2612" i="1"/>
  <c r="J2609" i="1"/>
  <c r="J2608" i="1"/>
  <c r="Q2604" i="1"/>
  <c r="J2604" i="1"/>
  <c r="E2604" i="1"/>
  <c r="J2602" i="1"/>
  <c r="J2601" i="1"/>
  <c r="J2600" i="1"/>
  <c r="J2599" i="1"/>
  <c r="J2596" i="1"/>
  <c r="J2595" i="1"/>
  <c r="Q2594" i="1"/>
  <c r="J2594" i="1"/>
  <c r="J2592" i="1"/>
  <c r="Q2590" i="1"/>
  <c r="J2590" i="1"/>
  <c r="Q2588" i="1"/>
  <c r="Q2587" i="1"/>
  <c r="Q2583" i="1"/>
  <c r="J2583" i="1"/>
  <c r="J2578" i="1"/>
  <c r="J2572" i="1"/>
  <c r="Q2570" i="1"/>
  <c r="J2570" i="1"/>
  <c r="J2561" i="1"/>
  <c r="J2542" i="1"/>
  <c r="Q2538" i="1"/>
  <c r="J2520" i="1"/>
  <c r="J2519" i="1"/>
  <c r="J2518" i="1"/>
  <c r="J2517" i="1"/>
  <c r="J2516" i="1"/>
  <c r="J2515" i="1"/>
  <c r="J2514" i="1"/>
  <c r="J2513" i="1"/>
  <c r="J2512" i="1"/>
  <c r="J2511" i="1"/>
  <c r="J2510" i="1"/>
  <c r="B2383" i="1"/>
  <c r="B2331" i="1"/>
  <c r="B2312" i="1"/>
  <c r="B2311" i="1"/>
  <c r="B2310" i="1"/>
  <c r="B2309" i="1"/>
  <c r="B2308" i="1"/>
  <c r="B2307" i="1"/>
  <c r="B2269" i="1"/>
  <c r="B2231" i="1"/>
  <c r="B2215" i="1"/>
  <c r="B2214" i="1"/>
  <c r="B2213" i="1"/>
  <c r="J2212" i="1"/>
  <c r="B2212" i="1"/>
  <c r="B2211" i="1"/>
  <c r="B2210" i="1"/>
  <c r="B2209" i="1"/>
  <c r="B2208" i="1"/>
  <c r="B2201" i="1"/>
  <c r="B2191" i="1"/>
  <c r="B2153" i="1"/>
  <c r="B2152" i="1"/>
  <c r="B2151" i="1"/>
  <c r="B2150" i="1"/>
  <c r="B2149" i="1"/>
  <c r="B2148" i="1"/>
  <c r="B2147" i="1"/>
  <c r="B2144" i="1"/>
  <c r="B2143" i="1"/>
  <c r="B2142" i="1"/>
  <c r="B2141" i="1"/>
  <c r="B2140" i="1"/>
  <c r="B2139" i="1"/>
  <c r="B2138" i="1"/>
  <c r="B2137" i="1"/>
  <c r="B2134" i="1"/>
  <c r="B2133" i="1"/>
  <c r="B2132" i="1"/>
  <c r="B2131" i="1"/>
  <c r="B2129" i="1"/>
  <c r="B2128" i="1"/>
  <c r="B2126" i="1"/>
  <c r="B2125" i="1"/>
  <c r="B2124" i="1"/>
  <c r="B2123" i="1"/>
  <c r="B2122" i="1"/>
  <c r="B2121" i="1"/>
  <c r="B2120" i="1"/>
  <c r="B2119" i="1"/>
  <c r="B2118" i="1"/>
  <c r="B2114" i="1"/>
  <c r="B2113" i="1"/>
  <c r="B2112" i="1"/>
  <c r="B2111" i="1"/>
  <c r="B2109" i="1"/>
  <c r="B2108" i="1"/>
  <c r="B2107" i="1"/>
  <c r="B2106" i="1"/>
  <c r="B2105" i="1"/>
  <c r="B2104" i="1"/>
  <c r="B2103" i="1"/>
  <c r="B2102" i="1"/>
  <c r="B2101" i="1"/>
  <c r="B2100" i="1"/>
  <c r="B2099" i="1"/>
  <c r="B2079" i="1"/>
  <c r="B2055" i="1"/>
  <c r="B2030" i="1"/>
  <c r="B2029"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76" i="1"/>
  <c r="B1955" i="1"/>
  <c r="B1944" i="1"/>
  <c r="B1883" i="1"/>
  <c r="B1882" i="1"/>
  <c r="B1881" i="1"/>
  <c r="B1880" i="1"/>
  <c r="B1879" i="1"/>
  <c r="B1878" i="1"/>
  <c r="B1876" i="1"/>
  <c r="B1855" i="1"/>
  <c r="B1854" i="1"/>
  <c r="B1853" i="1"/>
  <c r="B1851" i="1"/>
  <c r="B1847" i="1"/>
  <c r="B1846" i="1"/>
  <c r="B1844" i="1"/>
  <c r="B1836" i="1"/>
  <c r="B1835" i="1"/>
  <c r="B1834" i="1"/>
  <c r="B1833" i="1"/>
  <c r="B1832" i="1"/>
  <c r="B1831" i="1"/>
  <c r="B1830" i="1"/>
  <c r="B1829" i="1"/>
  <c r="B1828" i="1"/>
  <c r="B1827" i="1"/>
  <c r="B1826" i="1"/>
  <c r="B1803" i="1"/>
  <c r="B1802" i="1"/>
  <c r="B1801" i="1"/>
  <c r="B1800" i="1"/>
  <c r="B1799" i="1"/>
  <c r="B1798" i="1"/>
  <c r="J1789" i="1"/>
  <c r="J1788" i="1"/>
  <c r="J1787" i="1"/>
  <c r="J1786" i="1"/>
  <c r="J1785" i="1"/>
  <c r="J1784" i="1"/>
  <c r="J1783" i="1"/>
  <c r="J1782" i="1"/>
  <c r="J1781" i="1"/>
  <c r="J1780" i="1"/>
  <c r="J1779" i="1"/>
  <c r="J1778" i="1"/>
  <c r="J1777" i="1"/>
  <c r="J1776" i="1"/>
  <c r="J1775" i="1"/>
  <c r="B1773" i="1"/>
  <c r="B1772" i="1"/>
  <c r="B1771" i="1"/>
  <c r="P1492" i="1"/>
  <c r="J1412" i="1"/>
  <c r="J1405" i="1"/>
  <c r="J1404" i="1"/>
  <c r="J1403" i="1"/>
  <c r="J1402" i="1"/>
  <c r="J1401" i="1"/>
  <c r="P1363" i="1"/>
  <c r="J1356" i="1"/>
  <c r="J1355" i="1"/>
  <c r="J1352" i="1"/>
  <c r="P1210" i="1"/>
  <c r="P1177" i="1"/>
  <c r="P1088" i="1"/>
  <c r="P1059" i="1"/>
  <c r="P1057" i="1"/>
  <c r="P1054" i="1"/>
  <c r="P1040" i="1"/>
  <c r="P1037" i="1"/>
  <c r="P1032" i="1"/>
  <c r="J327" i="1"/>
  <c r="P264" i="1"/>
  <c r="P254" i="1"/>
  <c r="P244" i="1"/>
  <c r="P227" i="1"/>
  <c r="K209" i="1"/>
  <c r="P174" i="1"/>
  <c r="P170" i="1"/>
  <c r="P164" i="1"/>
  <c r="P160" i="1"/>
  <c r="P155" i="1"/>
  <c r="P151" i="1"/>
  <c r="P145" i="1"/>
  <c r="P144" i="1"/>
  <c r="J136" i="1"/>
  <c r="P134" i="1"/>
  <c r="P132" i="1"/>
  <c r="P115" i="1"/>
  <c r="P110" i="1"/>
  <c r="J108" i="1"/>
  <c r="P106" i="1"/>
  <c r="P104" i="1"/>
  <c r="P103" i="1"/>
  <c r="P97" i="1"/>
  <c r="P94" i="1"/>
  <c r="P93" i="1"/>
  <c r="J93" i="1"/>
  <c r="J90" i="1"/>
  <c r="P89" i="1"/>
  <c r="K89" i="1"/>
  <c r="P73" i="1"/>
  <c r="H2656" i="1" l="1"/>
  <c r="H2663" i="1" l="1"/>
  <c r="H2670" i="1" s="1"/>
  <c r="H2661" i="1"/>
</calcChain>
</file>

<file path=xl/comments1.xml><?xml version="1.0" encoding="utf-8"?>
<comments xmlns="http://schemas.openxmlformats.org/spreadsheetml/2006/main">
  <authors>
    <author>Marín Cambranis Rafael Humberto</author>
    <author>Lic. Rosa Reyes Rodríguez</author>
  </authors>
  <commentList>
    <comment ref="G5057" authorId="0" shapeId="0">
      <text>
        <r>
          <rPr>
            <sz val="9"/>
            <color indexed="81"/>
            <rFont val="Tahoma"/>
            <family val="2"/>
          </rPr>
          <t xml:space="preserve">son 19 municipios afectados del Estado de San Luis Potosí
</t>
        </r>
      </text>
    </comment>
    <comment ref="G5059" authorId="0" shapeId="0">
      <text>
        <r>
          <rPr>
            <sz val="9"/>
            <color indexed="81"/>
            <rFont val="Tahoma"/>
            <family val="2"/>
          </rPr>
          <t xml:space="preserve">En Tamaulipas existen 43 municipios afectados
</t>
        </r>
      </text>
    </comment>
    <comment ref="G5062" authorId="0" shapeId="0">
      <text>
        <r>
          <rPr>
            <sz val="9"/>
            <color indexed="81"/>
            <rFont val="Tahoma"/>
            <family val="2"/>
          </rPr>
          <t xml:space="preserve">13 MUNICIPIOS AFECTADOS EN CHIHUAHUA
</t>
        </r>
      </text>
    </comment>
    <comment ref="G5063" authorId="0" shapeId="0">
      <text>
        <r>
          <rPr>
            <sz val="9"/>
            <color indexed="81"/>
            <rFont val="Tahoma"/>
            <family val="2"/>
          </rPr>
          <t xml:space="preserve">38 municipios afectados en Veracruz
</t>
        </r>
      </text>
    </comment>
    <comment ref="G5066" authorId="0" shapeId="0">
      <text>
        <r>
          <rPr>
            <sz val="9"/>
            <color indexed="81"/>
            <rFont val="Tahoma"/>
            <family val="2"/>
          </rPr>
          <t>EN GUANAJUATO 39 MUNICIPIOS DAÑADOS</t>
        </r>
      </text>
    </comment>
    <comment ref="G5069" authorId="0" shapeId="0">
      <text>
        <r>
          <rPr>
            <sz val="9"/>
            <color indexed="81"/>
            <rFont val="Tahoma"/>
            <family val="2"/>
          </rPr>
          <t xml:space="preserve">EN TOTAL SON 51 MUNICIPIOS AFECTADOS EN MICOACAN OCAMPO
</t>
        </r>
      </text>
    </comment>
    <comment ref="G5073" authorId="0" shapeId="0">
      <text>
        <r>
          <rPr>
            <b/>
            <sz val="9"/>
            <color indexed="81"/>
            <rFont val="Tahoma"/>
            <family val="2"/>
          </rPr>
          <t>SON MAS DE 10 MUNICIPIOS AFECTADOS</t>
        </r>
        <r>
          <rPr>
            <sz val="9"/>
            <color indexed="81"/>
            <rFont val="Tahoma"/>
            <family val="2"/>
          </rPr>
          <t xml:space="preserve">
</t>
        </r>
      </text>
    </comment>
    <comment ref="G5077" authorId="0" shapeId="0">
      <text>
        <r>
          <rPr>
            <sz val="9"/>
            <color indexed="81"/>
            <rFont val="Tahoma"/>
            <family val="2"/>
          </rPr>
          <t xml:space="preserve">SON 38 MUNICIPOS AFECTADOS
</t>
        </r>
      </text>
    </comment>
    <comment ref="H5356" authorId="1" shapeId="0">
      <text>
        <r>
          <rPr>
            <b/>
            <sz val="9"/>
            <color indexed="81"/>
            <rFont val="Tahoma"/>
            <family val="2"/>
          </rPr>
          <t>Corroborar si hubo declaratoria de emergencia o desastres.</t>
        </r>
      </text>
    </comment>
    <comment ref="A5363" authorId="1" shapeId="0">
      <text>
        <r>
          <rPr>
            <b/>
            <sz val="9"/>
            <color indexed="81"/>
            <rFont val="Tahoma"/>
            <family val="2"/>
          </rPr>
          <t>CR 0788 y CR 0789</t>
        </r>
      </text>
    </comment>
    <comment ref="B5363" authorId="1" shapeId="0">
      <text>
        <r>
          <rPr>
            <b/>
            <sz val="9"/>
            <color indexed="81"/>
            <rFont val="Tahoma"/>
            <family val="2"/>
          </rPr>
          <t>CR 0788 y CR 0789</t>
        </r>
      </text>
    </comment>
  </commentList>
</comments>
</file>

<file path=xl/sharedStrings.xml><?xml version="1.0" encoding="utf-8"?>
<sst xmlns="http://schemas.openxmlformats.org/spreadsheetml/2006/main" count="58287" uniqueCount="13045">
  <si>
    <t>Fecha de Inicio</t>
  </si>
  <si>
    <t>Fecha de Fin</t>
  </si>
  <si>
    <t>Año</t>
  </si>
  <si>
    <t>Clasificación del fenómeno</t>
  </si>
  <si>
    <t>Tipo de fenómeno</t>
  </si>
  <si>
    <t>Estado</t>
  </si>
  <si>
    <t>Municipios Afectados</t>
  </si>
  <si>
    <t>Descripcion general de los daños</t>
  </si>
  <si>
    <t>Defunciones</t>
  </si>
  <si>
    <t xml:space="preserve">Población afectada </t>
  </si>
  <si>
    <t>Viviendas dañadas</t>
  </si>
  <si>
    <t>Escuelas</t>
  </si>
  <si>
    <t xml:space="preserve">Hospitales </t>
  </si>
  <si>
    <t>Comercios</t>
  </si>
  <si>
    <t>Area de cultivo dañada / pastizales (h)</t>
  </si>
  <si>
    <t>Total de daños (millones de pesos)</t>
  </si>
  <si>
    <t>Fuente</t>
  </si>
  <si>
    <t xml:space="preserve">Geológico </t>
  </si>
  <si>
    <t>Actividad volcánica</t>
  </si>
  <si>
    <t>CDMX, Estado de Mexico, Morelos, Puebla, Tlaxcala</t>
  </si>
  <si>
    <t>Amecameca</t>
  </si>
  <si>
    <t>El Actividad Volcanica Popocatépetl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</si>
  <si>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CENAPRED</t>
  </si>
  <si>
    <t>Hidrometeorológico</t>
  </si>
  <si>
    <t>Sequía</t>
  </si>
  <si>
    <t>Aguascalientes</t>
  </si>
  <si>
    <t>Varios Municipios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</si>
  <si>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25, 112 miles de pesos, para solventar los daños, por este fenomeno.</t>
  </si>
  <si>
    <t>Químico</t>
  </si>
  <si>
    <t>Incendio forestal</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</si>
  <si>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</si>
  <si>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</si>
  <si>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Ciclón tropical</t>
  </si>
  <si>
    <t>Baja California Sur</t>
  </si>
  <si>
    <t>Los Cabos, La Paz</t>
  </si>
  <si>
    <t>La Tormenta Tropical Miriam, afecto Severamente las costas de este Estado, por lo que se le destino un total de 7, 038 miles de pesos, para mitigar los daños causados por este fenomeno</t>
  </si>
  <si>
    <t>Chiapas</t>
  </si>
  <si>
    <t xml:space="preserve">El Huracan Keith se acerco peligrosamente a los costas de Quintana Roo, que por la intensidad de sus vientos acompañados con lluvias llego a categoria 3 estos tambien afectaron la parte norte de Chiapas. </t>
  </si>
  <si>
    <t xml:space="preserve">Reportado como otros </t>
  </si>
  <si>
    <t>Otros</t>
  </si>
  <si>
    <t>Chihuahua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</si>
  <si>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120, 000 miles de pesos, para solventar los daños, por este fenomeno.</t>
  </si>
  <si>
    <t xml:space="preserve">Bajas temperaturas </t>
  </si>
  <si>
    <t>La temperatura promedio durante todo el mes fue de 2° C, esto ocasiono la muerte de 70 personas, es decir por hipotermia e intoxicación de Gas butano, quemaduras y otras, que generalmente se presentaron en grupos sociales con pobreza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</si>
  <si>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</si>
  <si>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</si>
  <si>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</si>
  <si>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Colima</t>
  </si>
  <si>
    <t>La depresion y tormenta Tropical Norman, causo los dañosen viviendas, caminos y servicios, que afectaron los vientos de 55 Km/h y rachas de 75 Km/h.</t>
  </si>
  <si>
    <t>Durango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</si>
  <si>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</si>
  <si>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</si>
  <si>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Inundación</t>
  </si>
  <si>
    <t>México</t>
  </si>
  <si>
    <t>Valle de Chalco Solidaridad, Chalco, Ixtapaluca</t>
  </si>
  <si>
    <t>El Bordo izquierdo del Río de la Conmpañia se erosiono, provocando que rompiera aguas abajo del cruce con la autopista Mexico-Puebla e inundando 80ha de las colonias vecinas, afectando a 2,000 personas , en total se destinaron 1, 086 miles de pesos, para la resurcion de los daños.</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</si>
  <si>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</si>
  <si>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</si>
  <si>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Guerrero</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</si>
  <si>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</si>
  <si>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</si>
  <si>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</si>
  <si>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Michoacán</t>
  </si>
  <si>
    <t>La depresion y tormenta Tropical Norman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</si>
  <si>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9, 320 miles de pesos, para solventar los daños, por este fenomeno.</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</si>
  <si>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</si>
  <si>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</si>
  <si>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Nayarit</t>
  </si>
  <si>
    <t>Nuevo León</t>
  </si>
  <si>
    <t>Allende, Anahuac, Apodaca, Gral. Escobedo, Gral. Teran, Guadalupe, Linares, Monterrey, Sabinas Hidalgo, San Pedro Garza Garcia, Santa. Catarina, Santiago</t>
  </si>
  <si>
    <t>Las remanencias del Huracan Keith, junto con la entrada del Frente Frío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</si>
  <si>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</si>
  <si>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Oaxaca</t>
  </si>
  <si>
    <t>Puerto Angel</t>
  </si>
  <si>
    <t>La tormenta Tropiccal Rosa, con vientos de 50 Km/h al acercarse a la costa, se disipo a 15 Km de ella, esto garantizo para que no hubiera mas daño a la region, pues se le destino 254.2 miles de pesos para la recontruccion</t>
  </si>
  <si>
    <t>Puebla</t>
  </si>
  <si>
    <t>Tras la presencia intensa de temperaturas bajas todo el mes de diciembre se decidio destinar 9, 829 miles de pesos para resarcir los daños provocados, por las Bajas Temperaturas.</t>
  </si>
  <si>
    <t>Querétaro</t>
  </si>
  <si>
    <t>Amealco de Bonfil y Tolimán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</si>
  <si>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 193 miles de pesos, para solventar los daños, por este fenomeno.</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</si>
  <si>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</si>
  <si>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</si>
  <si>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</si>
  <si>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</si>
  <si>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</si>
  <si>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</si>
  <si>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Lluvias</t>
  </si>
  <si>
    <t>Sonora</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</si>
  <si>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</si>
  <si>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frío no. 6 ocasionó lluvias en promedio de 20 a 40 mm afectando a varios sectores de la población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</si>
  <si>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</si>
  <si>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Tamaulipas</t>
  </si>
  <si>
    <t>Carbonera, Pesca, Carrizo</t>
  </si>
  <si>
    <t>Con vientos maximos de 75 Km/h el Huracan Beryl, provoco daños a la infraestructura de la region y severos daños a los servicios. Afortunadamente no se presento ninguna calamidad</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</si>
  <si>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</si>
  <si>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</si>
  <si>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</si>
  <si>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Tlaxcala</t>
  </si>
  <si>
    <t>Tras la presencia intensa de temperaturas bajas todo el mes de diciembre se decidio destinar 4, 777 miles de pesos para resarcir los daños provocados, por las Bajas Temperaturas.</t>
  </si>
  <si>
    <t>Varios Estados</t>
  </si>
  <si>
    <t>Suministros y equipamiento de diversas dependencias</t>
  </si>
  <si>
    <t>Zacatecas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</si>
  <si>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</si>
  <si>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3, 019 miles de pesos, por daños en este rubro.</t>
  </si>
  <si>
    <t>Las intensas sequias afectaron considerablemente las actividades ganaderas, agrícolas y comerciales, en este Estado por lo que se destino la cantidad de 44.3 millones de pesos, del FONDEN.</t>
  </si>
  <si>
    <t>Las intensas sequias afectaron considerablemente las actividades ganaderas, agrícolas y comerciales, en este Estado, por lo que se destino la cantidad de 185.9 millones de pesos, del FONDEN.</t>
  </si>
  <si>
    <t>Las intensas sequias afectaron considerablemente las actividades ganaderas, agrícolas y comerciales, en este Estado, por lo que se destino la cantidad de 4.8 millones de pesos, del FONDEN.</t>
  </si>
  <si>
    <t>Las intensas sequias afectaron considerablemente las actividades ganaderas, agrícolas y comerciales, en este Estado, por lo que se destino la cantidad de 5.7 millones de pesos, del FONDEN.</t>
  </si>
  <si>
    <t>Chiapas, Michoacan, Nuevo Leon, Quintana Roo</t>
  </si>
  <si>
    <t>. 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</si>
  <si>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SD</t>
  </si>
  <si>
    <t>29-Sep</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</si>
  <si>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</si>
  <si>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</si>
  <si>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</si>
  <si>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</si>
  <si>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Los efectos del Huracan Iris, fue la muerte de 23 personas, 2100 personas afectadas, 884 viviendas afectadas, así 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</si>
  <si>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</si>
  <si>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</si>
  <si>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</si>
  <si>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Chihuahua, Durango, Estado de Mexico, Puebla, Sonora, Tlaxcala</t>
  </si>
  <si>
    <t>Se dieron 36 muertos, 2637 casos de enfermedades respiratorias y 886 personas sufrieron algun incidente causado por las bajas temperaturas.</t>
  </si>
  <si>
    <t>Sismo</t>
  </si>
  <si>
    <t>Coyuca de Benitez</t>
  </si>
  <si>
    <t>Se registro un sismo de 6.7 grados en la Escala Richter, este afecto a 3 mil personas y daño 2,600 viviendas, el total de daños se calcula en 29.25 millones de pesos</t>
  </si>
  <si>
    <t>Fuga</t>
  </si>
  <si>
    <t>Coahuila, Chihuahua</t>
  </si>
  <si>
    <t>Se registro una fuga de combustible que ocasiono la muerte de 3 personas.</t>
  </si>
  <si>
    <t>Oaxaca, Tamaulipas, Veracruz</t>
  </si>
  <si>
    <t>Se presentaron varias fugas de Amoniaco, que ocasionaron 383 personas afectadas en los tres estados.</t>
  </si>
  <si>
    <t>Sanitario</t>
  </si>
  <si>
    <t>Enfermedad</t>
  </si>
  <si>
    <t>enfermedad en ganado vacuno</t>
  </si>
  <si>
    <t>Explosión</t>
  </si>
  <si>
    <t>Coahuila, Chiapas, Distrito Federal, Hidalgo, Nayarit, Nuevo Leon, Oaxaca, Veracruz</t>
  </si>
  <si>
    <t>Diversas explosiones, con diversos origenes, en el año causaron la muerte de 22 personas y 383 personas efectadas, en el año.</t>
  </si>
  <si>
    <t>Intoxicación</t>
  </si>
  <si>
    <t>Colima, Chiapas, Guerrero y Michoacán</t>
  </si>
  <si>
    <t>104 personas resultaron intoxicadas por ingerir o consumir alimentos en mal estado.</t>
  </si>
  <si>
    <t>Plaga</t>
  </si>
  <si>
    <t>Una plaga de animales ponzoñosos, provoco alarma en la poblacion, pues en el años murieron 6 personas y otras 8000 resultaron afectadas por esta plaga.</t>
  </si>
  <si>
    <t>Sociorganizativo</t>
  </si>
  <si>
    <t>Accidente de transporte</t>
  </si>
  <si>
    <t>Michoacán, Oaxaca, Sonora, Veracruz y Zacatecas</t>
  </si>
  <si>
    <t>Accidentes automovilísticos</t>
  </si>
  <si>
    <t>Baja California Sur, Chichuahua y Michoacán</t>
  </si>
  <si>
    <t>Accidentes aéreos</t>
  </si>
  <si>
    <t>Nayarit y Campeche</t>
  </si>
  <si>
    <t>Accidentes ferrioviarios</t>
  </si>
  <si>
    <t>Incendio urbano</t>
  </si>
  <si>
    <t>CDMX, Morelos y Sonora</t>
  </si>
  <si>
    <t xml:space="preserve">Campeche </t>
  </si>
  <si>
    <t xml:space="preserve"> Cármen, Atasta y Escárcega.</t>
  </si>
  <si>
    <t>Los municipios afectados son Cármen, Atasta y Escárcega.</t>
  </si>
  <si>
    <t>CENACOM</t>
  </si>
  <si>
    <t>Angostura, Guasave y el Valle del Carrizo</t>
  </si>
  <si>
    <t>Los cultivos afectados son de maíz, frijol y legumbres pertenecientes a los municipios de Angostura, Guasave y el Valle del Carrizo.</t>
  </si>
  <si>
    <t xml:space="preserve">Ciudad de México </t>
  </si>
  <si>
    <t>Tlalpan</t>
  </si>
  <si>
    <t>Los poblados afectados son Santo Tomás Ajusco, San Andrés Toltepec, San Miguel Xicalco, Magdalena Pletacalco, San Pedro Martir y San Miguel Ajusco (delegación Tlalpan).</t>
  </si>
  <si>
    <t>Hidalgo</t>
  </si>
  <si>
    <t>Pachuca.</t>
  </si>
  <si>
    <t>Las colonias afectadas son Villas del Álamo, La Providencia, Mineral de la Reforma, Unión Chacón, Real de Minas, Francisco I. Madero y Felipe Ángeles; dentro del municipio de Pachuca.</t>
  </si>
  <si>
    <t>Yucatán</t>
  </si>
  <si>
    <t>-</t>
  </si>
  <si>
    <t>Morelia</t>
  </si>
  <si>
    <t>Daños en las vías de acceso de la ciudad de Morelia.</t>
  </si>
  <si>
    <t>Entre los municipios afectados se encuentra San Fernando.</t>
  </si>
  <si>
    <t>Acapulco</t>
  </si>
  <si>
    <t>Los daños se concentraron en Zihuatanejo.</t>
  </si>
  <si>
    <t>Almoloya de Juárez</t>
  </si>
  <si>
    <t>En Ecatepec afectaciones en 12 viviendas, 7 de ellas con pérdida total por ser de material endeble. En Almoloya de Juárez inundaciones en algunas viviendas</t>
  </si>
  <si>
    <t>Inundaciones en viviendas con pérdida de techos de material endeble. Derrumbes en bardas y deslaves, acumulación de lodo. La creciente del río Chico arrastró un vehículo. No se cuantifican los daños materiales</t>
  </si>
  <si>
    <t>En Morelia, pérdida de techos de material endeble de algunas viviendas. Se instaló un albergue para atender a 70 personas que vieron afectadas sus viviendas.</t>
  </si>
  <si>
    <t>Fresnillo</t>
  </si>
  <si>
    <t>Fresnillo. Inundaciones en 4 viviendas y en una escuela secundaria. Guadalupe. Encharcamiento y acumulación de lodo afectando a 150 viviendas y algunos caminos. Desbordamiento de la presa El Infalte. Panuco.Inundación de 400 viviendas y afectaciones a cultivos. Entrega de 400 cobertores, 300 despensas y 100 catres. Cañitas. Afectación en la presa de Boquilla de abajo. No se tiene el dato de las viviendas afectadas por las inundaciones. Morelos. Encharcamiento e inundación a un gran número de viviendas no cuantificadas. Caída de varios postes de energía eléctrica. Calera.Encharcamiento e inundación a un gran número de viviendas no cuantificadas. Zacatecas. Se afectaron dos viviendas en la comunidad El Lorito. Pánfilo Natera. Han resultado 10 mil personas afectadas en el municipio.</t>
  </si>
  <si>
    <t>os Alicantes</t>
  </si>
  <si>
    <t>Pérdida total de los cultivos del municipio de Los Alicantes.</t>
  </si>
  <si>
    <t>Desbordamiento de varias presas.</t>
  </si>
  <si>
    <t>Fresnillo, Pánuco, Cañitas, Morelos, Calera, Genaro Codina, Pánfilo Natera, Zacatecas, Guadalupe, Vetagrande, Ojocaliente y Loreto</t>
  </si>
  <si>
    <t>Los municipios de Fresnillo, Pánuco, Cañitas, Morelos, Calera, Genaro Codina, Pánfilo Natera, Zacatecas, Guadalupe, Vetagrande, Ojocaliente y Loreto resultaron afectados.</t>
  </si>
  <si>
    <t>Hecelchakán.</t>
  </si>
  <si>
    <t>Inundaciones en los domicilios de 18 familias en el municipio de Hecelchakán.</t>
  </si>
  <si>
    <t>Deslave de un cerro.</t>
  </si>
  <si>
    <t>Afectación de 107 viviendas con techo de cartón. En la comunidad de Apozonalco fueron afectadas 11 viviendas de las cuales 7 afectadas en un 75% de sus techos y 4 con afetaciones del 50%. En la comunidad de Buenavista de las pilas 36 viviendas afectadas, 10 de pérdida total, 15 con afectaciones de 75% en sus techos y tres con un 50% de afectación. En las comunidades de Mazazontecomatl, Tlayolapa y Dospaño 60 viviendas afectadas, 10 destruidas en su totalidad, 20 on 75% y 3 de 50%. Los techos de las viviendas afectadas eran de cartón y palma. El requerimiento para los domicilios afectados es de un total de 296 pacas de láminas de cartón y 240 fajillas.</t>
  </si>
  <si>
    <t>Viviendas inundadas en las comunidades de Villa Flores y San Critóbal. Daño a 29 viviendas en sus techos de material endeble principalmente por la granizada.</t>
  </si>
  <si>
    <t>FONDEN</t>
  </si>
  <si>
    <t>Los daños ocurrieron el Teul González de Ortega.</t>
  </si>
  <si>
    <t>Las lluvias provocaron apagones en diversas colonias de la ciudad y dejaron decenas de vehículos varados.</t>
  </si>
  <si>
    <t>Afectaciones a 64 domicilios en los barrios de Sausal, Bonampak y Nuevo.</t>
  </si>
  <si>
    <t>Afectación de 5 viviendas en la localidad de La Cruz, una de ellas de pérdida total.</t>
  </si>
  <si>
    <t>Tamazunchale</t>
  </si>
  <si>
    <t>Tamazunchale, evacuación por la posibilidad de deslaves. Posible reubicación de domicilios debido al costo que representa dinamitar un cerro de riesgo.</t>
  </si>
  <si>
    <t>Chilapa.</t>
  </si>
  <si>
    <t>Los daños ocurrieron en el municipio de Chilapa.</t>
  </si>
  <si>
    <t>Calakmul</t>
  </si>
  <si>
    <t>La comunidad de Pioneros del  Río, en el municipio de Calakmul parcialmente incomunicada. Sin cuantificar los daños a la infraestrutura dañada.</t>
  </si>
  <si>
    <t>La Cruz</t>
  </si>
  <si>
    <t>Los daños ocurrieron en el poblado de Los Alicantes en el municipio de La Cruz.</t>
  </si>
  <si>
    <t xml:space="preserve">Entrega de 251 despensas y 16 cobertores en varias comunidades debido a que se encuentran incomunicadas ya que la carretera principal sufrió daños. </t>
  </si>
  <si>
    <t>Afectación de 60 viviendas, 10 de ellas con pérdida total. El 50% de la población de Javier Mina se enuentra sin energía eléctrica y el 30% de la cabecera municipal. Además se registró daño parcial a 5 puentes y daño total en uno. Afectación de la red de agua potable y en la red carretera de Zaragoza al entronque a la carretera a Puebla</t>
  </si>
  <si>
    <t>Encharcamiento en viviendas y avenidas, los cuales fueron atendidos por los bomberos.</t>
  </si>
  <si>
    <t>Huajuapan de León</t>
  </si>
  <si>
    <t>El incidente se reportó en Huajuapan de León.</t>
  </si>
  <si>
    <t>En Morelia, problemas de inundaciones y tránsito vehicular. Afectaciones en viviendas de material endeble.</t>
  </si>
  <si>
    <t>En Tlatelulco se reportó la caída de dos postes de energía eléctrica y obstrucción en la autopista vía corta Santa Ana-Puebla.</t>
  </si>
  <si>
    <t>Iztapalapa</t>
  </si>
  <si>
    <t>Suspensión de la línea 2 del metro en si tramo Xola-Taxqueña. Daños en la vialidad y en automóviles a causa de las inundaciones en algunas avenidas. Apagones en diversas colonias. En la delegación Iztapalapa se afectaron algunos domicilios por encharcamientos.</t>
  </si>
  <si>
    <t>Se reportaron  65 viviendas afectadas en la col. El Rincón de los Lagos. Los daños fueron ocasionados por la caída de una barda.</t>
  </si>
  <si>
    <t xml:space="preserve">CENAPRED </t>
  </si>
  <si>
    <t>Veracruz</t>
  </si>
  <si>
    <t>Los daños se concentraron en Jamapa, Alvarado y Boca del Río.</t>
  </si>
  <si>
    <t>25 t de hortalizas y cítricos.</t>
  </si>
  <si>
    <t>Se reportaron daños inmuebles públicos, tal es el caso de la iglesia de la población y la presidencia municipal. Además, decenas de hectáreas de cultivos también resultaron afectadas, principalmente de maíz.</t>
  </si>
  <si>
    <t>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</si>
  <si>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El secretario general de Gobierno en Nuevo León, José Mario Garza Benavides, dijo que las lluvias afectaron infraestructuras diversas, lo cual rebasa la capacidad operativa y financiera del estado. Los municipios afectados se encuentran en la zona metropolitana: 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</si>
  <si>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 xml:space="preserve">Derrumbe del puente vehicular ubicado en la carretera Dolores Hidalgo-San Miguel de Allende. Se abrieron vías alternas. </t>
  </si>
  <si>
    <t>Se reportaron siete personas en un albergue. Problemas de inundaciones y de tránsito.</t>
  </si>
  <si>
    <t>Dolores Hidalgo</t>
  </si>
  <si>
    <t>En el municipio de Dolores Hidalgo las fuertes lluvias incrementaron el nivel del Río  Laja, lo que reblandeció el terreno y se derrumbó el puendo vehicular ubicado en la carretera Dolores Hidalgo - San Miguel de Allende en el km 74+ 500 a la altura de la comunidad La Venta.</t>
  </si>
  <si>
    <t>Charcas</t>
  </si>
  <si>
    <t>En la comunidad de Caña Verde en el municipio de Charcas las fuertes lluvias y vientos dañaron los techos de las viviendas.</t>
  </si>
  <si>
    <t>La Ventilla, que fue construida hace más de una centuria, quedó inservible, según técnicos de Protección Civil estatal y la CNA, quienes estimaron que al momento del colapso, el vaso tenía 2.5 millones de metros cúbicos de agua. Al reventar la cortina dejó un boquete de aproximadamente 20 metros y la presa se vació. Protección Civil del estado estimó que en una noche y un día llovió el nivel de precipitaciones que normalmente se presenta en todo un mes, lo que provocó escurrimientos de agua de cerros cercanos a la presa. La corriente llevaba troncos, piedras y otros materiales pesados que incrementaron su fuerza y rompieron la cortina.</t>
  </si>
  <si>
    <t xml:space="preserve"> Villa García</t>
  </si>
  <si>
    <t>La presa El Capulín se encuentra a tres kilómetros de la cabecera municipal de Villa García y al reventarse estaba a su tope de capacidad (1.2 millones de metros cúbicos), las presas de Malpaso y Santa Rosa, en los municipios de Villanueva y Jerez, se desbordaron</t>
  </si>
  <si>
    <t>Diversas comunidades  y 200 viviendas fueron afectadas por fuertes lluvias. Sagarpa dio a conocer que 6 mil 320 hectáreas de cultivos de maíz, fríjol, avena y sorgo, localizadas en por lo menos 38 comunidades de 9 municipios, habían sido dañadas por las lluvias, y mil 217 productores afectados en sus parcelas.</t>
  </si>
  <si>
    <t>Tepeapulco</t>
  </si>
  <si>
    <t>En el municipio de Tepeapulco, se informa de afectaciones en viviendas, y no se implementaron refugios temporales existen 12 familias afectadas y 12 viviendas</t>
  </si>
  <si>
    <t>Gómez Palacio</t>
  </si>
  <si>
    <t>Los daños ocurrieron en el municipio de Gómez Palacio a causa de fuertes lluvias. La Secretaría de Gobernación emitió por este concepto el estado de emergencia. La situación se evaluó en la última reunión del Consejo Estatal de Protección Civil, que presidió el gobernador Ángel Sergio Guerrero Mier.</t>
  </si>
  <si>
    <t>Coahuayana</t>
  </si>
  <si>
    <t xml:space="preserve">En el municipio de Coahuayana por efectos del huracán Hernán, en el poblado de Boca Apiza perteneciente al municipio de Coahuayana, se registraron altas marejadas invadiendo las enramadas y las personas que habitan la zonano querían salirse, que en promedio son 30 </t>
  </si>
  <si>
    <t>Tapachula</t>
  </si>
  <si>
    <t>En el municipio de Tapachula a causa de la fuertes lluvias se reportaron daños en 200 casas afectadas</t>
  </si>
  <si>
    <t>San Miguel de Horasillas</t>
  </si>
  <si>
    <t>En el municipio de San Miguel de Horasillas, a causa de una fuerte lluvia con vientos fuertes se registraron 2 viviendas con perdida total y varias en formas parcial, así como la caída de árboles, letreros, y cables de energía eléctrica. Y  las familias afectadas recibieron atados de laminas para sus techos.</t>
  </si>
  <si>
    <t>En diversas colonias a causa de las fuertes lluvias se reportaron daños materiales en 150 vehículos, 6 árboles y 2 transformadores. Los trabajos de desazolve y limpieza concluyeron por a madrugada</t>
  </si>
  <si>
    <t>Matías Romero</t>
  </si>
  <si>
    <t>En el municipio de Matías Romero, se vieron dañadas 4 viviendas y 1 escuela primaria, a causa de las fuertes lluvias. La personas que se encontraban en los refugios temporales regresaron a sus domicilios</t>
  </si>
  <si>
    <t>Un chubasco mezclado con granizo se precipitó sobre el estado de Aguascalientes el cual provocó caos vial e incertidumbre entre los habitantes de la capital. Unas 400 casas inundadas, el derrumbe de una oficina, árboles arrancados de raíz y centenares de vehículos atrapados y arrastrados por la corriente de agua que se concentró principalmente en la avenida Adolfo López Mateos que atraviesa la ciudad capital de oriente a poniente, fue el saldo negativo que arrojo la pertinaz lluvia, además de millonarias pérdidas materiales.</t>
  </si>
  <si>
    <t xml:space="preserve"> Francisco I. Madero</t>
  </si>
  <si>
    <t>Un aguacero causó inundaciones en el centro del municipio de Francisco I. Madero, Hidalgo, donde cinco familias fueron desalojadas e instaladas en un albergue que se improvisó en una biblioteca.</t>
  </si>
  <si>
    <t>Victoria y Reynosa</t>
  </si>
  <si>
    <t>En el municipio de Ciudad Victoria y Reynosa se registraron 8 lesionados a causa de las grandes lluvias. Las personas que se encontraban refugiadas en el municipio de Reynosa, regresaron a sus viviendas un día después del siniestro, al mismo tiempo s e reporta el regreso a la normalidad en Ciudad Victoria</t>
  </si>
  <si>
    <t xml:space="preserve"> Esperanza</t>
  </si>
  <si>
    <t>Al menos 140 familias del municipio de Esperanza, en el estado de Puebla resultaron afectadas por la tromba y tormentas eléctricas que azotaron esta comunidad. La intensa lluvia tuvo lugar en la región tlaxcalteca luego que ésta atravesó por una severa época de sequía. El cambio en el clima provocó daños a viviendas de tres colonias de la cabecera municipal, por lo cual 700 personas tuvieron que ser desalojados y reubicados en casas de parientes o albergues. Cincuenta viviendas resultaron dañadas.</t>
  </si>
  <si>
    <t xml:space="preserve">Tras una tormenta registrada en la madrugada del lunes, una intensa corriente de agua que bajó del Cerro Gordo arrastró toneladas de lodo, con piedras y basura; asimismo, los arroyos Mariches y La Patiña se desbordaron, y se inundaron cinco colonias residenciales. </t>
  </si>
  <si>
    <t>La Paz</t>
  </si>
  <si>
    <t>En la Paz, Baja California Sur, los remanentes de la depresión 11-E dejaron más de 10 mil líneas afectadas, suspensión por más de seis horas del tránsito en la transpeninsular "Benito Juárez", 50 viviendas inundadas, así como daños en avenidas y carreteras.</t>
  </si>
  <si>
    <t>Güemez</t>
  </si>
  <si>
    <t xml:space="preserve">Al menos 30 estudiantes resultaron lesionadas, ocho de gravedad, cuando una tempestad provocó el desprendimiento del techo de uno de los dormitorios de la escuela normal rural femenil de San José de las Flores, municipio de Güemez, Tamaulipas. La Dirección Estatal de Protección Civil informó que el fenómeno, derivado de la tormenta Fay, que afecta el golfo de México, causó el percance. La tormenta provocó además inundaciones en cinco colonias de Reynosa, donde se incendiaron tres postes y explotó un transformador por la tormenta eléctrica. De la colonia Integración Familiar fueron desalojadas 20 personas, y se suspendieron actividades en las escuelas secundarias Lázaro Cárdenas y Enrique Carmona, debido a que los salones amanecieron anegados. </t>
  </si>
  <si>
    <t>En el municipio de Tapachula a causa de la fuertes lluvias se reportaron daños en 71 viviendas, y se realizaron trabajos de limpieza y esazolve en las viviendas dañadas</t>
  </si>
  <si>
    <t xml:space="preserve">En Nayarit, en tanto, una depresión tropical causó fuertes tormentas que provocaron el desbordamiento del río Ameca y la inundación de las comunidades El Porvenir y San Vicente, en el municipio Bahía de Banderas. 
El fenómeno no provocó pérdidas humanas. </t>
  </si>
  <si>
    <t>A causa de las fuertes lluvias en diversos municipios se vieron dañadas alrededor de 30 viviendas, por la madrugada se realizaron trabajos de desazolve</t>
  </si>
  <si>
    <t xml:space="preserve">Producto de los remanentes de la tormenta tropical "Fay", Monterrey sufrió los estragos de una intensa lluvia registrada en el área metropolitana y el norte del estado con una precipitación promedio de 76.2 milímetros. En Guadalupe, uno de los municipios más afectados, registró numerosas colonias inundadas. Ocho escuelas fueran evacuados por encontrarse en cañadas o áreas inundables.
Alrededor de 800 familias en el área metropolitana quedaron sin energía eléctrica a causa de la lluvia, informó CFE. </t>
  </si>
  <si>
    <t xml:space="preserve"> Nuevo Laredo</t>
  </si>
  <si>
    <t>Los remanentes de la tormenta "Fay", en Nuevo Laredo, Tamaulipas, dejó ayer más de 100 familias evacuadas, 120 personas en albergues, 10 árboles caídos, incontables calles y viviendas inundadas, fallas en celulares y cientos de vehículos averiados. Protección Civil, declaró que aunque no hubo daños en personas sí hubo pérdidas materiales, especialmente en aquellas viviendas donde la corriente se llevó uno o más cuartos, y el caso de 300 familias que no podrán regresar a sus casas porque surgieron arroyos naturales.</t>
  </si>
  <si>
    <t>Rosario</t>
  </si>
  <si>
    <t>En el municipio del Rosario por causa de las fuertes lluvias se registraron 70 viviendas dañadas, pero a pesar de los daños no fue necesario instalar un refugio temporal.</t>
  </si>
  <si>
    <t>Saltillo</t>
  </si>
  <si>
    <t>En Saltillo, Coahuila, tras un día de lluvia, una mujer fue arrastrada con todo y su auto por la corriente del arroyo La Tórtola en el paso por Los Rodríguez la noche del martes, pero hasta ayer por la mañana su cuerpo fue localizado unos cinco kilómetros más abajo de donde quedó el vehículo. En Monclova, las lluvias causaron daños en el pavimento, calles inundadas y riesgo en varias colonias de la ciudad, por el desborde de un arroyo del sector sur de la ciudad.
Las familias de las colonias Chinameca y Guerrero fueron auxiliadas por elementos policíacos y Protección Civil ya que el agua acumulada de las lluvias alcanzó a penetrar en algunos hogares</t>
  </si>
  <si>
    <t>Carmen Tequexquitla</t>
  </si>
  <si>
    <t>En el municipio de Carmen Tequexquitla se registraron fuertes lluvias afectando a 18 viviendas</t>
  </si>
  <si>
    <t>Huejutla</t>
  </si>
  <si>
    <t>En diversos municipio de Huejutla se registraron fuertes lluvias afectando a 160 viviendas</t>
  </si>
  <si>
    <t>Más de 500 trabajadores de Protección Civil del estado de México trabajaron para desalojar el agua pluvial que se acumuló en más de 500 hogares de seis colonias urbanas, donde el nivel del agua subió de 10 a 20 centímetros, mientras que en las calles rebasó los 30 centímetros de altura. Además, el hospital José María Rodríguez también había resultado afectado con inundaciones. se informó que en total hay 30 colonias afectadas por la intensa lluvia que por hora y media azotó la región, sin embargo, señaló que hay 6 o 7 que se encuentran en estado crítico.</t>
  </si>
  <si>
    <t>En Querétaro las constantes lluvias han provocado diversos deslaves e inundaciones en diferentes municipios. Protección Civil en Querétaro, informó que Antonio Martínez Luna, de 25 años, perdió la vida cuando circulaba con su bicicleta bajo la lluvia lo que provocó que cayera. Así mismo, las precipitaciones han provocado deslaves en diversas vías carreteras del estado</t>
  </si>
  <si>
    <t>Pantepec</t>
  </si>
  <si>
    <t>El Sistema de Protección Civil en Puebla informó que 30 viviendas del ejido Colotla, municipio de Pantepec, en la sierra norte resultaron afectadas por un fuerte tromba que destruyó las láminas de cartón y provocó afectaciones en las casas de los campesinos.
La lluvia provocó una creciente en el río y afectó cultivos, pero hasta el momento no se han contabilizado los daños debido a que es una de las regiones más lejanas a la capital y su geografía es muy difícil.
Las personas afectadas fueron evacuadas y trasladadas a un albergue.</t>
  </si>
  <si>
    <t>Esperanza</t>
  </si>
  <si>
    <t>En Puebla, el municipio de Esperanza una tromba que cayó la tarde del domingo provocó la inundación de 145 viviendas y dejó importantes pérdidas a sus ocupantes.
Sé informó que el municipio permaneció siete horas sin servicio eléctrico, lo cual dificultó las labores de auxilio, sólo dos familias aceptaron ser albergadas.
La colonia más afectada fue Guadalupe, donde casi la mitad de los inmuebles, esto es alrededor de 80, registraron inundaciones de entre 60 y 80 centímetros; en La Vía 50 casas resultaron afectadas y en Tres Cruces se inundaron al menos 15 domicilios.</t>
  </si>
  <si>
    <t xml:space="preserve">Coyuca de Catalán </t>
  </si>
  <si>
    <t>En el municipio de Coyuca de Catalán en la población de Sierritas Coloradas, se registro una fuerte lluvia, la cual provoco, el deslave de un cerro ubicado en el Km. 80 de la carretera Altamirano - Zihuatanejo, provocando la volcadura de una pipa que transportaba 15000 litros de chapopote el cual se derramo afectando los ríos que pasan por diversas comunidades y los daños materiales reportados son una pipa</t>
  </si>
  <si>
    <t>Tepeyehualco</t>
  </si>
  <si>
    <t>En el municipio de Tepeyehualco de Hidalgo, se registraron tirantes de 15 cm, afectando las viviendas con ligeros encharcamientos, los afectados fueron temporalmente refugiados con familiares y amigos</t>
  </si>
  <si>
    <t xml:space="preserve">Alrededor de 600 viviendas en Iztapalapa se inundaron de aguas negras, a causa de la intensa lluvia durante la noche del jueves, la madrugada de ayer y a lo largo del día. </t>
  </si>
  <si>
    <t>La carretera federal México-Tampico quedó cerrada en uno de sus carriles a partir de las 4:00 horas del viernes, luego de que se registraran derrumbes en los kilómetros 151 y 170, a causa de las lluvias en la zona huasteca durante las últimas 48 horas.
Al mismo tiempo se reportó que en el Barrio Bajo del municipio de Atlapexco, en la misma región, una vivienda fue arrastrada por la creciente del río del mismo nombre y otras nueve casas sufrieron severos daños.
Así mismo se reportan problemas de derrumbes en la carretera intermunicipal Cardonal-Nicolás Flores. 
Además, en San Felipe Orizatlán, en la región Huasteca, se reportó un derrumbe a la altura del lugar denominado El Salto de Tigre, que obstruye los dos carriles de esa vialidad.
Por otra parte, en Calnali las tres vías a ese municipio serrano presentan derrumbes, mientras en Tianguistengo, en la misma región, está obstruido un tramo del camino Matelatenco-Pemuxco.</t>
  </si>
  <si>
    <t xml:space="preserve">Ejido el Carrizal, se vieron afectadas 29 familias por inundaciones en sus domicilios a raíz de fuertes lluvias. </t>
  </si>
  <si>
    <t xml:space="preserve"> Pantepec y Tlaxco</t>
  </si>
  <si>
    <t>En el municipio de Pantepec y Tlaxco en diversas colonias, a causa de las fuertes lluvias se reportaron 93 viviendas dañadas y se vieron afectadas varias familias, de las cuales 5 perdieron totalmente sus viviendas</t>
  </si>
  <si>
    <t>Tlanepantla</t>
  </si>
  <si>
    <t>En el municipio de Tlanepantla, en la colonias Valle dorado y el centro, a causa de las fuertes lluvias se registraron 180 viviendas dañadas registrando anegaciones a sus interiores entre 5 y 120 cm de altura</t>
  </si>
  <si>
    <t>El área metropolitana y algunos municipios rurales recibieron ayer otro "golpe" a causa de la lluvia, que dejó como saldo tres muertos, miles de personas evacuadas y damnificadas, deslaves en la sierra, cierre de vialidades, accidentes automovilísticos y personas desaparecidas.
La lluvia impactó también en el área de Santiago, Cadereyta, San Agustín, San Pedro, y el sur de Monterrey, donde un reporte preliminar indica que hay algunos domicilios inundados.
Protección Civil de Monterrey informó que cinco familias ubicadas en el cauce de arroyo Seco fueron evacuadas.
Del lecho del Santa Catarina fueron evacuadas mil 500 personas que acudieron a una función de circo y cerca de 500 comerciantes.
En la colonia Colinas de San Jerónimo un niño de 12 años falleció al ser arrastrado por el agua de la lluvia, 
En Guadalupe, el desbordamiento del arroyo Las Tinajas provocó que 25 familias de colonias aledañas tuvieran que ser evacuadas.</t>
  </si>
  <si>
    <t>El Márquez y San Juan del Río</t>
  </si>
  <si>
    <t>En los municipios de "El Márquez" y "San Juan del Río", a causa de las fuertes lluvias se registraron 18 viviendas dañadas , así como 5 hectáreas de maíz afectadas y una persona muerta.</t>
  </si>
  <si>
    <t>En diversos municipios a causa de las fuertes lluvias, se vieron dañadas 31 bardas y diversas viviendas, dejando un muerto</t>
  </si>
  <si>
    <t>Acacoyagua y Escuintla Acapetahua</t>
  </si>
  <si>
    <t>En los municipios de Acacoyagua y Escuintla Acapetahua,, en las zonas cercanas al río Doña María a causa de las fuertes lluvias se vieron dañadas 100 viviendas y 343 personas fueron ubicadas en refugios temporales. Se origino el colapso de 2 puentes</t>
  </si>
  <si>
    <t>Cinco municipios de la Huasteca hidalguense fueron afectados por las intensas lluvias, la cual inició el lunes a las 11:30 horas y permaneció durante 12 horas, lo que ocasionó el crecimiento del río Chinguiñoso e inundaciones en al menos 10 colonias de los municipios de Huejutla, San Felipe Orizatlán, Jaltocán, Atlapexco y Tlanchinol. Más de 100 personas fueron trasladadas a dos albergues ubicados en los municipios de Huejutla y Atlapexco, agregó.</t>
  </si>
  <si>
    <t>lalnepantla, Atizapán y Cuautitlán Izcalli</t>
  </si>
  <si>
    <t>Con el lodo hasta la cocina amanecieron casi un centenar de familias del fraccionamiento Las Arboledas, San Javier y Jardines de Atizapán luego de la tormenta que inundó gran parte de Tlalnepantla, Atizapán y Cuautitlán Izcalli, en donde casi 40 vehículos quedaron atrapados en la lateral de la autopista México-Querétaro, al tiempo que la lluvia provocó accidentes automovilísticos y un deslave con una familia atrapada entre piedras y tierra con un saldo de cinco personas lesionadas.</t>
  </si>
  <si>
    <t>Mainero</t>
  </si>
  <si>
    <t xml:space="preserve">Un puente se derrumbó en el municipio de Mainero, Tamaulipas, a causa de las fuertes lluvias que cayeron en esa entidad, lo que causó la muerte a tres personas. Se desconoce el paradero de otras dos, informó Protección Civil local. </t>
  </si>
  <si>
    <t>Tetepango</t>
  </si>
  <si>
    <t xml:space="preserve">En el municipio de Tetepango a causa de las fuertes lluvias en diversas colonias de este municipio se reportaron daños materiales por 100 viviendas dañadas, un vehículo y 2 bardas </t>
  </si>
  <si>
    <t>Villanueva y Saín Alto</t>
  </si>
  <si>
    <t xml:space="preserve">Hay alerta en Zacatecas por las lluvias registradas durante las últimas horas, las cuales han afectado a cuatro municipios (Río Grande, Villa González Ortega, Villanueva, Saín Alto). Según los reportes oficiales, en el municipio de Villa González Ortega el agua alcanzó hasta 80 centímetros de altura, pues las lluvias propiciaron estas condiciones en al menos la mitad de la cabecera municipal.
En los municipios de Villanueva y Saín Alto las medidas de precaución contra las lluvias siguen vigentes, pues se esperan nuevas precipitaciones pluviales.
El Gobernador dijo que en los municipios de Río Grande, Villanueva y Villa González Ortega se han habilitado albergues para la población afectada por las condiciones lluviosas. </t>
  </si>
  <si>
    <t>Por lo menos 15 familias evacuadas, 23 colonias inundadas y 36 accidentes automovilísticos fue el saldo que dejaron ayer en la capital de Sinaloa las fuertes lluvias por efecto directo de la cercanía de la tormenta tropical "Iselle".</t>
  </si>
  <si>
    <t xml:space="preserve">Entre el 20 y 24 del  mes de Septiembre la península de Yucatán fue afectada por uno de los huracanes más fuertes de los que se tienen registro, ya que las ráfagas de viento alcanzaron los 250 km/h, afectando los estado de Yucatán y Campeche, donde los daños registrados afectaron la economía de sendos estados. El número de viviendas dañadas así como de postes caídos no tuvo precedente alguno. </t>
  </si>
  <si>
    <t xml:space="preserve">Como consecuencia del Huracán "Isidore" varios municipios se encontraban incomunicados ya que por las características del terreno y del fenómeno en sí, se registraron diversas inundaciones que afectaron las actividades económicas y el entorno social de la región. En este estado los daños resultaron de gran cuantía casi comparables con las ocurridas en Yucatán. </t>
  </si>
  <si>
    <t>Tecpan</t>
  </si>
  <si>
    <t>En el municipio de Tecpan, a causa del río del mismo nombre con tirantes de 1.30 metros, dejo 500 personas damnificadas  y 120 viviendas afectadas</t>
  </si>
  <si>
    <t>Pinotepa NacionaL</t>
  </si>
  <si>
    <t>En el municipio de Pinotepa Nacional se reportaron fuertes lluvias dañando 51 viviendas</t>
  </si>
  <si>
    <t>Se presentaron precipitaciones de 146 mm en 16 colonias de las cuales 7 fueron evacuadas, creándose 3 refugios temporales</t>
  </si>
  <si>
    <t>San Blas, Santiago Ixcuintla</t>
  </si>
  <si>
    <t xml:space="preserve">Los efectos del Huracán Kenna fueron devastadores en las costas de Nayarit afectando principalmente los municipios de San Blas, Santiago Ixcuintla, y en general todos los municipios costeros. En este caso el sector mas dañado fue la vivienda y las actividades económicas como la agricultura. </t>
  </si>
  <si>
    <t>Puerto Vallarta</t>
  </si>
  <si>
    <t xml:space="preserve">El huracán Kenna azotó las costas de Jalisco afectando principalmente al municipio de Puerto Vallarta, donde las afectaciones se registraron principalmente en la infraestructura hotelera y comercial situada en la ciudad.  </t>
  </si>
  <si>
    <t>En el Km.42 de la carretera Tenancingo, entre los parajes San Martín y los Morales se registro  un derrumbe ocasionados por las constantes lluvias que se presentaron en el lugar. Al presentarse el derrumbe una camioneta quedo sepultada.</t>
  </si>
  <si>
    <t>Pichucalco</t>
  </si>
  <si>
    <t xml:space="preserve">Debido a las intensas lluvias en el ejido de Nuevo Nicapa en el municipio de Pichucalco, se registro el desbordamiento  del rió del mismo nombre lo cual ocasiono inundaciones en al menos 15 viviendas.  </t>
  </si>
  <si>
    <t xml:space="preserve">Se registraron temperaturas extremas en varias localidades ,se presentaron lluvias generalizadas y  nevadas, como resultado  quedaron incomunicadas 750 familias. </t>
  </si>
  <si>
    <t>Se contempla un programa de empleo temporal, el cual proporcionará 1 millón de jornales</t>
  </si>
  <si>
    <t>1000 cabezas de ganado han perecido a raíz de la sequía en algunas zonas de Veracruz.</t>
  </si>
  <si>
    <t xml:space="preserve">15 mil productores tlaxcaltecas han resultado afectados ante la prolongada sequía que afecta al agro local, lo cual podría propiciar que 30 por ciento del total de las hectáreas cultivables con maíz dejen de producir este año. </t>
  </si>
  <si>
    <t>Muerte del 3% del ganado de la entidad: 3,000 cabezas de ganado caprino y 1,000 de bovino</t>
  </si>
  <si>
    <t>6000 cabezas de ganado</t>
  </si>
  <si>
    <t>400 cabezas de ganado</t>
  </si>
  <si>
    <t xml:space="preserve">10 municipios son declarados zona de desastre </t>
  </si>
  <si>
    <t>Suspensión de la generación de enegía eléctrica en tres plantas. Muerte de 190 cabezas de ganado</t>
  </si>
  <si>
    <t xml:space="preserve">El representante de la Asociación de Agricultores del Centro de Michoacán, Rufino Mendoza Aparicio, dijo que debido a las heladas se perdieron 500 hectáreas de diversos cultivos en la entidad. Señaló que las siembras más afectadas fueron granos y frutales, las cuales se echaron a perder en 80 por ciento . </t>
  </si>
  <si>
    <t>Municipios afectados de Cosío, San José de Gracia, Calvillo, Tepezalá y Rincón de Romos. Pérdidas en el 80% de los cultivos</t>
  </si>
  <si>
    <t xml:space="preserve">Fuertes vientos </t>
  </si>
  <si>
    <t>Desperfectos en transformadores, cuchillas y líneas de conducción provocaron un apagón de más de 20 h</t>
  </si>
  <si>
    <t>Daños en pastizales y arbustos</t>
  </si>
  <si>
    <t>12 comunidades incomunicadas</t>
  </si>
  <si>
    <t>Temperatura extrema</t>
  </si>
  <si>
    <t>Proceso de remoción en masa</t>
  </si>
  <si>
    <t>Por hundimientos en el subsuelo en la estación terminal de Pantitlán donde convergen cuatro rutas del Metro, y por una grieta subterránea en la estación de Oceanía, en la línea 5, las autoridades capitalinas estudian la posibilidad de suspender temporalmente el servicio.</t>
  </si>
  <si>
    <t>El sismo de 5.1 grados Richter, con epicentro entre Tuxtepec y Loma Bonita, en la Cuenca del Papaloapan y límites con Veracruz, causó fisuras en techos y paredes de un hospital, un palacio municipal y dos edificios públicos de la región.</t>
  </si>
  <si>
    <r>
      <t xml:space="preserve">Abundante exhalación de piedras incandescentes y vapor de agua que el </t>
    </r>
    <r>
      <rPr>
        <i/>
        <sz val="9"/>
        <rFont val="Arial"/>
        <family val="2"/>
      </rPr>
      <t>Volcán de Fuego.</t>
    </r>
    <r>
      <rPr>
        <sz val="9"/>
        <rFont val="Arial"/>
        <family val="2"/>
      </rPr>
      <t xml:space="preserve"> </t>
    </r>
  </si>
  <si>
    <t>Cuarteaduras en la clínica de salud de la comunidad de Laguna Kana. En la comunidad de El Ramonal se registraron fracturas de algunas viviendas, el desplome de una loza y daños en la telesecundaria.</t>
  </si>
  <si>
    <t>Sin clasificación</t>
  </si>
  <si>
    <t>San Martín de Bolaños,</t>
  </si>
  <si>
    <t>Derrumbe en el interior de la mina conocida como Zoloaga, en el municipio de San Martín de Bolaños, al norte de Jalisco. De acuerdo con la Procuraduría General de Justicia del Estado (PGJE), el derrumbe se produjo a más de mil 685 metros de profundidad.</t>
  </si>
  <si>
    <t>Atoyac de Álvarez</t>
  </si>
  <si>
    <t xml:space="preserve">En el municipio de Atoyac de Álvarez en la comunidad de Valles se reportaron120 viviendas que en su mayoría eran de adobe dañadas a consecuencia del sismo registrado </t>
  </si>
  <si>
    <t>Se reporto el hundimiento del  suelo en un estacionamiento de la zona rosa, afectando tan solo a tres automóviles que se encontraban en el lugar.</t>
  </si>
  <si>
    <t>Se registro un deslave por el reblandecimiento del suelo, afectando a la carretera Campeche- Islahuada, dañando  la cinta asfáltica en un área de 2  metros de ancho por 3 de profundidad</t>
  </si>
  <si>
    <t>Explosión en una empresa acerera</t>
  </si>
  <si>
    <t xml:space="preserve">Explosión en una residencia del fraccionamiento Reforma de esta ciudad, en donde se guardaban productos químicos, ocasionada por la fuga de gas de un tanque estacionario que al parecer se encontraba en mal estado, informó la Policía Intermunicipal Veracruz-Boca del Río. </t>
  </si>
  <si>
    <t>Yurécuaro.</t>
  </si>
  <si>
    <t xml:space="preserve">Se incendiaron 960 toneladas de azufre que eran transportadas en 16 vagones de un ferrocarril a la altura de la cabecera municipal de Yurécuaro, cuya población estuvo a punto de verse envuelta en un desastre; la SEDENA aplicó el Plan DN-III. Se teme que los gases emanados por la quema de azufre afecten cultivos del municipio de Yurécuaro. Las autoridades de Protección Civil de Michoacán informaron que el tren venía procedente de Manzanillo, Colima, y tenía como destino final la población de El Tlacote, Querétaro. </t>
  </si>
  <si>
    <t xml:space="preserve">Carmen </t>
  </si>
  <si>
    <t>En el municipio del Carmen al realizar actividades de limpieza de un depósito de combustible de la embarcación propiedad de la empresa "Marmex" afectó a 8 personas</t>
  </si>
  <si>
    <t xml:space="preserve"> Mineral de la Reforma</t>
  </si>
  <si>
    <t>En el municipio de Mineral de la Reforma se registró un incendio en un aserradero localizado en la carretera Pachuca - Mineral de la Reforma</t>
  </si>
  <si>
    <t>Benito JuáreZ</t>
  </si>
  <si>
    <t>En el municipio de Benito Juárez se registró una explosión de un contenedor de químicos de la empresa "Mardup". Como medidas preventivas fue acordonado el lugar en un radio de 100 m. Debido a la explosión se registró un derrame de 25,000 l de ácido clorhídrico.</t>
  </si>
  <si>
    <t>Un corto circuito fue la causa del incendio registrado en una bodega de muebles</t>
  </si>
  <si>
    <t>Salamanca</t>
  </si>
  <si>
    <t>En Salamanca se registró una explosión en la harinera "Los Pirineos"</t>
  </si>
  <si>
    <t>Tultitlán</t>
  </si>
  <si>
    <t>En el municipio de Tultitlán se reportó un incendio que consumió 8,000 m2 de la fábrica de resinas Nefisa, S.A. De C.V.</t>
  </si>
  <si>
    <t>Explosión registrada en la empresa "Muebles Generación"</t>
  </si>
  <si>
    <t>La Dirección General de Protección Civil del DF informó que se registró una explosión de Gas L.P.  En un domicilio ubicado en la Col. La Estación</t>
  </si>
  <si>
    <t>Se registró una explosión debido a la acumulación de gas L.P., en un domicilio  particular</t>
  </si>
  <si>
    <t>León</t>
  </si>
  <si>
    <t>En el municipio de León, Guanajuato, se informo de una explosión al realizar trabajos de soldadura en un tanque de almacenamiento de aceite.</t>
  </si>
  <si>
    <t xml:space="preserve">Se registro la explosión de un Polvorín en dos cuartos de 4x4, pereciendo cuatro personas en el lugar. </t>
  </si>
  <si>
    <t>Se registró una explosión en un ducto de PEMEX ubicado en las cercanías de playa Jardín provocando que un persona muriera y dos resultaran lesionadas</t>
  </si>
  <si>
    <t>Explosión registrada en la comunidad de San Andrés Ahuahuastepec, originada por cuetes que se prendieron accidentalmente, 4 personas resultaron heridas.</t>
  </si>
  <si>
    <t>Se registró una fuga de cloro de 3,500 litros en la empresa AQI, como resultado 4 personas salieron lesionadas por intoxicación y quemaduras por contacto directo con el producto.</t>
  </si>
  <si>
    <t>Se registro una explosión de juegos pirotécnicos en el municipio de Almoloya de Juárez, resultando 25 personas lesionadas, además resultaron dañadas una ventana y una puerta de la sacristía</t>
  </si>
  <si>
    <t xml:space="preserve"> San Francisco Tutla</t>
  </si>
  <si>
    <t>Se registro una explosión en el municipio de San Francisco Tutla, esta tuvo lugar en una vivienda en donde se fabricaban artificios pirotécnicos, como resultado 3 personas perdieron la vida y 5 resultaron heridos.</t>
  </si>
  <si>
    <t>Se registro una explosión en un polvorín en el municipio de Almoloya de Juárez, se reportaron 3 personas heridas.</t>
  </si>
  <si>
    <t>Se registró incendio de varios locales ambulantes, que posteriormente alcanzó locales comerciales contiguos, causando la muerte de 28 personas y lesionando a otras 20 en el Puerto de Veracruz.</t>
  </si>
  <si>
    <t>Derrame</t>
  </si>
  <si>
    <t>Un derrame de 40 litros de hidrocarburos se registró por una fisura en el oleoducto de 24 pulgadas de diámetro que conecta a las plataformas Akal-E y Akal-CI en la Sonda de Campeche</t>
  </si>
  <si>
    <t xml:space="preserve">Alrededor de 22 mil litros de ácido sulfúrico se derramaron en el kilómetro 55+900 de la Carretera Panamericana, luego que una pipa de Transportes y Mensajería Justo a Tiempo chocara con un tráiler. </t>
  </si>
  <si>
    <t>La estación de bombeo número 5 de Petróleos Mexicanos (Pemex) derramó crudo al cauce del río Chiquito, contaminándolo en más de un kilómetros de su longitud y afectando con los vapores contaminantes a vecinos de la colonia Fernando López Arias.</t>
  </si>
  <si>
    <t>San Lorenzo Xicotepec</t>
  </si>
  <si>
    <t>La ruptura de un poliducto de Petróleos Mexicanos (Pemex) provocó un derrame de 5 mil barriles de gasolina en la comunidad de San Lorenzo Xicotepec, localizada en este municipio. Cada barril tiene aproximadamente 70 litros de combustible, por lo que el derrame podría ser de alrededor de 350 mil litros. El accidente se registró a la altura del kilómetro 58+700 de la tubería de 18 pulgadas que parte de la refinería ubicada en Poza Rica.</t>
  </si>
  <si>
    <t>Dolores de cabeza, mareos, lagrimeo en ojos, dermatitis, enfermedades gastrointestinales y de las vías respiratorias así como sangrado por la nariz sufren familias de Pastores, fraccionamientos de Echegaray así como alumnos y profesores de escuelas de la región, producto de los fuertes olores, que emanan coladeras y drenajes y el río Chico de Los Remedios, en cuyas aguas vierten productos químicos empresas de las zonas industriales.</t>
  </si>
  <si>
    <t>Medellín de Bravo</t>
  </si>
  <si>
    <t>Alrededor de una tonelada de peces y mariscos han aparecido muertos desde hace una semana en el arroyo Moreno, afluente del río Jamapa, municipio de Medellín de Bravo.Se cree que alguna industria de tantas que hay en la región arrojó algún químico al agua, ocasionando la mortandad.</t>
  </si>
  <si>
    <t>Pitiquito</t>
  </si>
  <si>
    <t>En el municipio de Pitiquito se registró un derrame de 2,000 litros de combustoleo</t>
  </si>
  <si>
    <t xml:space="preserve">A consecuencia de la fuga en un oleoducto de Petróleos Mexicanos (Pemex) registrada a la altura del kilómetro 181 de la autopista México-Orizaba se cerró la carretera por tres días. </t>
  </si>
  <si>
    <t>Los niños de la escuela primaria "República de Panamá" tuvieron que ser evacuados por la fuga de gas en un restaurante contiguo al plantel .</t>
  </si>
  <si>
    <t>El director del astillero dijo que la fuga de bióxido se produjo luego de que se accionó accidentalmente el sistema contra incendios del buque cañonero Veracruz que se construye aquí. Al accionarse el sistema contra incendios se liberó el bióxido de carbono que hace funciones de extintor del fuego en el cuarto de máquinas del buque patrulla oceánica Veracruz PO 154</t>
  </si>
  <si>
    <t>Una fuga de ácido clorhídrico en un ducto que interconecta a los dos complejos petroleros más grandes de América Latina, La Cangrejera y Pajaritos, provocó ayer la suspensión del tráfico vehicular por cinco horas al sureste del país, así como la movilización del Comité Local de Ayuda Mutua (CLAM), integrado por personal de las diferentes industrias asentadas en la región. De acuerdo con personal de Protección Civil y de la Policía Federal Preventiva (PFP)</t>
  </si>
  <si>
    <t xml:space="preserve">Una fuga de miles de litros de gasolina de un ducto de Petróleos Mexicanos (Pemex) que cruza por el ejido Providencia, a un costado de la autopista León-Aguscalientes, provocó el desalojo de decenas de familias y el acordonamiento de 600 metros a la redonda del lugar del percance, ante el riesgo de explosividad que aumentó con el intenso calor que azota a esta región del Bajío. </t>
  </si>
  <si>
    <t>Fuga de amoniaco</t>
  </si>
  <si>
    <t>El Naranjo y El Meco</t>
  </si>
  <si>
    <t>50 ha de bosques en los municipios de El Naranjo y El Meco consumidas</t>
  </si>
  <si>
    <t>Del total presentado, según autoridades del gobierno mexiquense, el 10 % corresponde a bosques de renuevo</t>
  </si>
  <si>
    <t>Incendio registrado en municipios cercanos a la nucleoeléctrica de Laguna Verde, afectando los pastizales del área</t>
  </si>
  <si>
    <t>Los daños corresponden a los bosques y pastizales del municipio de Janos</t>
  </si>
  <si>
    <t>Cultivos de caña afectados</t>
  </si>
  <si>
    <t xml:space="preserve">Nacorazi de García </t>
  </si>
  <si>
    <t xml:space="preserve">El incendio ocurrió en el municipio de Nacorazi de García </t>
  </si>
  <si>
    <t xml:space="preserve">Se reportaron 2 incendios </t>
  </si>
  <si>
    <t>Ensenada</t>
  </si>
  <si>
    <t>En el municipio de Ensenada, en el paraje La Misión, se registro  un incendio forestal provocando daños en 9000 hectáreas de arbusto, matorral y pino</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</si>
  <si>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combustión.</t>
  </si>
  <si>
    <t xml:space="preserve">Cinco locales comerciales se incendiaron en el mercado de San Juan en el centro de la cabecera municipal  de Pichucalco, afectando a 3 casas habitación, 2 bodegas y 10 puestos ambulantes </t>
  </si>
  <si>
    <t>Se registro un incendio en una mueblería, no se reportaron daños mayores. Una persona intoxicada</t>
  </si>
  <si>
    <t>Se registro un incendio en una fábrica de plásticos y cristalería, no se reportaron muertos ni heridos</t>
  </si>
  <si>
    <t>Xochimilco</t>
  </si>
  <si>
    <t>Incendio forestal en la reserva ecológica de Xochimilco, el cual consumió aproximadamente 24 has. De pasto seco</t>
  </si>
  <si>
    <t>En el centro de espectáculos "Premier" se registro un incendio en el cual, resultaron 2 bomberos heridos.</t>
  </si>
  <si>
    <t>Consumo de alcohol adulterado en una fiesta particular, realizada el fin de semana en el poblado de Vicente Rivapalacio</t>
  </si>
  <si>
    <t>Bacteria</t>
  </si>
  <si>
    <t>Una bacteria, similar a los efectos de las esporas del ántrax, es la causa de la mortandad de más de 700 cabezas de ganado vacuno que se presenta en varios poblados de los municipios de Elota, Cosalá y Culiacán, cuyo origen se presume se deriva de un mal manejo de alimento suplementario, denominado Pollinaza.</t>
  </si>
  <si>
    <t>personas intoxicadas por hígado contaminado con el anabólico clembuterol y se mantiene la alerta sanitaria en la entidad</t>
  </si>
  <si>
    <t>Virus</t>
  </si>
  <si>
    <t>El virus llamado "mancha blanca" acabó con un número considerable de hectáreas de cultivo de camarón ubicadas en el predio Aquiropo, ubicado también en esta región del sur de Sonora. El dirigente de la Unión General de Obreros y Campesinos (Ugocm), Ramón Alberto Almada Torres, informó lo anterior y señaló que la situación que se presenta obligó a los productores a colocar un cerco sanitario e impedir así un golpe a la economía tanto del sector privado como social</t>
  </si>
  <si>
    <t>Dos menores de edad murieron aquí durante las últimas horas a causa del dengue hemorrágico y otros 30 permanecen hospitalizados, entre ellos dos adultos, afirmó David Cruz Velásquez, coordinador del área de urgencia del nosocomio "Macedonio Benítez Fuentes", el único del sector salud que atiende a la población abierta en esta ciudad de 150 mil habitantes.</t>
  </si>
  <si>
    <t>La Secretaría de Salud informó ayer que en la última semana se han reportado 639 nuevos casos de dengue, con los cuales la cifra de enfermos llegó a 3 mil 32, de los cuales 2 mil 638 son del tipo clásico y 394 del hemorrágico. En los últimos ocho días se contabilizaron siete defunciones en Colima, Veracruz y Oaxaca a consecuencia del dengue de tipo clásico. Pese a que las cifras siguen subiendo, la Secretaría de Salud afirmó que la enfermedad está controlada en los 14 estados afectados.</t>
  </si>
  <si>
    <t>Explosión ocurrida en la Central de Abastos de esta ciudad, ocasionada por juegos pirotécnicos.</t>
  </si>
  <si>
    <t>Unas 15 mil personas fueron desalojadas de sus casas durante varias horas por un fuerte incendio en una fábrica de pinturas</t>
  </si>
  <si>
    <t>El incendio arrasó con un campamento de pepenadores, quienes perdieron su patrimonio pues además de que 60 de sus viviendas fueron consumidas por las llamas. En el siniestro 14 caballos, que utilizaban para trabajar, perdieron la vida.</t>
  </si>
  <si>
    <t>Explosión de un tanque de gas de 20 kilogramos en la colonia Las Cruces</t>
  </si>
  <si>
    <t>Nezahualcóyotl</t>
  </si>
  <si>
    <t xml:space="preserve">Personal de ODAPAS-Neza se trasladó a la calle Libertad y Texcoco, en Nezahualcóyotl, Estado de México, para iniciar la reparación en un ducto (de acero de unas 40 pulgadas de diámetro) severamente dañado y fue imposible sellarlo, dejando sin servicio de agua potable a 5 mil familias. Los vecinos dijeron que el tubo se venció porque es viejo y con el paso de vehículos se registraron hundimientos de tierra. </t>
  </si>
  <si>
    <t>Huitzilac</t>
  </si>
  <si>
    <t>Volcadura de un camión sobre la carretera libre del municipio de Huitzilac</t>
  </si>
  <si>
    <t>Interrupción de servicios</t>
  </si>
  <si>
    <t xml:space="preserve">La falla en la subestación Temascal-Puebla de la Comisión Federal de Electricidad (CFE) provocó, ayer por la tarde, un apagón en siete estados del sureste. El superintendente Raúl Solano informó que la anomalía generó sobrecarga en las líneas de transmisión de las hidroeléctricas Angostura, Chicoasén, Malpaso, Peñitas y Mérida. En Chiapas, Yucatán, Tabasco y Quintana Roo la suspensión del fluido fue total, y se recuperó paulatinamente. En Campeche, Oaxaca y Veracruz la falla fue parcial.  Chiapas En esta entidad se vieron afectados por lo menos 80 municipios, indicaron fuentes de Protección Civil. En Tuxtla Gutiérrez provocó caos en toda la ciudad, y detuvo las actividades en centros comerciales, oficinas de gobierno y escuelas. 
En Yucatán el servicio se suspendió en los 106 municipios, afectando a cerca de un millón 600 mil habitantes. De las casi 30 gasolineras en la ciudad, sólo tres contaban con plantas de energía, mientras que en el aeropuerto internacional de Mérida, el apagón sólo ocasionó retrasos en algunos vuelos. 
En Quintana Roo el gobierno del estado informó que cerca de un millón 200 mil habitantes fueron afectados.                                                                                                                                         En Cancún el sector turístico resintió pérdidas incalculables por el apagón de más de tres horas. 
En Tabasco la falta del fluido paralizó durante dos horas las actividades comerciales, industriales, domésticas, hospitalarias y de servicios públicos y privados en los 17 municipios. 
En Campeche Más de 170 mil usuarios se vieron afectados, indicó el superintendente de la CFE, Augusto Trejo Castro.
</t>
  </si>
  <si>
    <t xml:space="preserve">Dejar el calefactor encendido provocó un incendio que quitó la vida a tres menores por quemaduras e intoxicación, mientras su madre estaba ausente. </t>
  </si>
  <si>
    <t>Iztapalapa.</t>
  </si>
  <si>
    <t>En el predio irregular en una bodega propiedad del gobierno de la ciudad de México, en la colonia Unidad Habitacional Ermita Zaragoza de la delegación Iztapalapa.</t>
  </si>
  <si>
    <t>Tequila</t>
  </si>
  <si>
    <t>Volcadura de un autobús  que se dirigía al municipio de Tequila luego de haber visitado Talpa de Allende, un conocido centro religioso local. El autobús cayó en un río en el municipio de Mascota, a unos 200 kilómetros de la capital estatal</t>
  </si>
  <si>
    <t xml:space="preserve">Una camioneta de carga que transportaba a unas 50 personas cayó a un barranco de unos 10 metros de profundidad. El percance sucedió cuando los creyentes retornaban del santuario católico de Tila, Chiapas, informaron autoridades de Protección Civil. </t>
  </si>
  <si>
    <t>Pachuca</t>
  </si>
  <si>
    <t xml:space="preserve">Un autobús de pasajeros de la línea Flecha Roja se precipitó a un barranco de 100 metros de profundidad. El percance ocurrió a la altura de la comunidad de San Lunes, en el kilómetro 2.5 de la carretera que conecta a Pachuca con diversos municipios conocidos turísticamente como del Corredor de la Montaña. </t>
  </si>
  <si>
    <t>Un automóvil se impactó contra los muros de contención de una plazoleta ubicada en la carretera que conduce a la playa</t>
  </si>
  <si>
    <t>Colisión de 15 unidades automotrices sobre la autopista México-Veracruz tramo Orizaba-Puebla a la altura de las Cumbres de Maltrata.</t>
  </si>
  <si>
    <t>163 accidentes registrados en 24 h en las principales carreteras del país</t>
  </si>
  <si>
    <t>Cuajimalpa.</t>
  </si>
  <si>
    <t>Explosión de varios cohetes en el pueblo de San Pablo Chimalpa, en Cuajimalpa.</t>
  </si>
  <si>
    <t>Habitantes de 57 colonias y unidades habitacionales de Iztapalapa no tienen agua desde hace por lo menos dos meses. Esta crisis, considerada la peor en la historia de la demarcación, provocó que sus habitantes bloquearan calles, secuestraran pipas y se apoderaran de las garzas (llaves a través de las que son llenadas las pipas) para presionar al gobierno delegacional</t>
  </si>
  <si>
    <t>Topia</t>
  </si>
  <si>
    <r>
      <t xml:space="preserve">en el poblado El Socavón, municipio de Topia, Durango se precipitó en picada una avioneta tipo Cessna matrícula XBFFT que había despegado del aeropuerto </t>
    </r>
    <r>
      <rPr>
        <i/>
        <sz val="9"/>
        <color theme="1"/>
        <rFont val="Arial"/>
        <family val="2"/>
      </rPr>
      <t>Guadalupe Victoria</t>
    </r>
    <r>
      <rPr>
        <sz val="9"/>
        <color theme="1"/>
        <rFont val="Arial"/>
        <family val="2"/>
      </rPr>
      <t xml:space="preserve"> de la capital duranguense. </t>
    </r>
  </si>
  <si>
    <t xml:space="preserve">Desplome de un helicóptero, propiedad de la Procuraduría General de la República, sobre una vivienda y una escuela </t>
  </si>
  <si>
    <t>Explosión de un taller de juegos pirotécnicos que operaba en la comunidad La Mesa</t>
  </si>
  <si>
    <t>Impacto entre un automóvil particular y un tráiler en el libramiento Monterrey-Saltillo, a la altura del kilómetro 23, confirmó la Policía Federal Preventiva (PFP)</t>
  </si>
  <si>
    <t>El accidente ocurrió a las 23.30 hora local (0430 GMT) del jueves en la autopista que une a la Ciudad de México con la de Cuernavaca, a 70 kilómetros al sur de la capital.El conductor del autobús, que transportaba a 22 pasajeros desde Cuernavaca a la capital, perdió el control del vehículo en el tramo bautizado como "La Pera" por su pronunciada curva, en la que han ocurrido numerosos accidentes."</t>
  </si>
  <si>
    <t xml:space="preserve">Explosión de una bazuca de juegos pirotécnicos, informaron autoridades de la Unidad Estatal de Protección Civil (UEPC). </t>
  </si>
  <si>
    <t xml:space="preserve">La aparatosa volcadura de una pipa que transportaba agua tratada, en el kilómetro 43.7 de la carretera de cuota México-Toluca, provocando además un severo congestionamiento que se prolongó a lo largo de seis kilómetros de vehículos varados. </t>
  </si>
  <si>
    <t>Un tractocamión con grava perdió los frenos y arrolló a un autobús, un microbús, una combi de la ruta 56, dos camiones de gas LP y ocho vehículos compactos, en la pendiente del cerro de Tlalmanalco en la carretera federal México-Cuautla.</t>
  </si>
  <si>
    <t>Automóvil particular se impacta contra un poste del alumbrado público</t>
  </si>
  <si>
    <t>Choque entre un camión de transporte público y un automóvil particular</t>
  </si>
  <si>
    <t>Concentración masiva de población</t>
  </si>
  <si>
    <t>Los comerciantes de este centro turístico sufren pérdidas económicas de unos 12 millones de pesos por cada vez que es suspendido el suministro eléctrico, lo cual ha sucedido durante toda esta semana debido a un conflicto que mantienen desde el mes pasado pescadores y la Comisión Federal de Electricidad (CFE)</t>
  </si>
  <si>
    <t>Guerrero.</t>
  </si>
  <si>
    <t xml:space="preserve">Volcadura de dos lanchas en las presas Las Vírgenes, en Delicias, y la Abraham González, municipio de Guerrero. </t>
  </si>
  <si>
    <t>Tultepec</t>
  </si>
  <si>
    <t>La explosión de un polvorín ubicado en Tultepec, donde se localizaban talleres clandestino de producción polvora.</t>
  </si>
  <si>
    <t>Debido a que el río Palizada (ramal del Usumacinta) se secó en varias de sus extensiones, a raíz de la intensa sequía de la región, unas 4 mil familias de este municipio y comunidades cercanas carecen de agua desde hace tres meses</t>
  </si>
  <si>
    <t>Choque entre una camioneta de redilas la cual golpeó a gran velocidad a una camioneta panel colectiva, a la altura del kilómetro 13 de la autopista México-Pachuca</t>
  </si>
  <si>
    <t>Ayotlán</t>
  </si>
  <si>
    <t xml:space="preserve">Volcadura de un autobús de pasajeros de la línea Servicios Coordinados Flecha Amarilla, ocurrido en el municipio de Ayotlán, cuando la unidad se dirigía de esta capital hacia La Piedad, Michoacán. El percance ocurrió cuando el camión del Servicio Público Federal, con número económico 446, marca Mercedes Benz, placas 698CH1, rebasó el límite permitido de velocidad y en el tramo Degollado-Ayotlán, en la curva conocida como "El Chasco", se precipitó hacia un barranco de al menos 6 m de profundidad. </t>
  </si>
  <si>
    <t>En Puebla dos personas resultaron muertas y 3 lesionadas debido a que se electrocutaron dentro de las instalaciones de un circo</t>
  </si>
  <si>
    <t>En Zimapan el derrumbe de un banco de mármol lesionó a una persona y provocó la muerte de otra más</t>
  </si>
  <si>
    <t>En Nuevo Laredo se registró la volcadura de un autobús turístico de la línea Flores Houston</t>
  </si>
  <si>
    <t>Ixtapaluca</t>
  </si>
  <si>
    <t>En Ixtapaluca se registró un choque por alcance de varios vehículos y motociclistas, debido a la lluvia sobre la autopista México - Puebla Km. 47+900</t>
  </si>
  <si>
    <t>Jocotepec</t>
  </si>
  <si>
    <t>En el municipio de Jocotepec 10 personas fueron atacadas por abejas</t>
  </si>
  <si>
    <t>uchitan de Zaragoza</t>
  </si>
  <si>
    <t>En el municipio de Juchitan de Zaragoza 3 personas fueron atacadas por  abejas</t>
  </si>
  <si>
    <t>Accidente de dos unidades de transporte público debido al exceso de velocidad</t>
  </si>
  <si>
    <t>Concentración masiva de personas donde resultan 5 vehículos incendiados</t>
  </si>
  <si>
    <t xml:space="preserve"> Tlacolula de Matamoros </t>
  </si>
  <si>
    <t>En el municipio de Tlacolula de Matamoros se registró la volcadura de un autobús de pasajeros de la línea de auto transportes del sur, procedente de la Ciudad de Coatzacoalcos con destino a Oaxaca</t>
  </si>
  <si>
    <t>Guanochi</t>
  </si>
  <si>
    <t>En el municipio de Guanochi se registró el desplome de una avioneta CESSNA en la barranca La Sinforosa en la sierra tarahumara.</t>
  </si>
  <si>
    <t>Ferrocarril arrolla a dos personas</t>
  </si>
  <si>
    <t>La UEPC y el H. Cuerpo de Bomberos reportan la volcadura de una pipa propiedad e PEMEX con capacidad de 45,500 l que transportaba DIESEL, lo que ocasionó derrame del producto</t>
  </si>
  <si>
    <t>Cuitzeo</t>
  </si>
  <si>
    <t>En el municipio de Cuitzeo se registró la volcadura de una camioneta en el Km. 250 de la carretera Guadalajara - México</t>
  </si>
  <si>
    <t>La UEPC informó de un accidente carretero en la autopista Guadalajara - Tepic a la altura de la caseta de cobro Plan de Barrancas, Municipio de Magdalena. La autopista fue cerrada parcialmente en sus dos direcciones.</t>
  </si>
  <si>
    <t>Amacuzac</t>
  </si>
  <si>
    <t>En el municipio de Amacuzac se registró la volcadura de un autobús de pasajeros de la línea Estrella de Oro, en la autopista Cuernavaca - Taxco, a la altura del poblado de San Gabriel de las Palmas.</t>
  </si>
  <si>
    <t>Se registró la volcadura de un autobús de pasajeros de la línea de transportes del norte, los hechos se presentaron en el Km. 56+200, antes del entronque con Tamasopo</t>
  </si>
  <si>
    <t>El percance se registró en la autopista de Occidente, tramo México-Guadalajara, alrededor de las 5:00 horas de ayer, en las inmediaciones de la caseta de cobro de Zinapécuaro, Michoacán, según el reporte de la Policía Federal Preventiva (PFP). El autobús, con sobrecupo, que transportaba a casi 60 feligreses de La Luz del Mundo, se quedó sin frenos y a una velocidad de 150 kilómetros por hora rompió la valla de la caseta de cobro de Zinapécuaro, brincó los topes y a 300 metros se impactó por un costado con un pilote de un puente vehicular.</t>
  </si>
  <si>
    <t>Severo caos entre más de 900 mil usuarios del Metro ocasiona esta mañana un paro de labores de 300 trabajadores en las líneas B y 9 del Metro, que desde las 04:00 horas de hoy implementaron.De acuerdo con el gobierno capitalino, se han dispuesto mil 400 camiones de RTP para dar servicio a la gente, sin embargo, están funcionando 250 y se aumentaron las corridas en la línea 1 que va paralela a la 9, así como del sistema eléctrico de transporte</t>
  </si>
  <si>
    <t xml:space="preserve">Un camión de pasajeros se impactó contra un poste de contención en la carretera Guaymas-Hermosillo, y cayó en un arroyo, lo que provocó la muerte de 17 personas y por lo menos otras 30 lesionadas, entre ellas 13 niños. </t>
  </si>
  <si>
    <t>Un tren arroyó a seis personas</t>
  </si>
  <si>
    <t>Tamasopo</t>
  </si>
  <si>
    <t>en el municipio de Tamasopo, se dio el descarrilamiento de 20 carros de los cuales uno transportaba minerales. No se registran afectaciones mayores. Los daños materiales son 6 maquinas y 19 carros</t>
  </si>
  <si>
    <t>Un fuerte choque entre en tráiler y un autobús de pasajeros, se produjo en la carretera libre México-Pachuca, en el cual se reportan al menos 10 lesionados. En reporte preliminar de Formato 21, se dijo que el percance tuvo lugar a la altura del kilómetro 20, cerca de la colonia San Carlos.</t>
  </si>
  <si>
    <t>Jerahuaro</t>
  </si>
  <si>
    <t>En el municipio de Jerahuaro un enjambre de abejas atacó a la población</t>
  </si>
  <si>
    <t>Huamantla</t>
  </si>
  <si>
    <t>En el municipio de Huamantla se informo del descarrilamiento de un tren que transportaba auto tanques con ácido sulfúrico.</t>
  </si>
  <si>
    <t>Patzcuaro,</t>
  </si>
  <si>
    <t>En Patzcuaro, sobre la carretera Patzcuro-Uruapan, a la altura del poblado Tingambato, se produjo un accidente carretero, teniendo comos consecuencia 12 lesionados. La causa del este accidente se debió al piso mojado y la falta de precaución</t>
  </si>
  <si>
    <t xml:space="preserve">Los cinco integrantes de una familia murieron al incendiarse la casa donde habitaban. La causa aparente fue la conexión clandestina de corriente eléctrica que quemo rápidamente la casa de cartón donde habitaban. </t>
  </si>
  <si>
    <t>A la altura de la carretera Guadalajara-Barra de Navidad  se registro un accidente ferroviario dando teniendo como consecuencia 3 locomotoras descarriladas, se desconocen las causas que lo originaron, este hecho ocasiono la interrupción del tránsito vehicular de la carretera</t>
  </si>
  <si>
    <t>San Luis de la Paz</t>
  </si>
  <si>
    <t>En el municipio de San Luis de la Paz, en la carretera federal 57 se registro un accidente carretero de un autobús provocando 10 lesionados y un muerto, los lesionados fueron trasladados al Hospital general del municipio</t>
  </si>
  <si>
    <t>Cadereyta Jiménez</t>
  </si>
  <si>
    <t>En el municipio Cadereyta Jiménez, en la comunidad de San Miguelito, se reporto el derrame de combustoleo, dando como consecuencia la perdida de 3 hectáreas de una propiedad privada</t>
  </si>
  <si>
    <t>La zona hotelera de Cancún vivó anoche el peor bloqueo de sus vías a la zona de playas desde 1988, situación que degeneró en caos entre miles de residentes y turistas varados y conatos de enfrentamientos. Los dirigentes del poderoso Sindicato de Taxistas afiliado al PRI, descontentos con la autoridad municipal del Verde Ecologista porque no les cumple con la exigencia de suspender el servicio de autobuses urbanos a la zona hotelera a partir de las 00:00 horas, decidieron ahora presionar de esta manera a partir de las 14:00 horas.</t>
  </si>
  <si>
    <t>Zacapu</t>
  </si>
  <si>
    <t>En el municipio de Zacapu, a la altura del Km. 261de la autopista de occidente a causa de el exceso de velocidad se volcó una camioneta teniendo como consecuencia 4 muertos y 6 lesionados</t>
  </si>
  <si>
    <t>En Tepoztlan a la altura del Km. 8 de la carretera Cuernavaca-Tepoztlan se registro un accidente carretero, al volcarse una pipa que transportaba gasolina a un barranco, no se reporta explosión, ni incendio, solo 2 lesionados</t>
  </si>
  <si>
    <t xml:space="preserve"> Valle de Chalco</t>
  </si>
  <si>
    <t>En el municipio de Valle de Chalco resultaron 45 marinos intoxicados que se trasladaban al pueblo de Tampico, al parecer se debió al ingerir alimentos en mal estado.</t>
  </si>
  <si>
    <t>En el municipio de Acapulco, se reporto el desprendimiento de una terraza ubicada en los pisos 2 y 3 del cubo de escaleras de un edificio de la unidad habitacional "El Coloso", se reporta la muerte de un menor de edad y 6 personas lesionadas</t>
  </si>
  <si>
    <t>En el municipio de Tultepec se registro una explosión dejando 6 lesionados  y una vivienda destruida , la explosión se registro en una bodega clandestina de artificios pirotécnicos. Los lesionados fueron trasladados a la Cruz Roja de Coacalco</t>
  </si>
  <si>
    <t>En la colonia de la Esperanza se registro una explosión industrial teniendo como consecuencia a 14 lesionados y 1 muerto</t>
  </si>
  <si>
    <t>Texcatitlan</t>
  </si>
  <si>
    <t>En el municipio de Texcatitlan se dio una explosión ocasionada por un polvorín dejando como saldo un muerto y un cuarto dañado</t>
  </si>
  <si>
    <t xml:space="preserve">Un camioneta con cuatro tripulantes fue arrastrada al tratar de cruzar un arroyo  con fuerte corriente, y los cuerpos fueron arrastrados después </t>
  </si>
  <si>
    <t xml:space="preserve">Un autobús turístico procedente de Tijuana se volcó en la carretera Cananea - Agua Prieta </t>
  </si>
  <si>
    <t xml:space="preserve">Un camión de volteo y un microbús de pasajeros se impactaron dejando como saldo 34 personas lesionadas </t>
  </si>
  <si>
    <t xml:space="preserve">Cuatro  personas perdieron la vida al inhalar gases tóxicos cuando realizaban trabajos de limpieza en un cisterna  </t>
  </si>
  <si>
    <t>Se registro la volcadura de un autobús turístico, debido a la falta de precaución y exceso de velocidad</t>
  </si>
  <si>
    <t>Atizapan</t>
  </si>
  <si>
    <t xml:space="preserve">Se desplomo una avioneta tipo CESSNA, los hechos ocurrieron en el aeropuerto del municipio de Atizapan  </t>
  </si>
  <si>
    <t>Mochis</t>
  </si>
  <si>
    <t>Se registro un accidente de una autobús de pasajeros el cual llevaba 38 personas provenientes de los Mochis Sinaloa, este, se impacto en la parte trasera del remolque de un trailer.</t>
  </si>
  <si>
    <t xml:space="preserve">Tepeji del río </t>
  </si>
  <si>
    <t>Se registro la volcadura de una autobús a la altura del Km.60 de la carretera México-Querétaro, en el municipio de Tepeji del río por exceso de velocidad.</t>
  </si>
  <si>
    <t xml:space="preserve">Se registro la volcadura de una pipa de gas LP en la carretera Cuernavaca-Guerrero resultando 5 personas lesionadas </t>
  </si>
  <si>
    <t>San Cristóbal de las Casas</t>
  </si>
  <si>
    <t>Se registro la volcadura de un autobús en la carretera Tuxtla Gutiérrez- San Cristóbal de las Casas. Se reportaron 19 personas fallecidas y 23 heridas.</t>
  </si>
  <si>
    <t xml:space="preserve">Villa del Carbón </t>
  </si>
  <si>
    <t>Se registro el desplome de una avioneta de 4 plazas en el municipio de Villa del Carbón al parecer la causa se originó por falta de combustible, en el accidente 2 personas perdieron la vida</t>
  </si>
  <si>
    <t>Gustavo A. Madero</t>
  </si>
  <si>
    <t>Se registro el derrumbe de una cimbra en una vivienda de la delegación Gustavo A. Madero en el cual un trabajador perdió la vida.</t>
  </si>
  <si>
    <t xml:space="preserve">Se registro la volcadura de una pipa de gas LP en el municipio de Acapulco de Juárez, resultando 3 personas  heridas. </t>
  </si>
  <si>
    <t>Se desplomo una avioneta tipo CESSNA cerca del poblado de Imala, no se reportaron personas lesionadas.</t>
  </si>
  <si>
    <t>Se registro la volcadura de un automóvil en la carretera Morelia-  Guadalajara resultando una persona muerta y otra lesionada.</t>
  </si>
  <si>
    <t>Volcadura de un autobús que cubría una peregrinación, se registraron 3 personas fallecidas y 19 lesionadas. Carretera Toluca- Chalma.</t>
  </si>
  <si>
    <t>Se registro la volcadura de una camioneta particular en la carretera Jerecuaro- Coroneo, resultaron 4 personas muertas y 12 lesionados.</t>
  </si>
  <si>
    <t>Mexicali, Tijuana</t>
  </si>
  <si>
    <t>Se registraron lluvias moderadas en diversos municipios del Estado, reportandose varias colonias con encharcamientos, principalmente en Mexicali y Tijuana.</t>
  </si>
  <si>
    <t>Se reportaron lluvias fuertes acompañadas de granizo en varios municipios, afectando algunas viviendas de material endeble, asi como la caída de árboles y anuncios espectaculares.</t>
  </si>
  <si>
    <t xml:space="preserve">Varios Municipios </t>
  </si>
  <si>
    <t>Se registraron fuertes lluvias en varios municipios del Estado, causando diversos daños: Caída de 9 árboles, 28 viviendas afectadas, asi como inundaciones.</t>
  </si>
  <si>
    <t xml:space="preserve">Varios municipios </t>
  </si>
  <si>
    <t>Se registraron lluvias muy fuertes y granizadas en varios municipios, afectando 9 domicilios, 2 escuelas, una antena, y provocando fallas en el sistema eléctrico.</t>
  </si>
  <si>
    <t>Tizayuca y Tolcayuca</t>
  </si>
  <si>
    <t>Se registro una fuerte lluvia acompañada de granizo que afecto los municipios de Tizayuca y Tolcayuca, el agua alcanzó niveles de 30 a 70cm de alto por lo que algunas viviendas resultaron dañadas. Se instalo un albergue en el cual s encuntran 20 personas.</t>
  </si>
  <si>
    <t>Se registraron fuertes vientos en áreas urbanas, como consecuencia 30 casas perdieron sus techos y dos escuelas también.  Protección Civil apoyo a los damnificados con colchonetas, cobertores y láminas de cartón.</t>
  </si>
  <si>
    <t>Se registraron alguna lluvias con granizo en distintos puntos de la ciudad. Se reportan 12 personas lesionadas que se resguardaban de la lluvia bajo una lona que cayó, fueon atendidas en el lugar.</t>
  </si>
  <si>
    <t>Acatepec,</t>
  </si>
  <si>
    <t>Se registraron fuertes vientos con tormenta eléctrica en el municipio de Acatepec,  4 viviendas fueron dañadas, asimismo, tres personas perdieron la vida por alcance de rayo y una menor se encuentra herida por la misma causa. A las familias afectadas se les apoyo con láminas de cartón y despensas.</t>
  </si>
  <si>
    <t xml:space="preserve">Venustiano Carranza </t>
  </si>
  <si>
    <t>Se registraron varios daños en el municipio de Venustiano Carranza a consecuencia de una granizada que afectó a 204 viviendas. Protección Civil apoyo con atados de láminas a las familias afectadas.</t>
  </si>
  <si>
    <t>Villaflores.</t>
  </si>
  <si>
    <t>Debido a las granizadas del 18 y 20 de mayo se reportaron afectaciones en 77 viviendas en el municipio de Villaflores. Protección civil apoyara a las familias afectadas con láminas de cartón, cobertores y despensas.</t>
  </si>
  <si>
    <t xml:space="preserve"> Metapa Domínguez</t>
  </si>
  <si>
    <t>Se registraron fuertes lluvias en el municipio de Metapa Domínguez ocasionando el destechamiento de 33 viviendas. No se reportan personas lesionadas. Se les proporciono apoyo con láminas de zinc a las familias afectadas-</t>
  </si>
  <si>
    <t>Chalchicomula,</t>
  </si>
  <si>
    <t>Se registro una granizada en el municipio de Chalchicomula, lo que ocasiono afectaciones en los techos de 50 viviendas, Protección Civil apoyo con láminas de cartón, despensas, cobertores y colchonetas a las personas afectadas.</t>
  </si>
  <si>
    <t xml:space="preserve"> General Heliodoro Castillo</t>
  </si>
  <si>
    <t>Debido a las fuertes lluvias acompañadas de granizo registradas este día en el municipio de General Heliodoro Castillo se reportaron 50 viviendas dañadas, un adulto y un menor muertos por arrastre de corriente y otras dos personas desaparecidas.</t>
  </si>
  <si>
    <t>Anáhuac</t>
  </si>
  <si>
    <t>Debido a las fuertes lluvias registradas en el municipio de Anáhuac se registrarón 3 viviendas dañadas, una de ellas con derrumbe total lo cual dejo como saldo a 6 personas heridas, 37 personas fueron evacuadas.</t>
  </si>
  <si>
    <t>Molango,</t>
  </si>
  <si>
    <t>Debido a fuertes vientos registrados en la madrugada en el municipio de Molango, se desprendió el techo de la presidencia municipal, afectando a 4 vehículos.</t>
  </si>
  <si>
    <t>Concepción del Oro y Mazapil</t>
  </si>
  <si>
    <t>Debido  a las fuertes lluvias varias viviendas sufrieron afectaciones en los municipios de Concepción del oro y Mazapil, se instalaron albergues temporales en los cuales se refugio a 115 personas.</t>
  </si>
  <si>
    <t>San José Teacalco</t>
  </si>
  <si>
    <t>Se registraron fuertes vientos ocasionando el desprendimiento de 40 árboles, 14 techumbres de viviendas, postes de teléfono etc. Esto se dio en el municipio de San José Teacalco. 14 personas resultaron lesionadas, y se suspendió el servicio eléctrico y telefónico.</t>
  </si>
  <si>
    <t>28 viviendas se vieron afectadas por las lluvias con fuertes vientos registradas en el municipio de Esperanza, las personas afectadas fueron apoyadas con láminas de cartón, comida caliente, despensas y colchonetas.</t>
  </si>
  <si>
    <t xml:space="preserve"> San Lucas Ojitlan</t>
  </si>
  <si>
    <t>En el municipio de San Lucas Ojitlan, debido a las fuertes lluvias se reportan afectaciones  en 21 casas y 4 escuelas, también se registraron pérdidas no cuantificadas en la agricultura y algunos árboles caidos. El suministro de energía eléctrica también sufrió afectaciones.</t>
  </si>
  <si>
    <t>Nogales</t>
  </si>
  <si>
    <t xml:space="preserve">Se registró una explosión en el municipio de Nogales a consecuencia del desbordamiento del Río Chiquito el cuál daño unos ductos de Pemex y ocasionó una explosión. </t>
  </si>
  <si>
    <t>Ocampo</t>
  </si>
  <si>
    <t>Debido a las lluvias se vieron afectadas varias viviendas en el municipio de Ocampo, se reportan 311 personas afectadas</t>
  </si>
  <si>
    <t>Ciudad Valles</t>
  </si>
  <si>
    <t xml:space="preserve">Debido  a las fuertes lluvias en los municipios de Ciudad Valles, Armadillo de los Infante, Villa Hidalgo y Cerritos, varias viviendas sufrieron afectaciones, además de que se vieron suspendidos los servicios de energía eléctrica. </t>
  </si>
  <si>
    <t>Escárcega</t>
  </si>
  <si>
    <t>Debido a las lluvias y a los fuerte vientos registrados en el municipio de Escárcega, se reportaron 20 viviendas afectadas construidas con material endeble, se proporciono alimentación a los afectados asi  como cobertores.</t>
  </si>
  <si>
    <t>Guadalcazar</t>
  </si>
  <si>
    <t xml:space="preserve">Se registraron fuertes lluvias en el municipio de Guadalcazar, en el cual 20 viviendas se vieron afectadas. </t>
  </si>
  <si>
    <t>Piedras Negras</t>
  </si>
  <si>
    <t>Se registraron fuertes lluvias que provocaron ligeras inundaciones en varias viviendas del municipio de Piedras Negras</t>
  </si>
  <si>
    <t xml:space="preserve">San Cristóbal de las casas </t>
  </si>
  <si>
    <t>Se registraron fuertes lluvias en el municipio de San Cristóbal de las casas ocasionando encharcamientos y problemas de circulación, tres viviendas se vieron afectadas, sin embargo únicamente una esaba habitada.</t>
  </si>
  <si>
    <t>Se registraron fuertes lluvias en varios municipios del estado causando afectaciones en varias viviendas.</t>
  </si>
  <si>
    <t>Ocozocoautla de Espinosa</t>
  </si>
  <si>
    <t>A consecuencia de las fuertes lluvias,, en la carretera Cinta Lapa- Ocozocoautla a la altura del Cerro Juárez, esta quedo obstruída debido al deslavamiento del mismo, lo que causo problemas de tránsito vehicular.</t>
  </si>
  <si>
    <t>Puebla,</t>
  </si>
  <si>
    <t>Debido  a las lluvias registradas en eL municipio de Puebla, se desbordo el río Alseseca, provocando inundaciones y encharcamientos en varias colonias del nororointe de la ciudad. Se reportan 178 viviendas afectadas y 679 personas afectadas, el DIF estatal apoyo a los afectados con colchonetas, cobertores, cobijas y alimentos calientes.</t>
  </si>
  <si>
    <t>Sombrerete y Francisco R. Murguía</t>
  </si>
  <si>
    <t>Debido a las lluvias registradas en los municipios de Sombrerete y Francisco R. Murguía, se registó la muerte de un menor de edad y la desaparición de otros 2 menores. Además se reportaron afectaciones en 95 viviendas</t>
  </si>
  <si>
    <t>Se registraron fuertes lluvias en los municipios de Oaxaca y San Jacinto Amilpa, como consecuencia 4 viviendas sufrieron daños</t>
  </si>
  <si>
    <t>Pijijiapán</t>
  </si>
  <si>
    <t>Debido a la creciente de marea en el municipio de Pijijiapán se reportaron afectaciones en 25 viviendas, 70 personas fueron albergadas.</t>
  </si>
  <si>
    <t>Cintalapa de Figueroa</t>
  </si>
  <si>
    <t>Se registraron fuertes lluvias en el municipio de Cintalapa de Figueroa, lo que ocasiono que el arroyo "Seco" se desbordara afectando 152 viviendas y dos vehículos que fueron arrastrados por el cause del arroyo.</t>
  </si>
  <si>
    <t>Cuautla, Ayala, Yecapixtla y Atlatlahuacan</t>
  </si>
  <si>
    <t>Debido a las fuertes precipitaciones se desbordo el cause del Río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reparación.</t>
  </si>
  <si>
    <t>Atenango del Río</t>
  </si>
  <si>
    <t>En el Municipio de Atenango del Río, se registro una granizada que daño los techos de 450 viviendas construidas con material endeble.</t>
  </si>
  <si>
    <t>Se registraron fuertes lluvias ocasionando la afectación de 48 viviendas de el municipiode Oaxaca. Se interrumpiuo la energía eléctrica por espacio de dos horas.</t>
  </si>
  <si>
    <t>Tetela del Volcán, Tlanepantla y Totolapan</t>
  </si>
  <si>
    <t>Debido a las fuertes lluvias en los municipios de Tetela del Volcán, Tlanepantla y Totolapan 15 viviendas sufrieron daños en sus techos.</t>
  </si>
  <si>
    <t xml:space="preserve">Ometepec e Igualapa </t>
  </si>
  <si>
    <t>Se registraron fuertes lluvias en los municipios de Ometepec e Igualapa ocasionando la muerte de una mujer de 80 años que fue arrastrada por la corriente de un arroyo que se desbordo. 16 viviendas sufrieron daños.</t>
  </si>
  <si>
    <t>Villacorzo</t>
  </si>
  <si>
    <t>Debido a las fuertes lluvias registradas en el municipio de Villacorzo, se reportan 15 viviendas afectadas.</t>
  </si>
  <si>
    <t>Debido  a las fuertes lluvias, en el municipio de Huitzilac se reportan 8 viviendas dañadas, 12 vehículos y el desgaje de un cerro que obstruyó la vialidad durante unas horas, no se reportan daños humanos.</t>
  </si>
  <si>
    <t>Ixhuatlancillo</t>
  </si>
  <si>
    <t>En el municipio de Ixhuatlancillo se registraron fuertes lluvias que causaron daños en 60 viviendas, esto en la colonia Chorro de agua.</t>
  </si>
  <si>
    <t>Se registraron fuertes lluvias ocasionadas por la tormenta tropical "Carlos", se reportaron algunos derrumbes en varios caminos y carreteras. Asi como varias viviendas dañadas . Hay alrededor de 80 municipios afectados en el Estado. Se repartieron 30,000 despensas y se apoyó a la población afectada con atados de lamina. Se reportan dos personas desaparecidas.</t>
  </si>
  <si>
    <t>Cozumel, Solidaridad y Benito Juárez</t>
  </si>
  <si>
    <t>Debido a las fuertes lluvias  registradas en los municipios de Cozumel, Solidaridad y Benito Juárez a causa de la tormenta tropical "Bill", varias personas fueron desalojadas y se registraron varios encharcamientos.</t>
  </si>
  <si>
    <t>Río Grande, Villanueva y Fresnillo</t>
  </si>
  <si>
    <t>Se registraron fuertes lluvias en los municipios de Río Grande, Villanueva y Fresnillo. Un total de 500 viviendas fueron dañadas. No se reportan daños humanos.</t>
  </si>
  <si>
    <t xml:space="preserve"> Santa Cruz Amilpas y Santa Lucia del Camino</t>
  </si>
  <si>
    <t>Debido a las fuertes lluvias se reportaron 18 viviendas dañadas, así como dos vehículos en los municipios de Santa Cruz Amilpas y Santa Lucia del Camino.</t>
  </si>
  <si>
    <t>Ezequiel Montes</t>
  </si>
  <si>
    <t>Se registraron fuertes lluvias en el municipio de Ezequiel Montes, se reportan 13 viviendas afectadas.</t>
  </si>
  <si>
    <t>Villa de Etla.</t>
  </si>
  <si>
    <t>Debido a las fuertes lluvias 80 viviendas sufrieron afectaciones en el Municipiode Villa de Etla.</t>
  </si>
  <si>
    <t>Cuernavaca, Emiliano Zapata, Jitepec, Tepoztlán, Tlaltizapan, Yautepec, Temixco, Tlaquiltenango y Temoac</t>
  </si>
  <si>
    <t>Se registraron fuerte lluvias en los siguinetes municipios: Cuernavaca, Emiliano Zapata, Jitepec, Tepoztlán, Tlaltizapan, Yautepec, Temixco, Tlaquiltenango y Temoac. Se reportan alrededor de 2,000 viviendas dañadas se instalaron 8 refugios, de los cuales se estan utilizando únicamente tres.</t>
  </si>
  <si>
    <t xml:space="preserve">San Luis Potosi </t>
  </si>
  <si>
    <t>Debido a las fuertes lluvias reportadas en el municipiode San Luis Potosí, se registraron 118 viviendas afectadas, además de una persona muerta que murió ahogado debido a que su auto se quedo varado bajo un puente vehicular.</t>
  </si>
  <si>
    <t>La Piedad</t>
  </si>
  <si>
    <t>Debido a las fuertes lluvias registradas en el Municipio de La Piedad varias colonias se vieron afectadas sumando alrededor de 500 viviendas afectadas, se instaló un refugio en el cual se alberga a 25 personas. También se registraron daños en 30 vehículos.</t>
  </si>
  <si>
    <t xml:space="preserve"> Piedras Negras y Acuña</t>
  </si>
  <si>
    <t>Por causa de las fuertes lluvias presentadas en los municipios de Piedras Negras, Coahuila y Acuña se reportaron 20 viviendas afectadas.</t>
  </si>
  <si>
    <t>Pedro Escobedo,</t>
  </si>
  <si>
    <t>Se reportaron fuertes lluvias en el Municipio Pedro Escobedo, se reportan 300 viviendas dañadas, no se reportan pérdidas humanas.</t>
  </si>
  <si>
    <t>Colón.</t>
  </si>
  <si>
    <t>Debido a las fuertes lluvias se reportaron 11 viviendas afectadas en el municipio de Colón.</t>
  </si>
  <si>
    <t>Debido a las fuerte lluvias presentadas en varios municipios del Estado, alrededor de 500 viviendas sufrieron daños, se perdieron 6,500 hectáreas en el sector agrícola, además se sufrieron daños en la red carretera.</t>
  </si>
  <si>
    <t>Se registraron varias afectaciones debido a la fuerte lluvia, se registraron encharcamientos en varias vialidades, la suspensión del servicio del Metro, la caída de una barda la cual lesiono a 5 trabajadores de una construcción, suspensión de servicios en el aeropuerto y un electrocutado debido a la caída de subestación eléctrica.</t>
  </si>
  <si>
    <t>Magdalena,</t>
  </si>
  <si>
    <t>Debido a las fuertes lluvias registradas en el municipio de Magdalena, se reportaron 24 viviendas con afectaciones en los techos que eran de material endeble, a su vez se reporto la caída de 6 postes de energía eléctrica, 3 de TELMEX y varios árboles.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</si>
  <si>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</si>
  <si>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</si>
  <si>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Se registraron lluvias con fuertes vientos en el municipio de Oaxaca, se reporta la caída de anuncios espectaculares, semáforos y árboles, estos últimos cayendo encima de tres autos resultando lesionada una persona.</t>
  </si>
  <si>
    <t>Se reportaron daños menores en diez viviendas del centro histórico de la Ciudad de Oaxaca debido a las fuertes lluvias.</t>
  </si>
  <si>
    <t xml:space="preserve"> Santa María Chilchotla, Yoloxochitlán</t>
  </si>
  <si>
    <t>Debido  a las fuertes lluvias en el municipio de Santa María Chilchotla se registró un derrumbe en la población de Rancho Nuevo ocasionando la muerte de 11 personas además 2 personas siguen desaparecidas y 2 viviendas resultaron afectadas. En el municipio de Yoloxochitlán se reportó el derrumbe de un cerro ocasionando la muerte de una persona.</t>
  </si>
  <si>
    <t>Juventino Rosas</t>
  </si>
  <si>
    <t>Debido a la granizada que se presento en el municipio de Juventino Rosas se registraron daños en los techos de a viviendas, a las familias afectadas se les apoyo con láminas de cartón.</t>
  </si>
  <si>
    <t>Nogales,</t>
  </si>
  <si>
    <t>Debido a las lluvias registradas en el municipio de Nogales, un auto fue arrastrado por la corriente del arroyo conocido como "Las Chimeneas", las tres personas que iban en el vehículo perdieron la vida.</t>
  </si>
  <si>
    <t>Aconchi</t>
  </si>
  <si>
    <t>Debido a los fuertes vientos se registro el corte de energía en el municipio de Aconchi esto debido a la caída de 3 estructuras de CFE.</t>
  </si>
  <si>
    <t>Celaya</t>
  </si>
  <si>
    <t>En el municipio de Celaya se registro la ruptura de un tubo de aguas negras debido a las fuertes lluvias, lo que ocasiono que 380 viviendas sufrieran afectaciones menores.</t>
  </si>
  <si>
    <t>Once viviendas se afectaron por la penetración de aguas  a su interior debido a las fuertes lluvias que ocasioneron el crecimiento del arroyo Arena, se reportó la pérdida de algunos animales domésticos.</t>
  </si>
  <si>
    <t>Empalme</t>
  </si>
  <si>
    <t>A consecuencia de las fuertes lluvias en el municipio de Empalme se reportan inundaciones que afectaron las viviendas de entre 90 y 100 familias, además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</si>
  <si>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</si>
  <si>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Protección Civil apoyo a las familias afectadas con 80 atados de láminas de cartón, 60 cobertores y 60 colchonetas.</t>
  </si>
  <si>
    <t>Alvarado</t>
  </si>
  <si>
    <t>Por causa de las lluvias registradas en el Municipio de Alvarado se reportaron 20 viviendas afectadas de manera parcial, a las familias afectadas se les apoyo con láminas.</t>
  </si>
  <si>
    <t>Debido a las fuertes lluvias un vehículo que transportaba a seis personas fue arrastrado por la corriente de el arroyo El Jaral, se reportaron tres personas fallecidas y tres heridas.</t>
  </si>
  <si>
    <t>Zinacantán,</t>
  </si>
  <si>
    <t>En el municipio de Zinacantán, debido a los fuertes vientos, se reportaron varias viviendas afectadas, así como una iglesia y también se reporto la suspensión del servicio eléctrico por unas horas.</t>
  </si>
  <si>
    <t>Debido a las fuertes lluvias en el municipio de Veracruz, se reporta la caída de una barda, la cual se derrumbo sobre un indigente que se protegía de la lluvia, dicha persona falleció al instante.</t>
  </si>
  <si>
    <t>Debidio a las fuertes lluvias en el municipio de Ixtapaluca 60 viviendas sufrieron afectaciones de distinto tipo. No se registraron daños humanos.</t>
  </si>
  <si>
    <t>Cuauhtémoc,</t>
  </si>
  <si>
    <t>Debido a las fuertes lluvias se reporto el derrumbe de una vivienda ubicada en la delegación Cuauhtémoc, no se reportan daños humanos</t>
  </si>
  <si>
    <t>Debido a las fuertes lluvias registradas en el municipio de Salamanca, 700 personas fueron evacuadas como medida preventiva debido a la latente posibilidad del desbordamiento del Río Lerma.</t>
  </si>
  <si>
    <t>Apaseo el Alto y Tarimoro</t>
  </si>
  <si>
    <t>Debido a las fuertes lluvias en los municipios de Apaseo el Alto y Tarimoro varias viviendas presentaron daños de diferentes tipos.</t>
  </si>
  <si>
    <t>Jacona</t>
  </si>
  <si>
    <t>A causa de una fuerte granizada en el municipio de Jacona se reportaron un total de 348 viviendas con afectaciones en sus techos, a la población afectada se les apoyo con despensas, láminas de cartón y cobijas.</t>
  </si>
  <si>
    <t>Debido  a una fuerte granizada en el municipio de Amecameca se reportan daños en 97 viviendas, así mismo, Protección Civil del Estado prestó ayuda a los afectados, se reportan 430 damnificados</t>
  </si>
  <si>
    <t>Sahuaripa</t>
  </si>
  <si>
    <t>Debido a las fuertes lluvias acompañadas de fuertes vientos, se registraron varias afectaciones en el municipio de Sahuaripa, en donde 60 viviendas resultaron afectadas. Protección Civil apoyo a las familias con láminas de cartón, despensas y agua embotellada.</t>
  </si>
  <si>
    <t>Tonalá y Guadalajara</t>
  </si>
  <si>
    <t>Debido a las fuertes lluvias varias viviendas resultaron afectadas en los municipios de Tonalá y Guadalajara, no se repotan daños mayores.</t>
  </si>
  <si>
    <t>Se registraron fuertes lluvias en varios municipios del estado dejando como resultado 12 viviendas dañadas y varios cortes a la circulación debido a los encharcamientos en las vias publicas.</t>
  </si>
  <si>
    <t>Acapetahua</t>
  </si>
  <si>
    <t>Debido a las lluvias y a los fuertes vientos en el municipio de Acapetahua, se reportaron dos casas afectadas.</t>
  </si>
  <si>
    <t>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</si>
  <si>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</si>
  <si>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 xml:space="preserve">Concepción de Buenos Aires </t>
  </si>
  <si>
    <t>Debido a la tromba que afectó a el municipio de Concepción de Buenos Aires 80 viviendas sufrieron daños, así como 48 fincas, se reportaron 3 lesionados leves.</t>
  </si>
  <si>
    <t>Motozintla</t>
  </si>
  <si>
    <t>Debido a las fuertes lluvias registradas en el municipio de Motozintla se reportaron 36 viviendas inundadas con agua y lodo así como una escuela preparatoria.</t>
  </si>
  <si>
    <t>San Juan del Río</t>
  </si>
  <si>
    <t>Debido a las fuertes lluvias registradas en el municipio de San Juan del Río, varias viviendas sufrieon afectaciones, principalmente en sus enseres domésticos.</t>
  </si>
  <si>
    <t xml:space="preserve">Ciuadad de México </t>
  </si>
  <si>
    <t>Se registro la lluvia más fuerte de los últimos 50 años al norponiente del Distrito Federal, 50 viviendas resultaron dañadas, la circulación se vio afectada debido a que se cerró el periferico en sus dos sentidos entre Legaria y Reforma.</t>
  </si>
  <si>
    <t>Se registró la muerte de una persona en el municipio de Morelia debido a que este trato de cruzar un río en un automóvil con tres personas abordo.</t>
  </si>
  <si>
    <t>Venustiano Carranza y Cuauhtémoc</t>
  </si>
  <si>
    <t>Debido a las fuertes lluvias en las delegaciones Venustiano Carranza y Cuauhtémoc, las estaciones del metro Merced y Candelaria permanecieron cerradas debido a la penetración de agua a las instalaciones</t>
  </si>
  <si>
    <t>San Mateo Atenco</t>
  </si>
  <si>
    <t>Debido a las fuertes lluvias qe se presentaron en el municipio de an Mateo Atenco, no se reportan daños humanos, una escuela sufrió daños leves.</t>
  </si>
  <si>
    <t>Cacahuatán,</t>
  </si>
  <si>
    <t>Se registraron fuertes lluvias en el municipio de Cacahuatán, afetcando 44 viviendas de material endeble.</t>
  </si>
  <si>
    <t xml:space="preserve">Aguascalientes </t>
  </si>
  <si>
    <t>Se registraron fuertes lluvias en los municipios de aguascalientes y Asientos presentandose encharcamientos en algunas viviendas, una persona falleció alser arrastrada por la corriente del agua.</t>
  </si>
  <si>
    <t>Guadalajara, Zapopan y Tlaquepaque</t>
  </si>
  <si>
    <t>Debido a las fuertes precipitaciones registradas en los municipios de Guadalajara, Zapopan y Tlaquepaque varios municipios registraron inundaciones, también se reporto la caída de una barda. Así mismo se notificó la muerte de cuatro personas y tres heridos al ser arrastradas por la corriente. Se les dió albergue a 26 personas.</t>
  </si>
  <si>
    <t>Celaya, Silao y Dolores Hidalgo</t>
  </si>
  <si>
    <t>Se reportaron varias viviendas afectadas debido a las fuertes lluvias que se presentaron en los municipios de Celaya, Silao y Dolores Hidalgo, se albergó a 204 personas en dos albergues en los cuales se les atendió con comida y techo. También se reportó la muerte de una persona, un desaparecido y tres heridos, quienes fueron arrastrados por la corriente del Río el Jitomatal.</t>
  </si>
  <si>
    <t>Las fuertes lluvias registradas dejaron como saldo a 5 personas muertas y casi 15,000 damnificados.</t>
  </si>
  <si>
    <t>Guasave y Los Mochis</t>
  </si>
  <si>
    <t>Se reportaron 4 viviendas afectadas debido a las fuertes lluvias provocadas por el Huracán Ignacio esto en los municipios de Guasave y Los Mochis.</t>
  </si>
  <si>
    <t>San José del Cabo, Loreto y Comondu</t>
  </si>
  <si>
    <t>Debido a las fuertes lluvias provocadas por la cercanía del huracán "Ignacio", se presentaon diferentes afectaciones en los municipios de San José del Cabo, Loreto y Comondu, además se informó acerca de la muerte de dos militares y dos desaparecidos al intentar badear el Río Bramonas en un vehículo el cual fue arrastrado por la corriente. Como medida preventiva se albergó a cerca de 10,000 personas .</t>
  </si>
  <si>
    <t>Cumpas</t>
  </si>
  <si>
    <t>Debido a las fuertes lluvias, dos personas murieron al ser arrastradas por un arroyo en el municipio de Cumpas, los individuos trataron de cruzarlo en un vehículo, pero este fue arrastrado por la corriente.</t>
  </si>
  <si>
    <t>Atotonilco el Alto</t>
  </si>
  <si>
    <t>A causa de las fuertes lluvias en el municipiode Atotonilco el Alto, el Río Colorado s desbordo inundando algunas viviendas, se instalaron 2 refugios temporales dende se alojaron a 28 personas.</t>
  </si>
  <si>
    <t>Tonolá</t>
  </si>
  <si>
    <t>Debido a las fuertes lluvias registradas en el municipio de Tonolá, cuatro personas fallecieron al ser arrastradas por la corriente de un arroyo.</t>
  </si>
  <si>
    <t xml:space="preserve">Querértaro </t>
  </si>
  <si>
    <t>Se reportó la muerte de 4 personas en el municipio de Querétaro, dos de estas murieron al ser arrastradas por un torrente de agua en una calle de pendiente ponunciada, las otras dos murieron a causa de una explosión de gas , se reportaron 23 viviendas dañadas a causa de las lluvias.</t>
  </si>
  <si>
    <t>Silao</t>
  </si>
  <si>
    <t>Se reportó la muerte de dos personas en el Municipio de Silao, las personas se encontraban nadando y una crecida los arrastró.</t>
  </si>
  <si>
    <t>Debido a las fuertes lluvias una familia falleció al ser arastrada por una crecida de un río en el municipio de Nogales, fallecieron 4 personas entre estas dos menores de edad.</t>
  </si>
  <si>
    <t xml:space="preserve"> Matías Romero</t>
  </si>
  <si>
    <t>Debido a las fuertes lluvias en la zona del istmo en el municipio de Matías Romero se desbordo el Río Talapa; el cual provocó la inundación de 30 viviendas.</t>
  </si>
  <si>
    <t>Venustiano Carranza</t>
  </si>
  <si>
    <t>Debido a las fuertes lluvias en el municipio de Venustiano Carranza y al incremento en el nivel del aroyo Borbollón, varias viviendas sufrieron daños, así mismo, una persona falleció al intentar cruzar el cauce del río en automóvil.</t>
  </si>
  <si>
    <t>San Mateo Atenco y Jiquipilco</t>
  </si>
  <si>
    <t>Debido a las fuertes lluvias en los municipios de San Mateo Atenco y Jiquipilco, varias viviendas sufrieron afectaciones, se reportan 641 personas afectadas.</t>
  </si>
  <si>
    <t>Acapulco.</t>
  </si>
  <si>
    <t>Se registro una fuerte lluvia que causo afectaciones en 8 viviendas del municipio de Acapulco.</t>
  </si>
  <si>
    <t xml:space="preserve">Naucalpan </t>
  </si>
  <si>
    <t>Debido a la acumulación de agua en el campo militar no1 se registró la caída de una barda de 50mts de largo por 6 de alto ocasionando una avenida de agua que arrastró 13 vehículos provocando la muerte de una persona y lesionando a otra.</t>
  </si>
  <si>
    <t>Iguala</t>
  </si>
  <si>
    <t>Se reportaron varias viviendas afectadas en el municipio de Iguala debido a las fuertes lluvias.</t>
  </si>
  <si>
    <t>Tecamachalco,</t>
  </si>
  <si>
    <t>Debido a las fuertes lluvias registradas en el municipio de Tecamachalco, 13 viviendas sufrieron afectaciones y se evacuó a un total de 60 personas.</t>
  </si>
  <si>
    <t>Varios muncipios resultaron afectados debido a las fuertes lluvias, se estima en 12 mil las personas damnificadas, 2 mil viviendas afectadas y alrededor de 9 mil hectáreas dañadas, 62 planteles educativos, 15 municipios fueron declarados zona de desastre.</t>
  </si>
  <si>
    <t>Debido a las fuertes lluvias, varios municipios del Estado sufrieron afectaciones de distinta índole, esto debido también al desbordamiento de los Rios Laja y Lerma. La autopista Celaya- Queretaro sufrió afectaciones por alrededor de 18 millones de pesos en reparaciones y se reportaron pérdidas por 35 millones de pesos por cuestiones de peaje.  En agricultura, las pérdidas se calculan en 500 millones de pesos. Se instalaron 37 refugios temporales.</t>
  </si>
  <si>
    <t>Querétaro, Corregidora, Del Márques, Huimilpan, Amealco y Pedro Escobedo</t>
  </si>
  <si>
    <t>Las fuertes lluvias causaron daños en aproximadamente 2,200 viviendas en los municipios de Querétaro, Corregidora, Del Márques, Huimilpan, Amealco y Pedro Escobedo</t>
  </si>
  <si>
    <t>Se aplicó el plan DN-III en la ciudad de Querétaro debido a las fuertes lluvias registradas, se reportan cerca de 7,000 viviendas afectadas y alrededor de 35,000 damnificados.</t>
  </si>
  <si>
    <t>Nopala,</t>
  </si>
  <si>
    <t>Debido a las fuertes lluvias registradas en el municipio de Nopala, tres viviendas sufrieron daños y se dio albergue a un total de 100 personas que fueron evacuadas de sus domicilios.</t>
  </si>
  <si>
    <t>Debido a las lluvias se reporta una grieta que ha afectado 5 viviendas en sus estructuras.</t>
  </si>
  <si>
    <t>Chapultenango</t>
  </si>
  <si>
    <t>Se reportó una persona muerta en el municipio de Chapultenango que al intentar cruzar un Río perdió la vida, además una persona sufrió lesiones al caerle un barda encima en el municipio de Tapachula.</t>
  </si>
  <si>
    <t>Yesca</t>
  </si>
  <si>
    <t>Debido a las fuertes lluvias en el municipio de la Yesca, hay 6,000 personas incomunicadas debido a la caída de un puente que servía de paso vehicular y peatonal. Así mismo otros municpios fueron afectados en diferentes sectores.</t>
  </si>
  <si>
    <t>Trinidad Tenalleca</t>
  </si>
  <si>
    <t>Se desbordó un canal debido a las fuertes lluvias en el municipio de La Trinidad Tenalleca, se reportan 7 viviendas afectadas.</t>
  </si>
  <si>
    <t>Mexquitic de Carmona</t>
  </si>
  <si>
    <t>Se registro una tormenta eléctrica en el municipio de Mexquitic de Carmona, se reporto una persona muerta por descarga eléctrica.</t>
  </si>
  <si>
    <t>Cintalapa</t>
  </si>
  <si>
    <t>Debido a las fuertes precipitaciones registradas en el municipio de Cintalapa, se registraron daños en 202 viviendas.</t>
  </si>
  <si>
    <t>Panotla</t>
  </si>
  <si>
    <t xml:space="preserve">Las fuertes lluvias ocasionaron daños en 10 viviendas en el municipio de Panotla, no se reportan personas lesionadas </t>
  </si>
  <si>
    <t>Debido a las fuertes lluvias que han azotado a varios municipios del Estado, se reportan cerca de 30,000 damnificados, así como 10,000 hectáreas de cultivo dañadas y se calcula en 100 millones de pesos el impacto económico de las inundaciones en la entidad.</t>
  </si>
  <si>
    <t>Debido a las fuertes lluvias registradas en varios municipios, una persona perdió la vida y varias viviendas resultaron afectadas, a las familias afectadas se les apoyo con despensas, cobertores y colchones.</t>
  </si>
  <si>
    <t>Río Bravo</t>
  </si>
  <si>
    <t>Debido a las fuertes lluvias el municipio de Río Bravo resulto con afectaciones en varias viviendas, se evacuaron a 19 personas</t>
  </si>
  <si>
    <t>Guadalupe</t>
  </si>
  <si>
    <t>Fue arrastrado un vehículo compacto con tres personas abordo al intentar cruzar el río "La Silla" en el municipio de Guadalupe, se reporta un muerto, un lesionado y una persona desaparecida.</t>
  </si>
  <si>
    <t>Debido a las fuertes lluvias, una persona fue arrastrada por un arroyo y perdió la vida, también se reportaron afectaciones en 5 viviendas del municipiode Venustiano Carranza y varios árboles caidos.</t>
  </si>
  <si>
    <t>Debido a las fuertes lluvias registradas en varios municipos de veracruz, varias viviendas sufrieron afectaciones.</t>
  </si>
  <si>
    <t>Tepeji del Río e Ixmiquilpan</t>
  </si>
  <si>
    <t>Los municipios de Tepeji del Río e Ixmiquilpan se vieron afectados por las fuertes lluvias. Se reportaron 25 viviendas con afectaciones, así como 60 personas albergadas.</t>
  </si>
  <si>
    <t>Las fuertes lluvias ocasionaron daños en varios municipios, se reporta una persona fallecida y varias viviendas afectadas.</t>
  </si>
  <si>
    <t xml:space="preserve">A consecuencia de las fuertes lluvias acompañadas de fuertes vientos, varias viviendas sufrieron daños, por lo que se activaron 17 albergues como medida preventiva en diferentes municipios, se reporta una persona desaparecida y 4 muertos.  </t>
  </si>
  <si>
    <t>Debido a las fuertes lluvias en varios municipios se reportan varias viviendas afectadas así como la muerte de dos personas, adeamás se albergó a un total de 145 personas.</t>
  </si>
  <si>
    <t>Rosario, Loma Verde, Concordia, Culiacán, Ahome, Mazatlán, Elota y Navolato</t>
  </si>
  <si>
    <t>El huracán "Marty" ocasiono daño en los municipios de Rosario, Loma Verde, Concordia, Culiacán, Ahome, Mazatlán, Elota y Navolato, se reportan afectaciones en 34 comunidades así como 4 muertos y una persona desaparecida.</t>
  </si>
  <si>
    <t>El huracán "Marty" ocasiono daños en varios municipios del estado, dejando a su paso 4 muertos, 13mil damnificados y daños económicos estimados en 1000 millones de pesos, 2000 viviendas afectadas, se hundieron 35 yates y unas 100 embarcaciones de distinto calado resultaron dañadas</t>
  </si>
  <si>
    <t>Guaymas,</t>
  </si>
  <si>
    <t>El huracán "Marty" dejo un saldo de más de 6 mil damnificados sólo en el municipiode Guaymas, en total se evacuó a 10 mil personas y los daños se calculan en 13 millones de pesos, se reportan 4 personas muertas y un desaparecido.</t>
  </si>
  <si>
    <t>Metlatonoc</t>
  </si>
  <si>
    <t>Debido a las fuertes lluvias, varias viviendas sufrieron afectaciones en el municipio de Metlatonoc, se reportan 115 casas con daños de diferente tipo.</t>
  </si>
  <si>
    <t>Oriental</t>
  </si>
  <si>
    <t>Se registro una fuerte granizada en el municipio de Oriental por lo que se vieron afectadas un total de 45 viviendas. Se habilitó un refugio temporal.</t>
  </si>
  <si>
    <t>Tultitlan y Coacalco</t>
  </si>
  <si>
    <t>Debido a las fuertes lluvias presentadas en los municipios de Tultitlan y Coacalco, se reportan 110 viviendas afectadas. Se intentó evacuar la zona pero las personas se negaron a salir de sus domicilios.</t>
  </si>
  <si>
    <t>Debido a las fuertes lluvias registradas en el municipio de Morelia, vaias viviendas sufrieron daños, por lo que se abrió un refugio temporal en el cual se encuentran albergadas 35 personas.</t>
  </si>
  <si>
    <t>Tepalcingo</t>
  </si>
  <si>
    <t>Se desbordo un canal en el municipio de Tepalcingo, afectando a 80 familias, así como 9 vehículos que fueron arrastrados por la corriente, un jardín de niños tambien resulto dañado.</t>
  </si>
  <si>
    <t>Debido a la gran cantidad de lluvia en los días pasados que se ha presentado en varios municipios del estado, se reportan daños a la agricultura, varios miles de damnificados y afectaciones en algunos planteles educativos</t>
  </si>
  <si>
    <t>Tepoztlan, Tlaltizapan, Tlalquitenango</t>
  </si>
  <si>
    <t>Debido a las fuertes lluvias registradas en la entidad se reportan algunas viviendas dañadas en los municipios de Tepoztlan, Tlaltizapan, Tlalquitenango y Yautepec. Se reportan 20 viviendas afectadas y la instalación de 1 albergue.</t>
  </si>
  <si>
    <t>Santiago Tuxtla, Papantla, Poza Rica, Zontecomatlán, Texcatepec, San Rafael, San Andrés Tuxtla, Ixtlahuacán de Madero, Chinampa de Gorostiza, Azalan e Ixcatepec</t>
  </si>
  <si>
    <t>Debido a las fuertes lluvias que se presentaron en los municipios de Santiago Tuxtla, Papantla, Poza Rica, Zontecomatlán, Texcatepec, San Rafael, San Andrés Tuxtla, Ixtlahuacán de Madero, Chinampa de Gorostiza, Azalan e Ixcatepec entre otros,  se registraron diferentes tipos de daños en varias localidades, así mismo se reporta la muerte de 5 personas a consecuecia de la Tormenta Tropical "Larry"</t>
  </si>
  <si>
    <t>Debido a las fuertes lluvias presentadas en diversos municipios del estado, se reportan 3 personas fallecidas, asi como afectaciones en varias viviendas.</t>
  </si>
  <si>
    <t>Tabasco</t>
  </si>
  <si>
    <t>Cárdenas, Jalapa, Paraiso y Tacotalpa</t>
  </si>
  <si>
    <t>Debido a las fuerte lluvias hay 9 localidades afectadas en 4 municipios (Cárdenas, Jalapa, Paraiso y Tacotalpa), se reportan 241 familias afectadas (1,170 personas) se instalaron 3 refugios y hay 47 personas ocupandolos.</t>
  </si>
  <si>
    <t>Nuevo Campechito</t>
  </si>
  <si>
    <t>Debido a las fuertes lluvias se evacuó a 78 personas del municipio de Nuevo Campechito a dos refugios temporales como medida preventiva.</t>
  </si>
  <si>
    <t>Los remanentes de la depresión tropical "Larry" afectaron a 49 municipios del estado de Chiapas, se reportan varias localidades afectadas así como 10,577 viviendas dañadas en diversos grados, el número de viviendas totalmente destruidas fue de 217. Cinco comunidades quedaron incomunicadas,  87 albergues fueron habiltados. Los municipios más afetcados fueron Tuxtla Gutiérrez, Ocozocuautla y Berriozabal.</t>
  </si>
  <si>
    <t>?</t>
  </si>
  <si>
    <t>A consecuencia de las lluvias que se registraron en varios municipios se reportan 200 viviendas afectadas, se presentaron inundaciones debido a el taponamiento del dranaje por acumulación de basura.</t>
  </si>
  <si>
    <t>Debido a las fuertes lluvias registradas en varios muncipios 66 viviendas sufrieron daños, así mismo se reporta la muerte de tres menores de edad que fueron arrastrados por la corriente de un arroyo crecido.</t>
  </si>
  <si>
    <t>Debido a las lluvias provocadas por la tormenta tropical "Olaf" se reportan varias viviendas dañadas, así como una persona fallecida, como medida preventiva se evacuó a 138 personas.</t>
  </si>
  <si>
    <t>Debido a las fuertes lluvias en el municipio de Nogales 15 viviendas sufrieron daños así como tres vehículos que fueron arrastrados por un arroyo, se abrieron 2 refugios temporales en los que se encuentran albergadas 58 personas.</t>
  </si>
  <si>
    <t>Salina Cruz, Tehuantepec, San Francisco Ozoltepec, Miahuatlán y San Dionisio del Mar</t>
  </si>
  <si>
    <t>Los remanentes de la Tormenta tropical "Larry" ocasionaron daños en los municipios de Salina Cruz, Tehuantepec, San Francisco Ozoltepec, Miahuatlán y San Dionisio del Mar,  Una persona falleció.</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</si>
  <si>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</si>
  <si>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 xml:space="preserve">Abasolo, Hidalgo, Mante, San Fernando y Nuevo Laredo </t>
  </si>
  <si>
    <t>Debido a las fuertes lluvias registradas, en los municipios de Abasolo, Hidalgo, Mante, San Fernando y Nuevo Laredo 200 viviendas fueron afectadas, 40 familias fueron evacuadas como medida preventiva.</t>
  </si>
  <si>
    <t>Zimapán y Chapulhuacan</t>
  </si>
  <si>
    <t>A consecuencia de la apertura de puertas de la presa Zimapan, se incremento el caudal del río Moctezuma afectando áreas de cultivo  del municipio de Pisaflores. Además los municipios de Zimapán y Chapulhuacan también fueron afectados, se reportan 316 personas refugiadas.</t>
  </si>
  <si>
    <t>Tamazunchale.</t>
  </si>
  <si>
    <t>Como medida preventiva, se evacuó a 21 familas debido al crecimiento de un río a la altura del municipio de Tamazunchale.</t>
  </si>
  <si>
    <t xml:space="preserve"> San Luis Acatlán</t>
  </si>
  <si>
    <t>Se reportó la muerte de una persona al ser arrastrado por la corriente del Río Nejapa en el municipio de San Luis Acatlán</t>
  </si>
  <si>
    <t>Ciudad Victoria</t>
  </si>
  <si>
    <t>Se reportó la desaparición de una persona la cual fue arrastrada por el Río San Carlos en el municipio de Ciudad Victoria</t>
  </si>
  <si>
    <t>Ebano</t>
  </si>
  <si>
    <t>Con relación a las fuertes lluvias presentadas en el municipio de Ebano se albergo a 200 familias, se reporta una vivienda derrumbada.</t>
  </si>
  <si>
    <t xml:space="preserve"> Alvaro Obregón</t>
  </si>
  <si>
    <t>Debido a la granizada que se presento en la delegación Alvaro Obregón 100 viviendas sufrieron afectaciones.</t>
  </si>
  <si>
    <t>Tuxtepec</t>
  </si>
  <si>
    <t>Debido a las lluvias registradas en el municipio de Tuxtepec, 36 familias sufrieron afectaciones en sus viviendas, po lo que se les apoyo con 55 colchonetas y 55 cobertores.</t>
  </si>
  <si>
    <t xml:space="preserve">Altamira y Madero </t>
  </si>
  <si>
    <t>Debido a las fuertes lluvias presentadas en los muncipios de Altamira y Madero se instalaron 2 refugios los cuales estan siendo ocupados por 92 personas.</t>
  </si>
  <si>
    <t>Cerro Azul y Naranjos</t>
  </si>
  <si>
    <t>Debido a las fuertes precipitaciones registradas en los municipios de Cerro Azul y Naranjos, se reportan 15 viviendas afectadas, por lo que se instalaron refugios temporales y se proporcionaron alimetnos y cobertores a las personas afectadas.</t>
  </si>
  <si>
    <t xml:space="preserve">Salto del Agua </t>
  </si>
  <si>
    <t>Debido a las fuertes lluvias presentadas en el municipio de Salto del Agua fueron activados tres refugios, se reportan 29 viviendas con daños de diferente tipo así como 29 familias afectadas.</t>
  </si>
  <si>
    <t>Matamoros, Río Bravo, Valle hermoso y San Fernand</t>
  </si>
  <si>
    <t>Debido a las lluvias con fuertes vientos presentadas en los municipios de Matamoros, Río Bravo, Valle hermoso y San Fernando, varias viviendas de material endeble fueron dañadas. Se implementaron refugios temporales en los cuales se albergó a un total de 2787 personas</t>
  </si>
  <si>
    <t>Debido a las fuertes lluvias 6 municipios del estado sufrieron afectaciones, se presentaron afectaciones vivienda, caminos y en el sector eléctrico. Se reportan 22 familias albergadas así como 19 viviendas afectadas</t>
  </si>
  <si>
    <t>Se registraron inundaciones en los municipios de Jonuta y la zona centro del Estado, se vieron afectadas 27 localidades y se instalaron 10 refugios temporales en donde se albergaron 242 personas, también se reportaron 4580 personas afectadas.</t>
  </si>
  <si>
    <t>Se registraron fuertes vientos en varios muncipios del estado de Veracruz, se reportaron 4 personas lesionadas debido a la caída de una barda.</t>
  </si>
  <si>
    <t>La sequía afectó a 320 poblaciones de 17 municpios y afectó  las cosechas del ciclo primavera-verano  cuyas pérdidas se estiman en poco más de 300 mil hectáreas, además de la muerte de 1 500 reses</t>
  </si>
  <si>
    <t xml:space="preserve">Pacula  Jacala, </t>
  </si>
  <si>
    <t>La sequía siniestró alrededor de 5000 hectáreas, los municipios más afectados fueron los de Pacula y Jacala, parte de la Huasteca y el Altiplano</t>
  </si>
  <si>
    <t>Más de 70 municpios se encuentran en estado de desastre a causa de la sequía, el gobierno dispuso de 30 millones de pesos del fondo especial para atender el siniestro</t>
  </si>
  <si>
    <t>La sequía provoco daños en 200 mil hectáreas, de las 900 mil cabezas se redujeron en los últimos años a menos de la mitad.</t>
  </si>
  <si>
    <t>Debido a la sequía se dejaron de cultivar 180 mil hectáreas de trigo que representan más de un millón de toneladas</t>
  </si>
  <si>
    <t>Naco</t>
  </si>
  <si>
    <t>Se reporta el deceso de 2 personas a causa de intoxicación por Monóxido de Carbono  en el municipio de Naco.</t>
  </si>
  <si>
    <t>Ciudad Juárez</t>
  </si>
  <si>
    <t>Se registraron dos fallecimientos en el municipio de Ciudad Juárez por inhalación de Monoxido de Carbono, asimismo, en el municipio de Cuauhtemoc otras dos personas fallecieron por la misma causa.</t>
  </si>
  <si>
    <t>Pidras Negras</t>
  </si>
  <si>
    <t>Se reportó la activación de 2 albergues en el municipio de Pidras Negras debido  la temporada invernal, hasta el momento se reportan 44 personas albergadas.</t>
  </si>
  <si>
    <t>Tapachula,</t>
  </si>
  <si>
    <t>Se registraron fuertes vientos en el municipio de Tapachula, por lo que varias comunidades sufrieron afectaciones, se reportan 70 viviendas con afectaciones en sus techos y algunos daños en cultivos, como papa, maíz, frijol, café y trigo.</t>
  </si>
  <si>
    <t>Debido a los fuertes vientos, 50 viviendas de material endeble, perdieron su techumbre.</t>
  </si>
  <si>
    <t>Tecoman, Armería, Coquimatlán y Villa de Alvaréz</t>
  </si>
  <si>
    <t xml:space="preserve">Se registró un sismo de 7.6 grados en la escala de Richter a las 20:06 Hrs., este afectó a los municipios de Tecoman, Armería, Coquimatlán y Villa de Alvaréz principalmente.  </t>
  </si>
  <si>
    <t>Con motivo de sismo con epicentro en las costas de Colima, en Jalisco se registrarón 2 personas fallecidas y 31 lesionadas además de varias viviendas dañadas.</t>
  </si>
  <si>
    <t>A consecuencia del sismo con epicentro en las costas de Colima, se registraron personas lesionadas en este estado, así como varias viviendas dañadas.</t>
  </si>
  <si>
    <t>Se registró el hundimiento de suelo en la comunidad de San Isidro, en el municipio de Pantepec. Se reportan 5 desaparecidos</t>
  </si>
  <si>
    <t>Se registró deslizamiento de suelo en la zona de mesa del río en la delegación de Otay, se evacuaron 5 domicilios como medida preventiva.</t>
  </si>
  <si>
    <t xml:space="preserve">Se registró el derrumbe de una parte del cerro ubicado en la colonia Monte Albán en la Delegación Iztapalapa, esto se originó por el reblandecimiento del suelo. Una persona perdió la vida. </t>
  </si>
  <si>
    <t xml:space="preserve">Derrumbe </t>
  </si>
  <si>
    <t>Yajalon</t>
  </si>
  <si>
    <t>En el municipio de Yajalon, se registró el derumbe de una vivienda a consecuencia de un deslave. Se reporta una persona lesionada.</t>
  </si>
  <si>
    <t>Naucalpan</t>
  </si>
  <si>
    <t>Se reportó un hundimiento de suelo en el municipio de Naucalpan en la colonia Minas Tecolote, debido a lo anterior se reportan 4 viviendas afectadas</t>
  </si>
  <si>
    <t>Se registró el derrumbe de una roca sobre una persona de 32 años de de edad, esta murio inmediatamante</t>
  </si>
  <si>
    <t>Zacatepec Mixe</t>
  </si>
  <si>
    <t>Se registraron dos deslizamientos de suelo, uno en el municipio de Ixtlán de Juárez y el otro en el municipio de Zacatepec Mixe. En el primer municipio sólo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</si>
  <si>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</si>
  <si>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ocasionó el desgajamiento de tierra de un cerro en la delegación Tlalpan en el pueblo de San Miguel Topilejo, no se reportan daños humanos.</t>
  </si>
  <si>
    <t>Tuxtla Gutiérrez</t>
  </si>
  <si>
    <t>Se registró un derrumbe en el mercado "Nuevo Díaz Ordaz" en el municipio de Tuxtla Gutiérrez, se reportan tres personas lesionadas.</t>
  </si>
  <si>
    <t>Se registro el hundimiento de suelo en la colonia los Olivos del Municipio de Atizapan, esto debido a una mina que pasa por debajo de la calle que no se habia detectado, esta tiene una profundidad de 10 metros.</t>
  </si>
  <si>
    <t>Álvaro Obregón</t>
  </si>
  <si>
    <t>Debido  a las fuertes lluvias en la delegación Álvaro Obregón, una vivienda resultó afectada al presentarse un deslizamiento de suelo, dos personas resultaron lesionadas y se evacuó a los habitantes de viviendas aledañas.</t>
  </si>
  <si>
    <t xml:space="preserve">Gustavo A. Madero </t>
  </si>
  <si>
    <t>Se registró un deslizamiento de suelo en la delegación Gustavo A. Madero en el cual perdieron la vida un menor y un adulto, así mismo se reportan otros dos menores con lesiones leves.</t>
  </si>
  <si>
    <t>Se reportó el deslizamiento de suelo en un tramo carretero el cual ocasiono el choque de tres autos y causo lesiones a 6 personas.</t>
  </si>
  <si>
    <t>Huxquilucan</t>
  </si>
  <si>
    <t>Se registró un deslizamiento de suelo en el municipio de Huxquilucan, una vivienda quedó sepultada, provocando que 2 personas perdieran la vida y otras tres resultaran lesionadas.</t>
  </si>
  <si>
    <t>Se registró un derrumbe de piedras sobre dos viviendas del municipio de Naucalpan, a consecuencia de esto dos personas perdieron la vida.</t>
  </si>
  <si>
    <t>Actopan</t>
  </si>
  <si>
    <t>Se registró un incendio en una fábrica de mezclilla en el municipio de Actopan, como consecuencia un trabajador resultó lesionado.</t>
  </si>
  <si>
    <t>Se produjo una explosión de cuetones en el municipio de Jocotepec dejando como consecuencia 6 personas lesionadas.</t>
  </si>
  <si>
    <t>Se registró una explosión en un polvorín donde se fabricaban juegos pirotécnicos, se reporta una persona lesionada, y algunos daños materiales.</t>
  </si>
  <si>
    <t>Se registró un explosión en casa habitación debido al acumulamiento de gas a concecuencia de una mala instalación, se reportaron 6 personas lesionadas.</t>
  </si>
  <si>
    <t>Se registró un incendio en la empresa PECE  industrial en la cual se fabrican piezas de aluminio, se reporta una persona lesionada.</t>
  </si>
  <si>
    <t>Nueva Rosita</t>
  </si>
  <si>
    <t>Se registró una fuga de gas y posteriormente una explosión en una tienda de abarrotes con razón social minisuper dos tres, en el municipio de Nueva Rosita.</t>
  </si>
  <si>
    <t>Explosión de aire en una tubería subterránea al realizar pruebas de la misma.</t>
  </si>
  <si>
    <t>Puerto Peñasco</t>
  </si>
  <si>
    <t>Se registró una explosión en el municipio de Puerto Peñasco en un restaurante del hotel "Costa Brava" resultando 9 personas lesionadas. El percance se ocasionó por un tanque de gas en mal estado, lo que provocó acumulamiento de gas.</t>
  </si>
  <si>
    <t>Coyoacán</t>
  </si>
  <si>
    <t>Se registró la explosión por acumulamiento de gas en la delegación Coyoacán, Col. Santa Ursula Coapa. Se reportan 9 personas lesionadas.</t>
  </si>
  <si>
    <t>Nezahualcoyotl</t>
  </si>
  <si>
    <t>Se registró la explosión de un laboratorio dental en el municipio de Nezahualcoyotl, como resultado una persona salió herida.</t>
  </si>
  <si>
    <t>Se registró una explosión de un polvorín en el municipio de Tultepec en el cual murió una persona y tres más resultaron heridas</t>
  </si>
  <si>
    <t>Se registró una explosión en una nevería en la Delegación Xochimilco, esta se originó a causa de acumulación de gas, como consecuencia 2 personas resultaron heridas.</t>
  </si>
  <si>
    <t>Tlahuac</t>
  </si>
  <si>
    <t>Explosión de un polvorín en la delegacion Tlahuac se reportan cuatro personas fallecidas y tres lesionados. A causa de unos juegos pirotécnicos decomisados.</t>
  </si>
  <si>
    <t xml:space="preserve"> San Pedro Ixtlahuaca</t>
  </si>
  <si>
    <t>Se registró una explosión de juegos pirotécnicos enfrente del palacio municipal de San Pedro Ixtlahuaca</t>
  </si>
  <si>
    <t>Se registró una explosión en el municipio de Querétaro en un laboratorio físico de la empresa "Cosa", debido a la explosión, una persona murió y 10 mas resultaron heridas</t>
  </si>
  <si>
    <t>San Lorenzo Albarradas</t>
  </si>
  <si>
    <t>Se registró una explosión debido a la acumulación de gas L.P. En un domicilio del Municipio de San Lorenzo Albarradas, se reporta una persona lesionada y una vivienda destruída.</t>
  </si>
  <si>
    <t>Gudalupe</t>
  </si>
  <si>
    <t>Se registró una explosión en el municipio de Gudalupe, dicha explosión tuvo lugar en una lavandería por acumulamiento de gas L.P. Se registraron daños en 11 negocios, 10 viviendas y tres autos, además se reportaron 12 personas lesionadas.</t>
  </si>
  <si>
    <t>Valle de Chalco</t>
  </si>
  <si>
    <t>Se registró una explosión de una caldera en unos baños públicos del municipio Valle de Chalco, se reportan 2 personas muertas y tres lesionados.</t>
  </si>
  <si>
    <t>Xalapa</t>
  </si>
  <si>
    <t>Se registró una explosión en el municipio de Xalapa, debido a la explosión se reporta una persona muerta y 6 lesionadas, la explosión causo daños en 25 viviendas, de las cuales 6 presentan afectaciones importantes.</t>
  </si>
  <si>
    <t>Españita</t>
  </si>
  <si>
    <t>Se registró la explosión de un polvorín en la localidad de la Coyotera, en el municipio de Españita, se reportan 7 personas fallecidas.</t>
  </si>
  <si>
    <t>Villa de Tezontepec</t>
  </si>
  <si>
    <t>Se reportó la explosión de artificios pirotécnicos en una casa habitación en el centro del municipio de Villa de Tezontepec. Cuatro personas lesionadas fue el saldo de esta asi como el daño de dos viviendas.</t>
  </si>
  <si>
    <t>Tlaltenango de Sánchez Román</t>
  </si>
  <si>
    <t>Se reportó una explosión en una escuela primaria del municipio de Tlaltenango de Sánchez Román, se reportan un total de nueve personas lesionadas.</t>
  </si>
  <si>
    <t>Mexicali</t>
  </si>
  <si>
    <t>Se registró una explosión en el municipio de Mexicali la cual afectó 6 viviendas, se desconoce el origen de la explosión.</t>
  </si>
  <si>
    <t>Se registró una explosión debido a que un negocio se inundo , el negocio manejaba productos químicos que al mezclarse hicieron reacción y explotaron, se reporta una persona herida.</t>
  </si>
  <si>
    <t>Se registró una explosión en una bodega clandestina de artificios pirotécnicos, en la cual fallecieron 5 personas y 7 resultaron lesionadas, tambien se vieron afectados tres inmuebles de los cuales se evacuó a 70 personas.</t>
  </si>
  <si>
    <t>Se registró una explosión por acumulamiento de gas en el municipio de Huamantla, se repotaron 4 personas lesionadas.</t>
  </si>
  <si>
    <t>San Miguel Atlautla</t>
  </si>
  <si>
    <t>Se registró una explosión en el municipio de San Miguel Atlautla, esta se ocasionó debido a el mal manejo de artificios pirotécnicos. A consecuencia de la explosión, una persona perdio la vida y 6 más resultaron lesionadas.</t>
  </si>
  <si>
    <t>Guadalajara</t>
  </si>
  <si>
    <t>Se reportó una explosión en un contenedor de la emp´resa embotelladora AGA en el municipio de Guadalajara, se reporta una persona lesionada.</t>
  </si>
  <si>
    <t>Se registró un incendio en una bodega de la Secretaría de Marina, se reportan 8 personas intoxicadas</t>
  </si>
  <si>
    <t>Se reportó una explosión en una fábrica que maneja productos químicos, se reportan 3 personas lesionadas.</t>
  </si>
  <si>
    <t>Se registró una explosión en el centro del municipio de Puebla, un menor resultó lesionado.</t>
  </si>
  <si>
    <t>Se registró la explosión de un barco camaronero en el puerto de Tampico, se reporta una persona fallecida</t>
  </si>
  <si>
    <t>Se registró una explosión en una fábrica de alimentos, la explosión fue ocsionada por un tanque de gas de 500K, se reportan 4 personas lesionadas y 3 más con crisis nerviosa.</t>
  </si>
  <si>
    <t>San Nicolás de los Garza</t>
  </si>
  <si>
    <t>Se registró una explosión en el interior de un restaurante en el municipio de San Nicolás de los Garza resultando lesionadas 4 personas.</t>
  </si>
  <si>
    <t>Se registró una explosión originada por una fuga de gas en la delegación Xochimilco, como medida preventiva se evacuaron 200 personas, como resultado de la explosión 2 personas resultaron lesionadas.</t>
  </si>
  <si>
    <t xml:space="preserve"> Huejutla de Reyes</t>
  </si>
  <si>
    <t>Se registró una explosión de artificios pirotécnicos en el municipio de Huejutla de Reyes, se reportan 14 personas lesionadas.</t>
  </si>
  <si>
    <t>se registró una explosión en la delegación Álvaro Obregón en un departamento lesionando a dos personas.</t>
  </si>
  <si>
    <t>Coatzacoalcos</t>
  </si>
  <si>
    <t>Se registraron tres explosiones en el área de quemadores del complejo petroquímico pajaritos en el municipio de Coatzacoalcos, resultaron 8 trabajadores lesionados y uno más con crisis nerviosa.</t>
  </si>
  <si>
    <t>Se registró una explosión en el municipio de Nogales, al parecer originada por una fuga que presento un carro tanque con aproximadamente 500 litros de gas L.P. Se reportan 14 viviendas y 16 vehículos afectados.</t>
  </si>
  <si>
    <t>Tuxpan</t>
  </si>
  <si>
    <t>Se registró una explosión de fuegos pirotécnicos en el municipio de Tuxpan en la cual fallecieron 5 personas y otras 8 resultaron heridas, así mismo se reportó la caída de 4 inmuebles.</t>
  </si>
  <si>
    <t>Texcoco</t>
  </si>
  <si>
    <t>Se registró la explosión de un polvorín en el municipio de Texcoco, se reportó una persona lesionada.</t>
  </si>
  <si>
    <t>Se registró una explosión de una tanque de gas LP de 15 kg en el municipio Centro, se reportan 3 estudiantes lesionados.</t>
  </si>
  <si>
    <t>Tula de Allend</t>
  </si>
  <si>
    <t>Se registró una explosión en la refineria Miguel Hidalgo ubicada en el municipio de Tula de Allende, debido a la explosión se reporta la muerte de una persona y 4 personas lesionadas.</t>
  </si>
  <si>
    <t>Huanímaro</t>
  </si>
  <si>
    <t>Se registró la explosión de un taller de artificios pirotécnicos en el municipio de Huanímaro, se reporta una perona lesionada.</t>
  </si>
  <si>
    <t>Se registró la explosión de una camioneta de 3 y media toneladas que transportaba juegos pirotécnicos, se reportan 3 personas lesionadas y un menor fallecido.</t>
  </si>
  <si>
    <t>Se registró la explosión de un tanque de gas estacionario de 300 litros, se reportan dos personas lesionadas.</t>
  </si>
  <si>
    <t>Fuga de pegamento para embobinados en la delegación Tlahuac, se reportaron 4 niños intoxicados.</t>
  </si>
  <si>
    <t>Guaymas</t>
  </si>
  <si>
    <t>Se registró una fuga de Amoniaco en las instalaciones de una planta pesquera, localizada en el municipio de Guaymas</t>
  </si>
  <si>
    <t>Una camioneta van azul arrojo un gas no identificado en la colonia Voluntad y Trabajo 1. Resultando afectadas 126 personas por intoxicación.</t>
  </si>
  <si>
    <t>Culiacán</t>
  </si>
  <si>
    <t>Se registró una fuga de material tóxico en el municipio de Culiacán, en unas bodegas abandonadas que contenian agro-químicos, como resultado, hubo 3 personas intoxicadas.</t>
  </si>
  <si>
    <t>Se registró una fuga de Amoniaco en la Hielera "Durán" La fuga se provocó al llenar los tanques por falla de una válvula</t>
  </si>
  <si>
    <t>Ecatepec.</t>
  </si>
  <si>
    <t>Se registró la fuga de gas de una pipa de la empresa "Red gas", en el municipio de Ecatepec.</t>
  </si>
  <si>
    <t>Se registró una fuga de ácido clorhídrico a consecuencia de la volcadura del camión que lo transportaba. No se reportan daños mayores.</t>
  </si>
  <si>
    <t>Se registró una fuga de Ácido clorhídrico en la empresa "Químicos y solventes", se calcula que alrededor de 10,000 litros de producto fue el que se derramó, se evacuó a las empresas cercanas.</t>
  </si>
  <si>
    <t>Se registró un derrame de Diesel en un ducto de 16" de diámetro propiedad de PEMEX. Esto ocurrió en el municipio de Juchitlán, se estima que se derramaron entre 700 y 800 mil litros del producto.</t>
  </si>
  <si>
    <t>Alamo</t>
  </si>
  <si>
    <t>Se registró una fuga de crudo en el pozo 25 de PEMEX en el municipio de Alamo, se albergaron a 70 personas para prevenir daños mayores.</t>
  </si>
  <si>
    <t>Se registró el fallecimiento de 4 personas por inhalación de gas L.P. En el municipio de León.</t>
  </si>
  <si>
    <t>Se registró una fuga de amoniaco en una empresa pesquera ubicada en el municipio de Ensenada. Se reportaron 65 personas intoxicadas, así mismo, como medida preventiva se evacuó a 800 trabajadores de la misma empresa.</t>
  </si>
  <si>
    <t>Se registró la volcadura de un pipa que transportaba Gas butano resultando una persona lesionada, se presentó una fuga del gas la cual fue controlada por personal de la empresa.</t>
  </si>
  <si>
    <t>Se registró la volcadura de una pipa que transportaba 45 mil litros de monómero de etileno, la pipa presentó fuga por lo que se evacuó a 17 familias.</t>
  </si>
  <si>
    <t>Cuatitlán</t>
  </si>
  <si>
    <t>Se registró una fuga de gas natural en el municipio de Cuatitlán, como medida preventiva se evacuaron a 2000 personas en un radio de 1 km.</t>
  </si>
  <si>
    <t xml:space="preserve"> Agua Prieta</t>
  </si>
  <si>
    <t>Se reportó una fuga de gas natural en una industria en el muncipio de Agua Prieta, se evacuó a 350 personas, resultando 3 de estas intoxicadas.</t>
  </si>
  <si>
    <t>Cuernavaca,</t>
  </si>
  <si>
    <t>Se presento un incendio en tres casas de lámina de cartón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</si>
  <si>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</si>
  <si>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originó por una fuga de gas en alguno de los domicilios.</t>
  </si>
  <si>
    <t>Corregidora</t>
  </si>
  <si>
    <t>S e registro incendio forestal en el municipio de Corregidora, se reporta una persona lesionada.</t>
  </si>
  <si>
    <t>Tequisquiapan y San Juan del Río</t>
  </si>
  <si>
    <t>Se registro un incendio forestal en los municipios de Tequisquiapan y San Juan del Río.</t>
  </si>
  <si>
    <t>Tequisqiapan y Amealco.</t>
  </si>
  <si>
    <t>Incendio forestal en varias comunidades, principalmente en los municipios de Tequisqiapan y Amealco.</t>
  </si>
  <si>
    <t>Amealco</t>
  </si>
  <si>
    <t>Se registro un incendio forestal en el municipio de Amealco, no se reportaron daños humanos.</t>
  </si>
  <si>
    <t>Tequisquiapan</t>
  </si>
  <si>
    <t>Se reporto un incendio forestal en el municipio de Tequisquiapan, no se reportan daños humanos.</t>
  </si>
  <si>
    <t>Huitzuco</t>
  </si>
  <si>
    <t>Se registro un incendio forestal en el municipio de Huitzuco</t>
  </si>
  <si>
    <t>Se registraron incendios forestales en diversas comunidades, no se reportaron daños humanos.</t>
  </si>
  <si>
    <t>Se registro un incendio forestal en la comunidad de San Antonio Siho, no se reportan daños humanos.</t>
  </si>
  <si>
    <t>Se registró un incendio en la fábrica de encendedores y cosméticos "Evatzs". Provocando que un bombero saliera herido</t>
  </si>
  <si>
    <t>Se registro un incendio en tres locales comerciales, los cuales se dedicaban a la venta de telas, madera y herrajes, ocacionando la pérdida de toda la mercancía y quemando los locales en su totalidad.</t>
  </si>
  <si>
    <t>Se reporto un incendio forestal en el Municipio de Guadalupe cercano a la comunidad de San Ramón, no se reportan daños humanos.</t>
  </si>
  <si>
    <t>Se registrarón varios incendios forestales en diversos municipios del estado.</t>
  </si>
  <si>
    <t>Zitlaltepec</t>
  </si>
  <si>
    <t>Se informó de un incendio forestal en el municipio de Zitlaltepec, no se reportaron daños humanos.</t>
  </si>
  <si>
    <t>Yobain</t>
  </si>
  <si>
    <t>Se registro un incendio en el municipio de Yobain que afectó algunas hectáreas de henequén y pastizales.</t>
  </si>
  <si>
    <t>Se registraron 84 incendios forestales en diversos municipios</t>
  </si>
  <si>
    <t>Teopisca y La Concordia</t>
  </si>
  <si>
    <t>Incendio forestal en los municipios de Teopisca y La Concordia</t>
  </si>
  <si>
    <t xml:space="preserve">FONDEN </t>
  </si>
  <si>
    <t>Conkal-Kantuina y Muxupip</t>
  </si>
  <si>
    <t>Se reporto un incendio forestal en los municipios de Conkal-Kantuina y Muxupip, no se reportaron daños humanos.</t>
  </si>
  <si>
    <t>andelaria, Calkmul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</si>
  <si>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</si>
  <si>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</si>
  <si>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</si>
  <si>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habitación de tres niveles en donde se maquilaban y almacenaban telas.</t>
  </si>
  <si>
    <t>San Miguel Chimalapa</t>
  </si>
  <si>
    <t>Se reporto un incendio forestal en el Municipio de San Miguel Chimalapa, no se reportaron daños humanos.</t>
  </si>
  <si>
    <t>Recuento de incendios forestales de Oaxaca en el periodo de Enero a Marzo, en diversos parajes y municipios</t>
  </si>
  <si>
    <t>Recuento de incendios forestales de Puebla en el periodo del 17 de Enero al 12 de Marzo, en diversos parajes y municipios</t>
  </si>
  <si>
    <t>Candelaria y Champotón</t>
  </si>
  <si>
    <t>Se reportaron incendios forestales en los municipios de Candelaria y Champotón, no se reportan perdidas humanas.</t>
  </si>
  <si>
    <t>Amatepec</t>
  </si>
  <si>
    <t>Se registró un incendio en el municipio de Amatepec en el paraje "Cerro de la Cruz", no se reportan daños humanos</t>
  </si>
  <si>
    <t>Se reportan diversos incendios forestales varios municipios, no hay daños humanos</t>
  </si>
  <si>
    <t>Jaumave</t>
  </si>
  <si>
    <t>Se reporto incendio forestal en el municipio de Jaumave el cual ha consumido varias hectáreas, no hay daños humanos</t>
  </si>
  <si>
    <t>Se registro incendio forestal en el municipio de Ciudad Valles. No hay daños humanos.</t>
  </si>
  <si>
    <t>Se reportaron 38 incendios forestales, los cuales ya fueron controlados, estos se presentaron en diversos municipios</t>
  </si>
  <si>
    <t>Se registro un incendio en una fábrica de pigmentos para zapatos.</t>
  </si>
  <si>
    <t>En el periodo de Enero al 23 de Marzo del 2003 se registraron varios incendios forestales en diversas localidades.</t>
  </si>
  <si>
    <t>Zinacatepec y Toluca</t>
  </si>
  <si>
    <t>Se reportaron incendios forestales en los municipios de Zinacatepec y Toluca.</t>
  </si>
  <si>
    <t>Uruapan</t>
  </si>
  <si>
    <t>Se registro un incendio en en una casa habitación en el municipio de Uruapan se reportaron 3 menores fallecidos.</t>
  </si>
  <si>
    <t>Tlaquepaque,</t>
  </si>
  <si>
    <t>Se registro un incendio en una fábrica de velas en el municipio de Tlaquepaque, se reportan 3 personas lesioandas.</t>
  </si>
  <si>
    <t>Venustiano Carranza.</t>
  </si>
  <si>
    <t>Se registro un incencio en un taller de servicio eléctrico en la delegación Venustiano Carranza.</t>
  </si>
  <si>
    <t>Jerecuaro.</t>
  </si>
  <si>
    <t>Incendio forestal en el municipio de Jerecuaro.</t>
  </si>
  <si>
    <t>Tijuana,</t>
  </si>
  <si>
    <t>Incendio en una vecindad en el municipio de Tijuana, se reportan 8 personas muertas y dos lesionadas.</t>
  </si>
  <si>
    <t>Incendios en Campeche, hasta el momento se han controlado 5 de los 8 incendios de relevancia, se sigue atacando a los otros tres.</t>
  </si>
  <si>
    <t>Incendo Urbano en 6 bodegas de la delegación Iztapalapa</t>
  </si>
  <si>
    <t>San Miguel Chimalapa, Santo Domingo Tepuxtepec</t>
  </si>
  <si>
    <t>Se registrarón incendios forestales en los municipios de San Miguel Chimalapa, Santo Domingo Tepuxtepec</t>
  </si>
  <si>
    <t>Incendio forestal que consumió 70 hectáreas de pastizales en el municipio de La Paz, No se reportan daños Humanos.</t>
  </si>
  <si>
    <t>Concordio y Jitoto</t>
  </si>
  <si>
    <t>Incendio forestal en los municipios de Concordio y Jitotol. No se reportan daños humanos.</t>
  </si>
  <si>
    <t>Incendio forestal en el municipio de Amealco</t>
  </si>
  <si>
    <t>Cuauhtemoc</t>
  </si>
  <si>
    <t>Incendio Urbano en un local de telas de la delegación Cuauhtemoc Col. Centro. Se reportan dos personas intoxicadas.</t>
  </si>
  <si>
    <t>Cintalapa, Ocozocuautlla, Concordia, Villacorso y Arriaga</t>
  </si>
  <si>
    <t>Incendio forestal en los municipio de Cintalapa, Ocozocuautlla, Concordia, Villacorso y Arriaga, Areas forestales</t>
  </si>
  <si>
    <t>San Pedro Lagunillas</t>
  </si>
  <si>
    <t>Incendio en la planta de Coragas, S.A. De C.V. Causado por un individuo que estaba perturbado de sus facultades mentales, esto en el municipio de San Pedro Lagunillas</t>
  </si>
  <si>
    <t>Victoria.</t>
  </si>
  <si>
    <t>Incendio forestal en el municipio de Victoria.</t>
  </si>
  <si>
    <t>Incendio urbano en un edificio de la delegación Cuauhtemoc en la colonia Centro. 60 personas fueron evacuadas y se les dio albergue.</t>
  </si>
  <si>
    <t>Se registro un accidente urbano entre un transporte público y el ferrocarril de la empresa PCN en el municipio de Saltillo</t>
  </si>
  <si>
    <t>Cueramaro</t>
  </si>
  <si>
    <t>Incendio forestal en el municipio de Cueramaro</t>
  </si>
  <si>
    <t>gnacio ZaragozA</t>
  </si>
  <si>
    <t>Incendio forestal en el municipio de Ignacio Zaragoza.</t>
  </si>
  <si>
    <t>Hasta el 30 de Abril se reportan todos los incendios extinguidos, el saldo hasta el momento es de 2,933 hectáreas dañadas.</t>
  </si>
  <si>
    <t>Cintalapa, Ocozocuautla, Juquipilas, Chicomuselo, Ocosingo y Siltepec</t>
  </si>
  <si>
    <t>Incendios forestales en los municipios de Cintalapa, Ocozocuautla, Juquipilas, Chicomuselo, Ocosingo y Siltepec</t>
  </si>
  <si>
    <t>Incendio forestal en diversas comunidades del estado, no se reportan daños humanos.</t>
  </si>
  <si>
    <t>Se reportaron varios incendios forestales, los cuales afectaron los cultivos de 574 familias, hasta la fecha siguen los trabajos de extinción y control.</t>
  </si>
  <si>
    <t>Concentrado de la temporada de incendios forestales</t>
  </si>
  <si>
    <t>Se reportan varios incendios en distintas localidades, al momento ya todos han sido extinguidos.</t>
  </si>
  <si>
    <t>Othón P. Blanco</t>
  </si>
  <si>
    <t>Incendio forestal en el municipio de Othón P. Blanco. No se reportan daños humanos</t>
  </si>
  <si>
    <t>Ocampo y San Buenaventura</t>
  </si>
  <si>
    <t>Incendio forestal en los municipios de Ocampo y San Buenaventura, los incendios se reportan controlados y extinguidos.</t>
  </si>
  <si>
    <t>Múzquiz, Zaragoza y Nadadores</t>
  </si>
  <si>
    <t>Incendios en los municipios de Múzquiz, Zaragoza y Nadadores</t>
  </si>
  <si>
    <t>Ensenada y Tecate.</t>
  </si>
  <si>
    <t>Se registraron varios incendios forestales emn los municipios de Ensenada y Tecate.</t>
  </si>
  <si>
    <t>Se registro un incendio forestal en el Cerro Zacatepec en la delegación Coyoacán, no se reportan daños humanos</t>
  </si>
  <si>
    <t>Se registro un incendio forestal en varios municipios, no se reportan pérdidas humanas</t>
  </si>
  <si>
    <t>Calvillo</t>
  </si>
  <si>
    <t>Se reporto un incendio forestal en el municipio de Calvillo, no se reportan daños humanos.</t>
  </si>
  <si>
    <t>Cuauhtémoc</t>
  </si>
  <si>
    <t>Se registro un incendio en el Teatro Colonial ubicado en eje central número 9, delegación Cuauhtémoc, se reporta una persona lesionada.</t>
  </si>
  <si>
    <t>Ensenada y Tecate-Tijuana.</t>
  </si>
  <si>
    <t>Incendios forestales en los municipios de Ensenada y Tecate-Tijuana.</t>
  </si>
  <si>
    <t>Se reportaron varios incendios forestales en diversos municipios.</t>
  </si>
  <si>
    <t>En los municipios de Tecate y Mexicali se registró un incendio en el basurero municipal, además se registraron 3 incendios forestales que afectaron un total de 249 hectáreas</t>
  </si>
  <si>
    <t>Se registraron varios incendios forestales en varios municipios del Estado.</t>
  </si>
  <si>
    <t>Se registro un incendio urbano en la delegación Cuauhtémoc, una persona lesionada</t>
  </si>
  <si>
    <t>Tecate</t>
  </si>
  <si>
    <t>Se reporto un incendio forestal en el municipio de Tecate en el cañon denominado "Bill"</t>
  </si>
  <si>
    <t>Se reporto un incendio industrial en la embotelladora de CocaCola en el municipio de Chihuahua resultando una persona intoxicada.</t>
  </si>
  <si>
    <t>Se reportó un incendio urbano en la embotelladora de Coca Cola, no se reportan daños humanos. Los daños materiales estan en proceso de cuntificación.</t>
  </si>
  <si>
    <t>Se reporto un incendio industrial en la zona industrial del municipio de Nezahualcoyotl, se reportan 2 personas lesionadas.</t>
  </si>
  <si>
    <t>Se reportó un incendio en un anexo del hospital Durango ubicado en la Delegación Cuauhtemoc, una persona resultó intoxicada.</t>
  </si>
  <si>
    <t>Zapotitlán,</t>
  </si>
  <si>
    <t>Se registró un incendio en las camaras de refrigeración de un restaurante en el municipio de Zapotitlán, se reportan 12 personas lesionadas, se registraron daños en el inmueble y en 13 vehículos.</t>
  </si>
  <si>
    <t>Tijuana</t>
  </si>
  <si>
    <t>Se registró un incendio de 8 viviendas en la colonia Las Torres en el municipio de Tijuana. Se evacuó a 52 personas.</t>
  </si>
  <si>
    <t>Tijuana y Ensenada</t>
  </si>
  <si>
    <t>Se reportó incendio forestal en los municipios de Tijuana y Ensenada, se reportan 11 personas intoxicadas y 14 viviends calcinadas, se habilitó un albergue en la comunidad de "El Sauzal"</t>
  </si>
  <si>
    <t>Se registró un incendio en una fábrica de cacahuates, se reportan 3 personas con quemaduras de primer grado.</t>
  </si>
  <si>
    <t>Se registró un incedio en la Torre Acuario, al estar soldando una lona. Se reportan 4 personas lesionadas y tres fallecimientos.</t>
  </si>
  <si>
    <t>Se registró un incendio en una vivienda de matrial endeble en el municipio de Ciudad Juárez, como medida preventiva se evacuó a 29 familias, se reporta una persona lesionada, así como 4 personas fallecidas.</t>
  </si>
  <si>
    <t>Se registró un incendio en una bodega de plásticos ubicada en la delagación Iztapalapa en el cual 4 bomberos resultaron heridos.</t>
  </si>
  <si>
    <t>Se registró un incendio en una empresa de autopartes, se reporta un bombero lesionado, como medida preventiva se acordonó la zona en un área de 250 metros a la redonda.</t>
  </si>
  <si>
    <t>Se registró un incendio en el municipio de Naucalpan resultando quemadas 35 viviendas y se evacuó a 186 personas.</t>
  </si>
  <si>
    <t>Se reportaron incendios forestales en varios municipios del estado se reportan 45 hectáreas de pastizales afectadas</t>
  </si>
  <si>
    <t>Benito Juárez</t>
  </si>
  <si>
    <t>Se reportó un incendio en el mercado Benito Juárez que consumió 24 locales de diversos giros comerciales, no se repotaron daños humanos.</t>
  </si>
  <si>
    <t>Se registró un flamazo en el interior de una plaza comercial en el municipio de Guadalajara, se reporta una persona lesionada.</t>
  </si>
  <si>
    <t>Santa María del Río</t>
  </si>
  <si>
    <t>Se detectó un derrame de 8,000 Lts. De gasolina en el ducto de PEMEX ubicado en el Km 143 de la carreter Querétaro- San Luis Potosí en el municipio Santa María del Río.</t>
  </si>
  <si>
    <t>Debido a la volacadura de una pipa que contenia ácido sulfúrico, se derramaron 19,000 litros del producto, se usaron 4 toneladas de cal para neutralizar el producto. Se reporto una persona lesionada.</t>
  </si>
  <si>
    <t>Se derramaron 14 mil litros de ácido Clorhídrico dentro de una empresa, no se reportan daños mayores.</t>
  </si>
  <si>
    <t>Tlaltenango</t>
  </si>
  <si>
    <t>Se registró la caída de un camión de pasajeros   en un barranco de aproximadamente  300 metros de profundidad en el municipio de Tlaltenango, se reportaron 18 personas fallecidas y 21 personas heridas.</t>
  </si>
  <si>
    <t>Sonoyta</t>
  </si>
  <si>
    <t>Se registró el choque entre un autobús de pasajeros y un trailer de frente que transportaba tubos de acero en el municipio de Sonoyta resultando 18 personas fallecidas y 16 personas lesionadas.</t>
  </si>
  <si>
    <t xml:space="preserve"> Concepción del Oro</t>
  </si>
  <si>
    <t>Se registró la volcadura de un camión de pasajeros el cual cayó a un barranco de más de 70 metros en el muncipio de Concepción del Oro, se reportan 18 personas lesionadas y 15 personas fallecidas.</t>
  </si>
  <si>
    <t>Se desprendió una pipa de gas butano de su trailer, lo que provocó una explosión que alcanzó a otro trailer que transportaba cerveza y un autobus ADO con 40 pasajeros abordo, se reporta la muerte de 12 personas y 28 personas heridas</t>
  </si>
  <si>
    <t>San Pedro.</t>
  </si>
  <si>
    <t>Se registró un alcance entre un autobús de pasajeros contra un trailer en el municipio de San Pedro.</t>
  </si>
  <si>
    <t>Zapotlan del Rey</t>
  </si>
  <si>
    <t>Se registro un accidente carretero en el municipio de Zapotlan del Rey. 9 personas murieron calcinadas, ya que el autobús de pasajeron se incendio al momento del impacto.</t>
  </si>
  <si>
    <t>Catemaco</t>
  </si>
  <si>
    <t>Una embarcación con 17 personas abordo naufragó en el municipio de Catemaco, se reportan 8 personas fallecidas y 9 lesionados.</t>
  </si>
  <si>
    <t>Tuzantla</t>
  </si>
  <si>
    <t>Se registró la volcadura de un autobús rural de la compañía Estrella del sur en el tramo carretero Olivos-Zitacuaro en el municipio de Tuzantla, debido al accidente se reportaron 8 personas fallecidas y 4 personas heridas.</t>
  </si>
  <si>
    <t>Tecalitlan</t>
  </si>
  <si>
    <t>Se registró el desplome de una avioneta en el municipio de Tecalitlan, se reporta el fallecimiento de las ocho personas que viajaban abordo.</t>
  </si>
  <si>
    <t>Durango.</t>
  </si>
  <si>
    <t>Se registró la volcadura de un autobús por exceso de velocidad, se reeportan 7 muertos y 35 lesionados, esto ocurrió en la carrtera Durango-Mazatlán en el municipio de Durango.</t>
  </si>
  <si>
    <t>Se reportó el choque de un trailer y una camioneta en el municipio de Cd. Del Cármen se reportan 7 personas fllecidas y 6 heridos.</t>
  </si>
  <si>
    <t>Centla</t>
  </si>
  <si>
    <t>Se registró un accidente carretero entre un trailer y una combi en el municipio de Centla en el cual 7 personas perdieron la vida y otras 5 resultaron heridas.</t>
  </si>
  <si>
    <t xml:space="preserve">A consecuencia del periodo vacacional de semana santa en el estado de Jalisco se reportaron 7 personas muertas por distintas razones, 2 heridos y un desaparecido. </t>
  </si>
  <si>
    <t>Zinacantepec</t>
  </si>
  <si>
    <t>Se reportó un accidente caretero en el municipio de Zinacantepec en el cual perdieron la vida siete personas.</t>
  </si>
  <si>
    <t>Monterrey</t>
  </si>
  <si>
    <t>Debido al campeonato de futbol obtenido por el equipo de Monterrey, se registraron 7 fallecimientos en los festejos, se desconocen las causas que originaron la muerte de las personas.</t>
  </si>
  <si>
    <t>Villanueva,</t>
  </si>
  <si>
    <t>Un avión tipo Hercules de la Fuerza Aérea Mexicana se incendio en pleno vuelo y cayó en el municipio de Villanueva, la tripulación que constaba de seis personas falleció.</t>
  </si>
  <si>
    <t>Santa Maía el Oro</t>
  </si>
  <si>
    <t>Se registró el choque de un autobús de pasajeros volvo contra un camión Torton en el Municipio de Santa Maía el Oro, se reportan 5 muertos y 61 heridos.</t>
  </si>
  <si>
    <t>Se registró la volcadura de un autobús el la carretera Morelia- Patzcuaro en el municipio de Morelia, se reportan 22 personas lesionadas y 5 fallecidos.</t>
  </si>
  <si>
    <t>Se registro la explosión de una pipa que transportaba gas L.P. En la autopista México- Toluca. Se reportan 5 personas fallecidas y 11 heridos.</t>
  </si>
  <si>
    <t>Quince estudiantes de la Universidad Autónoma de Guerrero originarios de Chilpancingo perdieron la vida al sufir un accidente automovilistico en el municipio de Acapulco, como resultado hubo 10 estudiantes heridos y los 5 fallecidos</t>
  </si>
  <si>
    <t>Jonuta.</t>
  </si>
  <si>
    <t>Se registró la volcadura de una camioneta Ford, tipo Pick up en la carretera Villahermosa-Escárcega en el municipio de Jonuta. Se reportan 5 personas fallecidas.</t>
  </si>
  <si>
    <t>Desplome de una avioneta tipo CESSNA 185 propiedad del gobierno de Chiapas, a consecuencia de esto 5 personas perdieron la vida, entre ellos el Secretario de Atención a los Pueblos Indígenas Porfirio Encino Hernandez.</t>
  </si>
  <si>
    <t>Debido al periodo vacacional de semana santa ocurrieron diversos accidentes que dejaron como saldo un total de cinco personas fallecidas.</t>
  </si>
  <si>
    <t>Motul.</t>
  </si>
  <si>
    <t>Se registró la volcadura de un camión de turismo dende resultaron 4 muertos y 23 heridos. Esto en el municipio de Motul.</t>
  </si>
  <si>
    <t>Tamazula,</t>
  </si>
  <si>
    <t>Se registró un accidente aereo cuando una avioneta tipo CESNA se desplomó en el municipio de Tamazula, se reportan 4 personas fallecidas y 2 lesionadas.</t>
  </si>
  <si>
    <t>San Miguel Chilapa y Santo Domingo Tepuxtepec</t>
  </si>
  <si>
    <t>Se registraron varios incendios forestales en los municipios de San Miguel Chilapa y Santo Domingo Tepuxtepec, se reportan 4 personas fallecidas y dos lesionadas</t>
  </si>
  <si>
    <t>Emiliano Zapata</t>
  </si>
  <si>
    <t>Se registró el desplome de un avioneta particular en el poblado de Tepetzingo en el Municipio de Emiliano Zapata, se reportan 4 personas fallecidas.</t>
  </si>
  <si>
    <t>Tlayacapan</t>
  </si>
  <si>
    <t>Se registró la volcadura de un autobús de pasajeros en la carretera Xochimilco Oaxtepec en el municipio de Tlayacapan resultando 3 personas fallecidas y 35 lesionadas.</t>
  </si>
  <si>
    <t>Se registró un choque por alcance entre dos camiones torton en el km. 69.5 de la autopista México - Puebla, resultando 30 personas lesionadas y 3 muertos.</t>
  </si>
  <si>
    <t>Se registró la volcadura de un autobús, el cuál cayó a un barranco de 50 metros en el municipio de Zitácuaro. Se reportan 3 personas fallecidas y 21 lesionadas</t>
  </si>
  <si>
    <t>Nicolás Bravo</t>
  </si>
  <si>
    <t>Se repotó la volcadura de un autobús de pasajeros en el municipio de Nicolás Bravo, se reportam 23 personas afectadas, de las cuales 3 fallecieron.</t>
  </si>
  <si>
    <t>Se registró el impacto de un vehículo militar contra un trailer, en el municipio de Benito Juárez, se reportan 3 muertos y 6 lesionados.</t>
  </si>
  <si>
    <t>Se registró el desplome de una avioneta tipo CESSNA, hasta el momento se reportan 3 fallecimientos y todavía hay 5 desaparecidos.</t>
  </si>
  <si>
    <t>Se registró el desplome de una avioneta de la SEDENA que realizaba un vuelo de reconocimiento. Fallecieron 3 personas y una mas aparecio con lesiones graves.</t>
  </si>
  <si>
    <t>Se registró el desplome de una avioneta tipo CESSNA después de abastecerse de combustible en el aeropuerto de Villahermosa. Se reportan 3 personas fallecidas</t>
  </si>
  <si>
    <t>Se reporta un accidente aéreo en el municipio de Othón P. Blanco se reportan 3 muertos.</t>
  </si>
  <si>
    <t>Acoyoacan</t>
  </si>
  <si>
    <t>Se reportó el fallecimiento de tres personas por inmersión en el municipio de Acoyoacan</t>
  </si>
  <si>
    <t>Maninalco.</t>
  </si>
  <si>
    <t xml:space="preserve">Se registró la volcadura de un autobús de pasajeros, dos personas fallecieron y 37 resultaron lesionadas. Esto sucedió en el municipio de Maninalco. </t>
  </si>
  <si>
    <t>A causa de las vacaciones de semana santa se registraron 7 accidentes autommovilisticos en los cuales hubo 32 personas lesionadas y dos muertas.</t>
  </si>
  <si>
    <t>Se reportó el choque de un autobús de pasajeros con la capilla de la comunidad de Huitzilac. Se reportan 2 personas fallecidas y 23 heridos.</t>
  </si>
  <si>
    <t>Choque entre un trailer y una pipa de gas la cual explotó, esto se registró en la carretera No:100 entre Janos y Agua Prieta. Se reportan 2 personas fallecidas y una persona herida.</t>
  </si>
  <si>
    <t>Irapuato</t>
  </si>
  <si>
    <t>Se registró una accidente vehícular en el municipio de Irapuato entre un remolque  tractocamión y un vehículo compacto resultando dos personas fallecidas y una mas lesionada.</t>
  </si>
  <si>
    <t>Se registró la caída de un avión anfibio ultraligero, el cual se impactó contra el hotel "Avalon Bay", los ocupantes del avión fallecieron de inmediato.</t>
  </si>
  <si>
    <t>Colula</t>
  </si>
  <si>
    <t>Se registró el desplome de un avión tipo Maule Perteneciente a la base aéra militar No. 5 de Zapopán, esto sucedió en el municipio de Colula.</t>
  </si>
  <si>
    <t>Se registró el derrumbe de un construcción en la colonia Portales, se reportan 2 personas fallecidas</t>
  </si>
  <si>
    <t>Tocumbo</t>
  </si>
  <si>
    <t>Desplome de una avioneta tipo CESSNA en el municipio de Tocumbo, sus dos tripulantes murieron.</t>
  </si>
  <si>
    <t>Pijijiapan</t>
  </si>
  <si>
    <t>Se registró la volcadura de una lancha debido al fuerte oleaje en el municipio de Pijijiapan, se reportan dos personas fallecidas.</t>
  </si>
  <si>
    <t>Choix</t>
  </si>
  <si>
    <t>Se registró el deplome de una avioneta en el municipio de Choix, los 2 tripulantes perdieron la vida.</t>
  </si>
  <si>
    <t>Se registró la volcadura de un trailer que trasportaba gasolina, en el accidente se incedio el trailer y sus dos tripulantes murieron calcinados.</t>
  </si>
  <si>
    <t>Se reportó el choque entre un autobús y una locomotora sobre la carretera Tizayuca - Temascalapa, se reportan dos peronas fallecidas.</t>
  </si>
  <si>
    <t>Evacuación de 20 domicilios por la construcción del distribuidor vial de San Antonio, esto como medida preventiva. También se reportó el fallecimiento de una persona y otra persona herida al desplomarse una de las trabes que estaba siendo colocada en el distribuidor</t>
  </si>
  <si>
    <t>Tila.</t>
  </si>
  <si>
    <t>Se registró la volcadura de un camión de pasajeros en el municipio deTila. Se reportan 39 personas lesionadas y 1 muerto.</t>
  </si>
  <si>
    <t>Se registró el choque de una autobús por exceso de velocidad en la parte trasera de un camión tipo toeton, en la carretera México- Querétaro. Resultando lesionados 27 niños y 2 adultos, una persona falleció.</t>
  </si>
  <si>
    <t>Se registró el descarrilamiento de 18 carros tanque, de los cuales 88 se volcarón y uno de ellos cayó sobre 4 viviendas ocasionando la muerte de una persona e hiriendo a otras seis, como medida preventiva fueron evacuadas 30 viviendas.</t>
  </si>
  <si>
    <t>Se registró la volcadura de un autobús escolar que se trasladaba a una excursión a las faldas del Popocatépetl, se reportó la muerte del conductor del autobús así como 25 menores lesionados</t>
  </si>
  <si>
    <t xml:space="preserve"> Juventino Rosas e Irapuato</t>
  </si>
  <si>
    <t>Se registraron dos accidentes carreteros en los municipios de Juventino Rosas e Irapuato, dejando como saldo a 1 persona muerta y 22 personas lesionadas.</t>
  </si>
  <si>
    <t>Buenavista</t>
  </si>
  <si>
    <t>Se registró la volcadura de un autobús en la carretera Morelos - Iguala en el municipio de Buenavista, se reportaron una persona muerta y 22 lesionadas.</t>
  </si>
  <si>
    <t>Se registró la volcadura de un autobús de pasajeros en el Km 19 de la carretera Celaya- Querétaro, se reportan 20 personas heridas y una fallecida.</t>
  </si>
  <si>
    <t>Oxochuc.</t>
  </si>
  <si>
    <t>Se registró un accidente carretero en el Km. 19 de la carretera San Cristóbal-Oxochuc, en el Municipio de Oxochuc. Se reportan 14 lesionados y un muerto.</t>
  </si>
  <si>
    <t>Bocoyna</t>
  </si>
  <si>
    <t>Se registró la volcadura de un autobús de pasajeros en el municipio de Bocoyna resultando una persona fallecida y 13 personas lesionadas.</t>
  </si>
  <si>
    <t>Se registró el choque entre dos autobuses de pasajeros en el Kilometro 40 de la carretera Zacatecas-Saltillo, Como resultado del accidente una persona perdió la vida y 7 personas resultaron heridas.</t>
  </si>
  <si>
    <t>Miguel Hidalgo</t>
  </si>
  <si>
    <t>Se registró un accidente aéreo en la delegación Miguel Hidalgo, uno de los tripulantes de la aeronave murió, y las seis personas heridas fueron transladadas al hospital ABC. En el accidente 4 vehículos sufrieron daños.</t>
  </si>
  <si>
    <t>Se registró el desplome de una avioneta tipo CESSNA en el municipio de Acapulco, se reporta una persona fallecida y tres lesionadas.</t>
  </si>
  <si>
    <t>Se reporta la volcadura de una pipa sobre la autopista México-Puebla en dirección a la capital transportaba etanol, el cual se derramo en su totalidad</t>
  </si>
  <si>
    <t>Chilpancingo</t>
  </si>
  <si>
    <t>Se reportó el desplome de una avioneta tipo CESNA en el zoológico del Estado se reporta una persona fallecida y 2 heridos, esto en el municipio de Chilpancingo.</t>
  </si>
  <si>
    <t>Volcadura de un camión de gas, que transportaba 300 cilíndros de gas vacíos en la carretera México- Cuautla, se reportaron una persona fallecida y una herida.</t>
  </si>
  <si>
    <t>Se reportó la volcadura de una pipa que transportaba 42,000 litros de chapopote en el municipio de Calvillo, el chofer de la pipa perdió la vida.</t>
  </si>
  <si>
    <t>Se registró el desplome de una avioneta en el cerro denominado "el mercado" en el municipio de Castaños.</t>
  </si>
  <si>
    <t>Se registró el suicidio de un ciudadano norteamericano veterano de la guerra de Vietnam.</t>
  </si>
  <si>
    <t>Se registró el desplome de un helicóptero en la plataforma Júpiter, el cual cayo al mar, en dicho incidente murio una persona.</t>
  </si>
  <si>
    <t>Se reportó la volcadura de un pipa que transportaba nitrógeno líquido ocasionando la fuga del producto y la muerte del conductor de la misma.</t>
  </si>
  <si>
    <t>A la altura del kilómetro 89 de la carretera Mexicali -Tecate se registró la volcadura de una pipa de gas LP. En el accidente falleció el conductor.</t>
  </si>
  <si>
    <t>Pedro Escobedo</t>
  </si>
  <si>
    <t>Se registró la volcadura de una pipa que transportaba gas en el municipio de Pedro Escobedo una persona perdió la vida.</t>
  </si>
  <si>
    <t>Se registró la volcadura de un tractocamión con un contenedor dque transportaba 41 mil litros de solvente Xileno, en el municipio de Ocoyoacac, el conductor perdió la vida en el percance y se recuperó únicamente el 20 % del producto.</t>
  </si>
  <si>
    <t>Pueblo Nuevo</t>
  </si>
  <si>
    <t>Se reportó la volcadura de un autobús de pasajeros linea Flecha Amarilla, El accidente tuvo lugar en la carretera Pueblo Nuevo- Irapuato, en el municipio de Pueblo Nuevo. Se reportan 40 personas lesionadas.</t>
  </si>
  <si>
    <t>Se registró un choque de un autobus de pasajeros contra un árbol resultando 36 personas heridas en el Kilómetro 35 de la carretra Santa Rosa- La Barca.</t>
  </si>
  <si>
    <t>Se registró un accidente entre un autobús de turismo y un camión Torton en la carretera Puebla-Orizaba como resultado hubo 23 personas lesionadas.</t>
  </si>
  <si>
    <t>Villaflores</t>
  </si>
  <si>
    <t>Se registró el impacto de una camioneta suburban con un árbol en el municipio de Villaflores, se reportaron 22 personas lesionadas.</t>
  </si>
  <si>
    <t>Colon</t>
  </si>
  <si>
    <t>Se reportó la volcadura de una camioneta que transportaba a los integrantes de un equipo de futbol a la comunidad de Palmas del municipio de Colon. 21 personas resultaron lesionadas.</t>
  </si>
  <si>
    <t>Se reporta el impacto entre en un camión de tres toneladas y una camioneta en la carretera Tuxtla Gutiérrez- San Cristóbal de las Casas. 20 personas lesionadas fue el saldo de este accidente.</t>
  </si>
  <si>
    <t>Se reportó una fuga de amoniaco en una empresa en el municipio de Guasave causando afectaciones en 20 personas.</t>
  </si>
  <si>
    <t>Choque de un autobús que transportaba 40 menores de una escuela contra un camión de pasajeros, en la delegación Iztapalapa, se reportaron 19 menores con pequeñas contusiones.</t>
  </si>
  <si>
    <t>Se registro un accidente carretero en el Km. 19+100 de la carretera Celaya-Querétaro, resultaron lesionadas 19 personas al impactarse un camión de pasajeros y un camión torton que contenía granos.</t>
  </si>
  <si>
    <t>Contepec</t>
  </si>
  <si>
    <t>Se registró un accidente carretero en la carretera Morelia- México en el municipio de Contepec, resultando lesionadas 15 personas</t>
  </si>
  <si>
    <t>San Fernando</t>
  </si>
  <si>
    <t>Accidente carretero se registró la volcadura de un autobús de pasajeros el cuál dejo como saldo a 14 personas lesionadas, esto tuvo lugar en el municipio de San Fernando.</t>
  </si>
  <si>
    <t>Tekit</t>
  </si>
  <si>
    <t>Se registró el desplome del casco viejo de una hacienda en el municipio de Tekit, se reportaron 13 personas lesionadas.</t>
  </si>
  <si>
    <t>Se reportó el hundimiento de un buque de la armada de México en el municipio de Chetumal, se reportan 12 desaparecidos.</t>
  </si>
  <si>
    <t>Se registró la volcadura de un autobús de pasajeros en el tramo carretero Isidro Fabela- Toluca, se reportaron 9 personas lesionadas.</t>
  </si>
  <si>
    <t>Se registró una carambola entre varios vehículos (2 tractocamiones, 1 pipa de Pemex, 1 pipa de agua, 1 camión rabon, 1 vagonena, 2 camionetas y un taxi). Se reportaron 7 personas lesionadas.</t>
  </si>
  <si>
    <t>Se registró el hundimiento de un yate denominado Akatiky, frente al fuerte San Diego, el motivo del accidente fue el exceso de pasajeros, 7 personas resultaron lesionadas.</t>
  </si>
  <si>
    <t>Se registró la volcadura de un microbús que transportaba 50 niños y 7 maestros de la escuela "Arturo Rosenberg", Como resultado 6 niños y una maestra salieron heridos.</t>
  </si>
  <si>
    <t>Se registró el impacto de 6 vehículos en el periférico sur en el municipio de Naucalpan, se reportan 6 personas lesionadas</t>
  </si>
  <si>
    <t>Se registró un accidente carretero en la carretera Atotonilco- Tototlan se reportan 5 personas lesionadas.</t>
  </si>
  <si>
    <t>Desplome de una avioneta tipo CESSNA que en los momentos en los que despegaba presento fallas mecánicas que originaron su caída, se reportan 5 personas lesionadas.</t>
  </si>
  <si>
    <t>Se reportó una fuga de gas L.P. En el municipio de Monterrey dejando como resultado 4 personas intoxicadas.</t>
  </si>
  <si>
    <t>Se reportó la volcadura de una embarcación en el municipio de Guaymas con 4 personas abordo, 2 de ellas pudieron llegar nadando a la costa durante la noche, las otras dos continuan desaparecidas.</t>
  </si>
  <si>
    <t>Se registró un accidente carretero en la carretera Salvatierra-Celaya se reportan 4 personas lesionadas.</t>
  </si>
  <si>
    <t>Se reportó el desplome de una avioneta en el municipio de Querétaro en la zona industrial, se reportan 4 personas lesionadas.</t>
  </si>
  <si>
    <t>Toluca</t>
  </si>
  <si>
    <t>Se reporta un accidente entre un camión de volteo y dos automóviles particulares en el municipio de Toluca, como resultado tres personas se lesionaron.</t>
  </si>
  <si>
    <t>Ayahualulco.</t>
  </si>
  <si>
    <t>Una avioneta del ejército y fuerza aérea mexicana se desplomó dejando lesionados a sus tres tripulantes, esto sucedió en el municipio de Ayahualulco.</t>
  </si>
  <si>
    <t>Se registró un accidente carretero en la carretera Colima- Manzanillo resultando 3 personas lesionadas.</t>
  </si>
  <si>
    <t xml:space="preserve"> Valle de Bravo</t>
  </si>
  <si>
    <t>Se registró el choque de una avioneta experimental de fabricación casera en el municipio de Valle de Bravo, en el que resultaron lesionadas 2 personas.</t>
  </si>
  <si>
    <t>Se registró una concentración Masiva debido a una peregrinación a la básilica de Guadalupe, se reportaron 2 personas lesionadas.</t>
  </si>
  <si>
    <t>Se registró el descarrilamiento de veintidos vagones de carga que transportaban trigo, maíz y almidón esparciendo la carga. Se reportan dos personas lesionadas.</t>
  </si>
  <si>
    <t>San Andrés Tuxtla</t>
  </si>
  <si>
    <t>Se registró el desplome de un helicóptero en el municipio de San Andrés Tuxtla, el piloto y copiloto resultaron heridos.</t>
  </si>
  <si>
    <t>Mezquitec.</t>
  </si>
  <si>
    <t>Se reportó el desplome de una avioneta en la comunidad de San Miguel Huastita, Municipio de Mezquitec.</t>
  </si>
  <si>
    <t>Se registró una explosión en casa habitación por acumulamiento de juegos pirotécnicos, resultando una persona lesionada</t>
  </si>
  <si>
    <t>Se reportó el derrumbe de un edificio en la delegación Cuauhtémoc en la Colonia Tránsito. Se colapso debido a lo antiguo de su estructura.</t>
  </si>
  <si>
    <t>Volcadura de una pipa que transportaba gas L.P., el conductor de la pipa resulto lesionado.</t>
  </si>
  <si>
    <t>Se desplomó el techo de una vivienda en la Delegación Cuauhtémoc, se reporta una persona lesionada.</t>
  </si>
  <si>
    <t>Se registró la volcadura de una pipa con capacidad de 22,000 litros, esta transportaba ácido sulfúrico, el accidente tuvo lugar en el municipio de Zacatecas, se reporta el derrame de 30% del producto, el conductor resulto lesionado.</t>
  </si>
  <si>
    <t>Los Reyes la Paz.</t>
  </si>
  <si>
    <t>Se reporta la volcadura de un trailer estando estacionado que debido al peso de la carga causo el incidente en el cual un motociclista resultó lesionado. En el municipio de Los Reyes la Paz.</t>
  </si>
  <si>
    <t>Tlaquepaque</t>
  </si>
  <si>
    <t>Se registro un accidente carretero en el municipio de Tlaquepaque, se reporta un lesionado.</t>
  </si>
  <si>
    <t>Se reportó la volcadura de un camión cisterna, en el accidente sólo resulto lesionado el conductor.</t>
  </si>
  <si>
    <t>Monclova</t>
  </si>
  <si>
    <t>Se reportó la volcadura de un tractocamión el cual transportaba 46,280 Kg de Nitrato de Amonio, derramandose aproximadamente el 50% del producto. Se reporta una persona lesionada. Todo esto en el municipio de Monclova.</t>
  </si>
  <si>
    <t>Se registró un accidente en el tramo carretero Totolapam - Camarón en el km 89 de la carretera federal 190, la pipa que transportaba 44,000 litros de gasolina cayó en un desfiladero y se presentó fuga del 50% del producto, el transvase se llevó acabo con apoyo de PEMEX.</t>
  </si>
  <si>
    <t>Se registró la volcadura de una pipa que transportaba 39,400 litros de gasolina, se presentó un derrame de 300 litros.</t>
  </si>
  <si>
    <t>Se registró la volcadura de una pipa que transpotaba 41,630 kg de gas L.P. No se presentó fuga del producto ni daños humanos.</t>
  </si>
  <si>
    <t xml:space="preserve">Epidemia </t>
  </si>
  <si>
    <t>Se reportaron cinco personas en observación en las instalaciones del Instituto Nacional de Enfermedades Respiratorias, por posible contagio del Síndrome respiratorio agudo severo.</t>
  </si>
  <si>
    <t>Zihuatlán.</t>
  </si>
  <si>
    <t>Se registran 58 personas intoxicadas por plaguicidas en el Rancho Galindo en el municipio de Zihuatlán.</t>
  </si>
  <si>
    <t>Se reportó una mortandad masiva de peces en la presa Buenavista, al parecer estaban contaminadas 20 toneladas de pescado, por lo que fueron quemadas, se tomaron muestras de agua para confirmar la muerte de los pescados.</t>
  </si>
  <si>
    <t>25 personas resultaron intoxicadas por consumir alimentos en mal estado</t>
  </si>
  <si>
    <t xml:space="preserve">Marea roja </t>
  </si>
  <si>
    <t>La marea roja mantiene paralizado el 50% de la flota pesquera del estado, es decir un total de 10 mil pescadores, los daños se calculan en más de 350 millones de pesos, debido a la interrupción en la industria pesquera, así como en el turismo hasta el momento no se reportan daños humanos.</t>
  </si>
  <si>
    <t>Se han detectado 18 casos de dengue hemorrágico en varios municipios del Estado, esto debido a la temporada de lluvias y el encharcamiento que da pie a la proliferación del mosquito. No se reportan defunciones</t>
  </si>
  <si>
    <t>Acala.</t>
  </si>
  <si>
    <t>26 personas resultaron intoxicadas por ingesta de alimentos en mal estado en el municipio de Acala.</t>
  </si>
  <si>
    <t>Se registró una fuerte lluvia en el municipio de Pichucalco afectando a 195 viviendas en sus enseres domésticos, además debido a la fuerte lluvia se presentó un deslave el cual se llevo a una vivienda construida con material endeble en la cual murieron 2 menores de edad. Se instaló un albergue en el cual estan refugiadas 11 personas.</t>
  </si>
  <si>
    <t>Cihuatlán</t>
  </si>
  <si>
    <t>Se reportó una fuerte lluvia con granizo en el municipio de Cihuatlán por lo que fue necesaria la evacuación de 32 personas. La unidad estatal ed Protección Civil ha entregado catres, cobijas y láminas galvanizadas a las familias afectadas.</t>
  </si>
  <si>
    <t>Debido a las bajas temperaturas se registró una nevada en la parte alta del cerro del ajusco, se desalojó a 29 personas del poblado de Parres en la delegación Tlalpan, ya que la nevada afectó techumbres de algunas viviendas.</t>
  </si>
  <si>
    <t>tijuana</t>
  </si>
  <si>
    <t>Se registraron fuertes lluvias en el municipio de tijuana, se esima que 200 familias fueron afectadas, se instaló un refugio temporal el cual albergó hasta 300 personas, por último se reportó la muerte de una persona al intentar cruzar un río.</t>
  </si>
  <si>
    <t>Villa de Zaragoza</t>
  </si>
  <si>
    <t>Se reportó una granizada en el municipio de Villa de Zaragoza afectando un total de 10 viviendas, no se repotan daños humanos, y se le apoyara a las familias afectadas con despensas y láminas.</t>
  </si>
  <si>
    <t>Suchilquitongo</t>
  </si>
  <si>
    <t>Se registraron lluvias con tormentas eléctricas en el municipio de Suchilquitongo Etla. Se reporta el fallecimiento de dos personas por impacto de rayo.</t>
  </si>
  <si>
    <t>Se registró una lluvia acompañada de fuertes vientos en la cual resultaron afectadas 6 viviendas. A las familias se les brindó apoyo con láminas de cartón y colchonetas.</t>
  </si>
  <si>
    <t xml:space="preserve"> Llera</t>
  </si>
  <si>
    <t>Se registró una granizada en el municipio de Llera en la cual 30 viviendas resultaron afectadas, las autoridades del municipio se encargaron de brindar apoyo a las familias afectadas como son: despensas, cobijas y láminas de cartón, Asó mismo en el municipio de San Carlos se presentaron daños en 25 viviendas, a las familias afectadas se les apoyo con atados de láminas, que en total sumaron 50.</t>
  </si>
  <si>
    <t>Debido a las fuertes lluvias acompañadas de fuertes vientos y descargas eléctricas se registraron varios árboles caidos y 97 viviendas afectadas</t>
  </si>
  <si>
    <t>Piedras Negras, San Juan de Sabinas, Sabinas y Zaragoza</t>
  </si>
  <si>
    <t>Se reportaron lluvias torrenciales en los municipios de Piedras Negras, San Juan de Sabinas, Sabinas y Zaragoza, así mismo se reporta inundación en dichos municipios. También se reportó la muerte de 38 personas por arrastre del río escondido principalmente, varias viviendas resultaron con daños en diferente grado, así mismo los daños se estiman en más de 80 millones de pesos.</t>
  </si>
  <si>
    <t xml:space="preserve"> Anahuac, China, General Teheran, General Bravo y Los Herrera</t>
  </si>
  <si>
    <t xml:space="preserve">Debido a las fuertes lluvias se registraron daños en  5 municipios del estado (Anahuac, China, General Teheran, General Bravo y Los Herrera) Resultando más afectado el municipio de Los Herrera en donde 120 viviendas sufrieron daños menores, así mismo mrieron 150 cabezas de ganado caprino y 110 vehículos fueron afectados. </t>
  </si>
  <si>
    <t>Se informa que debido a las lluvias, el Río Bravo aumentó su torrente y ocasionó el deceso de 2 personas en el municipio de Nuevo Laredo</t>
  </si>
  <si>
    <t>Chiconquiaco, Tonochtitlán, Acatlan y Coacoatzintla</t>
  </si>
  <si>
    <t>Se registraron lluvias fuertes y granizadas en los municipios de Chiconquiaco, Tonochtitlán, Acatlan y Coacoatzintla, debido a lo anterior se reportaron 800 viviendas afectadas en diversos grados y dalños en cultivos, así mismo se reportó una persona lesionada.</t>
  </si>
  <si>
    <t>Huhi y Sanahca</t>
  </si>
  <si>
    <t>Debido a las fuertes lluvias registradas en el municipio de Huhi y Sanahcat se reportaron 70 viviendas de material endeble afectadas.</t>
  </si>
  <si>
    <t>Coscomatepec, Los Reyes, Tequila, Orizaba, Perote, La Perla, Rafael Delgado, Ixhuatlancillo, Acultzingo, Ixtaczocuitlán, Nogales e Ixhuacán de lor Reyes</t>
  </si>
  <si>
    <t>Se registraron fuertes lluvias y granizadas en los municipios de Coscomatepec, Los Reyes, Tequila, Orizaba, Perote, La Perla, Rafael Delgado, Ixhuatlancillo, Acultzingo, Ixtaczocuitlán, Nogales e Ixhuacán de lor Reyes.  Se reportaron 2 personas lesionadas, 23 comunidades afectadas, 3,106 viviendas afectadas y 15,530 personas afectadas. Se apoyo a la población damnificada con 100 atados de lámina y 300 despensas.</t>
  </si>
  <si>
    <t xml:space="preserve"> Reynosa y Río Bravo </t>
  </si>
  <si>
    <t>Se presentaron fuertes lluvias en los municipios de Reynosa y Río Bravo por lo que sealbergaron a 23 y 192 personas respectivamente sin embargo la población evacuada fue superior a 1,500 habitantes.</t>
  </si>
  <si>
    <t>Ocosocuautla</t>
  </si>
  <si>
    <t>Se presentaron fuertes lluvias y granizada en el municipio de Ocosocuautla reportandose varias viviendas afectadas en sus techos</t>
  </si>
  <si>
    <t>Ecatepec</t>
  </si>
  <si>
    <t>Debido a las fuertes lluvias presentadas en el muncipio de Ecatepec 50 viviendas sufrieron afectaciones en sus techos por acumulación de granizo, los habitantes se negaron a ser alojados en un albergue.</t>
  </si>
  <si>
    <t xml:space="preserve"> Huejutla y Atlapexco</t>
  </si>
  <si>
    <t>Debido a las fuertes lluvias, varias viviendas sufrieron afectaciones (4 serám reubicadas y 51 presentaron daños en enseres domésticos) en los municipios de Huejutla y Atlapexco, se brindo refugio temporal a 90 personas.</t>
  </si>
  <si>
    <t xml:space="preserve"> 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</si>
  <si>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</si>
  <si>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</si>
  <si>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apoyó a la población damnificada con 150 colchonestas, 150 despensas y 150 cobertores. También se reportaron daños en 2 puentes.</t>
  </si>
  <si>
    <t xml:space="preserve"> Nogales, Tantoyuca y Tepetzintla</t>
  </si>
  <si>
    <t xml:space="preserve">Se reportaron fuertes lluvias en los municipios de Nogales, Tantoyuca y Tepetzintla, afectando a un total de 1250 viviendas con daño menor, así mismo se reportan daños en 165 hectáreas de cultivos de maíz, frijol y chicharo y 152 productores afectados. Se habilitaron dos refugios temporales. </t>
  </si>
  <si>
    <t>Omealca, Ixhuatlan e Ixcatepec</t>
  </si>
  <si>
    <t xml:space="preserve">Se reportaron fuertes lluvias con granizo en los muncipios de Omealca, Ixhuatlan e Ixcatepec, afectando a un total de 420 viviendas con daño parcial y 20 con daño total, así mismo se reportan daños parciales en una escuela primaria. También se registraron daños en 80 hectáreas de cultivos de plantas de ornato y daños en hectareas de maíz no cuantificados. </t>
  </si>
  <si>
    <t>Tenango del Valle</t>
  </si>
  <si>
    <t>Debido a las fuertes lluvias registradas en el municipio de Tenango del Valle, 100 viviendas sufrieron daños parciales y 10 daño total, la mayoría construidas con material endeble, así mismo se instalaron 5 refugios temporales en donde se atendió a un total de 700 familias, a las cuales se les apoyó con colchonetas, cobertores y despensas. Aí mismo se reportaron 10 personas lesionadas 1 deceso y 130 Km. de caminos y calles con afectaciones.</t>
  </si>
  <si>
    <t>Cacahuatan</t>
  </si>
  <si>
    <t>Debido a las fuertes lluvias en el municipio de Cacahuatan se vieron afectadas 67 viviendas, principalmente en sus enseres domésticos, no se instalaron refugios temporales.</t>
  </si>
  <si>
    <t>Charo</t>
  </si>
  <si>
    <t>Debido a las fuertes lluvias presnetadas en el municipio de Charo, 28 viviendas fueron afectadas en sus techumbres, no se habilitaron refugios temporales.</t>
  </si>
  <si>
    <t>Cd. Serdán</t>
  </si>
  <si>
    <t>Debido a la fuerte lluvia, la techumbre de una industria maquiladora se colapso, en dicho incidente se lesionaron 14 personas en el municipio de Cd. Serdán.</t>
  </si>
  <si>
    <t>Pedro Escobedo, Cadereyta y El Márquez</t>
  </si>
  <si>
    <t>Se registraron fuertes lluvias con granizo en los municipios de Pedro Escobedo, Cadereyta y El Márquez afectando a un total de 81 viviendas en diferentes grados.</t>
  </si>
  <si>
    <t>Almoloya</t>
  </si>
  <si>
    <t xml:space="preserve">Debido a las fuertes lluvias y granizo de entre 4 y 6 cm de diámetro se vieron afectadas varias viviendas en sus techos y enseres domésticos, esto sucedió en el municipio de Almoloya. En total fueron reportadas 129 viviendas. Se apoyó a las familias afectadas con láminas de cartón.  </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</si>
  <si>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</si>
  <si>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</si>
  <si>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así mismo se instalaron 2 refugios temporales en los cuales se atendió a un total de 51 personas</t>
  </si>
  <si>
    <t xml:space="preserve"> Singuilucan</t>
  </si>
  <si>
    <t>Se registraron fuertes lluvias con granizo en el municipio de Singuilucan afectando un total de 6 viviendas en techos y menaje de casa.</t>
  </si>
  <si>
    <t>Tepeapulco, Almoloya y Pachuca</t>
  </si>
  <si>
    <t>Se registraron fuertes lluvias con granizo en los muncipios de Tepeapulco, Almoloya y Pachuca, afectando a un total de 100 viviendas en  techos y enseres, y 3naves industriales.</t>
  </si>
  <si>
    <t>Axtlan de Terrazas</t>
  </si>
  <si>
    <t>Debido a las fuertes lluvias 85 viviendas sufrieron daños en sus techumbres y en enseres domésticos en el municipio de Axtlan de Terrazas, se habilitó un refugio temporal.</t>
  </si>
  <si>
    <t>tapachula,</t>
  </si>
  <si>
    <t>Se registró una fuerte lluvia en el municipio de tapachula, causando daños a varios postes de energía eléctrica, por lo que se suspendió el servicio un tiempo, así mismo se reportó la pérdida total de una vivienda al caerle encima una barda.</t>
  </si>
  <si>
    <t xml:space="preserve"> San Diego de la Unión</t>
  </si>
  <si>
    <t>Se registraron fuertes lluvias en el municipio de San Diego de la Unión, afectando un total de 8 viviendas en sus enseres domésticos, se instaló un refugio temporal en el cual se atendió a 40 personas.</t>
  </si>
  <si>
    <t>Mexquitic</t>
  </si>
  <si>
    <t>Se registro una fuerte lluvia con granizo en el municipio de Mexquitic la cual afecto a tres viviendas parcialemente, así mismo se dañaron 400 hectáreas de distintos tipos de legumbres.</t>
  </si>
  <si>
    <t xml:space="preserve"> Almoloya de Juárez</t>
  </si>
  <si>
    <t>Se registraron lluvias con fuertes vientos en el municipio de Almoloya de Juárez, ocasionando afectaciones en los techos de 60 viviendas construidas con material endeble.</t>
  </si>
  <si>
    <t>Se registraron fuertes lluvias con granizo en el municipio de Zinacantepec afectando a un total de 25 domicilios en sus techos. Las viviendas estaban construidas con material endeble.</t>
  </si>
  <si>
    <t>Jiutepec</t>
  </si>
  <si>
    <t>Debido a las fuuertes lluvias en el municipio de Jiutepec se reportaron 12 viviendas con daño menor y se albergó a 20 personas.</t>
  </si>
  <si>
    <t>Cortazar</t>
  </si>
  <si>
    <t>Se registraron fuertes lluvias con granizo en el municipio de Cortazar afectando a un total de 7 viviendas en sus techos construidos con material endeble.</t>
  </si>
  <si>
    <t>Mineral de la Reforma</t>
  </si>
  <si>
    <t>Se reportan 40 viviendas con daño menor en el municipio de Mineral de la Reforma debido a las fuertes lluvias</t>
  </si>
  <si>
    <t xml:space="preserve"> Acapulco</t>
  </si>
  <si>
    <t>Se registraron fuertes lluvias en el municipio de Acapulco de Juárez ocasionando daños menores a 11 viviendas</t>
  </si>
  <si>
    <t>Zamora,</t>
  </si>
  <si>
    <t>Debido a las lluvias en el municipio de Zamora, se registraron anegaciones de aguas negras en 200 viviendas debido a la falta de capacidad de la red de alcantarillado. No se reportan daños humanos.</t>
  </si>
  <si>
    <t>Debido a las fuertes lluvias en el municipio de Querétaro se reportaron anegaciones de 50 cm en 7 viviendas. No se reportan daños humanos y tampoco se instalaron refugios temporales.</t>
  </si>
  <si>
    <t>Morelia,</t>
  </si>
  <si>
    <t>Debido a las fuertes lluvias en el municipio de Morelia, se presentaron anegaciones en algunas viviendas, sólo se presentaron daños en enseres domésticos, ya que el tirante del agua alcanzó los 70 cm.</t>
  </si>
  <si>
    <t>Cuzama</t>
  </si>
  <si>
    <t>Debido a las fuertes lluvias con granizo registradas en el municipio de Cuzama 10 viviendas sufrieron daños en sus techos construidos con material endeble, No se activaron refugios temporales y se apoyó a los damnificados con atados de lámina.</t>
  </si>
  <si>
    <t xml:space="preserve"> Valle Nacional</t>
  </si>
  <si>
    <t>Se reportaron daños en  aproximadamente 200 viviendas del municipio de Valle Nacional, así mismo se registraron daños en 400 hectáreas de plátano y Maíz</t>
  </si>
  <si>
    <t>Tlapa y Ayutla de los Libres</t>
  </si>
  <si>
    <t>Se registraron fuertes lluvias en los municipios de Tlapa y Ayutla de los Libres, se reportan 8 fallecimientos debido a que 6 personas fueron arrastradas por la corriente de un río, así mismo se reporta la muerte de una persona por inmersión en la laguna de Mitlay una más al caerle un rayo.</t>
  </si>
  <si>
    <t xml:space="preserve"> Guadalajara, El Salto, Tlajomulco de Zúñiga y Zapopan</t>
  </si>
  <si>
    <t>Se registraron fuertes lluvias en los municipios de Guadalajara, El Salto, Tlajomulco de Zúñiga y Zapopan, se reportaron 15 has. De cultivo dañadas y 3 viviendas afectadas en sus enseres domésticos.</t>
  </si>
  <si>
    <t>El Salto y Tlaquepaque</t>
  </si>
  <si>
    <t xml:space="preserve">Debido a las fuertes lluvias en el municipio de El Salto y Tlaquepaque se reportaron afectaciones a los enseres domésticos de 115 viviendas, así mismo 35 viviendas fueron reportadas con daño total y 3 escuelas presentaron daño menor. Fue necesario activar dos refugios temporales en los cuales se atendió a un total de 249 personas, Se les apoyó a los damnificados con despensas, cobertores y colchonetas. </t>
  </si>
  <si>
    <t>Romita y San José Iturbide</t>
  </si>
  <si>
    <t>Se reportaron 300 viviendas con daño menor aproximadamente con daños en los municipios de Romita y San José Iturbide debido a las fuertes lluvias registradas.</t>
  </si>
  <si>
    <t>Ahuacatlán e Ixtlán del Río</t>
  </si>
  <si>
    <t>Se registraron fuertes lluvias en los municipios de Ahuacatlán e Ixtlán del Río por lo que varias viviendas sufrieron daño menor.</t>
  </si>
  <si>
    <t>Gómez Farias y Ciudad Mante</t>
  </si>
  <si>
    <t>Se reportaron fuertes lluvias en los municipios de Gómez Farias y Ciudad Mante, afectando un total de 16 viviendas causandoles daño menor a éstas. No se reportaron daños humanos, se instalaron 2 albergues los cuales atendieron en total a 80 personas. Así mismo se evacuó a un total de 250 personas como medida preventiva</t>
  </si>
  <si>
    <t>anta María del Río, Mexquitic, Ahualulco, Soledad  y Graciano Sánchez</t>
  </si>
  <si>
    <t>Debido a las fuertes lluvias en los municipios de Santa María del Río, Mexquitic, Ahualulco, Soledad  y Graciano Sánchez, se registraron caidas de árboles, daños en el drenaje y anegaciones en 80 viviendas. Así mismo se habilitó un refugio temporal en el cual se atendió a 18 personas.</t>
  </si>
  <si>
    <t>Ciudad Valles,</t>
  </si>
  <si>
    <t xml:space="preserve">Debido a las fuertes lluvias en en municipio de Ciudad Valles, la red de drenaje fue totalmente rebasada en su capacidad, lo que ocasiono que tramos antiguos de éste se colapasaran en los sectores INFONAVIT y FOVISSSTE1, donde se requiere la reposición total, así mismo se reportó la ruptura de líneas de abastecimiento de agua potable, lo que provocó la suspensión del servicio en 4 colonias. La CFE reportó daños en 2 transformadores, 4 postes y algunas lineas. Los apoyos brindados a la poblacion damnificada consistieron en  535 despensas y 35 colchonetas. </t>
  </si>
  <si>
    <t>Debido a las fuertes lluvias 10 viviendas que se ubicaban en las márgenes del río "La Granja" sufrieron afectaciones únicamente en sus enseres domésticos, así mismo se evacuó a las familias momentaneamente como medida preventiva.</t>
  </si>
  <si>
    <t>Tehuacan</t>
  </si>
  <si>
    <t>Se registraron fuertes lluvias en el municipio de Tehuacan afectando a un total de 25 viviendas, se apoyó a los damnificados con 100 piezas de lámina galvanizada, 125 colchonetas y 125 cobertores</t>
  </si>
  <si>
    <t>Calimaya, Texcalyacac y Naucalpan</t>
  </si>
  <si>
    <t>Se registraron fuertes lluvias en los municipios de Calimaya, Texcalyacac y Naucalpan, 29 viviendas se vieron afectadas únicamente en los enseres domésticos, se habilitó un refugio temporal al cual acudieron 22 personas, el municipio más afectado fue Texcalyacac.</t>
  </si>
  <si>
    <t>Cozumel,</t>
  </si>
  <si>
    <t>Se presentaron fiertes lluvias en el municipio de Cozumel, lo que ocasiono diversos daños en ifraestructura pública, así mismo se reportan daño en infraestructura educativa y en algunas viviendas.</t>
  </si>
  <si>
    <t>Huamantla,</t>
  </si>
  <si>
    <t>Se presentaron fuerte lluvias en el municipio de Huamantla, afectando a un total de 9 viviendas, a las familias afectadas se les apoyo con atados de lámina, cobertores y colchonetas.</t>
  </si>
  <si>
    <t>uadalajara, Tlaquepaque, Zapopan</t>
  </si>
  <si>
    <t>Debido a las fuertes lluvias en los municipios de Guadalajara, Tlaquepaque, Zapopan y  Tonala, varias viviendas sufrieron daños, así mismo en el municipio de Tlaquepaque un árbol fue derribado por los fuertes vientos y cayó sobre un vehículo en movimiento ocasionando la muerte de una persona y 5 lesionados.</t>
  </si>
  <si>
    <t>San José García</t>
  </si>
  <si>
    <t>Debido a las fuertes lluvias en el municipio de San José García se registraron daños en 10 viviendas</t>
  </si>
  <si>
    <t xml:space="preserve"> Tlaquepaque, Guadalajara, Zapopan, Tonala, Atotonilco y el Salto</t>
  </si>
  <si>
    <t>Se registraron fuertes lluvias acompañadas de fuertes vientos que ocasionaron anegaciones en viviendas de los municipios de Tlaquepaque, Guadalajara, Zapopan, Tonala, Atotonilco y el Salto, se evacuó a 170 alumnos de una escuela debido a que el tirante del agua alcanzó casi el metro, se instaló un refugio temporal pero nadie paso la noche en este. Los fuertes vientos derribaron árboles y postes de energía eléctrica, causando la interrupcion del servicio eléctrico. Los daños fueron los siguientes: 3 vehículos, lineas de conducción CFE, un poste y un microbus.</t>
  </si>
  <si>
    <t>Debido a las fuertes precipitaciones en la delegación Iztapalapa se vieron afectadas 50 viviendas en las cuales el tirante del agua subió entre 15 y 30 centímetros aprox.</t>
  </si>
  <si>
    <t xml:space="preserve"> Benito Juárez e Iztapalapa</t>
  </si>
  <si>
    <t>Debido a las fuertes lluvias en las delegaciones Benito Juárez e Iztapalapa se vieron afectadas 600 viviendas con encharcamientos de diferentes niveles.</t>
  </si>
  <si>
    <t>Lampotal,</t>
  </si>
  <si>
    <t>Se registraron fuertes lluvias en el municipio de Lampotal, a causa de la lluvia 50 viviendas sufrieron anegaciones de hasta 80 cm. No se reportaron dañs humanos. Como medida preventiva se avacuó a un total de 26 familias, es decir 126 personas en total.</t>
  </si>
  <si>
    <t>Se registraron fuertes lluvias en el municipio de Uruapan afectando varios domicilios en sus enseres domésticos, así mismo se reportaron daños menores en una escuela</t>
  </si>
  <si>
    <t>Se registraron anegaciones de hasta 80 cm. en 7 viviendas del municipio de El Llano debido a las fuertes lluvias, No se reportqan daños humanos.</t>
  </si>
  <si>
    <t xml:space="preserve"> Tultitlán, Nezahualcóyotl y Ecatepec</t>
  </si>
  <si>
    <t>Se registraron fuertes lluvias en los municipios de Tultitlán, Nezahualcóyotl y Ecatepec, provocando daños en algunas viviendas, Así mismo se reporta el hallazgo de un cuerpo en el canal de desague en el municipio de Ecatepec.</t>
  </si>
  <si>
    <t>San Pedro Tezacoalco y Yatanduchi de Guerrero</t>
  </si>
  <si>
    <t>Debido a las fuertes lluvias y vientos se reportaron afectaciones en los techos de 80 viviendas de los municipios de San Pedro Tezacoalco y Yatanduchi de Guerrero</t>
  </si>
  <si>
    <t>Debido a las fuertes lluvias registradas en el municipio de Cintalapa se reportaron daños menores en 15 viviendas, 5 de ellas presentaron daños en sus techos y las otras anegaciones de entre 10 y 20 cm. La población afectadas fue apoyada con 5 cajas de agua, 5 atados de lámina y 10 colchonetas.</t>
  </si>
  <si>
    <t>Ocozocuautla</t>
  </si>
  <si>
    <t>Debido a las fuertes lluvias 15 viviendas presentaron daños en sus techumnbres en el municipio de Ocozocuautla</t>
  </si>
  <si>
    <t>Hueyoplipan</t>
  </si>
  <si>
    <t>Se presentaron fuertes lluvias en el municipio de Hueyoplipan causando afectaciones en sus techos a 14 viviendas y encharcamientos leves a otras 30 viviendas.</t>
  </si>
  <si>
    <t>Zinapécuaro</t>
  </si>
  <si>
    <t>Se registraron fuertes lluvias en el municipio de Zinapécuaro afectando un total de 250 viviendas, 30 de estas presentaron daños en sus techos y las demas encharcamientos moderados. Se instaló un refugio temporal en el cual se atendió a un total de 120 personas.</t>
  </si>
  <si>
    <t>Atoyac</t>
  </si>
  <si>
    <t xml:space="preserve">Se registraron fuertes lluvias en el municipio de Atoyac, dejando una persona lesionada al derrumbarse su casa, así mismo se presentaron también inundaciones en 30 viviendas con un tirante de 1.5 metros. </t>
  </si>
  <si>
    <t>Se presentaron fuertes lluvias en el municipio de Salamanca causando afectaciones a un total de 44 viviendas causandoles daño menor.</t>
  </si>
  <si>
    <t xml:space="preserve"> Ahualulco de Mercado</t>
  </si>
  <si>
    <t>Se registraron fuertes lluvias en el municipio de Ahualulco de Mercado, causando daños menores a 27 viviendas, así mismo se reportaron afectaciones a 50 hectáreas aproximadamente y aalgunas cabezas de ganado.</t>
  </si>
  <si>
    <t>Guanajuato y Dolores Hidalgo</t>
  </si>
  <si>
    <t>Se registraron fuertes lluvias en el municipio de Guanajuato y Dolores Hidalgo, por lo que se registraron afectaciones en 9 viviendas y en un hospital,  hubo necesidad de evacuar a 45 personas.</t>
  </si>
  <si>
    <t>Se registraron fuertes lluvias en el municipio de Ecatepec afectando un total de 10 viveindas en sus enseres domésticos, una de estas viviendas presentó daños en su techumbre, no se reportan daños humanos.</t>
  </si>
  <si>
    <t xml:space="preserve"> Zacatecas, Guadalupe y Luis Moya</t>
  </si>
  <si>
    <t>Debido a las fuertes lluvias registradas en los municipios de Zacatecas, Guadalupe y Luis Moya se vieron afectadas 18 viviendas, así como una escuela primaria. Se evacuó a 60 personas y se instaló un refugio temporal en el que pernoctaron 13 personas.</t>
  </si>
  <si>
    <t>Tepezalá.</t>
  </si>
  <si>
    <t xml:space="preserve">Se reportaron 10 viviendas con daño menor debido a las lluvias registradas en el municipio de Tepezalá. No se reportan daños humanos. </t>
  </si>
  <si>
    <t>Tonala</t>
  </si>
  <si>
    <t>Debido a las fuertes lluvias en el municipio de Tonala se presentaron daños en 21 viviendas, de las cuales 3 presentaron daño total y las demás daño parcial, así mismo se reportan 15 árboles caidos, una cooperativa, un Centro de Salud y una embarcación pequeña.</t>
  </si>
  <si>
    <t>Pénjamo</t>
  </si>
  <si>
    <t xml:space="preserve">Debido a las fuertes lluvias registradas en el municipio de Pénjamo se reportan 22 viviendas afectadas, así mismo se evacuó a los habitantes de 59 viviendas que en total eran 354 personas como medida preventiva  </t>
  </si>
  <si>
    <t>Chilpancingo,</t>
  </si>
  <si>
    <t>Se reportaron fuertes lluvias en el municipio de Chilpancingo, se reportan cinco personas lesionadas al ser arrastradas por la corriente.  Así mismo se reportaron anegaciones en varias viviendas, un mercado.</t>
  </si>
  <si>
    <t>los Reyes</t>
  </si>
  <si>
    <t>Se registraron fuertes lluvias en el municipio de los Reyes afectando un total de 10 viviendas en sus enseres domésticos.</t>
  </si>
  <si>
    <t>Oriental,</t>
  </si>
  <si>
    <t>Debido a las fuertes lluvias con granizo se presentaron afectaciones en los techos de 140 viviendas del municipio de Oriental, los techos estaban construidos con material endeble. Se instaló un refugio temporal.</t>
  </si>
  <si>
    <t>Apaseo</t>
  </si>
  <si>
    <t>Debido a las fuertes lluvias con granizo registradas en el municipio de Apaseo el grande, 100 viviendas sufrieron afectaciones leves en sus enseres domésticos, dichas viviendas estan construidas con material endeble, por lo que sus techos presentaron goteras.</t>
  </si>
  <si>
    <t>Cuajimalapa,</t>
  </si>
  <si>
    <t>Se registraron fuertes lluvias en la delegación Cuajimalapa, afectando a 10 viviendas que se encontraban asentadas en una cañada, el agua alcanzó 1.20 metros, por lo que el menaje de las 10 viviendas se vio afectado.</t>
  </si>
  <si>
    <t>Arivechi.</t>
  </si>
  <si>
    <t>Se reportaron fuertes lluvias en el municipio de Arivechi. Se reportan daño en 33 viviendas con un tirante de hasta 1 m.  De alto, se reportan daños en los enseres domésticos y en 300 hectáreas de cultivo. Así mismo se reportó la muerte de 200 cabezas de ganado y daños en 300 km. de cerca.</t>
  </si>
  <si>
    <t>Durango,</t>
  </si>
  <si>
    <t>Se registraron fuertes lluvias en el municipio de Durango, ocasionando leves encharcamientos en 144 viviendas. No se reportaron daños humanos.</t>
  </si>
  <si>
    <t xml:space="preserve">Se registraron fuertes lluvias en el municipio de Nogales causando afectaciones en 16 comercios y pérdida de mercancias, 20 viviendas afectadas por penetración de agua en enseres domésticos y 5 viviendas con daños parciales debido a deslaves.  </t>
  </si>
  <si>
    <t>Milpa Alta</t>
  </si>
  <si>
    <t>Debido a las fuertes lluvias registradas en la delegación Milpa Alta se reportaron afectaciones en los enseres domésticos de 70 viviendas. No se reportaron daños humanos.</t>
  </si>
  <si>
    <t>Lerdo</t>
  </si>
  <si>
    <t>Debido a las fuertes lluvias registradas en el municipio de Lerdo se reportan afectaciones en 30 viviendas, así mismo, se reportan 4 personas albergadas.</t>
  </si>
  <si>
    <t>Debido a las fuertes lluvias y a la imprudencia del conductor de una camioneta, que intentó cruzar un río crecido, transportando a tres menores en la caja descubierta,  fueron arrastrados los tres menores causandoles la muerte. Los cuerpos fueron encontrados al siguiente día a 4 km de distancia.</t>
  </si>
  <si>
    <t>Zacatepec, Xochitepec, Jiutepec y Temixco</t>
  </si>
  <si>
    <t>Se registraron fuertes lluvias en los municipios de Zacatepec, Xochitepec, Jiutepec y Temixco  afectando un total de 140 viviendas, así mismo se reportan dos personas lesionadas y dos fallecimientos.</t>
  </si>
  <si>
    <t>Debido a las fuertes lluvias presentadas en el municipio de Chihuahua, se vieron afectadas un total de 60 viviendas con encharcamientos menores.</t>
  </si>
  <si>
    <t xml:space="preserve"> San Mateo Oxtotitlán</t>
  </si>
  <si>
    <t>Se registraron fuertes lluvias en el municipi ode San Mateo Oxtotitlán, afectando a un total de 5 viviendas, se apoyó a las familias afectadas con colchonetas y cobertores.</t>
  </si>
  <si>
    <t>Mazatlán</t>
  </si>
  <si>
    <t>Se reportaron fuertes lluvias en el municipio de Mazatlán, provocando afectaciones en las vialidades y la muerte de una menor al ser arrastrada por el canal de aguas pluviales.</t>
  </si>
  <si>
    <t>Rincón de Romos y Asientos</t>
  </si>
  <si>
    <t>Se registraron fuertes lluvias en los municipios de Rincón de Romos y Asientos, afectando a un total de 48 viviendas con daño menor.</t>
  </si>
  <si>
    <t>Imuris</t>
  </si>
  <si>
    <t>Debido a las fuertes lluvias en el municipio de Imuris se reportaron 7 casas con daños menores, así mismo se tuvó que evacuar momentaneamente a 17 personas.</t>
  </si>
  <si>
    <t>Tlaquitenango</t>
  </si>
  <si>
    <t>Debido a las fuertes lluvias en el municipio de Tlaquitenango se presentaron daños menores en 30 viviendas, la unidad estatal de protección cilvil apoyó a los damnificados con 100 cobertores y 100 colchonetas.</t>
  </si>
  <si>
    <t>Sombrerete</t>
  </si>
  <si>
    <t>Se informa de la muerte de un menor de 13 años fallecido por la caída de un rayo en el municipio de Sombrerete al tratar de refugiarse de la lluvia.</t>
  </si>
  <si>
    <t>Villa Victoria</t>
  </si>
  <si>
    <t>Se registro una fuerte lluvia en el municipio de Villa Victoria, afectando viviendas de material endeble, se reportaron daños en enseres domésticos y techos de 16 viviendas.</t>
  </si>
  <si>
    <t>Buenaventura</t>
  </si>
  <si>
    <t>Debido a las fuertes lluvias presentadas en el municipio de Buenaventura se reportan daños en aproximadamente 100 viviendas, de las cuales 54 sufrieron daño total, se reportan dos puentes colapsados y varias hectáreas de cultivos afectados, así mismo se reubicaran 60 viviendas. También se reportó la muerte de dos personas, una más desaparecida y un lesionado, se habilitaron 2 refugios temporales en los que se atendió a 75 personas en el punto más alto de la emergencia. Debido a lo anterior la Secretaría de Gobernación declaro zona de desastre al municipio.</t>
  </si>
  <si>
    <t>Tlaquepaque, Zapopan y Guadalajara,</t>
  </si>
  <si>
    <t>Se registraron fuertes lluvias en los municipios de Tlaquepaque, Zapopan y Guadalajara, siendo afectados varios vehículos y una vivienda, se reportan dos perosnas lesionadas.</t>
  </si>
  <si>
    <t>Se registraron fuertes lluvias en el municipio de Álvaro Obregón, siendo necesario activar un refugio temporal al cual acudieron 20 personas, se reportan 20 viviendas con daños en sus techos.</t>
  </si>
  <si>
    <t xml:space="preserve"> San Luis Potosí y Soledad</t>
  </si>
  <si>
    <t>Se registraron fuertes lluvias en los municipios de San Luis Potosí y Soledad Graciano Sánchez, por lo que se reportaron afectaciones en 17 viviendas, así mismo fue necesario evacuar a 26 personas.</t>
  </si>
  <si>
    <t>Cuetzamala de Pinzón</t>
  </si>
  <si>
    <t>Se reportaron fuerte lluvias en el municipio de Cuetzamala de Pinzón, se reportan afectaciones en una vivienda de adobe que sufrió pérdida total, así como en los enseres de varias viviendas mas, así mismo se registraron daños en algunos cultivos y animales.</t>
  </si>
  <si>
    <t>Teuchitlán,</t>
  </si>
  <si>
    <t>Se registró una tromba en el municipio de Teuchitlán, se reporta la ciada de techos, bardas perimetrales, decenas de árboles y postes de energía eléctri y telefonía. En total se reportan 64 árboles caidos,  3 postes de CFE, 6 de TELMEX y las descomposturas de dos transformadores, así mismo hubo daños en algunas viviendas</t>
  </si>
  <si>
    <t>Se reporto el desboradamiento del "Río Celio" en el municipio de Jacona, por lo que se reportaron afectaciones en nueve viviendas, principalmente en enseres domésticos.</t>
  </si>
  <si>
    <t>Campeche</t>
  </si>
  <si>
    <t>Debidi a las fuertes lluvias en el municipio de Campeche, se reportaron daños menores en 15 viviendas, los daños fueron principalmente en techos.</t>
  </si>
  <si>
    <t>Jiménez</t>
  </si>
  <si>
    <t>Se presentó una fuerte lluvia en el municipio de Jiménez la cual provocó encharcamientos leves de vialidades. Así mismo se reportan daños en el menaje de 10 viviendas, las cuales recibieron apoyo.</t>
  </si>
  <si>
    <t>San Ignacio Río Muerto</t>
  </si>
  <si>
    <t>Se presentaron fuertes vientos y lluvias en el municipio de San Ignacio Río Muerto, se reporta la caida de algunos árboles, postes y cables de alta tensión, ocasionando la suspénsión del servicio eléctrico del 40% de la población. Así mismo se reportan 36 viviendas afectadas en sus techos de material endeble.</t>
  </si>
  <si>
    <t>Monterrey, Santa Catarina, San Nicolás de los Garza, Escobedo y Apodaca,</t>
  </si>
  <si>
    <t>Se registraron fuertes lluvias en los municipios de Monterrey, Santa Catarina, San Nicolás de los Garza, Escobedo y Apodaca, a consecuencia de lo anterior se reporta una persona desaparecida y 20 peronas evacuadas.</t>
  </si>
  <si>
    <t>Abasolo, Apaseo El Grande, León, Tarimoro, Celaya, Juventino Rosas, Acambaro, Salvatierra, Uriangato y Guanajuato</t>
  </si>
  <si>
    <t>Se presentaron fuertes lluvias en los municipios de Abasolo, Apaseo El Grande, León, Tarimoro, Celaya, Juventino Rosas, Acambaro, Salvatierra, Uriangato y Guanajuato, por lo que se reportaron afectaciones en 280 viviendas, 490 locales comerciales y 25 fábricas con penetración de agua, 3 viviendas con daño total, así como un cárcamo, un pozo de agua potable y algunos cultivos.</t>
  </si>
  <si>
    <t>Se presentó la ruptura de una presa en el municipio de Hidalgo, afectando al ejido denominado el Sauzal, se evacuó a 200 personas, así mismo se apoyó a la población afectada con 400 cobijas y 400 despensas.</t>
  </si>
  <si>
    <t>Debido a las fuertes lluvias registradas en el municipio de Sombrerete, se evacuó a 140 personas, así mismo se reportan anegaciones en 47 viviendas.</t>
  </si>
  <si>
    <t xml:space="preserve"> Ahome y El Fuerte</t>
  </si>
  <si>
    <t>Debido a las lluvias registradas se reportaron 45 viviendas con daños menores y en enseres domésticos, los municipios de Ahome y El Fuerte resulataron afectados.</t>
  </si>
  <si>
    <t>San Miguel el Alto</t>
  </si>
  <si>
    <t>Se registraron fuertes lluvias en el municipio de San Miguel el Alto ocasionando el desbordamiento del Río San Miguel, El Arroyo Negro y del Tigre, se reportaron 150 viviendas inundadas, se evacuó a 150 personas y otras 450 personas se auto evacuaron.</t>
  </si>
  <si>
    <t>Bacum, San Ignacio Río Muerto, Benito Juárez, Huatabampo, Etchojoa, Navojoa, Cajeme, Empalme y Guaymas</t>
  </si>
  <si>
    <t>Derivado de los efectos del huracán "Howard", se presentaron fuertes lluvias en los municipios de Bacum, San Ignacio Río Muerto, Benito Juárez, Huatabampo, Etchojoa, Navojoa, Cajeme, Empalme y Guaymas, por lo que se evacuó a 2654 personas de 44 colonias y comunidades, se instalaron 29 refugios temporales y se registraron 284 viviendas dañadas, así mismo, 909 familias quedaron incomunicadas.</t>
  </si>
  <si>
    <t xml:space="preserve"> Moroleón y Uriangato</t>
  </si>
  <si>
    <t>Debido a las fuertes lluvias en los municipios de Moroleón y Uriangato se registraron afectaciones en algunos comercios y 3 casas derrumbadas.</t>
  </si>
  <si>
    <t>Se reportó una fuerte lluvia en el municipio de Zamora, por lo que 1,687 viviendas sufrieron afectaciones de diferentes grados, se reporta pérdida total de enseres domésticos en 560 de estas viviendas, y 10 de éstas viviendas sufrieron daños de consideración. Así mismo, se instaló un refugio temporal en el cual se atendió a un total de 63 personas.</t>
  </si>
  <si>
    <t xml:space="preserve"> Durango, Ruanas, Canatlán y Suchil</t>
  </si>
  <si>
    <t>Debido a las fuertes lluvias en los municipios de Durango, Ruanas, Canatlán y Suchil, 15 viviendas se vieron afectadas con penetración de agua.</t>
  </si>
  <si>
    <t>Tuxtla Chico</t>
  </si>
  <si>
    <t>A causa de las lluvias y tormentas eléctricas en el municipio de Tuxtla Chico, murieron 3 personas al caerles un rayo.</t>
  </si>
  <si>
    <t>Chalco</t>
  </si>
  <si>
    <t>Debido a las fuertes lluvias registradas en el municipio de Chalco, se reportaron 35 viviendas con daños menores.</t>
  </si>
  <si>
    <t>Se registraron fuertes lluvias en el municipiode Puerto Vallarta, se reportan afectaciones en algunas viviendas con daños en enseres domésticos, así mismo se registro una persona lesionada la caer material de construcción en su cabeza.</t>
  </si>
  <si>
    <t>Debido a las fuertes lluvias registradas en el municipi ode Zacatepec Mixe, se registró un derrumbe en la zona montañosa, 5 personas fueron sepultadas por los escombros, dos peronas resultaron heridas y 4 más perdieron la vida, así mismo, se reportan daños en 10 viviendas.</t>
  </si>
  <si>
    <t>El huracán "Ivan" no causó ningún deceso, ni heridos. Se activaron 11 refugios temporales en los cuales se atendió a un total de 1470 personas, así mismo se evacuó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</si>
  <si>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</si>
  <si>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habilitó un refugio temporal en el que se atendió a un total de 70 personas, a las que se les proporcionó cobijas y alimento, así mismo, se registraron afectaciones en 50 viviendas de adobe.</t>
  </si>
  <si>
    <t>San José de Iturbide</t>
  </si>
  <si>
    <t>Se registraron fuertes lluvias en el municipio de San José de Iturbide, se reportan 17 viviendas con afectaciones menores.</t>
  </si>
  <si>
    <t>Cuautla</t>
  </si>
  <si>
    <t>Se registraron fuertes lluvias en el municipio de Cuautla, se reportan daños en los techos de 22 viviendas, así mismo se habilitó un refugio temporal en el cual se atendió a un total de 35 personas.</t>
  </si>
  <si>
    <t>Comitán</t>
  </si>
  <si>
    <t>Se registraron fuertes lluvias en el municipio de Comitán,  afectando a un total de 7 viviendas en sus techos.</t>
  </si>
  <si>
    <t>Se registraron fuertes lluvias en el municipiode Tuxtla Gutiérrez, se reportan daños menores en 71 viviendas.</t>
  </si>
  <si>
    <t>Tototlán</t>
  </si>
  <si>
    <t>Se registraron fuertes lluvias en el municipio de Tototlán, afectando a un total de 100 viviendas (daño menor), lo anterior debido a el desbordamiento del arroyo "Tajo".</t>
  </si>
  <si>
    <t>Tlajomulco, El Salto, Yahualica de González Gallo, Ayotlán y Lagos de Moreno</t>
  </si>
  <si>
    <t>Debido a las fuertes lluvias de ayer se reportan afectaciones en los muncipios de Tlajomulco, El Salto, Yahualica de González Gallo, Ayotlán y Lagos de Moreno. Se reportan daños en 26 viviendas. Así mismo se evacuó a un total de 327 personas como medida preventiva, ya que algunas presas están a más del 100% de su capacidad.</t>
  </si>
  <si>
    <t>Debido a las fuertes lluvias en el municipio de Durango, se reportan 50 viviendas con daños menores, así mismo 2,900 has. De cultivos se vieron afectadas.</t>
  </si>
  <si>
    <t>Por causa de las fuertes lluvias en el municipio de Salamanca se reportan 40 viviendas con daño menor, así mismo, dos comunidades se encuentran parcialemtne incomunicadas.</t>
  </si>
  <si>
    <t xml:space="preserve"> Romita, Salamanca, Irapuato y Manuel Doblado</t>
  </si>
  <si>
    <t>Las fuertes lluvias en los municipios de Romita, Salamanca, Irapuato y Manuel Doblado provocaron daños menores en 45 viviendas.</t>
  </si>
  <si>
    <t>Ángel R. Cabada, Saltabarranca, Acula, Amatitlán, Hidalgotitlán, Jáltipan, Jesús Carranza, José Azuela, Minatitlán, Moloacán, Playa Vicente, Santiago Tuxtla, Texistepec, Uxpanapa, Cosoleacaque e Isla</t>
  </si>
  <si>
    <t>Se registraron daños en 700 viviendas por penetración de agua en los municipios de Ángel R. Cabada, Saltabarranca, Acula, Amatitlán, Hidalgotitlán, Jáltipan, Jesús Carranza, José Azuela, Minatitlán, Moloacán,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</si>
  <si>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</si>
  <si>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río de Mesa Cuata, así mismo se reportan daños menores en 65 viviendas y en un jardín de niños y una primaria.</t>
  </si>
  <si>
    <t>Manuel Doblado y Purísima Concepción</t>
  </si>
  <si>
    <t>Debido a las fuertes lluvias en los municipios de Manuel Doblado y Purísima Concepción se reportan daños menores en 23 viviendas.</t>
  </si>
  <si>
    <t>Las fuertes lluvias provocando el desbordamiento del río Turbio, se reportan 94 viviendas afectadas.</t>
  </si>
  <si>
    <t xml:space="preserve"> Pueblo Nuevo y Manuel Doblado</t>
  </si>
  <si>
    <t>69 viviendas fueron afectadas debido a las fuertes lluvias en los municipios de Pueblo Nuevo y Manuel Doblado. Así mismo se reportan daños en algunos cultivos, sin saber exactamente el número de hectáreas.</t>
  </si>
  <si>
    <t>Lázaro Cárdenas</t>
  </si>
  <si>
    <t>Se registraron fuertes lluvias en el municipio de Lázaro Cárdenas, se reportan afectaciones en 51 viviendas, así mismo se instaló un refugio temporal al cual atendieron algunas personas.</t>
  </si>
  <si>
    <t>Tanquian de Escobedo y Cd. Fernández</t>
  </si>
  <si>
    <t>Se reportán afectaciones en los municipios de Tanquian de Escobedo y Cd. Fernández debido a las fuertes lluvias. 20 viviendas con penetración de agua y daños en enseres domésticos.</t>
  </si>
  <si>
    <t>Yautepec</t>
  </si>
  <si>
    <t>Se registraron fuertes lluvias en el municipio de Yautepec. Se reportan 10 viviendas con penetración de agua y una más con pérdida total. La vivienda que registró pérdida total estaba construida con material endeble.</t>
  </si>
  <si>
    <t>Se registraron fuertes lluvias en el municipio de Acapetahua, afectando a la comunidad de las Murallas, específicamente 70 viviendas registraron daños.</t>
  </si>
  <si>
    <t>Acapetahua,</t>
  </si>
  <si>
    <t>Se reporto el desbordamiento del río "Cacaluta" el cual causó afectaciones en 72 viviendas del municipio de Acapetahua.</t>
  </si>
  <si>
    <t>Tapachula y Chicomosuelo</t>
  </si>
  <si>
    <t>Se registraron fuertes lluvias en los municipios de Tapachula y Chicomosuelo, se reportan 65 viviendas afectadas y 325 personas afectadas.</t>
  </si>
  <si>
    <t>Se registraron fuertes lluvias en el municipio de Tijuana, se reportan 20 viviendas con daños parciales.</t>
  </si>
  <si>
    <t>Empalme y Guaymas</t>
  </si>
  <si>
    <t>Debido a las fuertes lluvias registradas en el municipio de Empalme y Guaymas se reportan 10 viviendas afectadas y se evacuó a varias personas.</t>
  </si>
  <si>
    <t>Culiacán y Navolato</t>
  </si>
  <si>
    <t>Debido a las fuertes lluvias registradas en los municipios de Culiacán y Navolato se registraron 2 muertes, una persona de 34 años de edad y la segunda un menor de 7 años, ambas fueron arrastradas por la corriente de drenes. Se instalaron 12 refugios temporales en los cuales se atendió a un total de 1,327 personas.</t>
  </si>
  <si>
    <t>Tijuana, Rosarito, Tecate y Ensenada,</t>
  </si>
  <si>
    <t>Debido a las lluvias registradas en los municipios de Tijuana, Rosarito, Tecate y Ensenada, se reportan daños en 31 viviendas, así mismo se reporta una persona desaparecida. Las principales avenidas estuvieron inundadas ocasionando problemas de vialidad.</t>
  </si>
  <si>
    <t>Agua Dulce, Coatzacoalcos, Ixhuatlán, Nanchital, Lázaro Cárdenas y Moloacán</t>
  </si>
  <si>
    <t>Debido a las fuertes lluvias en los muncipios de Agua Dulce, Coatzacoalcos, Ixhuatlán, Nanchital, Lázaro Cárdenas y Moloacán. Se reportaron daños en 10 viviendas, así mismo se instalarón 19 refugios temporales en donde se atendió a un total de 1,302 personas, 5 tramos carreteros afectados y un puente, por último se reportan afectaciones en 3 escuelas. Los apoyos a la población afectada otorgados por el gobierno fueron los siguientes: 2,500 despensas, 2,500 cobertores, 2,500 colchonetas y 23,000 litros de agua purificada. Por otro lado el DIF aportó 1,600 despensas, 500 cobertores y 500 láminas de zinc.</t>
  </si>
  <si>
    <t>San Andrés Durasnal, Ixhuatán, Reforma y Pichucalco</t>
  </si>
  <si>
    <t>Debido a las fuertes lluvias registradas en los municipios de San Andrés Durasnal, Ixhuatán, Reforma y Pichucalco. Se reporta un puente colapsado, 34 viviendas afectadas y daños en algunos tramos carreteros.</t>
  </si>
  <si>
    <t>Teapa</t>
  </si>
  <si>
    <t>Debido a las fuertes lluvias en el municipio de Teapa se reportan afectaciones en 252 viviendas, así mismo se instalaron refugios temporales.</t>
  </si>
  <si>
    <t>Casas Grandes, Buenaventura, Jiménez, Julimes, Meoqui, Ojinaga, Satevó y MatachI</t>
  </si>
  <si>
    <t>Debido a una baja presión se registraron fuertes lluvias en los municipios de Casas Grandes, Buenaventura, Jiménez, Julimes, Meoqui, Ojinaga, Satevó y Matachí. Se reportan 1,570 viviendas con afectaciones.</t>
  </si>
  <si>
    <t>Elota</t>
  </si>
  <si>
    <t>Debido a las fuertes lluvias registradas en el municipio de Elota se registraron inundaciones en varias localidades, por l o que se instalaron 3 refugios temporales en los cuales se atendió a 379 personas.</t>
  </si>
  <si>
    <t>Sequía en 16 municipios el FONDEN apoyó con 118 millones de pesos</t>
  </si>
  <si>
    <t>Sequía en 12 municipios que comenzaba a afectar al sector ganadero con una mezcla de 29 millones de pesos el gobierno federal y estatal iniciaron el combate</t>
  </si>
  <si>
    <t xml:space="preserve">Debido a las bajas temperaturas y a las plagas, se vieron afectados 4,500 productores de tabaco aproximadamente, 3,000 hectáreas en su totalidad y 7,000 parcialmente, lo que representó un daño por 128 millones de pesos aproximadamente. </t>
  </si>
  <si>
    <t xml:space="preserve">Hasta el día 15 de diciembre se contabilizaban 23 muertes asociadas a las bajas temperaturas, ya sea por intoxicación, hipotermia o quemaduras. </t>
  </si>
  <si>
    <t>Nevada</t>
  </si>
  <si>
    <t>Se presentó una nevada ligera en la zona del ajusco en la delegación Tlalpan, por lo que fue necesario evacuar a 29 personas</t>
  </si>
  <si>
    <t>Fuertes Vientos</t>
  </si>
  <si>
    <t>Debido a los fuertes vientos se registró la caída de un anuncio espectacular, el cual causo daños en una vivienda, no se reportan daños humanos. Delegación Tlalapan.</t>
  </si>
  <si>
    <t>Cananea, Mesa Tres Ríos y Yecora</t>
  </si>
  <si>
    <t>Se presentaron nevadas en los municipio de Cananea, Mesa Tres Ríos y Yecora. No se reportan afectaciones mayores</t>
  </si>
  <si>
    <t>Boconía, San Buenaventura, Ignacio Zaragoza, Guachochi, Madera, Temósachic, Guadalupe y Calvo</t>
  </si>
  <si>
    <t>Se registraron nevadas en los municipios de Boconía, San Buenaventura, Ignacio Zaragoza, Guachochi, Madera, Temósachic, Guadalupe y Calvo, sólo fue necesaria limpieza de la carpeta asfáltica, por lo que se cerró la circulación por algunas horas.</t>
  </si>
  <si>
    <t>Tecate y Ensenada</t>
  </si>
  <si>
    <t>Se registró una nevada ligera en los municipios de Tecate y Ensenada, no se reportan daños ni personas afectadas.</t>
  </si>
  <si>
    <t>Orizaba y Córdoba</t>
  </si>
  <si>
    <t>Se registró una surada (fuertes vientos) en los municipio de Orizaba y Córdoba afectando a un total de 30 viviendas fabricadas con material endeble.</t>
  </si>
  <si>
    <t>Se registrro el accidente de una embarcacion en el municipio de San Fernando, que debido a los fuertes vientos naufragó con 3 pescadores a bordo, se recuperaron los cuerpos sin vida.</t>
  </si>
  <si>
    <t>Debido a las fuertes vientos registrados en la Universidad Autónoma de Tlaxcala, se vieron afectadas algunas de sus instalaciones como vidrios y techos de lámina por lo que se suspendieron clases, se reporta un lesionado leve y dos crisis nerviosas.</t>
  </si>
  <si>
    <t>Se registraron fuertes vientos en el municipio de Comitán los cuales dañaron los techos de 29 viviendas construidas con material endeble</t>
  </si>
  <si>
    <t>Cárdenas</t>
  </si>
  <si>
    <t>Debido a los fuertes vientos presentados en el municipio de Cárdenas, se vieron afectadas 100 viviendas aproximadamente en sus techos que eran de material endeble</t>
  </si>
  <si>
    <t>Chilapa</t>
  </si>
  <si>
    <t>Se reportaron fuertes vientos en el municipio de Chilapa ocasionando daños a los techos de 40 viviendas</t>
  </si>
  <si>
    <t>San José de Gracia</t>
  </si>
  <si>
    <t>Debido a los fuertes vientos presentados en el municipio de San José de Gracia, 10 viviendas sufrieron afectaciones en techos.</t>
  </si>
  <si>
    <t>Se registraron fuertes vientos en el municipio Acapetahua, los que afectó 10 viviendas en sus techos. Así mismo se reporta una mujer con crisis nerviosa debido al incidente.</t>
  </si>
  <si>
    <t>Debido a los fuertes vientos en el municipio de Teapa, 20 viviendas sufrieron destechamientos, por lo que se evacuó momentaneamente a la población</t>
  </si>
  <si>
    <t>Zacazonapan</t>
  </si>
  <si>
    <t>Se registró una fuerte ráfaga de viento en el municipio de Zacazonapan, afectando a un total de 40 viviendas en sus techos, se apoyó a las familias afectadas con láminas, cobertores y despensas.</t>
  </si>
  <si>
    <t>Coacalco, Nextlalpan, Atizapan y Tultepec</t>
  </si>
  <si>
    <t>Debido a los fuertes vientos registrados en los municipios de Coacalco, Nextlalpan, Atizapan y Tultepec, los techos de laminas de asbesto de 105 viviendas se desprendieron parcialmente.</t>
  </si>
  <si>
    <t>San Cristobal de las Casas</t>
  </si>
  <si>
    <t>Se presentaron fuertes vientos en el municipio de San Cristobal de las Casas, i menor de edad perdió la vida y 2 personas más fueron atendidas por crisis nerviosas. 4 viviendas sufrieron daños parciales.</t>
  </si>
  <si>
    <t>Colapso de estructura</t>
  </si>
  <si>
    <t>El Mante</t>
  </si>
  <si>
    <t>Se registró el colapso de una columna del tanque elevado de agua con capacidad para 100 mi litros en un ingenio azucarero en el municipio de El Mante, se reportan 2 personas lesionadas.</t>
  </si>
  <si>
    <t>Deslizamiento</t>
  </si>
  <si>
    <t>Chenalho</t>
  </si>
  <si>
    <t>Se registró un deslizamiento de suelo en el municipio de Chenalho debido a las lluvias que han azotado la región, dicho deslizamiento afectó a dos escuelas, en una causando daño total y en la otra daño parcial. No se reportaron daños humanos. Como medida preventiva se evacuó a 37 familias y se instalaron en un refugio temporal, se apoyó a los damnificados con  130 colchonetas, 130 cobertores y 40 cajas de agua.</t>
  </si>
  <si>
    <t>Derrumbe</t>
  </si>
  <si>
    <t>Muzquiz</t>
  </si>
  <si>
    <t>Se registró el derrumbe de una mina en el municipio de Muzquiz, ocasionando la muerte de una persona y lesiones en otras dos personas.</t>
  </si>
  <si>
    <t>Agrietamiento</t>
  </si>
  <si>
    <t>Se abrió una grieta en el municipio de Tijuana con una longitud de 60 metros de longitud y 10 metros de ancho, no se reportan daños humanos.</t>
  </si>
  <si>
    <t>Zapopan</t>
  </si>
  <si>
    <t xml:space="preserve">Debido a las fuertes lluvias y a una falla geológica en el municipio de Zapopan se abrió una grieta de gran longitud y profundidad, afectando a un total de 26 viviendas que se encuentran en zona de alto riesgo. Así mismo se reporta la caida de dos bomberos en la grieta, sólo se rescato a uno de los bomberos con vida. </t>
  </si>
  <si>
    <t>Chocamán.</t>
  </si>
  <si>
    <t>Se reportan 3 personas lesionadas y tres fallecidas debido a un derrumbe causado por las fuertes lluvias en el municipio de Chocamán.</t>
  </si>
  <si>
    <t>Cuajimalpa</t>
  </si>
  <si>
    <t>Se registro el desgajamiento de un talud en la delegación Cuajimalpa, en donde tres trabajadores de una obra en construcción perdieron la vida a consecuencia de lo anterior.</t>
  </si>
  <si>
    <t>Se registró un derrumbe en un túnel que se encuentra en construcción en el municipio de Silao, se reporta la muerte de una persona al ser aplastada por las rocas.</t>
  </si>
  <si>
    <t>Se presentó un deslizamiento de suelo  afectando a una vivienda en su entrada, se evacuó a la familia.</t>
  </si>
  <si>
    <t>Se registró el derrumbe de un talud de 8 metros de largo por 9 metros de ancho, cayendo sobre una vivienda de 2 cuartos construida con material endeble, se reportan 2 personas fallecidas. Así mismo se evacuó a 18 personas dee tres viviendas que se encontraban en zona de riesgo.</t>
  </si>
  <si>
    <t>Tamazulapam del espíritu santo</t>
  </si>
  <si>
    <t>Se reportó una explosión en un domicilio en donde se fabricaban artificios pirotécnicos, se reportó una persona fallecida y 8 lesionados. Todo esto sucedió en el municipio de Tamazulapam del espíritu santo</t>
  </si>
  <si>
    <t>Se registró un incendio en el basurero municipal de Ensenada, el incendio consumió aproximadamente el 40 % de la capacidad de relleno del mismo, así mismo se reportan afectaciones en 10 viviendas.</t>
  </si>
  <si>
    <t>Se registró una explosión en un mercado de abastos del municipio de San Nicolás de los Garza a causa de un calentador alimentado por gas LP, ya que uno de los tanques tenía fuga. Se reportan tres personas lesionadas.</t>
  </si>
  <si>
    <t>Se registró una explosión en los juzgados 21 y 23 en la delegación Iztapalapa en donde se encontraron 7 artefactos explosivos de los cuales sólo dos se hicieron detonar, debido a la explosión una mujer salió lesionada.</t>
  </si>
  <si>
    <t>Tizapán</t>
  </si>
  <si>
    <t xml:space="preserve">Se registró una explosión en la explanada de una iglesia en el municipio de Tizapán resultando 20 personas lesionadas. </t>
  </si>
  <si>
    <t>Acaponeta,</t>
  </si>
  <si>
    <t>Se registró una explosión en una bodega que funcionaba como un polvorín clandestino en el municipio de Acaponeta, dañando a 8 viviendas en su estructura y 1 bodega.</t>
  </si>
  <si>
    <t>En el municipio de Zapopan se registró una explosión de un cilindro de gas en la empresa multigas, resultando lesionadas tres personas.</t>
  </si>
  <si>
    <t>Cd. Matamoros</t>
  </si>
  <si>
    <t>Se registró una explosión en la parte posterior de la tienda soriana del municipio de Cd. Matamoros, 11 personas resultaron lesionadas.</t>
  </si>
  <si>
    <t>Se registró una explosión de una camioneta repartidora de tanques de gas al realizar el travase de gas de un cilíndro a otro, se reportaron 7 viviendas con daños y 4 vehiculos particulares. Se apoyó a las familias afectadas con 1o cobertores, 10 colchonetas y 3 despensas.</t>
  </si>
  <si>
    <t>Se registro la explosión de un tanque de gas en la delegación Iztapalapa en el incidente resultaron lesionadas 6 personas.</t>
  </si>
  <si>
    <t>Tultitlán,</t>
  </si>
  <si>
    <t>Se registró la explosión de una pipa de gas mientras realizaban trabajos de soldadura del contenedor (vacío), La explosión ocurrió en el municipio de Tultitlán, se reportan 2 personas fallecidas.</t>
  </si>
  <si>
    <t>Se registró una explosión en un restaurante de la delegación Benito Juárez, se reportan 2 personas lesionadas.</t>
  </si>
  <si>
    <t>Se registró una explosión por acumulación de gas en el municipio de Dolores Hidalgo por acumulación de gas</t>
  </si>
  <si>
    <t>Cuernavaca</t>
  </si>
  <si>
    <t>Se registró una explosión en una panadería por acumulación de gas en el municipio  de Cuernavaca, se reportan 10 personas lesionadas</t>
  </si>
  <si>
    <t>Se registró una explosión en una bodega, en el accidente resultaron intoxicadas 15 personas.</t>
  </si>
  <si>
    <t>Se registró una explosión en el municipio de Río Bravo dejando como saldo 6 muertos y 9 personas heridas, además se reportaron 2 locales afectados, un restaurante y una tortilleria</t>
  </si>
  <si>
    <t>Zinacantepec,</t>
  </si>
  <si>
    <t>Se registró una explosión en un polvorín del municipio de Zinacantepec, como medida preventiva se evacuó a 21 viviendas, así mismo debido a la explosión 6 personas resultaron con lesiones</t>
  </si>
  <si>
    <t>Apaseo el Grande</t>
  </si>
  <si>
    <t>Se registró la volcadura de un autobús en la autopista Celaya-Querétaro en el municipio de Apaseo el Grande. Se reportan 36 personas lesionadas</t>
  </si>
  <si>
    <t>Tonalá.</t>
  </si>
  <si>
    <t>Se registró una explosión en un polvorín del municipio de Tonalá. De dicha explosión resultaron muertas 7 personas y una lesionada.</t>
  </si>
  <si>
    <t xml:space="preserve"> Lázaro Cárdenas</t>
  </si>
  <si>
    <t>Se registró una explosión en una empresa que se dedica a limpiar botes de alumnio en el municipio de Lázaro Cárdenas, se reporto una persona lesionada.</t>
  </si>
  <si>
    <t>Cd. Victoria</t>
  </si>
  <si>
    <t>Se registró la explosión de un tanque de condensado en el municipio de Cd. Victoria, dicha explosión lesionó a dos perosnas</t>
  </si>
  <si>
    <t>San Juan de Tlacolula</t>
  </si>
  <si>
    <t>Se registró una explosión en una cohetería del municipio de San Juan de Tlacolula, se reportan 2 personas fallecidas y un lesionado.</t>
  </si>
  <si>
    <t>Kilchil</t>
  </si>
  <si>
    <t>Se registró un incendio por acumulación de gas LP en el municipio de Kilchil afectando un total de 4 viviendas, se reportan 2 personas intoxicadas.</t>
  </si>
  <si>
    <t>Se registro una explosión debido a una fuga de gas LP en el municipio de Dolores Hidalgo, debido a la explosión se reportó la muerte de dos menores y 4 personas lesionadas.</t>
  </si>
  <si>
    <t>Naucalapan</t>
  </si>
  <si>
    <t>Se registro una explosión en una agencia de automóviles ubicada en el municipio  de Naucalapan, dicha explosión se debió a la acumulación de solventes en el área de hojalateria y pintura. Se reporta una persona fallecida y una lesionada.</t>
  </si>
  <si>
    <t>Se registró una explosión por acumulación de gas LP en el municipio de Guanajuato, se reporta una persona fallecida, una desaparecida y 11 lesionados. Así mismo se reporta la pérdida total de 3 viviendas.</t>
  </si>
  <si>
    <t>Se registro una explosión en una panadería clandestina en el municipio de Toluca, se reporta una persona fallecida.</t>
  </si>
  <si>
    <t>Se registró incendio en tres viviendas de la colonia capulines en el municipio de Tuxtla Gutiérrez, las viviendas sufrieron daño total.</t>
  </si>
  <si>
    <t>Jojutla y Tetela del Volcán</t>
  </si>
  <si>
    <t>Se reportan dos explosiones, la primera en el municipio de Jojutla y la segunda en el municipio de Tetela del Volcán. En total se reportan 43 personas lesionadas.</t>
  </si>
  <si>
    <t>Se reportó una explosión de gas al estar cargando gas LP en una vivienda del municipio de Guadalajara, se reportan 3 personas lesionadas.</t>
  </si>
  <si>
    <t>Atzcapotzalco</t>
  </si>
  <si>
    <t>Se registró ña explosión de una caldera de la empresa ECKO en la delegación Atzcapotzalco, la onda expansiva rompió algunos vidrios en una unidad cercana, así mismo, se reporta una persona lesionada.</t>
  </si>
  <si>
    <t>Se registró una explosión de juegos pirotécnicos en el municipio de Dolores Hidalgo en las fiestas religiosas de una comunidad. Se reportan 7 personas lesionadas.</t>
  </si>
  <si>
    <t>Omealca</t>
  </si>
  <si>
    <t>Se registró una explosión y fuga en un oleoducto superficial de 24 pulgadas propiedad de PEMEX en el municipio de Omealca, la anterior situación provocó incendio de cañaverales aledaños, se evacuó a 300 familias como medida preventiva. Se reportan 2 personas lesionadas al ser alcanzadas por la explosión en sus vehículos.</t>
  </si>
  <si>
    <t>Se registró una explosión en el metro local de la ciudad de Monterrey en el municipio del mismo nombre. Se reportan 14 personas lesionadas y una fallecida.</t>
  </si>
  <si>
    <t>Se registró una explosión de un tanque de gas LP de 20 kg. En la delegación Benito Juárez, se reportan 12 personas lesionadas.</t>
  </si>
  <si>
    <t>Villagrán</t>
  </si>
  <si>
    <t>Se registró la explosión de un polvorín en el municipio de Villagrán, se reportaron 3 personas lesionadas.</t>
  </si>
  <si>
    <t>Ocozocuautla,</t>
  </si>
  <si>
    <t>Se registro la explosión de un polvorín en el municipio de Ocozocuautla, como resultado del accidente una persona perdió la vida y 7 más resultaron lesionadas.</t>
  </si>
  <si>
    <t>Se registró la explosión de 500 cilindros de gas doméstico, debido a que éstos fueron manipulados inadecuadamente al extraerseles gas de forma clandestina por los propios trabajadores de la empresa. La explosión causó daños a 4 camionetas repartidoras, así mismo se reportan 11 personas lesionadas y un muerto. Lo anterior en el municipio de Tierra Colorada.</t>
  </si>
  <si>
    <t>Se registro un incendio en dos viviendas construidas de madera y lámina de cartón en el municipio de Nogales. Se reporta la muerte de 5 personas y otras 2 personas lesionadas.</t>
  </si>
  <si>
    <t>Se registró una explosión de fuegos pirotécnicos en la delegación Tlalpan, en el accidente resulto lesionada una persona de 43 años.</t>
  </si>
  <si>
    <t>Chilpancigo</t>
  </si>
  <si>
    <t>Se registró una explosión de fuegos pirotécnicos en las festividades del Paseo del Perdón en el municipio de Chilpancigo, como resultado del accidente resultaron 12 personas lesionadas.</t>
  </si>
  <si>
    <t>Santiago Tuxtla</t>
  </si>
  <si>
    <t>Se registró la explosión de una turbina de bombeo en el municipio de Santiago Tuxtla, en el incidente resultaron lesionadas 5 personas, así mismo, la suspensión del bombeo de crudo provocó la ruptura del ducto, por lo que gran cantidad de crudo se derramó en el río Coatzacoalcos causando graves daños al medio ambiente. Como medida preventiva se evacuó a un total de 5,000 personas. Se calculó que el derrame de crudo fue de alrededor de 4,200 barriles.</t>
  </si>
  <si>
    <t>Se registró un fuerte olor a amoniaco que emanaba del drenaje en la colonia el retiro del municipio de Guadalajara, 45 alumnos de una escuela presentaron sintomas de intoxicación, se evacuó a 90 alumnos así como varias viviendas cercanas.</t>
  </si>
  <si>
    <t>Se reportó la intoxicación de 8 personas en la delegación Cuauhtémoc por inhalación de monoxido de Carbono, el cual era despedido por el calentador de agua.</t>
  </si>
  <si>
    <t>Se reportó el fallecimiento de dos personas por inhalación de gas LP al apagarse el calentador térmico.</t>
  </si>
  <si>
    <t>Se registró una fuga de ácido clorhídrico en una empresa ubicada en el municipio de Jiutepec en la zona industrial de Civac. Se reportan 5 personas intoxicadas.</t>
  </si>
  <si>
    <t>Se registró un fuerte olor a gas en el municipio de Guadalajara resultando 65 alumnos de una escuela intoxicados.</t>
  </si>
  <si>
    <t>Nuevo Laredo</t>
  </si>
  <si>
    <t>Se registró una fuga de nitrógeno en las instalaciones de una maquiladora en el municipio de Nuevo Laredo, como medida preventiva se evacuó a 83 personas.</t>
  </si>
  <si>
    <t>Se reportó una fuga de una cisterna que contenía ácido sulfúrico en el municipio de Tlaquepaque. Se reportan 11 personas lesionadas debido al contacto con el producto, ya que presentaron irritación en la piel y ligera intoxicación.</t>
  </si>
  <si>
    <t>Se reportó una fuga de amoniaco en la empresa "Bachoco" la cual quedó controlada rápidamente, sin embargo se reportan 5 peronas intoxicadas.</t>
  </si>
  <si>
    <t xml:space="preserve"> Tula de Allende</t>
  </si>
  <si>
    <t>Se registro fuga de gas ácido en una empresa del municipio de Tula de Allende, como consecuencia se reportan dos personas fallecidas y dos lesionadas.</t>
  </si>
  <si>
    <t>Se reporto una fuga de amoniaco en la empresa FRESPOR, se reporta una persona lesionada.</t>
  </si>
  <si>
    <t>Se reporto la muerte de 2 personas e intoxicación de una más al estar limpiando un cárcamo en las instalaciones de una empresa, La causa de la muerte se debió a la fuga de gas metano.</t>
  </si>
  <si>
    <t>Cuernavaca.</t>
  </si>
  <si>
    <t>Se registró la fuga de aproximadamente 5,000 litros de gasolina en una gasolinera del municipio de Cuernavaca. No se reportan personas lesionadas.</t>
  </si>
  <si>
    <t>Se registró la muerte de 5 personas  y tres más intoxicadas por inhalación de gas L.P. Al registrarse una fuga en el interior de una casa de la delegación Coyoacán.</t>
  </si>
  <si>
    <t>Se registro la intoxicación de 39 personas en una empresa de plásticos debido a la inhalación de vapores tóxicos provenientes de una tarjeta de plático de cromo que se atascó en la banda de una de las máquinas. De las 39 personas intoxicadas, 15 requirieron hospitalización.</t>
  </si>
  <si>
    <t>Se registró un incendio en la parte alta del volcán la malinche, se reportaron 2.5 hectáreas de pastizales dañadas.</t>
  </si>
  <si>
    <t>2.5</t>
  </si>
  <si>
    <t>Progreso</t>
  </si>
  <si>
    <t>Se reistró incendio forestal en el municipio de Progreso en la zona de manglares, resultando afectados 7 km cuadrados.</t>
  </si>
  <si>
    <t>Dolores Hidalgo, Apaseo el Grande, Yuriria y Purisima del Rincó</t>
  </si>
  <si>
    <t>Se reportaron varios incendios en diversos municipios (Dolores Hidalgo, Apaseo el Grande, Yuriria y Purisima del Rincó) en total se reportaron 22.5 hectáreas afectadas.</t>
  </si>
  <si>
    <t>22.5</t>
  </si>
  <si>
    <t xml:space="preserve"> San Miguel de Allende.</t>
  </si>
  <si>
    <t>Se registraron dos incendios forestales entre el cerro de Alcocer y Picachos, La Cieneguita y Ejido de Tirado en el municipio de San Miguel de Allende. Se reportan 65 ha. De pastizal afectadas.</t>
  </si>
  <si>
    <t>El márques</t>
  </si>
  <si>
    <t>Se registraron dos incendios de pastizal en los municipios de El márques, en donde el incendio se salió de control afectando una granja avícola, resultando 7,000 pollos quemados y 15 hectáreas de pastizal y en el municipio de Ezequiel Montes se reportaron 50 hectáreas de pastizal afectadas.</t>
  </si>
  <si>
    <t>aguascalientes.</t>
  </si>
  <si>
    <t>Se reporto un incedio forestal en el municipio de aguascalientes. Se reportan 300 hectáreas de pastizal, 100 hectáreas de arbusto espinoso y 100 hectáreas de encino afectadas.</t>
  </si>
  <si>
    <t>San Miguel de Allende</t>
  </si>
  <si>
    <t>Se registro un incendio de 20 hectáreas de pastizal en el municipio de San Miguel de Allende</t>
  </si>
  <si>
    <t>Se registraron varios incendios forestales en diversos municipios del estado, afectando un total de 54 hectáreas de pastizal.</t>
  </si>
  <si>
    <t>Jerecuaro, Acambaro</t>
  </si>
  <si>
    <t>Se registraron dos incendios forestales uno en el municipio de Jerecuaro y otro en el de Acambaro afectando 40 hectáreas de pastizal.</t>
  </si>
  <si>
    <t>San Miguel Allende</t>
  </si>
  <si>
    <t>Se registró un incendio de pastizales en el municipio de San Miguel Allende afectando un área de 40 hectáreas, en la carretera a Dolores Hidalgo..</t>
  </si>
  <si>
    <t>Yecora</t>
  </si>
  <si>
    <t>Se registró un incendio que consumió 7 has. De hojarasca y paja de pino en el municipio de Yecora</t>
  </si>
  <si>
    <t>Villa de Corzo</t>
  </si>
  <si>
    <t>Se reportan dos incendios forestales, el primero en el municipio de Villa de Corzo en el cual se reportan 35 has. Afectadas y el segundo en el municipio de Tonala en donde se reportan 13 has. Afectadas.</t>
  </si>
  <si>
    <t>Cananea</t>
  </si>
  <si>
    <t>Se registró un incendio forestal en el muncipio de Cananea dañando un total de 20 has. De pastizal</t>
  </si>
  <si>
    <t>Tarandacuaro, Guanajuato, Uriangato, Villagran, San Miguel de Allende, Tarimoro, Pénjamo, Jerecuaro y Dolores Hidalgo.</t>
  </si>
  <si>
    <t>Se registraron incendios forestales de pastizal en varios municipios del estado sumando un total de 313 has. de pastizal. Los municipios afectados fueron Tarandacuaro, Guanajuato, Uriangato, Villagran, San Miguel de Allende, Tarimoro, Pénjamo, Jerecuaro y Dolores Hidalgo.</t>
  </si>
  <si>
    <t>San Miguel de Allende, San Diego de la Unión, Dolores Hidalgo y Huanimaro</t>
  </si>
  <si>
    <t>Se registraron varios incendios en diversos municipios afectando un total de 102 has. de pastizal Los municipios afectados fueron San Miguel de Allende, San Diego de la Unión, Dolores Hidalgo y Huanimaro.</t>
  </si>
  <si>
    <t>Se registró varios incendios forestales en el municipio de San Miguel de Allende enlosl cuales 32 has. de pastizal resultaron afectadas.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</si>
  <si>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</si>
  <si>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hectáreas. </t>
  </si>
  <si>
    <t>Amealco, Huimilpan y Tequisquiapan</t>
  </si>
  <si>
    <t>Se reportan 3 incendios forestales en los municipios de Amealco, Huimilpan y Tequisquiapan. En total 60 has. De pastizal resultaron afectadas.</t>
  </si>
  <si>
    <t>Xochimilco.</t>
  </si>
  <si>
    <t>Se reportó un incendio en las zonas chinamperas de la delegación Xochimilco. Fueron 52 has. De pastizal las afectadas por el siniestro.</t>
  </si>
  <si>
    <t>El Marquez</t>
  </si>
  <si>
    <t>Se registró un incendio en el municipio de El Marquez afectando un total de 20 has.</t>
  </si>
  <si>
    <t>Se registró un incendio que abarcó aproximadamente una hectárea</t>
  </si>
  <si>
    <t>Se registraron tres incendios forestales pequeños en la delegación Xochimilco, los cuales abarcaron 2.6 hectáreas forestales</t>
  </si>
  <si>
    <t>Berriozabal</t>
  </si>
  <si>
    <t>Se registraron 2 incendios forestales uno en el municipio de Berriozabal que arrasó con 15 has. De pastizal y otro en el muncipio de Zinacantan el cual afectó un total de 5 has.</t>
  </si>
  <si>
    <t>Se reporto un incendio en la zona chinampera de la delegación Xochimilco afectando 30 hectáreas de pastizal.</t>
  </si>
  <si>
    <t>San Miguel de Allende y Romita</t>
  </si>
  <si>
    <t>Se reportan dos incendios forestales en los municipios de San Miguel de Allende y Romita en los cuales se perdieron 300 y 100 hectáreas de pastizales respectivamente.</t>
  </si>
  <si>
    <t xml:space="preserve"> Izamal, Dzidzantun y Ayobain</t>
  </si>
  <si>
    <t>Se reportaron incendios forestales en los municipios de Izamal, Dzidzantun y Ayobain, se reportan daños en 57 hectáreas de plantios de papaya, calabaza, pepino y pastizal</t>
  </si>
  <si>
    <t>Mineral del Monte</t>
  </si>
  <si>
    <t>Se registró un incendio forestal en el municipio de Mineral del Monte afectando un total de 30 hectáreas de vegetación baja.</t>
  </si>
  <si>
    <t>Tetla</t>
  </si>
  <si>
    <t>Se reporto un incendio en el municipio de Tetla, éste daño un total de 7 hectáreas de pastizal.</t>
  </si>
  <si>
    <t>Se reportaron dos incendios en el municipio de Aguascalientes los cuales afectaron un total de 400 hectáreas de pastizal.</t>
  </si>
  <si>
    <t>Se reporto un incendio forestal en el municipio de Cintalapa el cual arrasó con 400 hectáreas de pastizal, pino, hierbas y 425 de selva baja.</t>
  </si>
  <si>
    <t>Tolcayuca</t>
  </si>
  <si>
    <t>Se registro un incendio forestal en el municipio de Tolcayuca quemandose un total de 20 hectáreas de cultivo maíz</t>
  </si>
  <si>
    <t>Incendio forestal en el municipio de Pijijiapan, se reportan 25 hectáreas de pastizal y arbusto bajo afectadas</t>
  </si>
  <si>
    <t>Calkiní</t>
  </si>
  <si>
    <t>Se registró incendio forestal en el municipio de Calkiní afectando un total de 200 Has. De pastizales y arbustos</t>
  </si>
  <si>
    <t>Se reporto un incendio forestal a las faldas del volcán Popocatépetl que abarco 150 Has. De tres municipios</t>
  </si>
  <si>
    <t>Chiapa de CorzO</t>
  </si>
  <si>
    <t>Se reportó un incedio forestal en el municipio de Chiapa de Corzo afectando el ejido Grijalva en un total de 25 Has. De pastizal y arbolado de encino.</t>
  </si>
  <si>
    <t>Concordia, Solayó y Acacoyahua.</t>
  </si>
  <si>
    <t>Se registraron incendio forestales en los municipios de Concordia, Solayó y Acacoyahua. Se reportan 280 Has. De pastizal bajo, arbolado, arbusto, encinos, pino y matorrales</t>
  </si>
  <si>
    <t>Incendio forestal que consumió 8 has de hojarasca y maleza, no se registran afectaciones humanas</t>
  </si>
  <si>
    <t>Se registró un incendio forestal el cual consumió 15 hectáreas de pastizal en el municipio de Guadalupe</t>
  </si>
  <si>
    <t>San Juan la Jarcia, San Miguel Chimalapa, Candelaria Loxicha, Santo Domingo Petapa, Sola de Vega, Sanata María Atzompa, San Pablo Etla, La Compañia y San Juan</t>
  </si>
  <si>
    <t>Se registraron varios incendios forestales en los municipios de San Juan la Jarcia, San Miguel Chimalapa, Candelaria Loxicha, Santo Domingo Petapa, Sola de Vega, Sanata María Atzompa, San Pablo Etla, La Compañia y San Juan del Estado. Se reportan afectaciones a 327 hectáreas de pastizal</t>
  </si>
  <si>
    <t xml:space="preserve"> Zinacatan, Chiapa de Corzo, Villa de Corzo y Concordia</t>
  </si>
  <si>
    <t>Se registraron incendio forestales en los siguientes municipios de estado: Zinacatan, Chiapa de Corzo, Villa de Corzo y Concordia. Se reportan 470 Has. Afectadas</t>
  </si>
  <si>
    <t xml:space="preserve"> San Juan Bautista Atatlahuaca, San Juan Bautista Jayacatlán, San Carlos Yutepec, Mihuatlán de Porfirio Díaz y San Miguel Chimalapa.</t>
  </si>
  <si>
    <t>Se reportan 383 hectareas afectadas debido a los incendios forestales que se presentaron en los municipios de San Juan Bautista Atatlahuaca, San Juan Bautista Jayacatlán, San Carlos Yutepec, Mihuatlán de Porfirio Díaz y San Miguel Chimalapa.</t>
  </si>
  <si>
    <t xml:space="preserve"> Apaseo el Grande, Valle de Santiago y Abasolo</t>
  </si>
  <si>
    <t>Se repotaron 4 incedios forestales en los  municipios de Apaseo el Grande, Valle de Santiago y Abasolo</t>
  </si>
  <si>
    <t>Se reportó un incedio forestal en el municipio de Escárcega el cual afectó 48 hectáreas de selva mediana y selva baja</t>
  </si>
  <si>
    <t>Valle de Santiago, Pénjamo y León</t>
  </si>
  <si>
    <t>Se reportarón incendios forestales en los municipios de Valle de Santiago, Pénjamo y León, afectando un total de 165 hectáreas</t>
  </si>
  <si>
    <t>Pijijiapán, Concordia y Arriaga</t>
  </si>
  <si>
    <t xml:space="preserve">Se reportarón incendios forestales en los municipios de Pijijiapán, Concordia y Arriaga, afectando un total de 42 Has. De arbustos y matorrales </t>
  </si>
  <si>
    <t xml:space="preserve"> León, Valle de Santiago, Yuriria y Guanajuato</t>
  </si>
  <si>
    <t>Se registraron varios incendios forestales en los municipios de León, Valle de Santiago, Yuriria y Guanajuato afectando un total de 352 hectáreas de pastizal</t>
  </si>
  <si>
    <t xml:space="preserve"> Yaxcucul, Oziozanyum, Yobaín, Dzinzantún y San Felipe</t>
  </si>
  <si>
    <t>Se reportan incedios forestales en los municpios de Yaxcucul, Oziozanyum, Yobaín, Dzinzantún y San Felipe, dichos incendios afectaron un total de 550 hectáreas</t>
  </si>
  <si>
    <t>Angel Albino Corzo, Amatenango, Suchiapa, Zinacantlán y Villa de Corzo</t>
  </si>
  <si>
    <t>Se reportaron incendios forestales en los municipios de Angel Albino Corzo, Amatenango, Suchiapa, Zinacantlán y Villa de Corzo</t>
  </si>
  <si>
    <t>Dzindzantún, Yobain, San Felipe, Río Lagartos y Motul</t>
  </si>
  <si>
    <t>Se reportaron diversos incendios en los municipios de Dzindzantún, Yobain, San Felipe, Río Lagartos y Motul, afectando un total de  1,529 hectáreas</t>
  </si>
  <si>
    <t>Escárcega, Candelaria, Champotón y Tenabo</t>
  </si>
  <si>
    <t>Se registraron incendios forestales en los municipios de Escárcega, Candelaria, Champotón y Tenabo afectando un total de 2353 hectáreas</t>
  </si>
  <si>
    <t>Se reportaron incendios forestales en varios municipios afectando un total de 346 hectáreas</t>
  </si>
  <si>
    <t>Santa Catarina Juquila, San Juan Ozoltepec, San Miguel del Puerto, La Reforma, Santa María Amaltepec, Santiago Juxtlahuaca, Magdalena Mixtepec, Villa Zaachila, Sola de Vega, Santiago Lachiguiri, San Martín Itunyoso, Santa Catarina Ixtepeji y San Pablo Etla</t>
  </si>
  <si>
    <t>Se registraron incendios forestales en los municipios de Santa Catarina Juquila, San Juan Ozoltepec, San Miguel del Puerto, La Reforma, Santa María Amaltepec, Santiago Juxtlahuaca, Magdalena Mixtepec, Villa Zaachila, Sola de Vega, Santiago Lachiguiri, San Martín Itunyoso, Santa Catarina Ixtepeji y San Pablo Etla</t>
  </si>
  <si>
    <t>Villacorzo, Cintalapa,Suchiapa, Motozintla, Villaflores, Villacomaltitlán, Chicomuselo, Tzimol y Jiquipila</t>
  </si>
  <si>
    <t>Se reportan incendios forestales en los municipios de Villacorzo, Cintalapa,Suchiapa, Motozintla, Villaflores, Villacomaltitlán, Chicomuselo, Tzimol y Jiquipilas, afectando a un total de 654 hectareas de pastizal</t>
  </si>
  <si>
    <t>Yaxcucul, Yobaín, San Felipe, Río Lagartos y Motul.</t>
  </si>
  <si>
    <t>Se reportan varios incendio forestales en los municipios de Yaxcucul, Yobaín, San Felipe, Río Lagartos y Motul. Los incendio afectaron un total de 1529 hectáreas</t>
  </si>
  <si>
    <t>Pénjamo, Salva Tierra y Juventino Rosas</t>
  </si>
  <si>
    <t>Se reportaron incendios forestales en los municipios de Pénjamo, Salva Tierra y Juventino Rosas afectando un total de 273  Has. De pastizal</t>
  </si>
  <si>
    <t xml:space="preserve"> San Juan Juquila Mixes, Santa María Chimalapa, San Juan Comaltepec, Santiago Matatlán, Tataltepec de Valdés, San Juan Bautista Jayacatlán y Santiago Tetepec.</t>
  </si>
  <si>
    <t>Se registraron incendios forestales en los municipios de San Juan Juquila Mixes, Santa María Chimalapa, San Juan Comaltepec, Santiago Matatlán, Tataltepec de Valdés, San Juan Bautista Jayacatlán y Santiago Tetepec. Dichos incendios afectaron un total de 919 hectáreas.</t>
  </si>
  <si>
    <t>Villacorzo, La Concordia, Cintalapa, Pueblo Nuevo, Jitotol, Motozintla y Chicomuselo</t>
  </si>
  <si>
    <t>Se reportaron incendios forestales en los municipios de Villacorzo, La Concordia, Cintalapa, Pueblo Nuevo, Jitotol, Motozintla y Chicomuselo</t>
  </si>
  <si>
    <t>Se presentaron incendios forestales en los 7 municipios del estado afectando un total de 311 hectáreas.</t>
  </si>
  <si>
    <t>Yecora, Cananea, Magdalena, Sahuaripa e Imuris</t>
  </si>
  <si>
    <t>Se registraron varios incendios forestales en los municipios de Yecora, Cananea, Magdalena, Sahuaripa e Imuris afectando a un total de 114 hectáreas.</t>
  </si>
  <si>
    <t>Tonala, La Concordia y Jiquipiles</t>
  </si>
  <si>
    <t>Se reportaron incendios forestales en los municipios de Tonala, La Concordia y Jiquipiles, los cuales afectaron a un total de 442 hectáreas.</t>
  </si>
  <si>
    <t xml:space="preserve">En lo que va de la temporada de incendios forestales, el estado de Guerrero reportó un total de 6,278 hectáreas afectadas a la fecha en diversos municipios. </t>
  </si>
  <si>
    <t>Mocorito</t>
  </si>
  <si>
    <t>Se registro un incendio forestal en el municipio de Mocorito afectando a un total de 400 hectáreas. 120 hectáreas de las afectadas eran de Cedro.</t>
  </si>
  <si>
    <t>Chicomosuelo y Jiquipile</t>
  </si>
  <si>
    <t>Se registraron incendios forestales en los municipios de Chicomosuelo y Jiquipiles, afectando un total de 580 hectáreas.</t>
  </si>
  <si>
    <t>Santa María Zacatepec, San Miguel Sola de Vega, Teotitlán de Flores Magón, Nejapa de Madero, Santa María Chimalapa y San Miguel Chimalapa.</t>
  </si>
  <si>
    <t>Se registraron incendios forestales en los municipios de Santa María Zacatepec, San Miguel Sola de Vega, Teotitlán de Flores Magón, Nejapa de Madero, Santa María Chimalapa y San Miguel Chimalapa. Dichos incendios afectaron a un total de 213 hectáreas.</t>
  </si>
  <si>
    <t>Tarimoro,</t>
  </si>
  <si>
    <t>Se registraron incendios forestales en el municipio de Tarimoro, afectando un total de 60 hectáreas de pastizal.</t>
  </si>
  <si>
    <t>Tarandacuao</t>
  </si>
  <si>
    <t>Se registro un incendio forestal en el municipio de Tarandacuao, afectando un total de 75 hectáreas. No se reportaron daños humanos.</t>
  </si>
  <si>
    <t>Villacorzo y Jiquipilas</t>
  </si>
  <si>
    <t>Se registro incendio forestal en los municipios de Villacorzo y Jiquipilas, afectando a un total de 110 hectáreas.</t>
  </si>
  <si>
    <t>Se reporto un incendio forestal en el muncipio de Choix, afectando un total de 40 hectáreas de maleza y arbustos.</t>
  </si>
  <si>
    <t>Boacachi y Fronteras,</t>
  </si>
  <si>
    <t>Se reportan incendios forestales en los municipios de Boacachi y Fronteras, afectando un total de 1,700 hectáreas</t>
  </si>
  <si>
    <t>Tarimoro</t>
  </si>
  <si>
    <t>Se registro un incendio en el muncipio de Tarimoro afectando un total de 35 hectáreas.</t>
  </si>
  <si>
    <t>Se registraron incendios forestales en el municipio de Ensenada afectando un total de 600 hectáreas, de las cuales 100 eran bosque de pino y las otras 500 pastizales.</t>
  </si>
  <si>
    <t>Cuatro Ciénegas</t>
  </si>
  <si>
    <t>Se reportaron incendios en el municipio de Cuatro Ciénegas afectando un total de 600 hectáreas de pastizales y arbolado.</t>
  </si>
  <si>
    <t>Ensenada,</t>
  </si>
  <si>
    <t>Se registró un incendio forestal en el municipio de Ensenada, afectando a un total de 346 has. De pastizal, arbusto y chaparral y 4 has. De encino.</t>
  </si>
  <si>
    <t>Se registro un incendio en el municipio de Tecate en el cual se vieron afectadas 100 has. De encino</t>
  </si>
  <si>
    <t>Se registró un incendio forestal en el municipio de Tecate afectando a un total de 33 hectáreas.</t>
  </si>
  <si>
    <t>Tepotzotlán</t>
  </si>
  <si>
    <t xml:space="preserve">Se registró un incendio en una fábrica de textiles en la zona industrial del municipio de Tepotzotlán, se reportan 10 personas intoxicadas por inhalación del humo. </t>
  </si>
  <si>
    <t>Se registró un incendio en el mercado de la Merced en la delegación Cuauhtémoc, resultando 156 locales de diversos giros quemados.</t>
  </si>
  <si>
    <t>Se registró una explosión e incendio en una caldera de la fábrica de colchones y muebles en el municipio de Ecatepec, se reportaron dos trabajadores fallecidos.</t>
  </si>
  <si>
    <t>Ocozocoautla</t>
  </si>
  <si>
    <t>Se registró una explosión en una vivienda ubicada en el municipio de Ocozocoautla, el accidente fue ocasionado cuando varios niños estaban jugando con luces de begangal e hicieron explotar seis cuetones que estaban dentro de la casa, resultaron lesionados 6 menores.</t>
  </si>
  <si>
    <t>Alvaro Obregón</t>
  </si>
  <si>
    <t>Se registro un incendio forestal en Plaza Loreto en la delegación Alvaro Obregón, se reportan dos personas lesionadas.</t>
  </si>
  <si>
    <t>Azcapotzalco.</t>
  </si>
  <si>
    <t>Se registró un incendio en una bodega que almacenaba cartón y madera en la delegación Azcapotzalco. Como medida preventiva se evacuó a 50 familias. Otras tres bodegas también fueron alcanzadas por el fuego. Se reporta una persona lesionada.</t>
  </si>
  <si>
    <t>Se registro un incendio en el cuarto piso de un edificio de 5 pisos, el edificio estaba abandonado, sin embargo éste fue invadido por 20 familias de la etnia Triquis. Se reportan 12 personas intoxicadas.</t>
  </si>
  <si>
    <t>Se registró un incendio en una fábrica de botones, el incendio consumió 15 máquinas maquiladoras y afectó un total de 1,500m2, así mismo afecto el producto terminado y lasl áreas de producción y administración.</t>
  </si>
  <si>
    <t>Se reportó un incendio en una ferreteria en el centro de la ciudad de Saltillo, como medida preventiva se evacuó a los habitantes de 95 casas cercanas a la zona del siniestro.</t>
  </si>
  <si>
    <t>Se registró un incendio en una bodega de la merced en la delegación Venustiano Carranza, se vieron afectados 30 metros cuadrados de plásticos y jarcería, no se reportan daños humanos.</t>
  </si>
  <si>
    <t>Coacalco</t>
  </si>
  <si>
    <t>Se registró un incendio en el tiradero de basura municipal de Coacalco el cual consumió un área de 5,000 metros cuadrados consumiendo basura en general.</t>
  </si>
  <si>
    <t>En el municipio de Tlaquepaque se registró una explosión en una vivienda por acumulamiento de gas, como resultado 4 personas perdieron la vida y ptras 4 resultaron lesionadas.</t>
  </si>
  <si>
    <t>Se registró un incendio en un terreno baldío por quema de pastizales el cual se propagó a un terreno aledaño que cumplia la función de estacionamiento, por lo que fueron 24 los vehículos afectdos así como 2 personas intoxicadas.</t>
  </si>
  <si>
    <t>Tultitlan</t>
  </si>
  <si>
    <t>Se registró un incendio en el municipio de Tultitlan resultando 4 lesionados y un intoxicado.</t>
  </si>
  <si>
    <t>Se registró un incendio en un corralon donde se quemaron 15 vehículos viejos.</t>
  </si>
  <si>
    <t>Se registro un incendio en un bodega clandestina de desechos tóxicos, se vieron afectados 400 mts cuadrados de la bodega en el municipio de Ecatepec.</t>
  </si>
  <si>
    <t>Etzatlán</t>
  </si>
  <si>
    <t>Se registró una explosión en un inmueble que servía como polvorín y taller de artificios pirotécnicos en el municipio de Etzatlán, se reportan tes personas lesionadas, como medida preventiva se evacuó a 30 personas .</t>
  </si>
  <si>
    <t>Se registró un incendio en una empresa del municipio de Nogales en el cual falleció una persona.</t>
  </si>
  <si>
    <t>Se registró un incendio industrial en una fábrica de plásticos en el Parque Industrial Huaycura en el municipio de Tijuana, como medida preventiva se evacuó a las personas de las viviendas aledañas.</t>
  </si>
  <si>
    <t>Cholula</t>
  </si>
  <si>
    <t>Se registró la explosión de un polvorín clandestino en el municipio de Cholula. A consecuencia del accidente se reportaron 4 muertos y tres personas lesionadas, así mismo, la vivienda sufrió daños.</t>
  </si>
  <si>
    <t>Se registro un incendio en una fábrica del municipio de Tijuana en el cual se reportaron tres peronas intoxicadas.</t>
  </si>
  <si>
    <t>Se reportó un incendio en un edificio que funge de bodega de los comerciantes de la zona centro del Distrito Federal. En el incendio una persona perdió la vida. Lo anterior sucedió en la delegación Cuauhtémoc</t>
  </si>
  <si>
    <t>Se reporto un incendio en una fábrica de plásticos en el municipio de Guadalajara en el cual 3 personas resultaron lesionadas</t>
  </si>
  <si>
    <t>Se registro un incendio industrial en la embotelladora Bonafont en el municipio de Zapopan, no se reportan daños humanos. Hubo afectaciones en 6 vehículos repartidores de agua.</t>
  </si>
  <si>
    <t>Se registró un incendio en el basurero municipal de Tecate, afectando un área de 250 mts2</t>
  </si>
  <si>
    <t>Se registró un incendio en una madereria en el municipio de Zapopan, el incendio consumió maquinaria y alrededor de 6 mil tarimas de madera.</t>
  </si>
  <si>
    <t>Se registro un incendio industrial en el municipio de Monterrey, dicho incendio afecto tres naves industriales de la empresa Vitrocrisa. Dos de las naves industriales contenian cartón y cajas.</t>
  </si>
  <si>
    <t>Se reportó un incendio urbano en un mercado del municipio de Durango, afectando entre 40 y 50 locales comerciales.</t>
  </si>
  <si>
    <t>Se registro un incendio en la cocina del Hotel Roma, lesionando a 5 personas, por lo que fue necesario evacuar a 160 huéspedes y 40 trabajadores.</t>
  </si>
  <si>
    <t>Se reportó incendio en una casa habitación, no se reportan daños humanos</t>
  </si>
  <si>
    <t>Se registro un incendio en una bodega de nombre FLEXA en donde se perdió la siguiente mercancía: 1,000 pacas de algodón y varias cajas.</t>
  </si>
  <si>
    <t>Se registro un incendio en un dormimundo en el municipio de Guadalajara, resultaron lesionados dos bomberos.</t>
  </si>
  <si>
    <t>Se registró un incendio en la delegación Miguel Hidalgo en una distribuidora de papel, se consumió una bodega de papel, cartón y madera.</t>
  </si>
  <si>
    <t>Se registró un incendio en una casa habitación de la delegación Benito Juárez, el inmueble quedo dañado totalmente. Así mismo se reportan 2 autos dañados.</t>
  </si>
  <si>
    <t>Temixco</t>
  </si>
  <si>
    <t>Se registró un incendio en una subestación eléctrica de CFE en el municipio de Temixco, como medida preventiva se evacuó al personal. Se suspendió el servicio de energía eléctrica en los municipios de Emiliano Zapata, Cuernavaca, Temixco, Jiutepec y Xochitepec.</t>
  </si>
  <si>
    <t>Se registro un incendio industrial en una fábrica en el municipio de Ciudad Victoria, se reportan 2 personas fallecidas.</t>
  </si>
  <si>
    <t>Se regitró un incendio industrial en el municipio de Guadalupe en la empresa ACS resultando 16 personas lesionadas.</t>
  </si>
  <si>
    <t>Coyoacan</t>
  </si>
  <si>
    <t>Se registró un incendio en una vivienda humilde en la delegación Coyoacan, en el incidente falleció una persona de 60 años calcinada.</t>
  </si>
  <si>
    <t>Matamoros</t>
  </si>
  <si>
    <t>Se registró un incendio en una casa habitación en la madrugada en el municipio de Matamoros, se reportan 5 personas fallecidas y un lesionado.</t>
  </si>
  <si>
    <t>Tapilula</t>
  </si>
  <si>
    <t>Se registró un incendio en una casa habitación del municipio de Tapilula, se reportan 5 personas lesionadas, una vivienda dañada y 2 locales comerciales uno de ropa y una papeleria.</t>
  </si>
  <si>
    <t>Guazapares</t>
  </si>
  <si>
    <t>Se registró el incendio de una pequeña estación de gas en el municipio de Guazapares. Derivado del incendio se reportan 2 personas lesionadas, como medida preventiva se evacuaron 150 personas de 40 viviendas cercanas.</t>
  </si>
  <si>
    <t>Se registró un incendio comercial en el municipio de San Cristóbal de las Casas en el mercado de la colonia Santo Domingo. Se reportan 8 puestos afectados y no hubo lesionados.</t>
  </si>
  <si>
    <t>Nicolás Tolentitn0</t>
  </si>
  <si>
    <t>Se reporta la muerte de tres personas por inmersión en el municipio de Nicolás Tolentitno en la Presa de las Golondrinas.</t>
  </si>
  <si>
    <t>o9de Chilón</t>
  </si>
  <si>
    <t>Se extraviaron 2 menores en un conjunto cavernoso en el municipi o9de Chilón, por lo que se declaro fallecidos a los menores.</t>
  </si>
  <si>
    <t>Valle de Bravo</t>
  </si>
  <si>
    <t>Se registrp la volcadura de un microbus en la entrada a la cabecera municipal de Valle de Bravo lo que ocasionó la muerte de 10 personas y lesiones en 20 más.</t>
  </si>
  <si>
    <t>Palenque</t>
  </si>
  <si>
    <t>Se encontró el cuerpo de una persona que se ahogo en las cascadas de Agua Azul municpio de Palenque</t>
  </si>
  <si>
    <t>Se reporta el fallecimiento de una persona en el municipio de Atoyac al ser arrastrado por un río estando el individuo de vaciones.</t>
  </si>
  <si>
    <t>Ures</t>
  </si>
  <si>
    <t>Se registró la volcadura de una pipa en el municipio de Ures en la carretera Hermosillo - Moctezuma, se presentó derrame del 90% del producto que eran 32 mil litros de diesel. El chofer resultó lesionado.</t>
  </si>
  <si>
    <t>Se registró la volcadura de una pipa de PEMEX en la delegación Alvaro Obregón, no se reporto derrame del poducto, se reportó lesionado el chofer de la pipa.</t>
  </si>
  <si>
    <t>Mante</t>
  </si>
  <si>
    <t>Se registró el choque entre un autobús de pasajeros y un trailer, resultando un total de 16 personas fallecidas y 14 lesionadas, lo anterior en el municipio de Mante.</t>
  </si>
  <si>
    <t>Se registró la volcadura de una camioneta en el municipio de Charo, en el accidente resultaron lesionadas 15 personas</t>
  </si>
  <si>
    <t>Lerma</t>
  </si>
  <si>
    <t>Se registró la volcadura de un autobús de pasajeros en el municipio de Lerma en la autopista Naucalpán - Toluca. Se reportan 20 personas lesionadas.</t>
  </si>
  <si>
    <t>Se registró un choque entre un autobús de pasajeros y un trailer en el municipio de Jiménez, como resultado del percance 10 personas perdieron la vida y 20 más resultaron lesionadas.</t>
  </si>
  <si>
    <t>Se registró el impacto de un trailer doble remolque contra 14 vehículos que se encontraban estacionados, en el accidente se reportan 9 personas fallecidas y 17 más lesionadas, así mismo se reporta que 3 de los vehículos quedaron totalmente calcinados.</t>
  </si>
  <si>
    <t>Tepetlixca</t>
  </si>
  <si>
    <t>Se registró la volcadura de una camioneta en la carretera México- Cuautla en el municipio de Tepetlixca, se reporta la muerte de una perosna y 14 lesionados.</t>
  </si>
  <si>
    <t>Arizpe</t>
  </si>
  <si>
    <t>Se registró un accidente carretero en la carretera Arizpe - Cananea en el municipio de Arizpe, resultando 8 personas fallecidas.</t>
  </si>
  <si>
    <t>Se registró un choque entre un camión de redilas que transportaba a 67 personas y un camión repartidor de abarrotes, se reportan 6 personas fallecidas y 69 lesionadas.</t>
  </si>
  <si>
    <t>Debido a las protestas de grupos globalifóbicos contra la cumbre latinoamericana que se realiza en el Centro Cultural Cabañas se presentaron enfrentamientos entre granaderos y simpatizantes del movimiento globalifóbico dejando un saldo de 49 personas heridas y 20 personas detenidas.</t>
  </si>
  <si>
    <t>Tonila</t>
  </si>
  <si>
    <t>Se registró una carambola entre un autobus de pasajeros, un auto particular y un camión torton en la autopista Guadalajara-Colima en el municipio de Tonila, como resultado fallecieron 2 personas y 31 personas resultaron lesionadas.</t>
  </si>
  <si>
    <t>Se reportó la caída de 10 menores de un juego inflable, por lo que se lesionaron los 10 niños</t>
  </si>
  <si>
    <t>Se registró el choque de un autobús de pasajeros con tra un trailer en la carretera libre Salamanca - Villagrán en el municipio de Villagrán. Se reportan 20 personas lesionadas.</t>
  </si>
  <si>
    <t>Se registró un accidente carretero en el tramo de Tepich Carrillo - Petectunich de la carretera Mérida - Acanceh. En el accidente se vieron involucrados tres vehículos, se reportaron 5 decesos y 10 lesionados.</t>
  </si>
  <si>
    <t>El Márquez</t>
  </si>
  <si>
    <t>Se registró el impacto de un trailer que transportaba 60 mil litros de combustoleo con otro trailer, a causa del impacto se derramaron 2,000 litros de combustoleo. Debido al accidente se reportó una persona lesionada. El accidente tuvo lugar en el municipio de El Márquez.</t>
  </si>
  <si>
    <t>Se registraron 13 lesionados en las festividades de la comunidad de San Juan de la Vega en el Municipio de Celaya.</t>
  </si>
  <si>
    <t>Se registró la volcadura de un tractocamión resultando lesionada una persona.</t>
  </si>
  <si>
    <t xml:space="preserve"> Ciénega de Flores</t>
  </si>
  <si>
    <t>Se registró el desplome de una avioneta particular en el municipio de Ciénega de Flores, se reporta la muerte de los 5 tripulantes.</t>
  </si>
  <si>
    <t>Se registro el impacto de un microbus contra un anuncio espectacular en el municipio de Naucalpan, se reportaron 7 personas lesionadas.</t>
  </si>
  <si>
    <t>Hidalgo.</t>
  </si>
  <si>
    <t>Se registró un choque entre una pipa de doble remolque que transportaba residuos de Tolueno con capacidad de 65 mil litros y un trailer de doble remolque, debido al impacto ambos transportes se incendiaron, se reportaron 4 personas fallecidas. Esto sucedio en el municipio de Hidalgo.</t>
  </si>
  <si>
    <t>Arteaga</t>
  </si>
  <si>
    <t>Se registro la volcadura de un autobús de pasajeros pertenecientes  la facultad de ingeniería de la UNAM en el municipio de Arteaga, en dicho accidente 8 personas resultaron lesionadas y 4 más perdieron la vida.</t>
  </si>
  <si>
    <t>Se registró un accidente en un jaripeo debido al reblandecimiento del terreno por las lluvias, lo que ocasionó el colapso de un sector de las gradas resultando 8 personas lesionadas en el municipio de Charo</t>
  </si>
  <si>
    <t>Toluca,</t>
  </si>
  <si>
    <t>Se registró el descarrilamiento de 4 furgones en el interior de los patios de ferrocarril del municipio de Toluca, estos se soltaron y se impactaron contra dos taxis, un vehículo particular y un autobús de pasajeros donde resultaron 5 personas lesionadas.</t>
  </si>
  <si>
    <t>Se concentraron alrededor de 35 mil personas en el Zócalo, Plaza de la costitución con motivo del informe de actividades del jefe de gobierno. No se reportan daños.</t>
  </si>
  <si>
    <t>Villa de Arriaga</t>
  </si>
  <si>
    <t>Se registró el desplome de una avioneta en la zona alta de la sierra del municipio de Villa de Arriaga, en el accidente los tripulantes perdieron la vida.</t>
  </si>
  <si>
    <t>Se registró un bloqueo en la carretera México - Cuernavaca a la altura del km. 23. por lo que se interrumpió el servicio a partir de las 8:00 hrs.</t>
  </si>
  <si>
    <t>Cuetzalan</t>
  </si>
  <si>
    <t>Se reportan 6 personas atrapadas en unas grutas en el municipio de Cuetzalan</t>
  </si>
  <si>
    <t>Se registró la volcadura de un autobús de pasajeros por lo que 4 personas perdieron la vida y otras 22 resultaron heridas</t>
  </si>
  <si>
    <t>Se registró la volcadura de un autobús de pasajeros, como resultado del percance 4 personas perdieron la vida y 12 más resultaron lesionadas.</t>
  </si>
  <si>
    <t>Apaseo el Alto</t>
  </si>
  <si>
    <t>Se registró un choque entre dos camionetas en el cual 4 personas perdieron la vida y 7 más resultaron lesionadas en el municipio de Apaseo el Alto.</t>
  </si>
  <si>
    <t>Orizaba</t>
  </si>
  <si>
    <t>Se registró un accidente entre un autobús de pasajeros y un camión de redilas, se reportó la muerte de 4 personas y 38 más resultaron lesionadas. Lo anterior en el municipio de Orizaba.</t>
  </si>
  <si>
    <t>Se registró la volcadura de un autobús que trasportaba personal de la empresa Scott, originando lesiones a 19 personas.</t>
  </si>
  <si>
    <t>Se registró el desplome de un helicoptero de la SCT en el aeropuerto "Iganacio López Rayon", resultando dos personas lesionadas.</t>
  </si>
  <si>
    <t>Se reportó concentración masiva de la población en la delegación Iztapalapa debido aa festejo del Via Crucis, debido a dicha celebración se reportaron 670 lesiones menores y dos graves.</t>
  </si>
  <si>
    <t xml:space="preserve"> Acatzingo</t>
  </si>
  <si>
    <t>Se registró la volcadura de un autobús particular donde viajaban 38 personas de nacionalidad alemana, el accidente se reportó en el municipio de Acatzingo, se reportan 3 personas muertas y 35 lesionadas</t>
  </si>
  <si>
    <t>Se impactaron un camión de redilas y un trailer en la carretera Guanajuato - San Miguel de Allende, resultando 3 personas lesionadas y 18 lesionadas.</t>
  </si>
  <si>
    <t>Aldama</t>
  </si>
  <si>
    <t>Se registro el desplome de una avioneta en un campo agrícola del municipio de Aldama, La causa del accidente fue presumiblemente una falla mecánica, se reportan tres pérsonas fallecidas.</t>
  </si>
  <si>
    <t xml:space="preserve">Se registró la volcadura de un autobús de pasajeros en el municipio de Apaseo el Grande, resultando lesionadas 36 personas. </t>
  </si>
  <si>
    <t>Ejutla de Crespo</t>
  </si>
  <si>
    <t>Se registró la caída de una avioneta tipo CESSNA 175 en el municipio de Ejutla de Crespo, por lo que 3 personas perdieron la vida.</t>
  </si>
  <si>
    <t>Se registró la volcadura de un autobús de pasajeros, se reportaron 21 lesionados en el km. 13 de la carretera San Miguel - Guanajuato</t>
  </si>
  <si>
    <t>Salto de Agua</t>
  </si>
  <si>
    <t>Se reportó el descarrilamiento de un tren en el municipio de Salto de Agua, se presento derrame en uno de los vagones, el tren transportaba combustoleo. No se reportan daño humanos.</t>
  </si>
  <si>
    <t>Se reportaron dos personas extranjeras extraviadas en el municipio de Uruapan en las cercanias del volcán Paricutín. Se encontraron con síntomas de deshidratación e insolación, por lo que fueron trasladadas al hospital.</t>
  </si>
  <si>
    <t>Se registró la volcadura de un autobús de pasajeros después de chocar con un automóvil particular, se registraron 22 personas lesionadas y 3 muertos.</t>
  </si>
  <si>
    <t>Se reportó la volcadura de una pipa que transportaba gas en el municipio de Ixtapaluca, debido al accidente se reporta la muerte de dos menores que se encontraban en el lugar de los hechos y dos personas lesionadas.</t>
  </si>
  <si>
    <t>San Juan Bautista Tuxtepec</t>
  </si>
  <si>
    <t xml:space="preserve">Se registró un accidente ferroviario en el municipio de San Juan Bautista Tuxtepec, se reportaron 13 personas heridas. </t>
  </si>
  <si>
    <t>Se reporto el choque de frente entre un autobus de pasajeros y un camión que transportaba azulejos, en dicho accidente resultaron lesionadas 7 personas, cinco de gravedad y 2 leves.</t>
  </si>
  <si>
    <t>Se registró la volcadura de un autobús el cual procedia de la ciudad de Morelia. Se reportaron 10 lesionados y 3 muertos.</t>
  </si>
  <si>
    <t xml:space="preserve">Amenaza de bomba </t>
  </si>
  <si>
    <t>Se reporto la explosión de tres bombas en el municipio de Jiutepec en tres diferentes sucursales bancarias, así mismo se localizó un cuarto artefacto, el cual fue desactivado antes de que detonara. No se reportan daños humanos.</t>
  </si>
  <si>
    <t>Se registro el impacto de una camioneta y un autobus de pasajeros, resultando 10 personas lesionadas.</t>
  </si>
  <si>
    <t>Fresnillo.</t>
  </si>
  <si>
    <t>Se reportó la muerte de dos personas por inmersión en la presa Trujillo en el municipio de Fresnillo.</t>
  </si>
  <si>
    <t>Villa Purificación,</t>
  </si>
  <si>
    <t>Se registró la volcadura de un autobús de pasajeros en el municipio de Villa Purificación, se reportan 9 personas lesionadas.</t>
  </si>
  <si>
    <t xml:space="preserve">Accidente de trabajo </t>
  </si>
  <si>
    <t>Peña Miller</t>
  </si>
  <si>
    <t>Se rescataron 2 cuerpos sin vida de una mina de plata en el municipio de Peña Miller en la comunidad de Río Blanco.</t>
  </si>
  <si>
    <t>Se registró la volcadura de una pipa que transportaba gas al 50 % de su capacidad, se repota una persona lesionada.</t>
  </si>
  <si>
    <t>Se registró la volcadura de un autobús de pasajeros, en el cual perdieron la vida 2 personas y 25 más resultaron lesionadas.</t>
  </si>
  <si>
    <t>Se registro el desplome de una avioneta monoplaza en el municipio de Pénjamo, resultando el piloto con lesiones graves.</t>
  </si>
  <si>
    <t xml:space="preserve">Se registro la volcadura de un trailer que transportaba 82 migrantes en el municipio de Tapachula, se reporta la muerte de 2 personas y 40 lesionados. </t>
  </si>
  <si>
    <t>Arteaga,</t>
  </si>
  <si>
    <t>Se registró la volcadura de una pipa a un barranco en el municipio de Arteaga, dicha pipa transportaba dos contenedores con capacidad de 29 mil litros de diesel ambos contenedores presentaron fuga, se reportó una persona lesionada</t>
  </si>
  <si>
    <t xml:space="preserve">Se registro una accidente carretero en la carretera federal Toluca - México, al volcarse un autobús de pasajeros. En dicho accidente resultaron lesionadas 25 personas y 2 personas más perdieron la vida. </t>
  </si>
  <si>
    <t>Se registro un derrumbe en un puente del municipio de León, debido a excavaciones en una zanja en donde quedaron sepultados dos trabajadores, quienes perdieron la vida.</t>
  </si>
  <si>
    <t>Se registró un accidente ferroviario en el municipio de Nuevo Laredo en el cual se vieron afectados tres furgones que transportaban vehículos nuevos.</t>
  </si>
  <si>
    <t>Se registro la volcadura de un autobús de la Universidad del Valle de México campus SLP en el que viajaban 29 personas las cuales resultaron lesionadas. Lo anterior sucedió en el municipio de Huitzilac.</t>
  </si>
  <si>
    <t>Se registró la volcadura de una pipa que trasportaba 42 mil litros de chapopote líquido en el municipio de La Piedad, se presentó un derrame de 22 mil litros del producto, no se reportan daños humanos.</t>
  </si>
  <si>
    <t>Atitalaquía,</t>
  </si>
  <si>
    <t>Se registró un accidente ferroviario en el municipio de Atitalaquía, uno de los trenes transportaba maíz el cual se derramo parcialmente, el otro estaba vacío, hasta el momento se reportan 10 personas lesionadas.</t>
  </si>
  <si>
    <t>Se registró la volcadura de una pipa que transportaba 40 mil litros de polietileno líquido, no se presento fuga del producto, se reportan tres personas lesionadas.</t>
  </si>
  <si>
    <t>Zapopan,</t>
  </si>
  <si>
    <t xml:space="preserve">Se registró la caída de una mampara en un teatro del municipio de Zapopan, se reportan 7 personas lesionadas y una mas con crisis nerviosa. </t>
  </si>
  <si>
    <t>Montemorelos.</t>
  </si>
  <si>
    <t>Se reporto un accidente carretero entre un auotobús de pasajeros y un trailer en el municipio de Montemorelos. Se reportaron 17 personas lesionadas.</t>
  </si>
  <si>
    <t>Se registro la volcadura de una pipa de doble remolque que transportaba 40,000 litros de diesel en cada contenedor. Se reporto la explosión de uno de los contenedores ocasionando lesiones a dos perosonas.</t>
  </si>
  <si>
    <t>Se registro un accidente carretero en el que participo un camión con 2 contenedores resultasndo lesionada una persona.</t>
  </si>
  <si>
    <t>Se reportó la volcadura de una camioneta al subir al nevado de Colima, se reportan 7 personas lesionadas.</t>
  </si>
  <si>
    <t>Ocotlán.</t>
  </si>
  <si>
    <t>Se registró un choque entre una camioneta y un tractocamión resultando 6 personas lesionadas. En el municipio de Ocotlán.</t>
  </si>
  <si>
    <t>Chapa de Mota</t>
  </si>
  <si>
    <t>Se registro el desplome de un helicóptero de la SEDENA en el municipio de Chapa de Mota, debido  a lo anterior se reportan 3 militares fallecidos.</t>
  </si>
  <si>
    <t>Zapotlanejo</t>
  </si>
  <si>
    <t>Se registró el desplome de un helicóptero el cual salió del aeropuerto de Guadalajara, desplomandose en el muncipio de Zapotlanejo, en el accidente resultaron lesionados los 5 tripulantes.</t>
  </si>
  <si>
    <t>Villahermosa</t>
  </si>
  <si>
    <t>Se reportó la caída de una aeronave en el municipio de Villahermosa a 1 km del aeropuerto internacional, se reportó la muerte de 2 personas.</t>
  </si>
  <si>
    <t>Se registró la volcadura de una pipa con capacidad de 12,500 litros de gas en la delegación Cuauhtémoc, se presentó fuga de gas, se reportaron 5 personas lesionadas y una persona fallecida, se evacuó a 60 personas como medida preventiva al efectuar el trasvase del producto.</t>
  </si>
  <si>
    <t>Se registró el desplome de una avioneta tipo CESSNA en el cerro de las mariposas, límite entre los estados de Nuevo Leon y Coahuila. El piloto de la aeronave resulto muerto.</t>
  </si>
  <si>
    <t>Se registró la volcadura de un autotanque que transportaba ácido fosfórico, presentandose fuga del mismo, se reporta una persona intoxicada.</t>
  </si>
  <si>
    <t>Santa María Huatulco</t>
  </si>
  <si>
    <t>Se registró el desplome de una avioneta en el municipio de Santa María Huatulco, se reportan una persona lesionada y una muerta.</t>
  </si>
  <si>
    <t>Nacozari de García</t>
  </si>
  <si>
    <t>Se registró la volcadura de una pipa que transportaba 41,600 litros de combustoleo en el municipio de Nacozari de García, debido al accidente el chofer y su acompañante presentaron múltiples lesiones.</t>
  </si>
  <si>
    <t>Mozacahui,</t>
  </si>
  <si>
    <t>Se reportó un accidente carretero en el municipio de Mozacahui, se reporta un lesionado.</t>
  </si>
  <si>
    <t>Tlalmanalco</t>
  </si>
  <si>
    <t>Se reportó la muerte de una persona por hipertensión y un lesionado al intentar subir al volcán en el municipio de Tlalmanalco y San Pedro Nexapa respectivamente.</t>
  </si>
  <si>
    <t>León.</t>
  </si>
  <si>
    <t>Se reportó la volcadura de una pipa que transportaba Isopropanol, registrandose una pequeña fuga, asi mismo se reporta el fallecimiento del chofer de la pipa. En el municipio de León.</t>
  </si>
  <si>
    <t>Santiago</t>
  </si>
  <si>
    <t>Se registró un choque entre un camión torton y una camioneta Pick-up en el municipio de Santiago, se reportan 9 peronas lesionadas y una  más fallecida.</t>
  </si>
  <si>
    <t>Se registró el aterrizaje forzoso de un helicóptero en el estdo de Hidalgo, en donde se reportaron 3 militares lesionados</t>
  </si>
  <si>
    <t>Se reporta la volcadura de un camión que transportaba sosa cáustica, se reportan dos bomberos lesionados al presentar quemaduras por dicha sustancia en las labores de trasvase.</t>
  </si>
  <si>
    <t>Se reportó el desplome de un helicóptero en el aeropuerto ubicado en el municipio de Cuernavaca. Se reportan 2 personas lesionadas.</t>
  </si>
  <si>
    <t>Se informa de la volcadura de un autotanque que derramo 28,000 litros de combustoleo. En Celaya</t>
  </si>
  <si>
    <t xml:space="preserve"> San Cristóbal de las Casas.</t>
  </si>
  <si>
    <t>Se registró el colapso de 80 metros lineales del puente debido a una falla estructural, en el municipio de San Cristóbal de las Casas.</t>
  </si>
  <si>
    <t>Silao,</t>
  </si>
  <si>
    <t>Se registró la volcadura de un autobús de pasajeros en el municipio de Silao, se reportan 25 lesionados.</t>
  </si>
  <si>
    <t>Se registró la volcadura de un trailer que transportaba sosa caústica, dejando regado sobre el pavimento 600 sacos de 20 kg cada uno, se reporta una persona muerta y un herido.</t>
  </si>
  <si>
    <t>Se registró la volcadura de un autotanque que transportaba 43,789 litros de combustoleo, se reporta derrame total del producto sobre la cinta asfáltica y terrenos cercanos.</t>
  </si>
  <si>
    <t>Padilla.</t>
  </si>
  <si>
    <t>Se reportó la muerte de una persona y otra persona lesionada al caer de su bote en la presa Vicente Guerrero del municipio de Padilla.</t>
  </si>
  <si>
    <t>Se registró la volcadura de una pipa que transportaba 41,000 lityros de combustoleo.</t>
  </si>
  <si>
    <t>Se registró amenaza de bomba con localización de artefacto y detonación en lugar seguro, no se reportan daños. Lo anterior en el palacio municipal de Tuxpan</t>
  </si>
  <si>
    <t>Poncitlan</t>
  </si>
  <si>
    <t>Se reportaron dos volcaduras, una de una pipa en el municipio de Poncitlan en donde resultaron heridos dos personas y otra de una camioneta de 10 ton. En la que también se lesionaron dos personas, esto último en el municipio de Chapala</t>
  </si>
  <si>
    <t>Se registro la interrupción del servicio de transportes Metro debido al suicidió de una persona que se arrojo al pasó del transporte en la estación Cuitlahuac de la delegación Miguel Hidalgo. El servicio se suspendió por aproximadamente una hora.</t>
  </si>
  <si>
    <t>Gómez Palacios</t>
  </si>
  <si>
    <t>Se registró un accidente ferroviario en el municipio de Gómez Palacios, se afectó un puente, una barda y 2 arbotantes.</t>
  </si>
  <si>
    <t>Se registró la volcadura de un autobus de pasajeros en el municipio de Tijuana en la carretera Tecate - Tijuana, resultando 40 personas lesionadas.</t>
  </si>
  <si>
    <t>Se registró la volcadura de una camioneta con cuatro tripulantes de sexo masculino a la altura de un puente del municipio de San Luis Potosí. Se reportan 3 personas lesionadas y una persona fallecida</t>
  </si>
  <si>
    <t>Se registró la volcadura de una pipa en el municipio de Tapachula, la pipa transportaba 30 mil litros de metanol, derramando el 50% de éste. Se reporta una persona lesionda.</t>
  </si>
  <si>
    <t>Anáhuac,</t>
  </si>
  <si>
    <t>Se registró el descarrilamiento de un tren en el municipio de Anáhuac, en el incidente resultaron tres peronas lesionadas y un muerto, al parecer se trataba de indocumentados.</t>
  </si>
  <si>
    <t>Se registró el choque de una pipa la cual transportaba 10 mil litros de acrilato etilo altamente tóxico, no se presento fuga ni derrame del producto, únicamente resultó dañado el conductor de la pipa.</t>
  </si>
  <si>
    <t>Se registró un accidente carretero en el que se involucraron 1 trailer, 2 camionetas, un camión de pasajeros y 6 vehículos particulares, resultando lesionadas 15 personas y un muerto. Lo anterior sucedió en la delegación Cuajimalpa.</t>
  </si>
  <si>
    <t>amazula de Gordiano</t>
  </si>
  <si>
    <t>Falleció una persona y una más resulto herida al intentar taponear una fuga de agua en un bordo en el municipio de Tamazula de Gordiano, éste sufrió un derrumbe el cual sepulto a una de las personas totalmente y a otra únicamente en sus extremidades inferiores.</t>
  </si>
  <si>
    <t>Se registró el impacto de dos autobuses de pasajeros en el municipio de Celaya, se reportaron 6 personas lesionadas.</t>
  </si>
  <si>
    <t>Se registró el descarrilamiento de 5 vagones de tren que tranportaban rollos de lámina, el accidente ocurrió en el municipio de Nuevo Laredo, se reporto un lesionado que fue atendido en el lugar de los hechos.</t>
  </si>
  <si>
    <t>Se registraron fuertes lluvias que afectaron al municipio de Tijuana, se activaron 4 refugios temporales con 426 personas albergadas, así mismo se reportó la caída de 3 árboles y la muerte de 4 personas, 3 de éstas menores de edad, así mismo, se registró el descarrilamiento de un tren, específicamente 6 góndolas.</t>
  </si>
  <si>
    <t>Casas Grandes</t>
  </si>
  <si>
    <t>Debido a las fuertes lluvias registradas en el municipio de CasaS Grandes se registraron afectaciones en 39 viviendas, de las cuales 14 presentaron daño menor y 25 daño parcial, se instaló un refugio temporal en el cual se atienden a 85 personas, así mismo se reubicaran 70 viviendas que se encuetran en las márgenes del río Piedras Verdes y Nuevo Casas Grandes.</t>
  </si>
  <si>
    <t>Bachiniva, Bocoyna, Guachochi, Janos, Matachi, Cuauhtemoc, Maguarichi, Cusihuiriachi y Chinipas</t>
  </si>
  <si>
    <t>Se presentaron fuertes lluvias y nevadas, las cuales afectaron a un total de 7,400 personas, no se tiene el número de viviendas dañadas.</t>
  </si>
  <si>
    <t>Debido a las fuertes lluvias se presentaron varios deslaves que afectaron varias viviendas, como medida preventiva se evacuó a un total de 190 personas y se instalaron en un refugio temporal.</t>
  </si>
  <si>
    <t>Acala. Venustiano Carranza y Tuxtla Gutiérrez</t>
  </si>
  <si>
    <t>Se registraron fuertes lluvia y granizo acompañados de vientos causando afectaciones en 68 viviendas, 2 con daño total y las demás con daño parcial, así mismo seinstaló un refugio temporal en donde 17 personas pasaron la noche.</t>
  </si>
  <si>
    <t>Tlaxco y Hueyotlita</t>
  </si>
  <si>
    <t>Debido a las fuertes lluvias se registraron afectaciones en algunas viviendas, así mismo se instalaron dos refugios temporales en donde se albergó a un total de 72 personas. El número de viviendas afectadas se estimó en 14.</t>
  </si>
  <si>
    <t>Villa Vanegas</t>
  </si>
  <si>
    <t>Se registró una fuerte lluvia acompañada de descargas eléctricas, se reportan 25 viviendas afectadas, de las cuales 19 resultaron con afectaciones mayores. Así mismo, se reportó el fallecimiento de una persona por la caída de un rayo. El suministro de energía eléctrica se suspendió durante 4 horas debido al daño que sufrió un transformador.</t>
  </si>
  <si>
    <t>Tlacolula de Matamoros, Oaxaca, San Agustín de las Juntas, San Antonio de la Cal y Santa Cruz Xoxocotlan</t>
  </si>
  <si>
    <t>Debido a las fuertes lluvias se registraron afectaciones menores en 120 viviendas, se habilitó un refugio temporal en el cual pernoctaron 50 personas.</t>
  </si>
  <si>
    <t>Debido a las fuertes lluvias 110 viviendas resultaron afectadas,  de las cuales unas 80 presentaron daño parcial y el resto daño menor. Así mismo 15 vehículos fueron arrastrados por la corriente al desbordarse el canal de aguas negras "Las Granjas"</t>
  </si>
  <si>
    <t>Mapastepec</t>
  </si>
  <si>
    <t>Se reportaron lluvias fuertes afectando 2 viviendas, no se reportaron daños humanos.</t>
  </si>
  <si>
    <t>Jiménez y Nuevo Laredo</t>
  </si>
  <si>
    <t>Se reportaron 22 viviendas con daños menores debido a las fuertes lluvias registradas en los municipios mencionados. Así mismo se registraron daños en enseres domésticos de algunas viviendas.</t>
  </si>
  <si>
    <t>Tecolutla, Papantla, Poza Rica y Gutiérrez Zamora</t>
  </si>
  <si>
    <t>Se registraron fuertes lluvias en el estado afectando un total de 177 viviendas en sus techos, no se reportaron daños humanos.</t>
  </si>
  <si>
    <t>Diversos municipios</t>
  </si>
  <si>
    <t>Se registraron lluvias muy fuertes se reportan daños en 10 viviendas, así como la caída de árboles los cuales afectaron 2 vehículos y ocasionaron el corte del suminitro de energía eléctrica por varias horas.</t>
  </si>
  <si>
    <t>Oaxaca de Juárez, Santa Lucía del Camino, Tlalixtac de Cabrera, San Andrés Huayapan y Tlacolula de Matamoros</t>
  </si>
  <si>
    <t>Debido a las lluvias registradas se vieron afectados varios municipios del estado, se reportaron  120 viviendas afectadas a causa del desbordamiento de varios arroyos, así mismo se evacuó a 500 personas aproximadamente.</t>
  </si>
  <si>
    <t>Zumpango y Temascalapa</t>
  </si>
  <si>
    <t>Se registró una lluvia fuerte con granizo resultando afectados 5 domicilios en Zumpango y 7 en Temascalapa. Así mismo se instaló un refugio temporal al cual acudieron 25 personas aproximadamente.</t>
  </si>
  <si>
    <t>Se registraron fuertes lluvias en la ciudad de Chihuahua, se reporta la muerte de un menor, así mismo se instalaron 2 refugios temporales a los cuales acudieron un total de 14 personas.</t>
  </si>
  <si>
    <t xml:space="preserve">Tormenta severa </t>
  </si>
  <si>
    <t>Escobedo</t>
  </si>
  <si>
    <t>Se registro una fuerte tormenta eléctrica, se reporta una persona fallecida al ser impactada por un rayo.</t>
  </si>
  <si>
    <t>Debido a las fuertes lluvias registradas se reportan daños en los techos de 5 viviendas, así mismo se evacuó a un total de 25 perosnas.</t>
  </si>
  <si>
    <t>Esperanza y Achichintla</t>
  </si>
  <si>
    <t>Debido a las fuertes lluvias se reportaron daños menores en 15 viviendas.</t>
  </si>
  <si>
    <t>Agua Dulce</t>
  </si>
  <si>
    <t>Debido al incremento en el afluente de un río se evacuó preventivamente a 41 personas que se instalaron en 2 albergues.</t>
  </si>
  <si>
    <t>Villa de las Flores</t>
  </si>
  <si>
    <t>Se desbordo un arroyo debido a las fuertes lluvias, como medida preventiva se evacuó a un total de 100 personas.</t>
  </si>
  <si>
    <t>Se registraron fuertes lluvias en el municipio de Campeche afectando varias viviendas por lo que como medida preventiva se evacuó a un total de 350 familias.</t>
  </si>
  <si>
    <t>Se reportaron inundaciones de aproximadamente 1 metro de altura por lo que se evacuó a 15 personas aproximadamente</t>
  </si>
  <si>
    <t>Cosamaloapan, Otatitlán y Tlacojalpan</t>
  </si>
  <si>
    <t>Debido a las fuertes lluvias se reportaron 173 viviendas afectadas con penetración de agua, así mismo se reportan 865 personas afectadas, se instaló un refugio temporal en el municipio de Tlacojalpan.</t>
  </si>
  <si>
    <t>Tenosique y Balancan</t>
  </si>
  <si>
    <t>Se registraron lluvias intensas en los municipios mencionados, un total de 120 viviendas presnetaron daños menores, se activó un refugio temporal en el municipio de tenosique en donde se atendió a un total de 50 personas proporcionandoles cobertores y alimentos. Un bebé de 8 meses murió al ser arrastrado por la corriente de un arroyo.</t>
  </si>
  <si>
    <t>Se registró una fuerte lluvia que originó encharcamientos y algunos deslaves, se reportó daño total en una vivienda, se instaló un refugio temporal en donde se atendió a un total de 25 personas.</t>
  </si>
  <si>
    <t xml:space="preserve">Tormenta tropical </t>
  </si>
  <si>
    <t>Tamalin, Alamo-Temapache, Chinampa de Gorostiza, Cazones, Nautla, Tamiahua, Ozuluama, Minatitlán, Poza Rica, Tuxpan y Naranjos</t>
  </si>
  <si>
    <t>Debido a la Totmenta Tropical "Bret" se vieron afectados los municipios del norte de Veracruz, se estima que la población afectadas es de más de 9,400 personas y que aproximadamente , se reportaron 25 viviendas con daño total y aproximadamente 2,445 viviendas con daños menores , así mismo se reportan 2 hectáreas de platanar afectadas y algunas aves de corral muertas. Así mismo se reportan 68 comunidades afectadas y 5 ríos desbordados.</t>
  </si>
  <si>
    <t>Guadalajara, Zapopan y Tlajomulco de Zuñiga</t>
  </si>
  <si>
    <t>Se registro una fierte lluvia con granizo que provocó afectaciones viales, penetración de agua en alrededor de 100 viviendas y daños a algunos vehículos. Así mismo se presento la caida de algunos árboles. No se reportan daños humanos</t>
  </si>
  <si>
    <t>Cuernavaca, Temixco,Jiutepec, Xochitepec, Zacatepec y Jojutla</t>
  </si>
  <si>
    <t>Debido a las fuertes lluvias se reportan afectaciones en varias viviendas, así mismo se reportó la muerte de tres personas.</t>
  </si>
  <si>
    <t>Pinotepa Nacional</t>
  </si>
  <si>
    <t>Debido a las fuertes lluvias ocasionadas por la Onda Tropical 16 se registraron anegaciones en algunas viviendas y daño total en 1 debido al reblandecimiento de una ladera</t>
  </si>
  <si>
    <t>Se reportan daños en 15 viviendas debido a las fuertes lluvias acompañadas de fuertes vientos</t>
  </si>
  <si>
    <t>Juárez</t>
  </si>
  <si>
    <t>Debido a las fuertes lluvias registradas en el municipio de Juárez se reportaron daños en los techos de 40 viviendas</t>
  </si>
  <si>
    <t>Valle de Santiago, Salamanca y Guanajuato</t>
  </si>
  <si>
    <t>Se reportan algunas afectaciones en viviendas a consecuencia de las fuertes lluvias, así mismo se registró la muerte de 3 menores que fueron arrastrados por un arroyo.</t>
  </si>
  <si>
    <t>Zacatepec y Jojutla</t>
  </si>
  <si>
    <t>Debido a las fuertes lluvias se vieron afectadas algunas viviendas, se activó un refugio temporal el cual atendió a un total de 18 personas</t>
  </si>
  <si>
    <t>Cozumel, Solidaridad, Lázaro Cárdenas, Benito Juárez e Isla Mujeres</t>
  </si>
  <si>
    <t>El huracán Emily afectó a varios municipios del estado de Quintana Roo, dentro de la infraestrucutra dañada esta la hidráulica, educativa, viviendas, algunas afectaciones en infraestructura turística, salud, etc. Se instalaron varios refugios temporales en donde se atendió a un total de 10,112 personas.</t>
  </si>
  <si>
    <t>Chilpancingo y Acapulco</t>
  </si>
  <si>
    <t>Debido a las fuertes lluvias se registraron afectaciones en 15 viviendas, así mismo se reporto el fallecimiento de una persona</t>
  </si>
  <si>
    <t>52 municipios afectados</t>
  </si>
  <si>
    <t>Huracán Emily. Se registraron diversas afectaciones en 52 municipios del estado a consecuencia del huracán emily, daños en vivienda, educación, salud, infraestructura hidráulica, etc.</t>
  </si>
  <si>
    <t>Varios municipios</t>
  </si>
  <si>
    <t xml:space="preserve">Se presentaron efectos por viento lluvia y oleaje, sin embargo no hubo daños, se evacuaron 1,350 personas </t>
  </si>
  <si>
    <t>Cuernavaca, Temixco,Jiutepec, Cuautla, Yautepec y Tlalnepantla</t>
  </si>
  <si>
    <t>Se registraron fuertes lluvias afectando levemente algunas viviendas, así mismo, se reporta la muerte de una persona debido a la caída de un rayo.</t>
  </si>
  <si>
    <t>Huracán Emily. Se registraron varios daños en el estado a consecuencia del impacto del huracán EMILY</t>
  </si>
  <si>
    <t>Altazayanca y Huamantla</t>
  </si>
  <si>
    <t>Debido a las fuertas lluvias se registraron anegaciones leves en algunas viviendas, así mismo se brindó atención médica a 2 personas que presentaron síntomas de hipotermia</t>
  </si>
  <si>
    <t>Ciudad Mante</t>
  </si>
  <si>
    <t>Se informa del escurrimiento de agua de una cortina afectando 12 colonias por lo que se realizó la evacuación de 519 personas.</t>
  </si>
  <si>
    <t>San Juan de los Lagos, Guadalajara, Zapopan y  Tonala</t>
  </si>
  <si>
    <t>Debido a las fuertes lluvias se presentaron anegaciones en algunas vialidades, así mismo se reportan afectaciones menores en 11 viviendas.</t>
  </si>
  <si>
    <t>San Juan Tolac, Tlaxco, Tetla, Tlaxcala, Ixtlacuixtla y Apetatlán</t>
  </si>
  <si>
    <t>Debido a las fuertes lluvias se presentaron daños menores en varias viviendas, se evacuó a un total de 48 personas de las cuales 20 fueron atendidas en un refugio temporal.</t>
  </si>
  <si>
    <t>Aguascalientes, Rincón de Romos y Calvillo</t>
  </si>
  <si>
    <t>Debido a las fuertes lluvias en el estado se reportaron afectaciones menores en 78 viviendas.</t>
  </si>
  <si>
    <t>San José de Iturbide, Abasolo y Jerecuaro</t>
  </si>
  <si>
    <t>Se reportó una tormenta eléctrica provocando el fallecimiento de 3 personas y lesionando a una más.</t>
  </si>
  <si>
    <t>Cochoapa</t>
  </si>
  <si>
    <t>Se registró una fuerte lluvia acompañada de granizo afectando a un total de 16 viviendas en donde habitaban 50 personas aprox. Los principales daños se dieron en los techos y en el menaje de la casa por lo que se apoyo con 50 pacas de lámina de cartón y 5o colchonetas. Así mismo se presentaron daños en 2 hectáreas de maíz</t>
  </si>
  <si>
    <t>Debido a las fuertes lluvias registradas se reportan daños en 11 viviendas así como en dos vehículos. No se reportan daños humanos.</t>
  </si>
  <si>
    <t>Coalcoman</t>
  </si>
  <si>
    <t>Se reportó el desbordamiento del río las animas, afectando un total de 6 viviendas. Se evacuó a las familias afectadas.</t>
  </si>
  <si>
    <t>Etchojoa</t>
  </si>
  <si>
    <t>Debido a las fuertes lluvias registradas se reportaron daños en 8 viviendas, principalemnte en sus techumbres.</t>
  </si>
  <si>
    <t>Se registraron lluvias intensas en el municipio afectando varias viviendas y provocando el desbordamiento del arroyo nogales, algunos vehículos fueron arrastrados y se reporta la caída de árboles y algunas colonias sin energía eléctrica.</t>
  </si>
  <si>
    <t>León y Guanajuato</t>
  </si>
  <si>
    <t>Se reportan dos personas lesionadas al ser alcanzadas por un rayo durante una tormenta eléctrica.</t>
  </si>
  <si>
    <t>Debido a las fuertes lluvias se presentaron afectaciones menores en 25 viviendas y daños ´parciales en una más. Así mismo se presentaron anegaciones en la autopista México-Puebla, afectando la circulación.</t>
  </si>
  <si>
    <t>Se reportaron daños menores en 20 viviendas a cosnecuencia de las fuertes lluvias. Así mismo se presentaron cortes de energía y afectaciones en la vialidad.</t>
  </si>
  <si>
    <t>Se registraron fuertes lluvias con viento resultando lesionadas tres personas.</t>
  </si>
  <si>
    <t>Catemaco, San Andrés Tuxtla, Jaltipan, Cosamalopan, Veracruz y Boca del Río.</t>
  </si>
  <si>
    <t>Debido a las fuertes lluvias se presentaron afectaciones en diversos municipios, siendo afectadas 19 viviendas, un jardín de niños y un vehículo, así mismo se reportaron lesionadas 4 personas.</t>
  </si>
  <si>
    <t>Navojoa</t>
  </si>
  <si>
    <t>Debido a las fuertes lluvias se presentaron afectaciones en algunas viviendas, por mlo que fue preciso activar un refigio temporal.</t>
  </si>
  <si>
    <t>Mazatlan</t>
  </si>
  <si>
    <t>Se reportaron 10 viviendas con afectaciones menores, así mismo se reporta una persona desaparecida, lo anterior debido a las fuertes lluvias.</t>
  </si>
  <si>
    <t>San Lucas</t>
  </si>
  <si>
    <t>Debido a las fuertes lluvias se desbordó el río denominado "El trapiche" ocasionando afectaciones en 15 viviendas, como medida preventiva se evacuó a las familias que habitaban dichas viviendas.</t>
  </si>
  <si>
    <t>José Azueta, Isla, Jaltipan, Texistepec, Cosoleacaque, Jesus Carranza, San Andrés Tuxtla, Catemaco, Acayucan, Oluta y Ciudad Mendoza.</t>
  </si>
  <si>
    <t>Debido a las fuertes lluvias se presentaron afectaciones en diversos municipios, as´mismo se reportó la muerte de 3 menores de edad, algunos daños a cultivos y afectaciones en  85 viviendas, se activaron 3 refugios temporales en donde se atendió a la población afectada. También se repotó el colapso de dos puentes vehiculares.</t>
  </si>
  <si>
    <t xml:space="preserve">Se reportaron afectaciones en 350 viviendas debido al desbordamiento del río San Diego y San Isidro, por lo que se evacuó a las 350 familias </t>
  </si>
  <si>
    <t>San Francisco Ixhuatlán, San Mateo Yoloxochitlán, Teolitlán y San Juan Bautista</t>
  </si>
  <si>
    <t>Se registraron fuertes lluvias las cuels afectaron a un total de 25 viviendas, así mismo se reportan 13 personas fallecidas y 3 personas desaparecidas.</t>
  </si>
  <si>
    <t>El Fuerte</t>
  </si>
  <si>
    <t>Se reporta la muerte de tres personas al ser impactadas por un rayo durante una tormenta eléctrica.</t>
  </si>
  <si>
    <t>Corzo de Chiapas y Amatenango de la Frontera</t>
  </si>
  <si>
    <t>Debido a las fuertes lluvias se reportan 6 viviendas con daños menores y una más con daño total.</t>
  </si>
  <si>
    <t>Antigua, Ursulo Galván, Actopan, Alto Lucero, Vega de la Torre, Nautla, San Rafael, Gutierrez Zamora, Tecolutla, Martinez de la Torre, Mosantla, Colipa, Tlapacoyan, Yecuautla.</t>
  </si>
  <si>
    <t>Debido a las fuertes lluvias ocasionadas por la tormente tropical José, se implementó un consejo municipal de protección civil en cada uno de los municipios , se evacuaron a 1500 personas por el desbordamiento del río Misantla las cuales se instalaron en 9 refugios temporales. En Martinez de la Torre se activó otro refugio temporal en el cual se atendió a 28 personas, por último en Tlapacoya se activó otro refugio temporal en el cual se atendió a 150 personas.</t>
  </si>
  <si>
    <t>Se reportaron afectaciones en 50 viviendas debido a l desbordamiento de arroyos.  La población afectada recibió apoyos.</t>
  </si>
  <si>
    <t>Corzo de Chiapas</t>
  </si>
  <si>
    <t>Se reportan afectaciones en 18 viviendas por penetración de agua, las personas afectadas fueron transladadas a un refigio temporal</t>
  </si>
  <si>
    <t>Chiapa de Corzo, Tuxtla Gutierrez, Teopisca y Totolapa</t>
  </si>
  <si>
    <t>Debido a las fuertes lluvias se reportan afectaciones en 116 viviendas, 3 con pérdida total. Así mismo se presentaron daños en una primaria</t>
  </si>
  <si>
    <t>Apatzingan</t>
  </si>
  <si>
    <t>Debido al desbordamiento del río aguililla se reportan afectaciones severas en la comunidad del mismo nombre. 200 viviendas afectadas, se activaron 3 refugios temporales, se reportan 6 personas fallecidas y  4 desaparecidos. 222 personas albergadas,</t>
  </si>
  <si>
    <t>Acapetehua</t>
  </si>
  <si>
    <t>Se desbordó el río Cacaluta motivo por el cual se vieron afectadas 20 viviendas.</t>
  </si>
  <si>
    <t>Se reporta el fallecimiento de una persona al recibir el impacto de un rayo durante una tormenta eléctrica.</t>
  </si>
  <si>
    <t>Caborca</t>
  </si>
  <si>
    <t xml:space="preserve">Se reportan daños menores en 115 viviendas debido a las fuertes lluvias, </t>
  </si>
  <si>
    <t>Se reporta el desbordamiento de un río afectando un total de 450 viviendas, se habilitó un refugio temporal en el cual se atendió a un total de 250 personas. No se reportan daños humanos.</t>
  </si>
  <si>
    <t>Hopelche</t>
  </si>
  <si>
    <t>Se reportaron daños en 40 viviendas, principalmente en enseres domésticos, así mismo se reportaron daños en 40 hectáreas de cultivos.</t>
  </si>
  <si>
    <t>Debido a las fuertes lluvias se desbordaron los ríos grande y chiquito, afectando a cerca de 25 colonias, se reportan daños en enseres domésticos y en varias viviendas.</t>
  </si>
  <si>
    <t>Se reportó el desbordamiento del arroyo Jaralillo, causando afectaciones a 61 viviendas. No se reportan daños humanos.</t>
  </si>
  <si>
    <t>San Cosme Xalostoc</t>
  </si>
  <si>
    <t>Se reportaron daños en 8 viviendas, principalmente en los enseres domésticos, así mismo se reportaron afectaciones en una escuela.</t>
  </si>
  <si>
    <t>Las Margaritas y Acapetahua</t>
  </si>
  <si>
    <t>Debido a las fuertes lluvias se presentaron daños menores en 89 viviendas causando afectaciones a sus enséres domésticos.</t>
  </si>
  <si>
    <t>Se reportan afectaciones menores en 40 viviendas debido a las fuertes lluvias que se presnetaron en el municipio. Así mismo se reportó el desbordamiento del arroyo denominado "El cucaracho"</t>
  </si>
  <si>
    <t>Puerto Escondido</t>
  </si>
  <si>
    <t>Debido a las fuertes lluvias se presentaron afectaciones en 9 viviendas, 4 negocios y 3 hoteles. No se reportan daños humanos.</t>
  </si>
  <si>
    <t>Mapastepec, Huehuetán, Pijijiapan, Escuintla, Acapetahua, Villa Comatitlán, Acacoyagua, Huixtla, Mazatán y Tapachula</t>
  </si>
  <si>
    <t>Se presentaron afetcaiones en 11 municipios, 48 localidades, se tienen activos 11 refugios temporales en los cuales se atendió a 617 personas, 15 ríos desbordados, 1 puente colapsado y varios tramos carreteros afectados por derrumbes o deslaves.</t>
  </si>
  <si>
    <t>Tecpan de Galeana</t>
  </si>
  <si>
    <t>Se reportaron afectaciones a 10 viviendas, principalmente en sus enseres domésticos, lo anterior debido a las fuertes lluvias registradas durante las últimas 24 horas.</t>
  </si>
  <si>
    <t>Chilpancingo, Acapulco, Cuajinicuilapan, Copala y Tecpan de Galeana</t>
  </si>
  <si>
    <t>Debido a las fuertes lluvias se reportaron afectaciones en varios municipios, así mismo se reportó la muerte de una persona, 63 viviendas afectadas y un puente colapsado.</t>
  </si>
  <si>
    <t>Pinotepa Nacional, Santo Domingo Armenta, Jamiltepec, Santiago Tepextla, Huazolotitlán</t>
  </si>
  <si>
    <t xml:space="preserve">Debido a las fuertes lluvias fueron afectadas 4,200 personas de 20 comunidades. Se estima que fueron 800 viviendas afectadas, así mismo se reportan 2 puentes colapsados y 10 caminos con afectaciones </t>
  </si>
  <si>
    <t>41 municipios</t>
  </si>
  <si>
    <t xml:space="preserve">Debido a las fuertes lluvias provocadas por la presencia del huracán Stan se reportaron severas afectaciones en varios municipios, así mismo se reportan 5 personas desaparecidas y 86 personas fallecidas. </t>
  </si>
  <si>
    <t>Debido a las fuertes lluvias provocadas por el huracán Stan se presentaron afectaciones severas en varios municipios del estado, especialmente los de la costa, resultando 5 personas fallecidas, 2 personas lesionadas y 13 desaparecidas. Así mismo se reportan 138 viviendas con pérdida total y 3916 con daños parciales. Así mismo se reportan 9 escuelas afectadas.</t>
  </si>
  <si>
    <t>Se reportan severas afectaciones en varios municipios del estado debido al huracán Stan, se reportan daños en carreteras, puentes y 14,393 viviendas afectadas en diferentes grados.</t>
  </si>
  <si>
    <t>Debido a las fuertes lluvias provocadas por el huracán Stan se presentaron varias afectaciones, así mismo 3 personas perdieron la vida</t>
  </si>
  <si>
    <t>Debido a los remanentes del huracán Stan se reportanron afectaciones en varios municipios del estado, se reportaron 10 mil damnificados aproximadamente, así mismo se reporta 2 personas fallecidas, 23 lesionadas y 1 desaparecido.</t>
  </si>
  <si>
    <t>Debido a las fuertes lluvias se reportó la muerte de una persona.</t>
  </si>
  <si>
    <t>Escuinapan</t>
  </si>
  <si>
    <t>Se presentaron fuertes lluvias afectando diversas comunidades, se repartieron apoyos como láminas de cartón, despensas,  colchonetas, etc.</t>
  </si>
  <si>
    <t>Ecatepec y Nezahualcoyotl</t>
  </si>
  <si>
    <t>Se registró una fuerte lluvia que causó afectaciones en 114 viviendas, provocando daños en los enseres domésticos, así mismo se presentaron fallas en la energía eléctrica y problemas viales.</t>
  </si>
  <si>
    <t>Acuña, Jimenez, Allende, Cuatro Ciénegas, Francisco I Madero, Monclova, Morelos, Parra, Piedras Negras, Sabinas, San Pedro Torreón y Zaragoza.</t>
  </si>
  <si>
    <t>El frente frío número 4 causo afectaciones en varios municipios, afectando a un total de 105 viviendas, se reportan 384 personas albergadas.</t>
  </si>
  <si>
    <t>San Nicolás</t>
  </si>
  <si>
    <t>Debido a las fuertes lluvias se presentaron escurrimientos por lo que se evacuó a 567 personas las cuales se ubicaron en 5 refugios temporales en donde se les brindó el apoyo necesario como alimentos y cobertores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</si>
  <si>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</si>
  <si>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cuasaron daños severos en la Ciudad de Villahermosa. </t>
  </si>
  <si>
    <t>CENAPRED/CEPAL</t>
  </si>
  <si>
    <t>73 municipios</t>
  </si>
  <si>
    <t xml:space="preserve">Debido a los fuertes vientos y lluvias ocasionadas por el huracán Wilma, se vieron afetcados varios municipios </t>
  </si>
  <si>
    <t>La caída de un rayo ocasionó la muerte de 3 personas y causó lesiones a otras dos. Los lesionados fueron trasladados a un hospital.</t>
  </si>
  <si>
    <t>Se reporta la muerte de una persona al intentar cruzar el arroyo las Sabinitas, el cual se encontraba crecido debido a las lluvias.</t>
  </si>
  <si>
    <t>Debido a las fuertes lluvias se presentaron afectaciones en 5 colonias y 57 viviendas</t>
  </si>
  <si>
    <t>Ocotepec</t>
  </si>
  <si>
    <t>Se presentaron daños en una vivienda afectando a un total de 8 perosnas debido a las fuertes lluvias</t>
  </si>
  <si>
    <t>Comalcalco, Paraiso, Tlacotalpa y Teapa</t>
  </si>
  <si>
    <t>Debido a las fuertes lluvias registradas se presentaron daños en  14 localidades, 475 familias y 2070 personas sufrieron anegaciones en sus domicilios</t>
  </si>
  <si>
    <t>Debido a las basjas temperaturas se presentaron 27 defunciones en el 2005</t>
  </si>
  <si>
    <t>SS</t>
  </si>
  <si>
    <t>Debido a las basjas temperaturas se presentaron 4 defunciones en el 2005</t>
  </si>
  <si>
    <t>Debido a las basjas temperaturas se presentaron 3 defunciones en el 2005</t>
  </si>
  <si>
    <t>Debido a las basjas temperaturas se presentaron 2 defunciones en el 2005</t>
  </si>
  <si>
    <t>Debido a las basjas temperaturas se presentaron 1 defunciones en el 2005</t>
  </si>
  <si>
    <t xml:space="preserve">Inundación </t>
  </si>
  <si>
    <t>Cuautitlán</t>
  </si>
  <si>
    <t>Se registro el desbordamiento del canal de aguas negras denominado "Necapa" al abrir las compuertas, se evacuaron 15 personas a las cuales se les instaló en un refugio temporal, se les brindo apoyo con cobertores y colchonetas. Se reportaron 20 viviendas con daños menores</t>
  </si>
  <si>
    <t>Temas y Texac</t>
  </si>
  <si>
    <t>La granizada afectó a varias viviendas de familias de escasos recursos en sus techumbres, se reportaron en total 164 viviendas afectadas y se apoyo con un total de 163 atados de lámina de cartón.</t>
  </si>
  <si>
    <t xml:space="preserve">Fuertes Vientos </t>
  </si>
  <si>
    <t>Debido a los fuertes vientos registrados varias viviendas, ya que el viento daño los techos de 12 viviendas, en una de estas viviendas una persona perdió la vida al caerle encima un orcon de madera.</t>
  </si>
  <si>
    <t>Oaxaca, San Agustín Etla y San Miguel Guelace</t>
  </si>
  <si>
    <t>Se registro una fuerte granizada en los municipios mencionados, como resultado 8 personas perdieron la vida, se presentaron daños de diferentes grados en aproximadamente 1,000 viviendas y se vieron afectadas más de 5,000 personas.</t>
  </si>
  <si>
    <t>Debido a los fuertes lluvias se reporta la caída de varios puestos de comida lesionando a 10 personas.</t>
  </si>
  <si>
    <t>Sequía en varios municipios</t>
  </si>
  <si>
    <t>SAGARPA/CENAPRED</t>
  </si>
  <si>
    <t>Se registro un deslave en la colonia Monterrey afectando un total de 6 viviendas en su totalidad, como medida preventiva se evacuaron a 66 personas, se reporta una persona fallecida.</t>
  </si>
  <si>
    <t>Se registro un deslizamiento de suelo en un cerro perteneciente a ambos  municipios, se reportaron 17 viviendas afectadas, como medida preventiva se evacuó a 74 personas.</t>
  </si>
  <si>
    <t>Se registro un deslizamiento de suelo en las obras del segundo piso del periférico en el DF, debido a lo anterior un trabajador perdió la vida.</t>
  </si>
  <si>
    <t>Malinaltepec</t>
  </si>
  <si>
    <t>Se registró un deslave en el municipio mencionado anteriormente, como consecuencia un menor de edad perdió la vida.</t>
  </si>
  <si>
    <t>San Pedro Quiatoni</t>
  </si>
  <si>
    <t>Se registró un deslizamiento de ladera causando daño total en una vivienda y causando el fallecimiento de 6 personas que se encontraban dentro de la misma.</t>
  </si>
  <si>
    <t>Se registro un deslizamiento de ladera en la delegación Alvaro Obregón, se evacuó a 20 familias y se reportan 2 lesionados.</t>
  </si>
  <si>
    <t>Zontecomatlán</t>
  </si>
  <si>
    <t>Se informa del derrumbe de un cerro sepultando una vivienda con sus 6 habitantes dentro.</t>
  </si>
  <si>
    <t>Se reportan 2 viviendas afectadas al ser impactadas por una tercera que se vino abajo debodi a un deslizamiento de suelo. Como medida preventiva se evacuó a 30 personas.</t>
  </si>
  <si>
    <t>Se reporto el derrumbe de varias rocas que afectaron parcialmente a una vivienda causando la muerte de una menor de esdad y lesiones a otra persona.</t>
  </si>
  <si>
    <t>Huixquilucan</t>
  </si>
  <si>
    <t>se reportó el derrumbe de un cerro , se reporta 1 vivienda colapsada, 6 con agrietamientos y 7 con daños menores. Así mismo se reporta la muerte de 3 personas y 1 más lesionada. Se instaló un refugio temporal en el cual se atenfdió a la población afectada.</t>
  </si>
  <si>
    <t>Cacahuatán</t>
  </si>
  <si>
    <t>Se reporto el derrumbe de un banco de material en la comunidad de Bella Vista sepultando a 3 personas.</t>
  </si>
  <si>
    <t>Xochiapulco</t>
  </si>
  <si>
    <t>Se reporto el delizamiento de una ladera sobre una vivienda, como resultado del percance 3 personas perdieron la vida</t>
  </si>
  <si>
    <t>Se reporta el deslizamiento de suelo en el cual 59 viviendas fueron afectadas total y parcialmente. No se reportan daños humanos</t>
  </si>
  <si>
    <t>Se registro la explosión de un tanque de almacenamiento de productos de limpieza, al estar limpiando con alcohol industrial se acumularon gases, se reportan 2 lesionados.</t>
  </si>
  <si>
    <t>Se registró la explosión de un polvorín afectando una vivienda con daños parciales y dejando como resultado un lesionado.</t>
  </si>
  <si>
    <t>Se registró una explosión de dos polvorines resultando una persona muerta y dos lesionados. No se reportan viviendas dañadas, ya que los polvorines se encontraban en una zona de polvorines autorizada</t>
  </si>
  <si>
    <t>Se registró un flamazo por la combinación de gas hexano. El flamazo produjo lesiones a tres empleados de la empresa Lacosa, uno de los lesionados fue trasladado a la ciudad de México por la gravedad de sus heridas.</t>
  </si>
  <si>
    <t>Se registró una explosión de tres polvorines clandestinos en el municipio de Tultepec, se reportaron 4 personas lesionadas y 1 persona fallecida, los daños materiales no se han cuantificado.</t>
  </si>
  <si>
    <t>Agua Prieta</t>
  </si>
  <si>
    <t>Se registró una explosión en el albergue de una iglesia ocasionando quemaduras a 5 personas,la explosión se dio por acumulación de gas.</t>
  </si>
  <si>
    <t>Los Reyes</t>
  </si>
  <si>
    <t>Al abastecer de gas a un tanque estacionario se presentó fuga, lo que ocasionó un flamazo el cual lesionó a tres personas.</t>
  </si>
  <si>
    <t>Se reportó la explosión de una casa habitación debido a la acumulación de gas  LP, se reportaron 3 personas lesionadas.</t>
  </si>
  <si>
    <t>San Juan Xiutetelco</t>
  </si>
  <si>
    <t>Se reporto un explosión el un polvorín clandestino en una casa habitación. Se reportan 4 personas fallecidas.</t>
  </si>
  <si>
    <t>Se registro un flamazo de un puesto semi fijo, el flamazo causó lesiones a 4 personas.</t>
  </si>
  <si>
    <t>Se reporto la explosión de un polvorín reportandose dos personas lesionadas por quemaduras.</t>
  </si>
  <si>
    <t>Coyotepec</t>
  </si>
  <si>
    <t>Se registro una explosión en una empresa tratadora de químicos, se desconocen las causas que originaron la explosión, se reportan 3 personas fallecidas, 4 heridos y 150 personas evacuadas, así mismo se reportaron daños en 4 viviendas y 14 vehículos 'particulares</t>
  </si>
  <si>
    <t>Se registró una explosión industrial de un contenedor de alcohol de 30 mil litros resultando una persona fallecida y 4 personas lesionadas</t>
  </si>
  <si>
    <t>Acaponeta</t>
  </si>
  <si>
    <t>Se registró una explosión en una vivienda utilizada como bodega clandestina , se reportaron 2 personas fallecidas y una lesionada.</t>
  </si>
  <si>
    <t>Se reportó la explosión de un polvirín en donde se encontraban 6 kg de Nitreato de Potasio. Se reporta una persona fallecida y dos personas lesionadas. Como medida preventiva se evacuaron 150 personas aproximadamente.</t>
  </si>
  <si>
    <t>Tepoztlán</t>
  </si>
  <si>
    <t xml:space="preserve">Se registró la explosión de una bodega instalada como polvorín clandestino, debido al siniestro se reportaron 2 personas lesionadas. </t>
  </si>
  <si>
    <t>Chiapa de Corzo</t>
  </si>
  <si>
    <t>Se reporto una explosión en un polvorín clandestino, se reportan 2 personas lesionadas.</t>
  </si>
  <si>
    <t>Se registró una explosión en un polvorín en donde se lamacenaba pólvora, resultaron 5 personas lesionadas</t>
  </si>
  <si>
    <t>Tetecala</t>
  </si>
  <si>
    <t>Se registró la explosión de un polvorín en donde se almacenaba polvora para la elaboración de juegos pirotécnicos, se reporta una persona muerta y una más lesionada.</t>
  </si>
  <si>
    <t>Salvatierra</t>
  </si>
  <si>
    <t>Se registró una explosión cuando un camión de gas LP surtiael tanque estacionario de una vivienda resultando 14 personas lesionadas</t>
  </si>
  <si>
    <t>Se registró una explosión en el municipio de Coatzacoalcos causando la muerte de dos personas</t>
  </si>
  <si>
    <t>Tasquillo</t>
  </si>
  <si>
    <t>Se registró una explosión la cual causó lesiones a tres personas en el barrio de San Antonio.</t>
  </si>
  <si>
    <t>Se registró la explosión de dos granadas en el interior de un palenque se reportan 2 personas fallecidas y 24 lesionados.</t>
  </si>
  <si>
    <t>Otumba</t>
  </si>
  <si>
    <t>Se presentó una explosión de material pirotécnico durante una peregrinación. Como resultado del percance se presentaron 7 personas muertas y 4 lesionados. Así mismo se presentaron daños en una vivienda.</t>
  </si>
  <si>
    <t>Se registró la explosión de un polvorín causando la muerte de 2 personas y lesiones a otra persona mas.</t>
  </si>
  <si>
    <t>Heliodoro Castillo</t>
  </si>
  <si>
    <t>Se registró una explosión en un polvorín clandestino a un lado de la iglesia. Como consecuqencia de los anterior se presentaron daños en varias viviendas, 1 con daño total. Asi mismo se reportó la muerte de 15 personas.</t>
  </si>
  <si>
    <t>Córdoba</t>
  </si>
  <si>
    <t>Se reporto una explosión en una fábrica de cementocausando un lesionado por intoxicación.</t>
  </si>
  <si>
    <t>Se reporto una explosión en cuetes en el mercado, se reportaron 70 lesionados</t>
  </si>
  <si>
    <t>Se registró una explosión en un polvorín clandestino, se reportaron 3 personas lesionadas, las cuales fueron trasladadas al hospital.</t>
  </si>
  <si>
    <t>Se registró una explosión en un bar, como resultado del percance 1 persona perdió la vida y 4 más resultaron lesionadas gravemente.</t>
  </si>
  <si>
    <t>Taxco</t>
  </si>
  <si>
    <t>Se registró una explosión en una vivienda debido a fallas en el tanque estacionario, se reporta 1 persona lesionada y daños en la vivienda y una fonda.</t>
  </si>
  <si>
    <t>Se registró una explosión del camión repartidos de gas afetcando en su totalidad a 4 viviendas y 3 vehículos. No se reportan personas lesionadas.</t>
  </si>
  <si>
    <t>Atzcapozalco</t>
  </si>
  <si>
    <t>Explosión de un tanque de gas estacionario, se reportan 6 personas lesionadas a consecuencia del fenómeno.</t>
  </si>
  <si>
    <t>Se registro una explosión por acumulación de gas en un edificio de tres pisos, se reportan 3 personas lesionadas y daños leves a tres departamentos.</t>
  </si>
  <si>
    <t>Poza Rica</t>
  </si>
  <si>
    <t>Se registró un flamazo de gas cuando un camión abastecía a un tanque estacionario, se reportan 9 personas lesionadas.</t>
  </si>
  <si>
    <t>Zacatlan</t>
  </si>
  <si>
    <t>Se registró un flamazo causando la muerte de dos menores de edad así como daños a una vivienda.</t>
  </si>
  <si>
    <t>Santa María Atzompa</t>
  </si>
  <si>
    <t>Se registro la explosión de un polvorín causando la muerte de una persona y lesiones a otras 3.</t>
  </si>
  <si>
    <t>Atizapan de Zaragoza</t>
  </si>
  <si>
    <t>Se registró una explosión en el interior de un banco bbv bancomer, no se reportan daños humanos</t>
  </si>
  <si>
    <t>Etla</t>
  </si>
  <si>
    <t>Se registró una explosión en zona urbana de una cohetería, se reporta la muerte de 5 personas.</t>
  </si>
  <si>
    <t>Se registró una fuerte explosión en los almacenes Chedrahui en el centro  de la ciudad, como resultado 9 personas resultaron lesionadas, una de ellas de gravedad.</t>
  </si>
  <si>
    <t>Se registró una explosión de juegos pirotécnicos causando la muerte de 1 persona y lesionando a otra</t>
  </si>
  <si>
    <t>Reynosa</t>
  </si>
  <si>
    <t>Se registró la explosión de una granada en un minisuper ocasionando lesiones a 4 personas.</t>
  </si>
  <si>
    <t>Tierra Blanca</t>
  </si>
  <si>
    <t>Se registró una explosión afectando a un total de 8 viviendas y lesionando a 3 personas.</t>
  </si>
  <si>
    <t>Ciudad Mendoza</t>
  </si>
  <si>
    <t>Se registró un derrame de 200 litros de diesel cuando se llevaban a cabo las labores de mantenimiento de una estación de bombeo de PEMEX, se reportan daños a ecosistema.</t>
  </si>
  <si>
    <t>Altamira</t>
  </si>
  <si>
    <t xml:space="preserve">Se registró una fuga de crudo en un ducto de PEMEX, se derramarón aproximadamente 300 mil litros y se afectaron 2 Hectáreas de terreno. </t>
  </si>
  <si>
    <t>Se registró un derrame de 60 litros de ácido nítrico en una empresa ubicada en la zona industrial Civac.</t>
  </si>
  <si>
    <t>Se reportó el derrame de 12 mil litros de turbosina en el municipio de Agua Dulce al volcarse una pipa que trasportaba el combustible, se reportaron algunos daños al medio ambiente ya que el combustible contaminó el arroyo "El aguacate"</t>
  </si>
  <si>
    <t>Se reportó la ruptura de un oleoducto recupernadose 15 mil litros del producto derramado, como medida preventiva se evacuó a 20 personas.</t>
  </si>
  <si>
    <t>Se presento un derrame en el corredor industrial causando la muerte de una persona y lesionando a otras dos.</t>
  </si>
  <si>
    <t>Agua dulce</t>
  </si>
  <si>
    <t>Se presentó una fuga de gas etano en un ducto de PEMEX ubicado en el km 24 de la carretera federal Coatzacoalcos-Villahermosa, como medida preventiva se evacuó a 1,000 personas y se activaron 3 refugios temporales</t>
  </si>
  <si>
    <t>Hueyapan de Ocampo</t>
  </si>
  <si>
    <t>Se detectpo una fuga en un rancho del municipio de Hueyapan de Ocampo, dicha fuga se dio en el oleoducto de 30 pulgadas de Nuwevo Teapa a Poza Rica, se reportan 5 mil litros de crudo fugado.</t>
  </si>
  <si>
    <t>Nanchital</t>
  </si>
  <si>
    <t>Se registró la fuga de amoniaco de un ducto de PEMEX cuando accidentalmente en labores de mantenimiento de un ducto perforaron otro que corría paralelo al que se suponía se iba a dar mantenimiento. Se reportan 6 personas muertas, y se evacuó aproximadamente a un total de 1500 personas.</t>
  </si>
  <si>
    <t>Marqués</t>
  </si>
  <si>
    <t>Se registro la fuga de una tonelada de Acrilato de etilo que es altamente tóxico, se reportaron 11 personas con intoxicación.</t>
  </si>
  <si>
    <t>Cunduacan</t>
  </si>
  <si>
    <t>Ruptura, fuga de gas y explosión de gasoducto. Como resultado fallecieron 4 personas y 11 mas resultaron lesionadas. Se activaron dos refugios temporales en donde se atendió a 790 personas que fueron evacuadas mientras se controló la fuga. La explosión causó daños a un puente, 10 viviendas con pérdida total y 14 vehículos.</t>
  </si>
  <si>
    <t>Huimanguillo</t>
  </si>
  <si>
    <t>Se evacuó a un total de 140 personas debido a una fuga de gas, se activó un refugio temporal.</t>
  </si>
  <si>
    <t>Se registró un fuga de crudo en el oleoducto Teapa Poza Rica, se desconose la cantidad derramada.</t>
  </si>
  <si>
    <t>Se presentó una fuga de amoniaco de una empresa de agua y hielo, se reportan 13 personas intoxicadas.</t>
  </si>
  <si>
    <t>Se reportó una fuga de cloro de un tanque de 50 kg, como resultado del percance 3 personas resulataron intoxicadas.</t>
  </si>
  <si>
    <t>Ciudad Madero</t>
  </si>
  <si>
    <t>Se registró una fuga de gas tóxico en una procesadora de gas de PEMEX en la cual tres personas perdieron la vida, así mismo se evacuó a toda la planta.</t>
  </si>
  <si>
    <t>Se registró una fuga de amoniaco intoxicando a 5 personas.</t>
  </si>
  <si>
    <t>Se registró una fuga de 10 mil litros de gasolina filtrados a una imprenta y bombeados al sistema de alcantarillado, PEMEX trabaja en las labores de limpieza</t>
  </si>
  <si>
    <t>Cacahuatlán, Unión Juárez y Tapachula</t>
  </si>
  <si>
    <t>Se registró un incendio forestan en la parte baja del volcán Tacaná, se reportan 30 hectáreas afectadas.</t>
  </si>
  <si>
    <t>Se registró un incendio de pastizales el cual afecto un total de 20 hectáreas.</t>
  </si>
  <si>
    <t>Se registró un incendio de potreros afectando un total de 60 hectáreas de pastizal.</t>
  </si>
  <si>
    <t>Abasolo, Pénjamo y Valle</t>
  </si>
  <si>
    <t>Se reportan 3 incendios forestales quemandose entre pastizal, encino, salvia, arbusto, nopal y huasache</t>
  </si>
  <si>
    <t>Se reportó un incendio forestal afectando un total de 80 hectáreas de pastizal.</t>
  </si>
  <si>
    <t>Nuevo Morelos</t>
  </si>
  <si>
    <t>Se reportó un incendio de 30 hectáreas de caña de azúcar y 30 hectáreas de pastizal.</t>
  </si>
  <si>
    <t>Romita y San Felipe</t>
  </si>
  <si>
    <t>Se reportaron dos incendios de pastizal afectando un total de 78 hectáreas.</t>
  </si>
  <si>
    <t>San Felipe, León, Celaya y Valle de Santiago</t>
  </si>
  <si>
    <t>Se registraron 4 incendios de pastizales y matorrales, los cuales afectaron un total de 115 hectáreas</t>
  </si>
  <si>
    <t>León, Celaya, Tarandacuao, Purísima del Rincón, Guanajuato y Tarimoro</t>
  </si>
  <si>
    <t>Se regustraron 7 pequeños incendios de pastizal, arbusto y Huisache afectando a un total de 64.5 hectáreas.</t>
  </si>
  <si>
    <t>Silao, Cortazar, Apaseo el Grande, Dolores Hidalgo, San Felipe, León, Valle de Santiago y Tarimoro</t>
  </si>
  <si>
    <t>Se reportan 275 hectáreas de arbustos y pastizales afectadas por incendios forestales.</t>
  </si>
  <si>
    <t>Celaya y Acambaro</t>
  </si>
  <si>
    <t>Se registraron un par de incendios en los municipios de Celaya y Acambaró, se reportan 167 hectáreas de pastizal afectadas.</t>
  </si>
  <si>
    <t>Villa de Etla</t>
  </si>
  <si>
    <t>Se registró un incendio forestal el cual fue controlado con la participación de 600 personas de diversas corporaciones y voluntarios, el incendio consumió  un total de 1000 hectáreas</t>
  </si>
  <si>
    <t>Champotón y Laguna Nevares</t>
  </si>
  <si>
    <t>Se reportaron 169 hectáreas afectadas de pastizal. No se reportaron daños humanos.</t>
  </si>
  <si>
    <t>Amecameca y Tlalmanalco</t>
  </si>
  <si>
    <t>Se reportaron dos incendios los cuales consumieron 24 hectáreas de pastizal y 4 de arbolado.</t>
  </si>
  <si>
    <t>Tarimoro, Pénjamo, Guanajuato, Silao y Cueramaro</t>
  </si>
  <si>
    <t>Se registraron 5 incendios forestales, los cuales afectaron un total de 59 hectáreas de pastizales, huisaches, uña de gato y garavatillo.</t>
  </si>
  <si>
    <t>Apaseo el Alto, Tarandacuao y Jaral del Progreso</t>
  </si>
  <si>
    <t>Se registraron 4 incendios forestales los cuales afectaron a un total de 86 hectáreas de pastizal.</t>
  </si>
  <si>
    <t>Se reportan 10 hectáreas afectadas por los incendio en diversas comunidades del municipio.</t>
  </si>
  <si>
    <t>Acambaro y Valle de Santiago</t>
  </si>
  <si>
    <t>Se reportaron dos incendios forestales los cuales afectaron un total de 52 hectáreas. No se reportan daños humanos</t>
  </si>
  <si>
    <t>Salvatierra, Abasolo, Cueramaro, Huanimaro, León y Jaral del Progreso</t>
  </si>
  <si>
    <t>Se reportaron 6 incendios los cuales afectaron un total de 164 hectáreas.</t>
  </si>
  <si>
    <t>Candelaria, Calakmul y Escárcega</t>
  </si>
  <si>
    <t>Se registraron 3 incendios forestales en los municipios mencionados, en total fueron 250 las hectáreas afectadas.</t>
  </si>
  <si>
    <t>Se reportó un incendio forestal el cual consumio un total de 60 hectáreas.</t>
  </si>
  <si>
    <t>Tixkokob</t>
  </si>
  <si>
    <t>Se reportó un incendio forestal el cual afectó un total de 100 hectáreas.</t>
  </si>
  <si>
    <t>Río Verde</t>
  </si>
  <si>
    <t>Se registró un incendio forestal en el municipio de Río Verde, dicho incendio afectó un total de 400 hectáreas de pino, roble, arbolado bajo y hojarasca, así mismo también se reportaron daños a la fauna.</t>
  </si>
  <si>
    <t xml:space="preserve">CONAFOR </t>
  </si>
  <si>
    <t>Se reportó un incendio el cual afectó un total de 80 hectáreas de pastizal</t>
  </si>
  <si>
    <t>León. Valle de Santiago y Ciudad Manuel Doblado</t>
  </si>
  <si>
    <t>Se reportan incendios forestales en los tres municipios mencionados, un total de 39 hectáreas fueron afectadas.</t>
  </si>
  <si>
    <t>Jesús María y Calvillo</t>
  </si>
  <si>
    <t>Se reportaron dos incendios , los cuales afectaron un total de 800 hectáreas de pastizales y nopalera.</t>
  </si>
  <si>
    <t>Landa de Matamoros</t>
  </si>
  <si>
    <t>Se registro un incendio el cual consumió un total de 55 hectáreas de hojasca, arbolado y encino.</t>
  </si>
  <si>
    <t>Alvaro Obregón y Miguel Hidalgo</t>
  </si>
  <si>
    <t xml:space="preserve">Se registraron dos incendios en el DF en la delegación Miguel Hidalgo se reportaron 3 hectáreas y 2 hectáreas más en la delegación Alvaro Obregón. </t>
  </si>
  <si>
    <t>Chilpancingo y Taxco</t>
  </si>
  <si>
    <t>En el municipio de Taxco el incendio consumió un total de 20 hectáreas y en el municipio de Chilpancingo se reportaron 280 hectáreas afectadas.</t>
  </si>
  <si>
    <t>Cintalapa y Villa Flores</t>
  </si>
  <si>
    <t>Se reportaron incendios forestales que en total sumaron 650 hectáreas de pastizal, arbusto y arbolado adulto afectadas.</t>
  </si>
  <si>
    <t>Jiquipilas, Ixtapa, La Concordia, Tapalapa y Altamirano</t>
  </si>
  <si>
    <t>Se reportaron varios incendios forestales en el esatdo, un total de 1,900 hectáreas afectadas de pastizal, arbusto, árbol adulto y selva baja.</t>
  </si>
  <si>
    <t>Escárcega y Candelaria</t>
  </si>
  <si>
    <t>Se registraron dos incendios forestales afectando un total de 908 hectáreas de selva mediana y pastizal.</t>
  </si>
  <si>
    <t>Ojo Caliente, Villa Nueva, Río Grande y Villa de Coss</t>
  </si>
  <si>
    <t>Se reportaron 4 incendios forestales los cuales consumieron un total de 530 hectáreas de arbustillo y de pasto de agostadero. No se reportan daños humanos</t>
  </si>
  <si>
    <t>Candelaria</t>
  </si>
  <si>
    <t>Se registró un fuerte incendio en la Rivera del Río Caribe, se registraron 1,130 hectáreas de selva afectadas.</t>
  </si>
  <si>
    <t>Pénjamo, Jarral del Progreso y Valle Santiago</t>
  </si>
  <si>
    <t>Se informa de 3 incendios forestales que consumieron un total de 69 hectáreas de arbusto y pastizal.</t>
  </si>
  <si>
    <t>Tarimoro, San Felipe y Valle de Santiago</t>
  </si>
  <si>
    <t>Se registraron 52 hectáreas de pastizal, uña de gato y Huisache afectadas debido a varios incendios forestales.</t>
  </si>
  <si>
    <t>San Juan del Estado</t>
  </si>
  <si>
    <t>Se registró un incendio forestal en el cual quedaron atrapados dos comuneros que estaban apoyando en las labores de control del incendio.</t>
  </si>
  <si>
    <t>Guanajuato y León</t>
  </si>
  <si>
    <t>Se informa de 2 incendios forestales los cuales afectaron 26 hectáreas de Encino, Garabatillo, Pinguica y matorrales.</t>
  </si>
  <si>
    <t>Xalisco</t>
  </si>
  <si>
    <t>Se reportaron 120 hectáreas de pino y matorral a consecuencia del incendio.</t>
  </si>
  <si>
    <t>Cerro Muerto</t>
  </si>
  <si>
    <t>Se registró un incendio forestal el cual afectó un total de 800 hectáreas de arbusto, cedro, matorral y arbustillo.</t>
  </si>
  <si>
    <t>Irapuato, Cueramaro y Abasolo</t>
  </si>
  <si>
    <t>Se informó de 4 incendios forestales que abarcaron un total de 65 hectáreas de pastizal y árbol renuevo.</t>
  </si>
  <si>
    <t>Se registró un incendio forestal el cual afectó un total de 1,000 hectáreas de arbusto, pirul, pasto seco y nopal.</t>
  </si>
  <si>
    <t>Valle de Santiago, Silao, Comonfort, Manuel Doblado, Abasolo y Romita</t>
  </si>
  <si>
    <t>Se registraron 5 incendios forestales, los cuales afectaron un total de 128 hectáreas de pastizal, roble, pino, encino y matorral.</t>
  </si>
  <si>
    <t>Se reportan afectaciones en 300 hectáreas de arbolado adulto (pino y encino)</t>
  </si>
  <si>
    <t>Cadereyta de Montes</t>
  </si>
  <si>
    <t>Se registró un incendio forestal el cual afectó un total de 50 hectáreas.</t>
  </si>
  <si>
    <t>Valle de Santiago, Pénjamo, Huanímaro y Tarimoro</t>
  </si>
  <si>
    <t>Se registraron 5 incendios forestales que en total abarcaron un total de 45 hectáreas de pastizal, matorral y hojarasca</t>
  </si>
  <si>
    <t>San Miguel de Allende, Victoria, Comonfort, Juventino Rosas y San Felipe</t>
  </si>
  <si>
    <t>Se reportaron 5 incendios forestales que abarcaron un total de 189 hectáreas de pastizal, matorral y nopalera.</t>
  </si>
  <si>
    <t>Se reporto un incendio forestal el cual afectó a un total de 180 hectáreas de pastizal, mezquital, nopales y algunos arboles.</t>
  </si>
  <si>
    <t xml:space="preserve">Chilpancingo  </t>
  </si>
  <si>
    <t>Se registro un incendio forestal que afectó un total de 300 hectáreas de pasto, matorrales, magueyes y encino.</t>
  </si>
  <si>
    <t>Jaral del progreso, Abasolo y Silao</t>
  </si>
  <si>
    <t>Se informó de 5 incendios forestales los cuales abarcaron un total de 98 hectáreas de pastizal, arbusto y encino.</t>
  </si>
  <si>
    <t>Abasolo, Tarimoro, Uriangato, Santiago Maravatío y San Felipe</t>
  </si>
  <si>
    <t>Se reportaron 6 incendios forestales en diferentes municipios del estado, en total suman 409 hectáreas de pastizal, arbolado adulto, matorral, mezquite, nopalera y huizache.</t>
  </si>
  <si>
    <t>Río Grande</t>
  </si>
  <si>
    <t>Se registró un incendio forestal el cual afectó 100 hectáreas de pastizal.</t>
  </si>
  <si>
    <t>Ocosingo, Cintalapa, Jiquipilas, La Concordia y El Bosque</t>
  </si>
  <si>
    <t>Se reportan daños en 3059 hectáreas de Selva media y alta, pastizal, arbolado adulto de pino y encino.</t>
  </si>
  <si>
    <t>Tala, Zapopan, Tlajomulco y Guadalajara</t>
  </si>
  <si>
    <t>Se reportó un incendio forestal en los límites municipales, en el Bosque de la primavera, afectando un total de 2,000 hectáreas de arbolado adulto, pastos y matorrales.</t>
  </si>
  <si>
    <t>Ciudad Cuauhtémoc, Genaro Codina, Ojo Caliente, Teúl de González Ortega, Tepechitlán, Santa María de la Paz, Monte Escobedo y Valaparaíso</t>
  </si>
  <si>
    <t>Se registraron incendios forestales en diversos muncipios del estado, así mismo se reporta que se declaro en emergencia a varios de éstos municipios y que las hectáreas afectadas fueron 3,800 aproximadamente, siendo el municipio de Ciudad Cuahtémoc de los más afectados con 2,500 hectáreas de nopaler, cedro y pastizal, así mismo el municipio de Monte Escobedo reportó un total de 1,100 hectáreas afectadas de árbol seco, en crecimiento y pastizal, por últmo el municipio de Valparaíso reportó 200 hectáreas afectadas de arbolado de pino, encino, cedro, medraño, manzanillo y palo cortado.</t>
  </si>
  <si>
    <t>Ocosingo, Cintalapa, Jiquipilas y Berrozabal</t>
  </si>
  <si>
    <t>Se reportaron 7 incendios forestales, no se reportan daños humanos</t>
  </si>
  <si>
    <t>Pénjamo, Celaya, Guanajuato y San Miguel de Allende</t>
  </si>
  <si>
    <t>Se reportaron 4 incendios en el estado, en total suman 122 hectáreas de pastizales y matorrales afectados.</t>
  </si>
  <si>
    <t>Ciudad Cuauhtémoc, Santa María de la Paz y Valparaíso.</t>
  </si>
  <si>
    <t>Se reportaron 670 hectáreas de pastizales, matorrales y nopalera afectadas debido a varios incendios forestales</t>
  </si>
  <si>
    <t>Tamasopo, Santa Catarina, El Naranjo, Mexquitic, San Vicente, Rayón y Ciudad Valles</t>
  </si>
  <si>
    <t>Se registraron varios incendios forestales en los municipios mencionados, en total fueron 907 hectáreas afectadas de vegetación diversa.</t>
  </si>
  <si>
    <t>Jesús María, Calvillo y San José Gracia</t>
  </si>
  <si>
    <t>Se registraron varios incendios forestales que afectaron aproximadamente 1500 hectáreas de pastizal, arbusto, mezquite y encino.</t>
  </si>
  <si>
    <t>Villa de Casas, Ocampo, Nuevo Morelos y Xicotencatl</t>
  </si>
  <si>
    <t>Se registraron varios incendios forestales en distintos municipios del esatdo afectando un total de 550 hectáreas de matorral y pastizal.</t>
  </si>
  <si>
    <t>Tejupilco</t>
  </si>
  <si>
    <t>Se registró un incendio forestal el cual afectó un total de 580 hectáreas, derivado del incendio se reportan 6 decesos de voluntarios que intentaban atacar el incendio.</t>
  </si>
  <si>
    <t>San Diego de la Unión</t>
  </si>
  <si>
    <t>Se reportó un incendio el cual afectó 450 hectáreas de pastizal</t>
  </si>
  <si>
    <t>Irapuato. San Miguel de Allende y Valle de Santiago</t>
  </si>
  <si>
    <t>Se registraron varios incendios forestales que en total sumaron 1094 hectáreas afectadas de pastizales, Huisaches y Nopalera.</t>
  </si>
  <si>
    <t>Se reportó un incendio en el municipio mencionado, un total de 821 hectáreas de diversa vegetación fueron afectadas.</t>
  </si>
  <si>
    <t>Valparaíso, Jiménez del Teúl y Santa María de la Paz</t>
  </si>
  <si>
    <t>Se registraron varios incendios forestales en distintos municipios del estado afectamndo un total de 1,050 hectáreas de Hierba, pasto seco y árbol de renuevo.</t>
  </si>
  <si>
    <t>Lagunillas</t>
  </si>
  <si>
    <t>Se registró un incendio forestal que afectó un total de 180 hectáreas de arbusto, palma y encino</t>
  </si>
  <si>
    <t>Se reportaron 3 personas lesionadas en un incendio forestal, se desconoce el número de hectáreas afectadas, se evacuó a un total de 80 personas.</t>
  </si>
  <si>
    <t>Tepechitlán, Momax, Valparaíso y Nochistlán</t>
  </si>
  <si>
    <t>Se registraron afectaciones en 3000 hectáreas de paztizal y nopalera debido a diversos incendios</t>
  </si>
  <si>
    <t>Jaral del Progreso y Tarimoro</t>
  </si>
  <si>
    <t>Se registraron varios incendios forestales que afectaron un total de 50 hectáreas de pastizales</t>
  </si>
  <si>
    <t>Magdalena Contreras</t>
  </si>
  <si>
    <t>Se registró un incendio forestal en el parque los dinamos afectando un total de 3 hectáreas</t>
  </si>
  <si>
    <t>Villa de Cos, Río Grande, General Francisco R. Murguía y Valaparaíso</t>
  </si>
  <si>
    <t>Debido a varios incendios forestales presentados entre el 10 y 16 de junio se reportan afectaciones en 12,700 hectáreas de pastizal, nopalera, árbol de renuevo y hierbas.</t>
  </si>
  <si>
    <t>Tancitaro</t>
  </si>
  <si>
    <t>Debido a un incendio forestal se reportan afectaciones en 450 hectáreas de pastizales.</t>
  </si>
  <si>
    <t>Nogales, Nacozari e Imuris</t>
  </si>
  <si>
    <t xml:space="preserve">Nogales: Se tiene  una afectación  de pastizal, matorral y arbusto adulto. (en total de  250 has.)
Imuris: Afecto 1325 has. de árbol adulto, matorral y pastizal.
Mpio de Fronteras. Afectaciones en 400 has.
Sin daños humanos.
</t>
  </si>
  <si>
    <t>Ensenada y Tecate</t>
  </si>
  <si>
    <t>Se reportaron varios incendios forestales quedando controlados. Un total de 750 hectáreas de pastizal y chaparral fueron afectadas.</t>
  </si>
  <si>
    <t>Se registró un incendio forestal el cual causo afectaciones en 200 hectáreas de matorral.</t>
  </si>
  <si>
    <t>Ensenada , Tecate, Tijuana y Rosarito</t>
  </si>
  <si>
    <t>Se registraron varios incendios forestales afectando un total de 7,000 has de chaparral y pastizales.</t>
  </si>
  <si>
    <t>Incendio de pastizal y hojarasca, en total se afectó una hectárea</t>
  </si>
  <si>
    <t>Tecate y Tijuana</t>
  </si>
  <si>
    <t>Se registraron incendios forestales en 2 municipios del estado afectando un total de 140 hectáreas.</t>
  </si>
  <si>
    <t>Coroneo, Irapuato, Tarandacuao y Jerecuaro</t>
  </si>
  <si>
    <t>Se registraron diversos incendios forestales en varios municipios del estado, en total se consumieron 15 hectáreas de pastizales y huisache.</t>
  </si>
  <si>
    <t>Tarandacuao, San Felipe y Jerecuaro</t>
  </si>
  <si>
    <t>Se registraron varios incendios forestales, afectadon un total de 44 hectáreas de pastizal</t>
  </si>
  <si>
    <t>Se registró un incedio industrialen un almacén de 400 m2 en el cual había fibra de vidrio, madera y desperdicio industrial, como medida preventiva se evacuó a 240 empleados.</t>
  </si>
  <si>
    <t>Se registró una fuga en la válvula de carga del combustible en una pipa repartidora de gas, lo que provocó un incendio y 4 lesionados.</t>
  </si>
  <si>
    <t>Se presentó un incendio en una bodega de telas, se reportan 2 personas lesionadas.</t>
  </si>
  <si>
    <t>Se registró un incendio urbano en el hotel San Marino, afectando una habitación en su totalidad y esparciendose el humo por todo el inmueble de 12 pisos. Como medida preventiva se evacuó la zona.</t>
  </si>
  <si>
    <t>Se registro un incendio en una vivienda construida con material endeble, en el siniestro fallecieron 3 menores de edad y se reportan lesionadas 4 personas.</t>
  </si>
  <si>
    <t>Se registró el incendio de una gasolinería debido al corto circuito de una pipa que estaba descargando combustible en el lugar. A consecuencia del accidente tres personas resultaron lesionadas.</t>
  </si>
  <si>
    <t>Zacatlán</t>
  </si>
  <si>
    <t>Se registró un incendio urbano en una casa habitación construida con material endeble, se reportó la muerte de 3 personas.</t>
  </si>
  <si>
    <t>Chipilo</t>
  </si>
  <si>
    <t>Se registró un incendio en tres bodegas de una empresa que contenian algodón, las bodegas se colapsaron y el algodón quedo consumido.</t>
  </si>
  <si>
    <t>Se registró un incendio en una empresa de productos químicos, el cual afectó la nave en un área de mil metros cuadrados, como medida preventiva se evacuó a los trabajadores y se atendió a los que presentarón mareos o dolores de cabeza, así como crisis nerviosas. Una persona resulto lesionada.</t>
  </si>
  <si>
    <t>Se registró un incendio en el basurero municipal el cual afectó un total de 8 hectáreas.</t>
  </si>
  <si>
    <t>Tlajomulco de Zúñiga</t>
  </si>
  <si>
    <t>Se registró un incendio en una fábrica de guantes de latex, se reportan 5 personas intoxicadas y la pérdida total de la fábrica.</t>
  </si>
  <si>
    <t>Se registró un incendio en un asentamiento irregular, se reportan 60 viviendas de material endeble afectadas, como medida preventiva se evacuó a las familias afectadas.</t>
  </si>
  <si>
    <t>Se registro un incendio en una empresa llamada "Lumi Sistemas", se vieron afectados 300 metros cuadrados del área de hornos consumiendo varios materiales eléctricos y cera.</t>
  </si>
  <si>
    <t>Santa Catarina</t>
  </si>
  <si>
    <t>Se registro un incendio en un predio donde se encontraban varias viviendas de material endeble, como medida preventiva se evacuó a 300 personas y a 200 se les brindó apoyo con colchonetas, cobertores y pañales.</t>
  </si>
  <si>
    <t>Se registró un incendio urbano en un lote de autos, se reportan 40 vehículos afectados.</t>
  </si>
  <si>
    <t>Se registró un incendio en una casa habitación en la que habitaban 16 personas, como resultado del accidente un menor perdió la vida, la vivienda tuvo daño total.</t>
  </si>
  <si>
    <t>Tlalnepantla</t>
  </si>
  <si>
    <t>Se registró un incendio en una fabrica, se reportan 7 lesionados.</t>
  </si>
  <si>
    <t>Se registró un incendio urbano en un tiradero de productos reciclables a un costado de la Centrakl de Abastos, se reportan 6 personas lesionadas.</t>
  </si>
  <si>
    <t>Jesús María</t>
  </si>
  <si>
    <t>Se registró un incendio en la zona industrial en una empresa dedicada al procesamiento y reciclamiento del plástico, se reporto daño total en una nave industrial.</t>
  </si>
  <si>
    <t>Se reporto un incendio en el interior de una empresa de combustibles ecológicos, el siniestro afectó materias primas, plásticos, cartón, 2 micobuses y un automóvil, se reporta un bombero lesionado.</t>
  </si>
  <si>
    <t>Se reporto un incendio en una bodega de borrega y estopa, se reportan 2 personas lesionadas.</t>
  </si>
  <si>
    <t>Se registró un incendio en un establecimiento de refacciones, se reportan 4 personas lesionadas, así mismo se evacuó a residentes aledaños.</t>
  </si>
  <si>
    <t>Se registró un incendio dentro de un asilo de ancianos, se reporta daño total en el inmueble, 4 personas fallecidas y una persona lesionada.</t>
  </si>
  <si>
    <t>Se registró un incendio en dos bodegas en donde se consumieron 5 toneladas de papel y cartón.</t>
  </si>
  <si>
    <t>Se registró un incendio en una casa habitación en donde fallecieron 4 menores de edad.</t>
  </si>
  <si>
    <t>Se registró un incendio en el mercado morelos ubicado en el centro de la cabecera municipal. Dicho incendio afectó un local de ropa, una dulcería, una tienda de zapatos y una frutería. Se reporta un menor lesionado.</t>
  </si>
  <si>
    <t>Se registró un incendio en una fábrica de veladoras, como medida preventiva se evacuó a 300 personas aprox. No se reportaron daños humanos</t>
  </si>
  <si>
    <t>Se reporto el incendio de una fábrica de pegamentos para calzado causando lesiones a 8 personas.</t>
  </si>
  <si>
    <t>Se reportó un incendio industrial en el cual 3 personas perdieron la vida y otras 23 resultaron lesionadas.</t>
  </si>
  <si>
    <t>Se registró un incendio industrial en una bodega de 60 metros cuadrados, se reportan 4 personas lesionadas.</t>
  </si>
  <si>
    <t>Se registró el incendio de 2 accesorias en las cuales se refugiaban personas indigentes, perdiendo la vida 1 persona y resultando lesionada otra.</t>
  </si>
  <si>
    <t>Se registró un incendio en una casa habitación causando la muerte de dos menores de edad.</t>
  </si>
  <si>
    <t>Se registró un incendio en una casa habitación, se reportan 2 personas fallecidas y 3 intoxicadas.</t>
  </si>
  <si>
    <t>Villa de Carbón</t>
  </si>
  <si>
    <t>Incendio en una bodega de llantas y lonas, afectandose un total de 150 metros cuadrados.</t>
  </si>
  <si>
    <t>Santiago de Querétaro</t>
  </si>
  <si>
    <t>Se registró un incendio industrial, como medida preventiva se evacuó a 35 familias que habitaban cerca del lugar de ocurrencia.</t>
  </si>
  <si>
    <t>Incendio en el mercado del municipio, se quemaron 23 locales de ropa y calzado. No se reportan personas afectadas</t>
  </si>
  <si>
    <t>Se registró un fuerte incendio en una mueblería de 1,200 metros cuadrados consumiendo la totalidad de la mercanía y el inmueble. Se registraron 2 personas lesionadas.</t>
  </si>
  <si>
    <t>Se registró un flamazo en unos baños públicos causando lesiones a dos personas.</t>
  </si>
  <si>
    <t>Se registró un incendio comercial resultando afectada una persona con lesiones menores.</t>
  </si>
  <si>
    <t>Se reportan 14 personas intoxicadas al tener contacto con un tambo de Diclorobuteno que al hacer reaccion con intoxico a las personas</t>
  </si>
  <si>
    <t>Se presnetaron dos accidentes carreteros en la sierra del municipio de Motozintla, las personas muertas fueron trasladadas al SEMEFO del municipio. Fueron 5 las personas fallecidas y 11 lesionados.</t>
  </si>
  <si>
    <t>Jamay</t>
  </si>
  <si>
    <t>Se registró la volcadura de un autobús de pasajeros en la autopista Guadalajara- México. Como resultado del accidente 14 personas perdieron la vida y otras 12 resultaron lesionadas.</t>
  </si>
  <si>
    <t>Villa de Juárez</t>
  </si>
  <si>
    <t>Se registró el desplome de una avioneta perteneciente a una empresa agrícola, ésta sufrió el percance al estar fumigando los campos, se reportó la muerte del piloto.</t>
  </si>
  <si>
    <t>Se reportó la volcadura de una pipa que trasportaba gas LP, como resultado del accidente una persona perdio la vida. No se reporto fuga del producto</t>
  </si>
  <si>
    <t>Villa de Cos</t>
  </si>
  <si>
    <t>Se registró la volcadura de una pipa que transportaba gas LP, no se presentó fuga del producto y el conductor presentó lesiones leves.</t>
  </si>
  <si>
    <t>Se reportó la volcadura de dos pipas que transportaban aceite de petróleo, no se presentaron fugas del producto y una persona resulto lesionada.</t>
  </si>
  <si>
    <t>A consecuencia del fuerte oleaje y vientos dominantes del norte, provocaron que un buque tanque encallara frente al malecón de Coatzacoalcos, el buque tanque presentó algunos daños, pero por fortuna iba vacío.</t>
  </si>
  <si>
    <t>Ciudad Ayala</t>
  </si>
  <si>
    <t>Se registró la volcadura de una pipa con dos carros tanque que trasportaba 30 mil litros de combustoleo, se presento el derrame de 15 mil litros el cual afecto un área de 500 m2 y la carpeta asfáltica.</t>
  </si>
  <si>
    <t>Se registró el atropellamiento de una carava de peregrinos procedentes de San Luis de la Paz y que se dirigian a San Juan de los Lagos. En el accidente 11 personas resultaron lesionadas y 3 más perdieron la vida</t>
  </si>
  <si>
    <t>González</t>
  </si>
  <si>
    <t>Se registró la volcadura e incendio de una pipa que transportaba 15 mil litros de azufre fundido, al derramarse el producto, algunos residuos cayeron en el arroyo denominado "el Cojo", el cual surte a algunas poblaciones, se contrato maquinaría pesada para las labores de limpieza y se cerró el suministro de agua y se distribuyó agua potable con pipas.</t>
  </si>
  <si>
    <t>Se reporto un choque múltiple entre tres vehículos en la carretera federal Querétaro-San Luis Potosí km. 98, a consecuencia del accidente 2 personas resultaron lesionadas y se registró el derrame de 15,000 litros de alcohol fenilelanol.</t>
  </si>
  <si>
    <t>Se reporto la volcadura de una pipa que transportaba 29 mil litros de combustoleo, derramandose aproximadamente la mitad de éste. No se reportan daños humanos.</t>
  </si>
  <si>
    <t>Se reporto la volcadura de un autobús de pasajeros resultando 18 personas lesionadas y una persona fallecida.</t>
  </si>
  <si>
    <t>Zinapecuaro</t>
  </si>
  <si>
    <t>Se registró la volcadura de un autobús de pasajeros en la autopista de occidente tramo Morelia-México en el km 213, a consecuencia del accidente 2 personas perdieron la vida y 16 más resultaron lesionadas.</t>
  </si>
  <si>
    <t>Se registró la volcadura de una pipa que transportaba gas propileno con capacidad para 30 mil litros, se reporta una persona herida.</t>
  </si>
  <si>
    <t>Se registró un accidente carretero entre tres autobuses de pasajeros resultando lesionadas 16 personas.</t>
  </si>
  <si>
    <t>Se reportó la volcadura de un camión que transportaba 70 indocumentados, de las cuales 28 resultaron lesionadas.</t>
  </si>
  <si>
    <t>Se registro el desplome de una avioneta turbo bimotor a 4 km del aeropuerto de Toluca, se reportan 3 viviendas con daños parciales, así mismo se reportó la muerte de 2 personas y una más lesionada.</t>
  </si>
  <si>
    <t>Se suscito un choque entre un camión repartidor de cilindros de gas y un automóvil particular. En el percance se incendiaron los dos vehículos, lo que dio lugar a que el tanque de carburación del camión explotara y que aprox. 40 cilindros se incendiaran sin explotar. Se evacuarón un total de 35 viviendas (175 personas aprox.) y una de éstas resultó con daños menores por la explosión.</t>
  </si>
  <si>
    <t>Se registró la volcadura de una pipa que trasportaba diesel, se presentó derrame de 300 litros. Se realizaron trabajos de saneamiento.</t>
  </si>
  <si>
    <t>Tzitzio</t>
  </si>
  <si>
    <t>Se desplomo un jet del gobierno de Colima en el cual viajaba el gobernador del estado y otras 6 personas, todos perdieron la vida en el accidente.</t>
  </si>
  <si>
    <t>Se reportó el descarrilamiento de un tren de pasajeros, sólo se reportó una persona lesionada.</t>
  </si>
  <si>
    <t>Se registró el desplome de una avioneta privada tipo CESSNA411 en la cual viajaban dos personas las cuales perdieron la vida.</t>
  </si>
  <si>
    <t>Altar y Santa Ana</t>
  </si>
  <si>
    <t>Se registro la volcadura de una pipa en la carretera número 48, no se reportan daños humanos.</t>
  </si>
  <si>
    <t>Se reporto el desplome de una avioneta particular, sus dos tripulantes perdieron la vida.</t>
  </si>
  <si>
    <t>Se registró la volcadura de una pipa con dos auto tanques que trasportaban 70 mil litros de gasolina, debido al percance se derramaron 50 mil litros de gasolina, los cuales se incendiaron, así mismo se registraron daños en una vivienda.</t>
  </si>
  <si>
    <t>Se reportó el descarrilamiento de un tren, se reportan 4 personas lesionadas. Los vagones ya se levantaron y los trabajos quedaron concluidos.</t>
  </si>
  <si>
    <t>Se reportó la volcadura de una pipa que trasportaba combustoleo, ésta no presentó derrame, se reporta una persona lesionada.</t>
  </si>
  <si>
    <t>Se registró la volcadura de una pipa la cual transportaba 29 mil litros de diesel, al volcarse el contenedor se presentó fuga y se incendio el producto, como medida preventiva se acordonó la zona, no se reportaron daños humanos.</t>
  </si>
  <si>
    <t>Galeana</t>
  </si>
  <si>
    <t>Se registró la volcadura de un autobús de pasajeros, como resultado del accidente se reportaron 13 personas lesionadas y 1 muerto.</t>
  </si>
  <si>
    <t>Se registró la caída de un árbol en el parque San Luis Tlajialtemalco, el árbol le causó la muerte a 2 personas, lesionó a otras dos y causó daños a dos automóviles.</t>
  </si>
  <si>
    <t>Tacotalpa</t>
  </si>
  <si>
    <t>Se deplomó un puente colgante construido con material tubular y algunas partes de concreto. El puente tenia una altura de 10 metros y una longitud de 80 metros, el desplome se debió al exceso de peso, ya que se festejaba la pesca de la sardina, lo que aglomero muchas personas en el puente. Se reportan 37 personas lesionadas y 5 muertos.</t>
  </si>
  <si>
    <t>Atotonilco</t>
  </si>
  <si>
    <t>Se registró un accidente entre un autobús de pasajeros y una camioneta de redilas, en el accidente las 5 personas que venian en la camioneta perdieron la vida y 20 más del autobús resultaron heridas.</t>
  </si>
  <si>
    <t>Jamapa</t>
  </si>
  <si>
    <t>Se registró la volcadura de un autobús de pasajeros en el puente eñ Estero, en donde el chofer se durmió y perdió el control del autobús, se reportan 4 personas fallecidas y 26 lesionados</t>
  </si>
  <si>
    <t>Tezonapa</t>
  </si>
  <si>
    <t>Se registró el descarrilamiento de un tren y la volcadura de 7 carros.tanques que transportaban hidróxido de sodio en solución. 3 de los carros tanques presentaron fuga, derramandose un total de 800 litros.</t>
  </si>
  <si>
    <t>Carichi</t>
  </si>
  <si>
    <t>Se registró el desplome de un puente colgante por exceso de peso, se reportan 9 personas lesionadas.</t>
  </si>
  <si>
    <t>Se informó de el fallecimiento de una persona en la motaña denominada como mujer dormida.</t>
  </si>
  <si>
    <t>Comondú</t>
  </si>
  <si>
    <t>Se registró un accidente en el cual estuvieron involucrados varios vehículos particulares, un autobús de pasajeros y un trailer, se reportan 21 personas fallecidas y 27 personas lesionadas.</t>
  </si>
  <si>
    <t>San Juanito Escobedo</t>
  </si>
  <si>
    <t>Se registró el desplome de una avioneta perteneciente a la fuerza aérea, se reporta una persona fallecida</t>
  </si>
  <si>
    <t>Poncitlán</t>
  </si>
  <si>
    <t>Se registro un accidente entre un autobús de pasajeros y un automóvil particular, se reportan 17 personas lesionadas y un muerto.</t>
  </si>
  <si>
    <t>Se reportó el choque entre una pipa que transportaba 8,200 litros de Gas LP contra un convoy de tren en el poblado de Santiago Teyehualco, en el impacto hubo explosión y fallecieron 2 personas.</t>
  </si>
  <si>
    <t>Debido a la marcha del silencio en apoyo al jefe de gobierno del D.F. se registró una concentración masiva de población en la que sólo se brindaron 40 atenciones médicas por insolación y baja presión arterial</t>
  </si>
  <si>
    <t>Se registró el desplome de un helicóptero cuando realizaba maniobras para el combate de un conato de incendio, se reporta una persona fallecida</t>
  </si>
  <si>
    <t>Tarimbaro</t>
  </si>
  <si>
    <t>Se registró la volcadura de una pipa en la carretera Morelia-Salamanca, la volcadura ocasionó la ruptura de la válvula y se presentó fuga de 6,000 litros de gas.</t>
  </si>
  <si>
    <t>El Arenal</t>
  </si>
  <si>
    <t>Se registró la volcadura de una pipa que transportaba 35, litros de sosa, se presnetó un derrame sin saber exactamente ola cantidad derramada.</t>
  </si>
  <si>
    <t>Hermosillo</t>
  </si>
  <si>
    <t>Se registró la volcadura de un tractocamión con dos contenedores que tranasportaban 6,500 kilogranos de asfalto cada uno, se reporto fuga del producto pero no se mencionó en que proporción.</t>
  </si>
  <si>
    <t>Se reportó una persona atrapada bajo tierra al estar trabajando en una obra de construcción, dicha persona realizaba trabajos de limpieza en una zanja de 15 metros de largo, sin embargo se reblandeció el terreno y lo sepultó.</t>
  </si>
  <si>
    <t>Se registró un accidente carretero entre un autobús turístico y un tracto camión de doble remolque, se reportan 14 personas lesionadas.</t>
  </si>
  <si>
    <t>Se registró el desplome de un helicóptero que realizaba maniobras de prueba en el parque ecológico de Xochimilc, dos personas fallecieron y 5 más resultaron heridas.</t>
  </si>
  <si>
    <t>Othón P Blanco</t>
  </si>
  <si>
    <t>Se registró el desplome de una avioneta en el poblado del El Gallito como resultado los dos tripulantes perdieron la vida.</t>
  </si>
  <si>
    <t>Se registró un accidente en el cual un tractocamión que transportaba 2 contenedores de amoniaco fue accidentado, soltandose uno de los remolques y presentando fisura en uno de los tanques, como medida preventiva se evacuó a 25 viviendas.</t>
  </si>
  <si>
    <t>Se registró un accidente automovilístico en el cual perdieron la vida 2 personas y una más resultó lesionada.</t>
  </si>
  <si>
    <t>Acto de sabotaje</t>
  </si>
  <si>
    <t>Se registró un incendio de 7 pipas de gas pertenecientes a una empresa, el siniestro se originó debido a un posible sabotaje, ya que cuatro individuos rociaron gasolina en las cabinas y cofre de los autobúses y prendieron fuego.</t>
  </si>
  <si>
    <t>Se registró la volcadura de un autobús de pasajeros en un barranco de 150 metros de profundidad, lo cual provocó la muerte de 6 personas y dejo lesiones a 37 pasajeros.</t>
  </si>
  <si>
    <t>Villa García</t>
  </si>
  <si>
    <t>Se registró el accidente de una avioneta que pertencia a una escuela técnica de aeronáutica, dos personas lesionadas</t>
  </si>
  <si>
    <t>Se registró un aterrizaje forzoso en el aeropuerto internacional de Acapulco, se reporta una persona con crisis nerviosa.</t>
  </si>
  <si>
    <t>Se registró un descarrilamiento de 7 vagones que transportaban desperdicio de cartón, se reportan 13 personas lesionadas y 2 personas fallecidas.</t>
  </si>
  <si>
    <t>Huamanguillo</t>
  </si>
  <si>
    <t>Se desprendió un mástil de un equipo de perforación de PEMEX en el pozo "Tominoacan", debido al incidente se informa de la muerte de 3 personas y 2 más lesionadas.</t>
  </si>
  <si>
    <t>Se registró el desplome de una avioneta en el municipio de Acapulco, por fortuna no se desplomo en una zona poblada, se reportó la muerte de una persona y dos personas lesionadas.</t>
  </si>
  <si>
    <t>Puente de Ixtla</t>
  </si>
  <si>
    <t>Se registro un accidente entre un autobús de pasajeros y un camión torton, como resultado del percance 10 personas resultaron lesionadas.</t>
  </si>
  <si>
    <t>Se registró la volcadura de una pipa que transportaba 42 mil litros de gas LP, así mismo se registró una explosión del producto causando la muerte de 2 personas y lesionando a otras 3.</t>
  </si>
  <si>
    <t>Se registró el desplome de una avioneta al realizar vuelos de práctica, se reporta una persona fallecida.</t>
  </si>
  <si>
    <t>Se registrío la volcadura de una pipa que trasportaba gas propano en la autopistaGuanajuato - Zapotlanejo se reporta una persona lesionada.</t>
  </si>
  <si>
    <t>Se registró la volcadura de una pipa que transportaba 37,700 litros de combustoleo presentandose derrame del producto</t>
  </si>
  <si>
    <t>Hueyotlipan</t>
  </si>
  <si>
    <t>Se reportó la volcadura de una pipa que transportaba Monomero de Estileno con una capacidad de 41,200 litros, se desconoce la cantidad derramada.</t>
  </si>
  <si>
    <t>Ciudad del Cármen</t>
  </si>
  <si>
    <t>Se reportó el desplome de un helicóptero al realizar maniobras de evacuación de las plataformas petroléras se reportan 2 personas fallecidas.</t>
  </si>
  <si>
    <t>Se registró un accidente entre un tren y un automóvil resultando 18 personas lesionadas.</t>
  </si>
  <si>
    <t>Se registró la explosión de dos granadas en un palenque en el municipio de Tonalá, se reportan 24 personas lesionadas y 2 fallecidas.</t>
  </si>
  <si>
    <t>Se reporto el arrastre de un vehículo al intentar atravesar un arroyo se reportan 2 personas fallecidas y una mas desaparecida.</t>
  </si>
  <si>
    <t>Se presentó la volcadura de una pipa que transportaba 33 mil ltros de gasolina, presentandose derrame del producto.</t>
  </si>
  <si>
    <t>Se registró un accidente urbano en el cual se vió involucrado un transporte público, se reportan 3 personas fallecidas y 7 lesionados.</t>
  </si>
  <si>
    <t>Se registró un accidente urbano al producirse l impacto de una pipa que se quedó sin frenos y un autobus de transporte público. Como resultado del accidente se reportan 9 personas fallecidas y 16 lesionadas.</t>
  </si>
  <si>
    <t>Santa Cruz</t>
  </si>
  <si>
    <t>Se reportó el descarrilamiento de dos furgones que transportaban ácido sulfúrico en cual se derramo en el río Santa Cruz, por lo que se construyó un dique para contener el producto y se suspendió el abasto de agua.</t>
  </si>
  <si>
    <t>Se registró un accidente entre una pipa y una locomotora resultando 36 personas lesionadas. Así mismo se reportan daños en 10 viviendas y 11 vehículos</t>
  </si>
  <si>
    <t>Se registró el choque de un autobús de pasajeros reportandose dos personas fallecidas y 11 lesionados</t>
  </si>
  <si>
    <t>Cosala</t>
  </si>
  <si>
    <t>Se registro el desplome de una avioneta en donde dos personas perdieron la vida.</t>
  </si>
  <si>
    <t>Se registró el desplome de una avioneta, se reportan dos personas desaparecidas.</t>
  </si>
  <si>
    <t>Se registró el desplome de una avioneta tipo CESSNA se reporta una persona fallecida y una lesionada.</t>
  </si>
  <si>
    <t>Cuauhtemoc, Gustavo A Madero, Miguel Hidalgo y Benito Juárez</t>
  </si>
  <si>
    <t>Se realizó el maraton internacional de la ciudad de méxico en donde un corredor perdió la vida a consecuencia de un paro cardiaco.</t>
  </si>
  <si>
    <t>Se registro la volcadura de un autobús de pasajeros estrella blanca, com oresultado del percance se reportaron 5 fallecidos y 18lesionados.</t>
  </si>
  <si>
    <t>Se registró la volcadura de un trailer sobre calzada de tlalpan, que impacto a un automóvil particular. Se reporta una persona fallecida y otra lesionada.</t>
  </si>
  <si>
    <t>Se registró el hundimiento de 4 trajineras así como la volcadura de otras 2. A consecuencia de los anterior una persona perdió la vida.</t>
  </si>
  <si>
    <t>Se registro la volcadura de una pipa con doble tanque la cual explotó causando lesiones a una persona.</t>
  </si>
  <si>
    <t>Se registró la volcadura de una pipa la cual transportaba 1,000 litros de diesel mismos que fueron derramados.</t>
  </si>
  <si>
    <t>Xonacatlán</t>
  </si>
  <si>
    <t>Se reportó la caída de un helicóptero que despegó en el campo marte y que iba con dirección al penal de la palma, se reportan 9 personas fallecidas.</t>
  </si>
  <si>
    <t>Se reportó el desplome de un helicóptero en el que viajaban dos personas las cuales perdieron la vida. El helicóptero pertenecía a la PFP</t>
  </si>
  <si>
    <t>Se reporto la volcadura de una pipa que transportaba 32 mil litros de gasolina, no se presentó derrame del producto.</t>
  </si>
  <si>
    <t>Pisaflores</t>
  </si>
  <si>
    <t>Se registró el desplome de un helicóptero contratado por la CFE, se reporta la muerte de una persona en el percance.</t>
  </si>
  <si>
    <t>Ixtaczoquitlán</t>
  </si>
  <si>
    <t>Se reporta un accidente carretero de un camión tipo torton que transportaba forraje, verduras y 20 personas sobre la carga. Como resultado del accidente 6 personas perdieron la vida y 9 resultaron lesionadas.</t>
  </si>
  <si>
    <t>Se registró el desplome de una avioneta, debido al percance dos personas perdieron la vida.</t>
  </si>
  <si>
    <t>Hostotipaquillo</t>
  </si>
  <si>
    <t>Se registró un accidente carretero en el cual se vió involucrado un camión cisterna, se reporta la muerte de dos personas.</t>
  </si>
  <si>
    <t>Se registró un aterrizaje forzoso de un helicóptero de la presidencia, no se reportan daños humanos.</t>
  </si>
  <si>
    <t>Se reporta la volcadura de un camión de redilas en donde 4 personas perdieron la vida y 19 más resultaron lesionadas.</t>
  </si>
  <si>
    <t>Magdalena</t>
  </si>
  <si>
    <t>Se reporto la volcadura de una pipa que transportaba gasolina, no se reportan afectaciones mayores.</t>
  </si>
  <si>
    <t>Gueyotlipan</t>
  </si>
  <si>
    <t>Se registró la volcadura de un tractocamión que transportaba 20 mil litros de Acrilato de Etilio, el producto se derramó si causar afectaciones humanas.</t>
  </si>
  <si>
    <t>Se reporta el extravío de 4 personas a las faldas del volcán Iztlacihuatl, una de éstas perdió la vida.</t>
  </si>
  <si>
    <t>Se reporta el desplome de un helicóptero, como consecuencia del percance el piloto perdió la vida.</t>
  </si>
  <si>
    <t>Se registro el despiste de una avioneta, no se reportan personas lesionadas, sin embargo la avioneta sufrió daños parciales.</t>
  </si>
  <si>
    <t>Se registró un accidente carretero en el que se vieron afectados 15 vehículos y un tractocamión, se reportan 15 lesionados y una persona fallecida.</t>
  </si>
  <si>
    <t>Se registro un impacto multiple entre un trailer, 8 vehículos y una casa. Como resultado del percance 3 personas perdieron la vida y 8 más resultaron lesionadas.</t>
  </si>
  <si>
    <t>Carbo</t>
  </si>
  <si>
    <t>Se reporta la volacdura de una pipa que transportaba gasolina, se reporta el derrame del 40% del producto y la muerte de una persona.</t>
  </si>
  <si>
    <t>Se registró la volcadura de un autobus de pasajeros, resultando 4 personas fallecidas y 28 personas lesionadas.</t>
  </si>
  <si>
    <t>Nonoava</t>
  </si>
  <si>
    <t>Se registró un accidente carretero en una peregrinación, como resultado fallecieron 5 personas y 9 más resultaron lesionadas.</t>
  </si>
  <si>
    <t>Se registró un accidente carretero en el cual se vieron involucrados 5 vehículos, como resultado del percance fallecieron 5 personas y 15 personas resultaron lesionadas.</t>
  </si>
  <si>
    <t>Se reportó la volcadura de una pipa con capacidad de 40 mil litros, debido al accidente se presentó fuga, por lo que como medida preventiva se evacuó a 250 personas pertenecientes a 2 colonias.</t>
  </si>
  <si>
    <t>Guelatao de Juárez</t>
  </si>
  <si>
    <t>Se registró la volcadura de un autobús de pasajeros en donde se registró el fallecimiento de 13 personas y 17 más resultaron heridas.</t>
  </si>
  <si>
    <t>Helada</t>
  </si>
  <si>
    <t>Se presentó una helada en la delegación Milpa Alta afectando los cultivos de nopal. Un total de 2227 productores se vieron afectados. El FAPRACC apoyó a los productores con 1.4 millones de pesos aprox.</t>
  </si>
  <si>
    <t>Fuertes vientos</t>
  </si>
  <si>
    <t>Boca del Río, Veracruz, Medellín, Catemaco y Agua Dulce</t>
  </si>
  <si>
    <t>Se registraron fuertes vientos en los municipios mencionados, se reportaron 2 personas lesionadas al ser golpeadas por láminas de una techumbre.</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</si>
  <si>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</si>
  <si>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</si>
  <si>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</si>
  <si>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registró una helada que afectó cultivos de guayabo y tomate. Afectó a 424 productores</t>
  </si>
  <si>
    <t>Varias delegaciones</t>
  </si>
  <si>
    <t>Se presentaron fuertes vientos con rachas de hasta 50 Km./h por lo que un espectacular y varios árboles s evieron afectados. Así mismo, se reportaron cortes de energía en algunas colonias.</t>
  </si>
  <si>
    <t>Granizada</t>
  </si>
  <si>
    <t>Pachuca, Zempoala y Mineral de la Reforma</t>
  </si>
  <si>
    <t>Se presentó una fuerte granizada por lo quye se vio afectada la circulación en algunas avenidas principales, ya que la capa de granizo alcanzó los 5 cm.</t>
  </si>
  <si>
    <t>Se presentaron fuertes vientos afectando a 16 viviendas, 3 con daño total y 13 con daños parciales. Se brindó apoyo a los afectados con láminas de cartón</t>
  </si>
  <si>
    <t>La Unidad Estatal de Protección Civil reportó la presencia de vientos de 35 a 40 Km./h ocasionando la caída de 3 espectaculares afectando a 2 vehículos y lesionando a 6 personas.</t>
  </si>
  <si>
    <t>Se presento una fuerte granizada, afectando a 118 productores, que cosechaban unas 247 hectareas de Manzano, a lo cual se le asigno del fondo de la FAPRACC un total de $ 1 238 750 miles de pesos.</t>
  </si>
  <si>
    <t>Tormenta eléctrica</t>
  </si>
  <si>
    <t>En el cerro denominado "El Original" cayó un rayo cuando pasaba una peregrinación, motivo por el cual 6 personas perdieron la vida y 20 más resultaron lesionadas.</t>
  </si>
  <si>
    <t>Se presentaron fuertes vientos en toda la ciudad, resultando afectadas 3 viviendas en sus techos, la barda de una iglesia que se precipitó sobre una persona de 67 años de edad, ocasionando su muerte. Así mismo, se registró la caída de varios árboles, postes de energía eléctrica y un anuncio espectacular.</t>
  </si>
  <si>
    <t>Villa de Acala</t>
  </si>
  <si>
    <t>Se registraron fuertes vientos ocasionando la caída de un poste de energía eléctrica y daños a 38 viviendas, 15 de manera total y 23 con daños parciales. Se brindaron apoyos con despensas, cobijas, colchonetas y láminas de cartón.</t>
  </si>
  <si>
    <t>San Martín Peras</t>
  </si>
  <si>
    <t>Se registraron lluvias acompañadas con tormenta eléctrica, se reportó la caída de un rayo en una vivienda construida de material endeble, en la cual tres personas perdieron la vida por descarga eléctrica.</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</si>
  <si>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</si>
  <si>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</si>
  <si>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Se registró una fuerte granizada que alcanzó un espesor de 10 cm. Derivado de los anterior se reportaron daños en las techumbres de 10 viviendas de material endeble. La Secretaría de Desarrollo Social brindó apoyos compuestos por despensas, cobertores, colchonetas y láminas de cartón.</t>
  </si>
  <si>
    <t>Guachochi</t>
  </si>
  <si>
    <t>Una persona murio al ser impactada por un rayo durante una tormenta eléctrica.</t>
  </si>
  <si>
    <t>Zihuatanejo</t>
  </si>
  <si>
    <t>Se presentó una tormenta eléctrica en el municipio antes mencionado, lo que ocasionó que 2 pescadores perdieran la vida al ser impactados por un rayo.</t>
  </si>
  <si>
    <t>Se han reportado 10 fallecimientos debido a las altas temperaturas. Las muertes han sido avaladas por la SSA del estado que reporta que son consecuencia del llamado "Golpe de calor"</t>
  </si>
  <si>
    <t>Se registró una fuerte granizada en la carretera estatal 46 San Luis de la Paz- San José Iturbide, por lo que se cerró la circulación por aproximadamente 4 horas, ya que el granizo alcanzó un espesor de 15 cm. Sobre la carpeta asfáltica.</t>
  </si>
  <si>
    <t>Marea de tormenta</t>
  </si>
  <si>
    <t>Tecapn de Galeana, Marquelia, Coyuca de Benítez y Florencio Villareal</t>
  </si>
  <si>
    <t>Debido a la onda tropical 6 y 7 se presntaron olas de 10 metros de altura, las cuales ocasionaron daños en 68 viviendas por lo que se evacuó a 299 personas. En 56 viviendas se presentó daño total y 8 con daño parcial. Se instalaron 3 refugios temporales.</t>
  </si>
  <si>
    <t>Concordia</t>
  </si>
  <si>
    <t>Debido a una intensa granizada en el municipio se reportan 140 viviendas dañadas en sus techos.</t>
  </si>
  <si>
    <t>Coeneo y Zacapu</t>
  </si>
  <si>
    <t>Se registraron fuertes granizadas afectando a 1058 productores de maíz, en una superficie de 2288.3 hectáreas. El FAPRACC apoyó com 1.83 millones de pesos</t>
  </si>
  <si>
    <t>Villa de Ramos</t>
  </si>
  <si>
    <t>Se presentó una tormenta eléctrica ocasionando la muerte de una persona por descarga eléctrica.</t>
  </si>
  <si>
    <t>San Felipe</t>
  </si>
  <si>
    <t>Se registró el fallecimiento de una persona al ser impactada por un rayo</t>
  </si>
  <si>
    <t>Tlacotepec de Benito Juárez</t>
  </si>
  <si>
    <t>Se registró una granizada con fuertes vientos provocando afectaciones a 30 viviendas.</t>
  </si>
  <si>
    <t>San Pablo del Monte</t>
  </si>
  <si>
    <t>Se registró la muerte de una persona al ser impactado por un rayo.</t>
  </si>
  <si>
    <t>Se presentaron daños en 17 viviendas en los techos debido a los fuertes vientos</t>
  </si>
  <si>
    <t>Tijuana, Tecate, Rosarito, Ensenada y Mexicali</t>
  </si>
  <si>
    <t>Debido a los fuertes vientos se reportaron varias afectaciones: 20 espectaculares, 13 transformadores, 51 postes, además se registró el deceso de 6 personas.</t>
  </si>
  <si>
    <t>Por las bajas temperaturas se registraron 4 defunciones en el estado</t>
  </si>
  <si>
    <t>Por las bajas temperaturas se registraron 7 defunciones en el estado</t>
  </si>
  <si>
    <t>Por las bajas temperaturas se registraron 39 defunciones en el estado</t>
  </si>
  <si>
    <t>Por las bajas temperaturas se registró 1 defunción en el estado</t>
  </si>
  <si>
    <t>Por las bajas temperaturas se registraron 3 defunciones en el estado</t>
  </si>
  <si>
    <t>Por las bajas temperaturas se registraron 6 defunciones en el estado</t>
  </si>
  <si>
    <t>Por las bajas temperaturas se registró una defunción en el estado</t>
  </si>
  <si>
    <t>Por las bajas temperaturas se registraron 2 defunciones en el estado</t>
  </si>
  <si>
    <t>Por las bajas temperaturas se registraron 8 defunciones en el estado</t>
  </si>
  <si>
    <t>Por las bajas temperaturas se registraron 14 defunciones en el estado</t>
  </si>
  <si>
    <t>Debido a la sequía, fueron afectados 1,057 productores en cultivos de maíz y sorgo</t>
  </si>
  <si>
    <t>Debido a la sequía, fueron afectados 5,074 productores en sus cultivos de maíz, frijol y trigo</t>
  </si>
  <si>
    <t>Debido a la sequía, fueron afectados 2,333 productores en los cultivos de maíz, frijol, avena y trigo</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</si>
  <si>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</si>
  <si>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inclinación de 10 grados. Los muros en los que se encontraba la piedra eran de arcilla y no soportaron el peso de la piedra y la excavación, por lo cual se registró un derrumbe sepultando a 5 personas que se encontraban laborando en el lugar, de las cuales se rescató a 3 con lesiones y se recuperaron los cuerpos de 2 personas fallecidas.</t>
  </si>
  <si>
    <t xml:space="preserve">Deslizamiento </t>
  </si>
  <si>
    <t>Pueblo Nuevo Solistahuacan</t>
  </si>
  <si>
    <t>Se registró un deslizamiento de ladera en dicho municipio, ocasionando el bloqueo total de la carretera  en una longitud de 100 metros. El deslizamiento afectó alguna infraestructura eléctrica y ocasionó la pérdida de  2 hectáreas de Pino.</t>
  </si>
  <si>
    <t>Moctezuma</t>
  </si>
  <si>
    <t>Se registro una grieta de varios kilómetros de largo que en algunos puntos  alcanza los 4 metros de profundidad y 2 metros de ancho.  Se registraron 2 viviendas con daños en su estructura.</t>
  </si>
  <si>
    <t>San Cristobal</t>
  </si>
  <si>
    <t>Se registro un derrumbe en  los trabajos de reconstrucción de la carretera libre Tuxtla- San Cristóbal por tal incidente una persona perdió la vida al quedar sepultada por más de una tonelada y media de tierra.</t>
  </si>
  <si>
    <t>Santa María Chichotla</t>
  </si>
  <si>
    <t>Se registró un deslave en un cerro de dicho municipio, se reportan 11 personas sepultadas por el material.  Se recuperaron los cuerpos y se entregaron a familiasres.</t>
  </si>
  <si>
    <t>Se registró un deslizamiento de laderas en el cerro denominado Las Delicias. Se reportó la muerte de 4 personas, 3 menores de edad y un adulto.</t>
  </si>
  <si>
    <t>Mezquital</t>
  </si>
  <si>
    <t>Se registró un edslizamiento de laderas en el municipio antes mencionado, como resultado del fenómeno 10 personas perdieron la vida, 3 lesionados y 5 viviendas resultaron afectadas en su totalidad</t>
  </si>
  <si>
    <t>Chiconcuautla</t>
  </si>
  <si>
    <t>Se registró un deslizamiento de suelos en dónde tres viviendas resultaron dañadas en su estructura y otras 23 parcialmente afortunadamente no se presentaron daños humanos, sin embargo si fue necesaria la evacuación de 120 personas como medida preventiva.</t>
  </si>
  <si>
    <t>Juan R. Escudero</t>
  </si>
  <si>
    <t>Se registró un derrumbe sobre la carretera federal Tierra Colorada-Ayutla, se reportan 4 vehículos afectados, No hubo péridas humanas ni lesionados</t>
  </si>
  <si>
    <t>Talpa de Allende</t>
  </si>
  <si>
    <t>Se registro un deslizamiento de laderas en la Sierra Occidental del estado, como resultado del mismo 3 personas quedaron sepultadas y perdieron la vida.</t>
  </si>
  <si>
    <t>Se registró un derrumbe el cual sepultó a una persona de 68 años. Afortunadamente ésta no perdió la vida</t>
  </si>
  <si>
    <t xml:space="preserve">Se han presentado por lo menos  14 sismos, el más fuerte de 4.8 grados en la escala de Richter, se han evacuado algunas poblaciones por tal motivo. </t>
  </si>
  <si>
    <t>Se registró una explosión en las instalaciones de un ingenio azucarero, el accidente se registró cuando se realizaban trabajos de mantenimiento en las válvulas de vapor. Derivado de lo anterior se reportaron 9 personas lesionadas</t>
  </si>
  <si>
    <t>Zumpango</t>
  </si>
  <si>
    <t>Se registró la explosión de un polvorín  ocasionando la muerte de dos personas, una de estas era menor de edad.</t>
  </si>
  <si>
    <t>Se registró la explosión de un taller dedicado a la fabricación de artificios pirotécnicos. Debido a la explosión 3 personas perdieron la vida.</t>
  </si>
  <si>
    <t>San Juan Sabinas</t>
  </si>
  <si>
    <t xml:space="preserve">Se registró una explosión en una mina denominada "Pasta de Conchos" debido a la acumulación de gas metano lo que causó heridas a 11 personas y la muerte de 65 personas que quedaron atrapadas en la mina y un rescatista </t>
  </si>
  <si>
    <t>Santo Tomás Hueyotlipan</t>
  </si>
  <si>
    <t>Se registró la explosión de un taller clandestino de artificios pirotécnicos, debido a lo anterior se reporta la muerte de un menor de edad y una persona adulta lesionada.</t>
  </si>
  <si>
    <t>Se registró unaa explosión en las instalaciones de una empresa se desconoce la causa del incidente, sin embargo se reportan 3 personas lesionadas.</t>
  </si>
  <si>
    <t>Atlautla</t>
  </si>
  <si>
    <t>Se registró una explosión de varios cohetones a bordo de una camioneta que transportaba los artefactos. Como resultado del siniestro 4 personas perdieron la vida y 7 personas resultaron lesionadas.</t>
  </si>
  <si>
    <t>Abasolo</t>
  </si>
  <si>
    <t>Se registró una explosión en un polvorín clandestino, se reportó una persona menor de edad fallecida y otra herida.</t>
  </si>
  <si>
    <t>Se registró una explosión en un café bar ubicado en la zona de polanco, el incidente se originó en la cocina, afortunadamente no se reportan perosnas afectadas.</t>
  </si>
  <si>
    <t>Frontera</t>
  </si>
  <si>
    <t>Se registro una explosión en la zona industrial, se desconoce la causa de la misma. Se reportó una persona lesionada</t>
  </si>
  <si>
    <t>Se registró una fuerte explosión de pólvora en una bodega legal de juegos pirotécnicos construida de ladrillo y techos de lámina. Una persona resultó lesionada</t>
  </si>
  <si>
    <t>Acambaro</t>
  </si>
  <si>
    <t>Se registró una explosión de pirotécnia en una vivienda, se reportan 4 personas lesionadas.</t>
  </si>
  <si>
    <t xml:space="preserve">Se registró una explosión de artificios pirotécnicos en un taller clandestino ocasionando la muerte de 1 persona, lesionando a 7 más y causando daños a 10 viviendas, ya que en un cuarto se almacenaban cientos de kilos de pólvora. </t>
  </si>
  <si>
    <t>Villa Grande</t>
  </si>
  <si>
    <t>Se registró la explosión de un polvorín clandestino, en el incidente una persona resulto lesionada</t>
  </si>
  <si>
    <t>Tonalá</t>
  </si>
  <si>
    <t>Se registro un explosi´n en un domicilio, se desconocen las causas de la misma. Derivado de lo anterior se reportan 2 personas muertas y 8 heridas.</t>
  </si>
  <si>
    <t>Múzquiz</t>
  </si>
  <si>
    <t>Se presentó un flamazo en una mina de carbón ocasionando lesiones a 7 personas.</t>
  </si>
  <si>
    <t>Se registró una explosión de artificios pirotécnicos en el poblado de San Pedro Jictepec, en el festejo de la fiesta patronal. Se reportan 25 personas lesionadas.</t>
  </si>
  <si>
    <t>Santa María El Tule</t>
  </si>
  <si>
    <t>Se registró la explosión de un polvorín clandestino, como resltado de la explosión 2 personas murieron y 1 se reportó lesionada.</t>
  </si>
  <si>
    <t>Se registró la explosón de una alcantarilla en donde una persona perdió la vida. Se atribuye la explosión a una fuga de gas combinada con un corto circuito.</t>
  </si>
  <si>
    <t>Los Reyes La Paz</t>
  </si>
  <si>
    <t>Se registró una explosión de artificios pirotécnicos en la catedral de dicho municipio. Por tal motivo 6 personas presentaron lesiones.</t>
  </si>
  <si>
    <t>Se registró una explosión por acumulación de gas natural en una vivienda abandonada. Se reportan daños a 5 viviendas, 2 vehíclos y 8 personas lesionadas.</t>
  </si>
  <si>
    <t>Se reportó la explosión de un polvorín en la cabecera municipal como consecuencia se reportan 3 personas lesionadas</t>
  </si>
  <si>
    <t>Se reportó la explosión de un polvirín dejando lesionada a una persona</t>
  </si>
  <si>
    <t>Se registró la explisión de 12 polvorines, afortunadamente sólo una persona resulto lesionada y se registró la pérdida de un camión torton que quedó calcinado.</t>
  </si>
  <si>
    <t>Soledad de Graciano Sánchez</t>
  </si>
  <si>
    <t>Se reporta la explosión de una vivienda por acumulación de Gas LP, como resultado de incidente se reportan 3 personas lesionadas y la vivienda con daños parciales.</t>
  </si>
  <si>
    <t>Se registró la explosión de una pipa de gas cuando realizaban trabajos de reparación en un taller mecánico. Se reporta una persona lesionada y una muerta</t>
  </si>
  <si>
    <t>Se registró una explosión en una terminal marítima del municipio. Un buque tanque se encontraba en complejo petroquímico Pajaritos cargando combustible, la bomba fallo y una chispa ocasionó la explosión en la cual 7 personas perdieron la vida y 13 más resultaron lesionados</t>
  </si>
  <si>
    <t>Capuluac</t>
  </si>
  <si>
    <t>Se registro la explosión de un polvorín clandestino el cual ocasionó la muerte de 4  y lesiones 3 personas más.</t>
  </si>
  <si>
    <t>Ixmiquilpán</t>
  </si>
  <si>
    <t>Se reportó una explosió en un taller de artificios pirotécnicos en dónde resulto lesionada una persona</t>
  </si>
  <si>
    <t>Se registró la explosión de un polvorín se reportan dos personas lesionadas gravemente</t>
  </si>
  <si>
    <t xml:space="preserve">Se registró la explosión de una pipa de gas ocasionadno lesiones a una persona y a dos vehículos tipo Pick Up. </t>
  </si>
  <si>
    <t>Se registró la explosión de un polvorín, a consecuencia del fenómeno 2 personas perdieron la vida y una más resulto lesionada.</t>
  </si>
  <si>
    <t>Ixmiquilpan</t>
  </si>
  <si>
    <t xml:space="preserve">Se reportó el derrame de aproximadamente 13 mil litros de hipoclorito de sodio que se encontraban en un contenedor abandanado en una zona despoblada del municipio. El motivo del derrame fueron dos balazos que no se sabe quien realizó. </t>
  </si>
  <si>
    <t>Jacala de Ledesma</t>
  </si>
  <si>
    <t>Se presentó el derrame de 10 mil litros de gasolina al volcarse el tractocamión que lo transportaba. En el incidente una persona resultó lesionada.</t>
  </si>
  <si>
    <t>Las Choapas</t>
  </si>
  <si>
    <t>Se registró el derrame de aproximadamente 8 mil litros (50 barriles aprox)  de crudo debido proveniente de 2 tuberías de PEMEX.</t>
  </si>
  <si>
    <t>Sayula de Alemán</t>
  </si>
  <si>
    <t>Una toma clandestina provocó el derrame de 2,066 barriles de petróleo en el municipio mencionado. Ya se realizaron las labores de saneamiento y recuperación de la zona afectada.</t>
  </si>
  <si>
    <t>Se registró el derrame de 20 mil litros de Diesel al volcarse un trailer que transportaba 2 contenedores. No se reportaron daños humanos.</t>
  </si>
  <si>
    <t>Se registró un derrame de gasoleo de aproximadamente 1 millon 500 mil litros, afectando 3 kilómetros a lo largo de la carretera Madero - Cadereyta.</t>
  </si>
  <si>
    <t>Se registró un derrame de amoniaco en una empresa de hielo, se reportan 8 personas intoxicadas y la evacuación de 64 personas que trabajan en la empresa o que se encontraban cerca del lugar. La cantidad derramada fue de entre 10 y 15 litros</t>
  </si>
  <si>
    <t>Se reportó el derrame de 3 barriles de crudo en un oleoducto fuera de operación. El derrame se debió a la ruptura de un empaque de la válvula.</t>
  </si>
  <si>
    <t>Se presentó un derrame de un frasco que contenía alfanatol en el laboratorío de salud pública. Derivado de lo anterior 5 personas resultaron lesionadas.</t>
  </si>
  <si>
    <t>Se registró el derrame de combustoleo de un contenedor en la administración portuaria. El derrame fue de aproximadamente 600 litros.</t>
  </si>
  <si>
    <t>Se registró derrame de combustoleo de una pipa que transportaba 25 mil litros. Fueron 18 mil los litros derramados.</t>
  </si>
  <si>
    <t>Se registró una fuga de vapor en una planta del complejo petroquímico "La Cangrejera", debido a lo anterior dos personas perdieron la vida.</t>
  </si>
  <si>
    <t>Se reportó una fuga de gas cloro en el pozo os pilares desconociendose la cantidad derramada. Una menor resultó herida por intoxicación.</t>
  </si>
  <si>
    <t>Se registró una fuga de gas natural, debido a lo anterior se evacuó como medida preventiva a 450 personas.</t>
  </si>
  <si>
    <t>Cunduacán</t>
  </si>
  <si>
    <t>Se reporto una fuga de crudo la cual afectó 1.2 hectáreas de cultivos. Se desconoce la cantidad derramada</t>
  </si>
  <si>
    <t>Jalapa</t>
  </si>
  <si>
    <t>Se registró una fuga de petróleo crudo, se estimó que el derrame fue de aproximadamente 40 barriles. No se reportan personas afectadas.</t>
  </si>
  <si>
    <t>Escuinapa</t>
  </si>
  <si>
    <t>Se registró una fuga de amoniaco en los sistemas de refrigeración de una empresa empacadora de mangos. Por tal motivo se evacuó a un total de 250 personas, de las cuales 4 presentaron intoxicación y fueron trasladadas al hospital.</t>
  </si>
  <si>
    <t>Navolato</t>
  </si>
  <si>
    <t>Se registró una fuga de amoniaco de una pipa que transportaba 38 mil litros del producto. Por tal motivo se evacuó a 1,500 personas. Se desconoce la cantidad derramada. Así mismo se reporta la muerte de una persona por intoxicación y 58 bomberos lesionados por inhalar los vapores del producto</t>
  </si>
  <si>
    <t>Se registró una fuga de gas en una escuela secundaria, como medida preventiva se evacuó a 30 personas y se presento ligera intoxicación de 20 menores</t>
  </si>
  <si>
    <t>Se registró un fuerte incendio en el interior de una fábrica de lácteos. Como medida preventiva se evacuó a 100 personas que habitaban cerca del inmueble. Se consumieron 1,500 m2 y los muebles de la fábrica.</t>
  </si>
  <si>
    <t>Se registró un incendio urbano en dicho municipio, debido al incendio se vieron afectadas 15 viviendas y 29 lotes.</t>
  </si>
  <si>
    <t>Se registró un incendio en una planta recicladora de plásticos, como resultado del incendio se reportaron dos personas lesionadas y pérdida total de la planta.</t>
  </si>
  <si>
    <t>Salinas Victoria</t>
  </si>
  <si>
    <t>Se registró un incendio en una bodega de tarimas por lo que fue necesaria la evacuación de toda una manzana. Se reportan dos personas intoxicadas.</t>
  </si>
  <si>
    <t>Colipa</t>
  </si>
  <si>
    <t>Se registró un incendio en una vivienda construida de adobe, paja y lámina de cartón. El sineistro fue originado por una veladora. Dentro de la vivienda se encontraban 8 menores de edad, de los cuales fallecieron 6 y 2 más presentaron lesiones.</t>
  </si>
  <si>
    <t>Se registró un flamazo en en una empresa dedicada a la elaboración de cartuchos para tiendas deportivas. El flamazo se originó por un corto circuito y que alcanzó 200 cubetas de pólvora de 20 kg cada una aprox. Se reportaron daños en el techo de la empresa construido con láminas de asbesto.</t>
  </si>
  <si>
    <t>Ciudad Reynosa</t>
  </si>
  <si>
    <t>Se registró un incendio en una maquiladore textil, no se reportaron daños humanos.</t>
  </si>
  <si>
    <t xml:space="preserve">Se registró un incendio en un fraccionamiento irregular en donde se vieron afectadas 60 viviendas de material endeble , se evacuó a 260 personas aproximadamente, instalando 2 refugios temporales en donde se atendió a 62 personas. </t>
  </si>
  <si>
    <t>Se registró el incendio de un edificio de 11 niveles en donde resultaron afectados 7 de los mismos. Como resultado de este incidente 2 personas presentaron quemaduras de primero y segundo grado y otra persona más fue atendida por crisis nerviosa. 3 familias fueron evacuadas.</t>
  </si>
  <si>
    <t>7 niveles de un edificio</t>
  </si>
  <si>
    <t>Kanasin</t>
  </si>
  <si>
    <t xml:space="preserve">Se registró un incendio en la colonia Xtepen, se reportan 35 personas con lesiones leves, principalmente por intoxicación. </t>
  </si>
  <si>
    <t>Se registró un incendio en una bodega con madera y fibra de vidrio viendose afectada un área de 300 m2.</t>
  </si>
  <si>
    <t>Se presentó un incendio en el tiradero del bordo de xochiaca, se reportan 4 personas intoxicadas durante el combate al incendio.</t>
  </si>
  <si>
    <t>Torreón</t>
  </si>
  <si>
    <t>Se registro un incendio originado por un corto circuito el cual arrasó con 120 viviendas construidas con material endeble en una zona irregular. Se reportan 5 personas lesionadas por quemaduras de primero y segundo grado, intoxicación y crisis nerviosa. Se instaló un refugio temporal en donde se apoyo a 50 personas. Las familias damnificadas fueron apoyadas con láminas de cartón.</t>
  </si>
  <si>
    <t>Se registró un pequeño incendio en la cocina de un restaurante de mariscos ubicado en Avenida de la paz, como medida preventiva se evacuó a 60 personas que se encontraban dentro del inmueble.</t>
  </si>
  <si>
    <t>Se registro un incendio en una casa habitación, como resultado del mismo 3 menores de edad perdieron la vida.</t>
  </si>
  <si>
    <t xml:space="preserve">Se registró un incendio en la tienda de autoservicio "Comercial Mexicana" Se evacuó a 350 personas aproximadamente y se reportaron 4 bomberos intoxicados. </t>
  </si>
  <si>
    <t>Se registró un incendio al interior de una empresa, afectando el área de repartición y parte del almacén, así mismo, se registro la pérdida total de un contenedor para transportar 45 mil kg. De cereal. Y daños en una camioneta.</t>
  </si>
  <si>
    <t>Se registró un incendio en una bodega donde almacenaban plásticos, se reportan 3 personas lesionadas por intoxicación.</t>
  </si>
  <si>
    <t>Zacapú</t>
  </si>
  <si>
    <t>Se registró un flamazo en un taller que se encontraba al interior de una gasolinera. En el taller se encontraba una pipa con capacidad para 43 mil litros, la cual se utilizaba para la transportación de Alcohol etílico a la que le estaban dando mantenimiento pero al soldar, se registro un flamazo por el proceso de gasificación, ocasionando la muerte de un trabajador del taller y lesiones graves al chofer.</t>
  </si>
  <si>
    <t>Se registró un incendio en una bodega de tarimas afectandose todo el inmueble, de igual forma, se registró la afectación de un cuarto de cocina donde se registró el desfogue de un tanque estacionario de  mil kilos, una persona resulto lesionada.</t>
  </si>
  <si>
    <t>Se registró la explosión de artificios pirotécnicos, se reportan 25 personas lesionadas.</t>
  </si>
  <si>
    <t>Se registró un incendio en un mercado, viendose afectados tres locales de abarrotes, se desconoce la causa del siniestro. No se reportan personas lesionadas.</t>
  </si>
  <si>
    <t>Se registró un incendio urbano en una fábrica de plásticos, en el incidente 11 personas resultaron intoxicadas, así mismo se evacuó a 50 familias que viven cerca de la zona afectrada.</t>
  </si>
  <si>
    <t>Se registro un incendio al interior de una empresa de filtros y lubricantes se evacuaron 160 personas, se reportan 2 personas heridas por intoxicación</t>
  </si>
  <si>
    <t>Se registró un incendio urbano en el mercado municipal, causando lesiones a 4 personas</t>
  </si>
  <si>
    <t>Se registró un incendio en 8 bodegas con contenido diverso. En el fenómeno resultaron 11 bomberos lesionados.</t>
  </si>
  <si>
    <t>Se registró un incendio urbano consumiendo 7 viviendas en su totalidad en el siniestro se reportan 2 bomberos intoxicados.</t>
  </si>
  <si>
    <t>Se registró un incendio urbano en un asilo de ancianos, como consecuencia del siniestro 3 personas perdieron la vida y una más resulto lesionada.</t>
  </si>
  <si>
    <t>Se registraron varios incendios forestales en todo el estado ocasionando la pérdida de superficie vegetal. Principalmente arbustos, pastizales y matorrales.</t>
  </si>
  <si>
    <t>Se registró la volcadura de una pipa que transportaba 40 mil litros de ácido sulfúrico en el percance se presnetó un ligero derrame de aproximadamente 250 litros del producto. Como resultado del percance una persona perdió la vida.</t>
  </si>
  <si>
    <t>Ocotlán</t>
  </si>
  <si>
    <t>Se registró el choque de una pipa con un vehículo particula. La pipa transportaba 45 mil litros de combustoleo, el accidente provocó daños a las valvulas del contenedor por lo que se registro derrame total del contenido se reporta una persona lesionada.</t>
  </si>
  <si>
    <t>Nextlalpan</t>
  </si>
  <si>
    <t>Se registró la volcadura de 3 furgones que transportaban arena que fue derramada sobre la carretera, motivo por el cual se interrumpió la circulación por 7 horas.</t>
  </si>
  <si>
    <t>Ramos Arizpe</t>
  </si>
  <si>
    <t>Se reportó el desplome de una avioneta tipo CESSNA se reportan 3 personas heridas con quemaduras en 60% de su cuerpo y en vías respiratorias.</t>
  </si>
  <si>
    <t>Se registró la volcadura de un autobús de pasajeros en la carretera federal número 57. Como resultado del percance 17 personas resultaron lesionadas.</t>
  </si>
  <si>
    <t>Se registró la volcadura de un auto tanque que transportaba 42,200 litros de turbosina la cual se derramó en su totalidad. Se reportó una persona lesionada</t>
  </si>
  <si>
    <t xml:space="preserve">Se registró un accidente carretero de 2 camionetas tipo Pick-Up en el Km. 114 de la carretera Victoria - Matamoros al impactarse de frente las mismas explotaron quedando calcinados los 12 tripulantes </t>
  </si>
  <si>
    <t>Se registró el impacto de un vehículo particular, un autobús de pasajeros y una pipa que transportaba asfalto. Como resultado del percance se reportan 9 personas fallecidas y 10 heridos.</t>
  </si>
  <si>
    <t>Amacueca</t>
  </si>
  <si>
    <t>Se registro el descarrilamiento de un tren, como resultado del accidente 1 persona perdió la vida y otra más resulto herida.</t>
  </si>
  <si>
    <t>Se registró un accidente de una camioneta que se precipitó a la presa denominada "La Concepción" se informó que 7 personas perdieron la vida y 4 resultaron heridos.</t>
  </si>
  <si>
    <t>Se reporto la volcadura de una pipa que transportaba gasolina en el percance se registró la explosión del combustible . Una persona resultó lesionada.</t>
  </si>
  <si>
    <t>Se registró la volcadura de un autobús de pasajeros el cual se precipitó a una profundidad de 50 metros. Como consecuencia del percance murió una persona y 11 más presentaron lesiones.</t>
  </si>
  <si>
    <t>Se registró la volcadura de un autobús de pasajeros, como resultado del percance se reportan 25 personas fallecidas y 15 lesionados.</t>
  </si>
  <si>
    <t>Se registró el choque de un autobús foraneo contra un tracto camión con capacidad para 11 mil litros de ácido fosfórico, produciendose derrame del material. Como resultado del incidente una persona perdió la vida.</t>
  </si>
  <si>
    <t>Francisco I. Madero</t>
  </si>
  <si>
    <t>Se registró la volcadura de un autobús de pasajeros resultando 47 personas lesionadas.</t>
  </si>
  <si>
    <t>Se registró un accidente de un camión de carga contra 18 vehículos ya que el camión se quedó sin frenos. Se reportan 7 personas lesionadas.</t>
  </si>
  <si>
    <t>Valle de Santiago</t>
  </si>
  <si>
    <t>Se registró un choque m´ltiple por alcance e incendio entre tres automóviles. Como resultado se reportaron 5 personas muertas y 2 lesionadas.</t>
  </si>
  <si>
    <t>Debido a una falla eléctrica se vieron afectadas las operaciones del Aeropuerto Internacional de la Ciudad de México. 32 vuelos fueron desviados a otros aeropuertos.</t>
  </si>
  <si>
    <t>Se registró un accidente entre un automóvil y un autobús de pasajeros en donde resultaron heridas 20 personas y una más perdió la vida.</t>
  </si>
  <si>
    <t>Se registró un fuerte accidente entre 2 autobuses de pasajeros y un trailer, se reportan 4 personas fallecidas y 66 heridos. El chofer del trailer se dio a la fuga.</t>
  </si>
  <si>
    <t>Chinameca</t>
  </si>
  <si>
    <t>Se presentó el descarrilamiento de 6 furgones. En el convoy viajaban cerca de 200 indocumentados centroamericanos. Como resultado del accidente 1 persona perdió la vida y 2 más resultaron heridas.</t>
  </si>
  <si>
    <t>Se registro la volcadura de un camión de pasajeros en el cual 16 personas resultaron con lesiones.</t>
  </si>
  <si>
    <t>Se registro un choque de un autobús por falla mecánica (falla en los frenos), como resultado del incidente 11 personas resultaron heridas.</t>
  </si>
  <si>
    <t>Se registró un accidente carretero entre un automóvil particular y una pipa. No se presento ningún derrame, sin embargo 2 personas perdieron la vida en el incidente.</t>
  </si>
  <si>
    <t>Se registró el desplome de un helicóptero en la zona de polanco, como resultado del incidente 8 personas sufrieron lesiones, entre los cuales se encontraba Jorge Valdano.</t>
  </si>
  <si>
    <t>Se registró el deplome de una avioneta tipo CESSNA, los dos tripulantes perdieron la vida.</t>
  </si>
  <si>
    <t>Mar adentro (no aplica)</t>
  </si>
  <si>
    <t>Se registró el hundimiento del buque denominado "Orion" a 315 millas naúticas de la costa. El buque transportaba 950 toneladas de combustible, 15% Diesel y 85% combustóleo. No se presentó derrame. Se reportan 5 personas heridas y 3 desaparecidos</t>
  </si>
  <si>
    <t>Se registró un accidente en la autopista México-Pachuca por exceso de velocidad, lo que ocasionó la volcadura de un autobús de pasajeros, como resultado del incidente 6 personas perdieron la vida y 26 más presentaron lesiones.</t>
  </si>
  <si>
    <t>Se registró la volcadura de un tracto tanque que transportaba 70 mil litros de gasolina, únuicamente se derramó la cantidad de 20 litros. No se reportan lesionados</t>
  </si>
  <si>
    <t>Quechultenango</t>
  </si>
  <si>
    <t>Se registró el impacto de una camioneta contra un camión repartidor de agua, derivado del accidente se reportó una persona muerta y 12 lesionadas.</t>
  </si>
  <si>
    <t>Arriaga</t>
  </si>
  <si>
    <t>Se presentó un fuerte accidente entre dos camiones torton (uno cargado de plátanos y el otro sin carga) y un autobús de pasajeros en donde viajaban alrededor de 29 personas. Como resultado del percance 13 personas perdieron la vida y 23 más resultaron lesionadas.</t>
  </si>
  <si>
    <t>Armeria</t>
  </si>
  <si>
    <t>Se registro el choque entre un autobus de pasajeros y un trailer. En el accidente se reportaron 5 personas muertas y 21 lesionados.</t>
  </si>
  <si>
    <t>Mascota</t>
  </si>
  <si>
    <t>Se registró la volcadura de una camioneta en un barranco de aproximadamente 40 metros. Como resultado del incidente 5 personas murieron y 4 más sufrieron lesiones.</t>
  </si>
  <si>
    <t>Nacozari</t>
  </si>
  <si>
    <t>Se registró la volcadura de una pipa que trasportaba 21 mil litros de ácido sulfúrico, derramandose el producto en su totalidad sobre la carpeta asfáltica y un pequeño arroto. Se reporta una persona lesionada.</t>
  </si>
  <si>
    <t>Se registró el desplome de un helicóptero de Protecci´n Civil se reportan 3 personas lesionadas.</t>
  </si>
  <si>
    <t xml:space="preserve">Explosión </t>
  </si>
  <si>
    <t>Petatlán</t>
  </si>
  <si>
    <t>Una granada de fragmentación explotó en un bar que se encontraba instalado dentro de las instalaciones de la feria de Petatlán. La onda expansiva del ataque abarcó un radio de 10 metros. Como resultado de este ataque 2 personas perdieron la vida y 17 más resultaron lesionadas.</t>
  </si>
  <si>
    <t>Gustavo A. Madero e Iztapalapa</t>
  </si>
  <si>
    <t>Se montó un operativo de despliegue estratégico con motivo de las 163 representaciones de la pasión de cristo con motivo de las festividades de semana santa. Se estimó la participación de aproximadamente 2 millones de personas.</t>
  </si>
  <si>
    <t>Maltrata</t>
  </si>
  <si>
    <t>Se registró la volcadura de un camión de pasajeros en la carretera México - Veracruz en la zona conocida como cumbres de maltrata. Se reportan 57 personas muertas y 3 lesionadas. El autobús iba con sobrecupo.</t>
  </si>
  <si>
    <t>Se registro el impacto de 2 trailers de los cuales 1 transportaba 85 personas de origen guatemalteco y ecuatoriano, resultando 8 personas muertas y 15 lesionadas.</t>
  </si>
  <si>
    <t>Diversas delegaciones</t>
  </si>
  <si>
    <t>Se registraron diversas manifestaciones en diferentes puntos de la ciudad se estimó que las peronas que se manifestaron eran cerca de 6 mil. Se interrumpió el tránsito vehícular en algunas zonas de la ciudad.</t>
  </si>
  <si>
    <t>Cuahtemoc</t>
  </si>
  <si>
    <t>Se registraron varias concentraciones masivas de población con motivo del Día del Trabajo y en solidaridad con los migrantes mexicanos por lo que se vió afectada la circulación en la zona centro de la ciudad de México</t>
  </si>
  <si>
    <t>Se registró la volcadura de una pipa en la delegación coyoacán, la pipa transportaba gas, por lo que se evaucó a algunas familias. Como resultado del incidente se reportaron 2 personas lesionadas.</t>
  </si>
  <si>
    <t>Se registró un choque por alcance entre un tracto camión contra una camioneta. En el percance se reporta un menor fallecido y 10 personas lesionadas.</t>
  </si>
  <si>
    <t>San Salvador Atenco</t>
  </si>
  <si>
    <t>Se presentó una concentración masiva de población en San Salvador Atenco en donde se registraron brotes de violencia entre granaderos y la población manifestante. Como resultado de estos brotes de violencia 41 personas resultaron lesionadas y 2 más perdieron la vida. Además se levantaron demandas contra algunos granaderos y polícias por abuso de auoridad y vejaciones.</t>
  </si>
  <si>
    <t>Cerritos</t>
  </si>
  <si>
    <t>Se registró un accidente en el cual un autobús de pasajeros se salió de la carretera tras la ponchadura de un neumático, impactandose contra un cerro.  Se reportaron 26 personas muertas y 18 lesionadas</t>
  </si>
  <si>
    <t>Ahogamiento</t>
  </si>
  <si>
    <t>Jojutla</t>
  </si>
  <si>
    <t xml:space="preserve">Se reportó el fallecimiento de una persona a consecuencia de asfixia por inmersión. </t>
  </si>
  <si>
    <t>Colón</t>
  </si>
  <si>
    <t>Se registró el impacto de un tractocamión con un auto particular,  en el accidente se reportan 7 personas fallecidas y 2 heridos.</t>
  </si>
  <si>
    <t>Se registró un accidente en una mina al soltarse el carrito transportador, ocasionando un pequeño derrumbe que sepultó a una persona y ocasionó heridas a 4 más.</t>
  </si>
  <si>
    <t>Yuriria</t>
  </si>
  <si>
    <t>Se registró la volcadura de un autobús de pasajeros con 42 personas abordo. Con motivo del accidente una persona perdió la vida y 41 resultaron heridas.</t>
  </si>
  <si>
    <t>Caída de barda</t>
  </si>
  <si>
    <t>Se registró el desprendimiento de una marquesina que se encontraba en mal estado, esta cayó sobre 3 personas causando lesiones.</t>
  </si>
  <si>
    <t>Se registró el desplome de un helicóptero de la AFI , derivado del cual 3 personas perdieron la vida.</t>
  </si>
  <si>
    <t>Se registró la volcadura de un trailer que transportaba  80 toneladas de impermeabilizante en polvo y encostalado. No se reportan daños humanos</t>
  </si>
  <si>
    <t>Se registró la volcadura de un trailer que transportaba aceite comestible, por dicho accidente se registró un incendio sin repercusiones mayores. Una persona resultó lesionada.</t>
  </si>
  <si>
    <t>Hundimiento</t>
  </si>
  <si>
    <t>Se detectó una hoquedad en una sección del lago de Clapultepec con una dimensión de 15 metros lineales por 8 de ancho, resultando afectado el lago, ya que se filtraron 50 mil metros cúbicos de agua. Gran parte de la fauna fue rescatado, sin embargo algunas carpas murieron en el translado. Los daños se estimaron en más de 23 millones y contemplan la reparación del interceptor poniente, los estudios, el proyecto de rehabilitación del tanque y las obras de recuperación y obturación de la oquedad</t>
  </si>
  <si>
    <t>Ocuilan</t>
  </si>
  <si>
    <t>Se registró el desplome de una avioneta tipo CESSNA, en el incidente los dos tripulantes perdieron la vida.</t>
  </si>
  <si>
    <t>Jocotitlán</t>
  </si>
  <si>
    <t>Se registró el desplome de una avioneta tipo CESSNA 310, los 4 tripulantes perdieron la vida en el incidente.</t>
  </si>
  <si>
    <t>Se registro un choque entre un autobus escolar y un autobús de transporte público. Se reportan 20 personas lesionadas.</t>
  </si>
  <si>
    <t>Se registró la volcadura de una pipa a un río. La pipa transportaba 25 mil litros del ácido sulfúrico, se derramó todo el producto. No se reportan personas lesionadas.</t>
  </si>
  <si>
    <t>Se registró una concentración masiva de población en el zócalo capitalino concocada por AMLO.</t>
  </si>
  <si>
    <t>Tepic</t>
  </si>
  <si>
    <t>Se registró el desplome de una avioneta tipo CESNA en donde viajaban 4 menores de edad y el piloto, todos perdieron la vida.</t>
  </si>
  <si>
    <t>Ocoyoacac</t>
  </si>
  <si>
    <t>Se registró un deslizamiento de laderas en la autopista México-Toluca  ocasionando lesiones a 8 personas</t>
  </si>
  <si>
    <t>Calpulalpan</t>
  </si>
  <si>
    <t>Se registró la volcadura de una pipa que transportaba amoniaco presentandose una ligera fuga por lo que se evacuó a los negocios cercanos.</t>
  </si>
  <si>
    <t>Se registró un accidente carretero en el cual se vio involucrado un autobús de pasajeros. Se reportan 25 personas lesionadas y 5 fallecidos entre los cuales se encuentra un menor de edad.</t>
  </si>
  <si>
    <t>Sinaloa de Leyva</t>
  </si>
  <si>
    <t>Una avioneta se impacto contra un cerro al intentar despegar, la avioneta se incendió y sus 6 tripulantes perdieron la vida.</t>
  </si>
  <si>
    <t>Tamazula de Gordiano</t>
  </si>
  <si>
    <t>Se registró la volcadura de un autobús de pasajeros reportandose 7 personas lesionadas.</t>
  </si>
  <si>
    <t>Se presentó una peregrinación proveniente de Querétaro hacia la Basílica de Guadalupe. La peregrinación constó de cerca de 130 mil personas.</t>
  </si>
  <si>
    <t>Miguel Hidalgo y Cuauhtemoc</t>
  </si>
  <si>
    <t>Se registró una gran concentración de población debido a la convocatoria hecha por AMLO para el conteo voto x voto. Se presentaron cierres en varias avenidas y calles de la ciudad de México. Se estimó que fueron más de 900 mil personas las que participaron en el acto.</t>
  </si>
  <si>
    <t>Xochitepec</t>
  </si>
  <si>
    <t>Se reportó la volcadura de un autobús de pasajeros ocasionada por el sobrecupo, como resultado del percance 2 personas perdieron la vida y 30 más sufrieron lesiones.</t>
  </si>
  <si>
    <t>Mazocahui</t>
  </si>
  <si>
    <t>Se registró la volcadura de un camión que trasportaba concentrado de cobre, se desconoce la cantidad derramada. Solo se reporto un lesionado leve.</t>
  </si>
  <si>
    <t>Julio R. Escudero</t>
  </si>
  <si>
    <t>Se registró la volcadura de un cami´n de pasajeros en el cual viajaban 41 personas, debido al incidente se reportó la muerte de 2 personas y 10 lesionados.</t>
  </si>
  <si>
    <t>Se registró la volcadura de una pipa que transportaba agua en la autopista del sol. Derivado de lo anterior se reporta la muerte de 3 personas y otras 3 lesionadas de trabajadores que realizaban trabajo de mantenimiento sobre la carpeta asfáltica.</t>
  </si>
  <si>
    <t>Yecapixtla</t>
  </si>
  <si>
    <t>Se registró un accidente carretero entre un camión de carga y una combi de transporte público. Derivado de lo anterior se reportan 3 personas muertas y 12 lesionados.</t>
  </si>
  <si>
    <t>Se registró otra concentración masiva de población con motivo de la marcha convocada por AMLO en donde participaron más de 1.2 millones de personas. Así mismo, se convocó a un plantón permanente en las calles de reforma, juárez y madero, por lo que estas se mantienen cerradas en una gran extensión</t>
  </si>
  <si>
    <t>Tecamac</t>
  </si>
  <si>
    <t>Se registró un accidente carretero entre una camioneta de traslado de valores y un autobús de pasajeros. Se reportaron 9 personas lesionadas</t>
  </si>
  <si>
    <t xml:space="preserve">Se registró el desplome de un helicóptero de seguridad pública del estado, al momento del accidente 4 tripulantes iban abordo. Sólo uno resulto lesionado de gravedad. </t>
  </si>
  <si>
    <t>Se registró la volcadura de un microbus en la carretera Tuxtla Gutiérrez-Ocozocoautla. Se reportan 3 personas fallecidas y 27 personas heridas.</t>
  </si>
  <si>
    <t>Se registró el derrumbe de una barda perimetral la cual sepulto a 4 personas, tres de ellas salieron con vida y la última falleció.</t>
  </si>
  <si>
    <t>Se registró un accidente carretero en el cual un autobús de pasajeros con sobrecupo se volcó. Se reportan 48 personas lesionadas</t>
  </si>
  <si>
    <t>Acultzingo</t>
  </si>
  <si>
    <t>Se registró un accidente ferroviario entre dos trenes que chocaron de frente, como consecuencia del percance 1 persona murió y 2 más resultaron heridos</t>
  </si>
  <si>
    <t>Se registró la volcadura de una pipa que transpotaba ácido sulfúrico, se presentó un derrame de 1000 litros.</t>
  </si>
  <si>
    <t>Xicotepec</t>
  </si>
  <si>
    <t>Se registró el deslizamiento de una ladera al pie de la carretera federal Huauchinango-Necaxa , provocando que el material del derrumbe cayera sobre una parada de autobús. Hasta el momento se reportan 4 muertos y 15 heridos.  Se reportan también varios vehículos afectados.</t>
  </si>
  <si>
    <t>Se registró un accidente ferroviario en el cual una persona perdió la vida y tres más resultaron heridas cuando se desbarrancó el tren en el que viajaban. El acceso a la Sierra por vía ferrea se suspendió.</t>
  </si>
  <si>
    <t xml:space="preserve">Accidente </t>
  </si>
  <si>
    <t>Cañom del Sumidero (Chiapa de Corzo)</t>
  </si>
  <si>
    <t>Se registró la muerte de una persona que participaba en un certámen de paracaidismo, el occiso salto de un acantilado de 900 metros de altura y su paracaidas no se abrió.</t>
  </si>
  <si>
    <t>Se registro un accidente entre dos autobuses de pasajeros, se reportan 25 personas lesionadas</t>
  </si>
  <si>
    <t xml:space="preserve">Se registró un accidente en la carretera en la cual una ambulancia y un autotanque choacaron, se reportan 2 personas lesionadas </t>
  </si>
  <si>
    <t>Ocosingo</t>
  </si>
  <si>
    <t>Al realizarse el tradicional desfile de la independencia un camión se quedó sin frenos se precipitó sobre uno de los contingentes, lesionando a 11 menores de edad. Afortunadamente no se presentó ningún deceso.</t>
  </si>
  <si>
    <t>Se registró el accindete de una avioneta tipo CESSNA la cual se estrelló contra un cerro cercano a la pista de aterrizaje, em el percance el piloto perdió la vida</t>
  </si>
  <si>
    <t>Se registró el deplome de una avioneta ultraligera resultando una persona lesionada</t>
  </si>
  <si>
    <t>Se reportó un accidente urbano en el municipio mencionado fueron 2 los autobuses urbanos que chocaron y se presentaron lesiones en 25 personas, así mismo se presentaron daños parciales en dos viviendas, ya que uno de los autobuses se impacto directamente contra estas.</t>
  </si>
  <si>
    <t>Se registró la volcadura de un autobus de pasajeros en la carretera Matamoros-Ciudad Victoria. En el accidente resultaron lesionadas 21 personas y 7 perdieron la vida.</t>
  </si>
  <si>
    <t>San Agustín Metzquitlán</t>
  </si>
  <si>
    <t>Un autotanque se volco derramando 32 mil litros de combustoleo aproximadamente. No se reportan personas lesionadas</t>
  </si>
  <si>
    <t>Se registró un accidente carretero entre un autobús de pasajeros y un trailer de doble remolque, el autobús se incendio y 13 personas perdieron la vida.</t>
  </si>
  <si>
    <t>Se registró la volcadura de un autobús de ´pasajeros se reportan 7 personas fallecidas</t>
  </si>
  <si>
    <t>Se registró la volcadura de una pipa que transportaba azufre se reporta la muerte de una persona y otra más intoxicada</t>
  </si>
  <si>
    <t>Debido al día de la virgen de Guadalupe se concentro una gran cantidad de población en la Basílica de Guadalupe. Debido a lo anterior se presentaron lesiones menores en 1,226 personas</t>
  </si>
  <si>
    <t>Miguel Auza</t>
  </si>
  <si>
    <t>Se registró la volcadura de un camión que transportaba sosa caustica. Debido a lo anterior una persona resulto lesionada</t>
  </si>
  <si>
    <t>Chetumal</t>
  </si>
  <si>
    <t>Se registró un accidente carretero entre un autobús turístico y una combi de pasajeros, como resultado del percance se reportan 8 personas fallecidas y 20 heridos.</t>
  </si>
  <si>
    <t>Se registró un accidente urbano en el cual un microbús impactó a un triler, como consecuencia del percance 15 personas resultaron lesionadas</t>
  </si>
  <si>
    <t>Se registró el desplome de un avioneta afortunadamente no se presentaron daños humanos</t>
  </si>
  <si>
    <t>Se registró un accidente carretero en el cual se reportaron 26 personas lesionadas</t>
  </si>
  <si>
    <t>Se registró la volcadura de un microbus en el cual 17 personas resultaron lesionadas.</t>
  </si>
  <si>
    <t>Se registró un accidente entre una pipa que transportaba 20 mil litros de gasolina y un tren. Se presentó derrame del producto.</t>
  </si>
  <si>
    <t>Santo Domingo Tehuantepec</t>
  </si>
  <si>
    <t>Se registró un accidente de transporte entre una pipa que transportaba 60 mil litros de gasolina y un tren, los hechos ocurrieron por la imprudencia del chofer, ya que le quizó ganar el paso al tren. Como resultado del accindete se presentó una explosión y un incendio. Se reporta una persona fallecida y 2 más heridas.</t>
  </si>
  <si>
    <t>Se registró el impacto de un camión torton contra dos automóviles particlares, como resultado del percance 2 personas perdieron la vida y 2 más resultaron lesionadas</t>
  </si>
  <si>
    <t>Se registró el hundimiento de un buque por fallas mecánicas. No se reportan personas lesionadas.</t>
  </si>
  <si>
    <t>Se registró la volcadura de un camión cisterna se reportó el derrame de 44 mil litros de turbosina , así mismo se registró una persona lesionada</t>
  </si>
  <si>
    <t>San Felipe del Progreso</t>
  </si>
  <si>
    <t>Se sucitó un accidente en la carretera a San Pedro el Alto, en donde una peregrinación que se dirigá a la Basílica de Guadalupe fue arrollada por un conductor en estado de ebriedad se reportan 2 personas fallecidas y 4 heridos.</t>
  </si>
  <si>
    <t>Se presentó un accidente en el cual se vió involucrada una pipa de gas con 12,500 litros, presentando fuga del producto e incendio. Como resultado del incidente se reportaron 6 personas lesionadas</t>
  </si>
  <si>
    <t>Se registró un accidente carretero entre un autobús de pasajeros y un trailer, el accidente se registró en la comunidad de Guayaquil en el percance 8 personas perdieron la vida y 14 más resulataron heridas.</t>
  </si>
  <si>
    <t>Se registró un accidente entre un autobús de pasajeros y un tren como resultado del accidente 22 personas perdieron la vida y 9 se reportan lesionadas</t>
  </si>
  <si>
    <t>Epidemia</t>
  </si>
  <si>
    <t>Coscomatepec</t>
  </si>
  <si>
    <t>Se registró un brote epidémico de rotavirus que se debió al consumo de agua contaminada con heces fecales. Las instacias estatales y municipales tomaron el control de la comunidad y llevaron a cabo las acciones correspondientes. Se repartieron 5 toneladas de cal entre la población se aplicó cloro y plata coloidal a fuentes de agua potable. De igual forma se entregaron algunas despensas y cobertores. Como resultado del rotavirus 7 menores perdieron la vida. Se repartieron 3,235 sobres de SVO y se atendieron cuadros diarréicos por parte de la SSA. Se atendieron 95 pacientes menores de 5 años que presentaban cuadros diarréicos. Además se repartieron 100 garrafones de agua potable.</t>
  </si>
  <si>
    <t xml:space="preserve">Se registró el fallecimiento de 6 personas y 4 más resultaron heridas debido a inhalación de vapor tóxico, posiblemente metano, al realizar el mantenimiento de un pozo. </t>
  </si>
  <si>
    <t>Se reportó la intoxicación de 30 personas por plaguicidas sipermetrina, algunos pacientes quedaron inconcientes, afortunadamente no se presentó ningún fallecimiento.</t>
  </si>
  <si>
    <t>Teziutlán, Zacatlán y Huejotzingo</t>
  </si>
  <si>
    <t>En diversos hospitales de los municipios mencionados se presentaron personas intoxicadas por el consumo de hongos venenosos.</t>
  </si>
  <si>
    <t>Se reportaron 31 menores intoxicados por inhalación de gas LP</t>
  </si>
  <si>
    <t>Santiago Comotlán</t>
  </si>
  <si>
    <t>Se registro una tormenta con fuertes vientos en la comunidad de Santiago Yogoveo en el municipio mencionado anteriormente, como resultado se vieron afectadas totalmente 20 viviendas de material endeble, las autoridades de Protección Civil apoyaron con 150 colchonetas y 300 pacas de láminas de cartón.</t>
  </si>
  <si>
    <t>Veracruz y Medellin</t>
  </si>
  <si>
    <t>Se registró una fuerte lluvia con fuertes vientos que ocasionó la caída de varios árboles, anuncios espectaculares y algunos cables de energía eléctrica. Así mismo, se reportaron daños a 4 viviendas y 2 personas lesionadas.</t>
  </si>
  <si>
    <t>Centro, Teapa, Tacotalpa y Tabasco</t>
  </si>
  <si>
    <t>Se registró una fuerte lluvia afectando un total de 169 viviendas, se activaron 2 refugios temporales y se brindo el apoyo correspondiente a las familias afectadas.</t>
  </si>
  <si>
    <t>Juárez, Pichucalco y Palenque</t>
  </si>
  <si>
    <t>Debido a las fuertes lluvias registradas se presentaron afectaciones en 29 viviendas con daño menor.  Se reporto el incremento en el cause de varios ríos.</t>
  </si>
  <si>
    <t>Centro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</si>
  <si>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calculó el monto real de la pérdida de acuerdo información de los anuarios agricolas.}</t>
  </si>
  <si>
    <t>Municipios del Valle de Oaxaca</t>
  </si>
  <si>
    <t>Se registraron fuertes lluvias acompañadas de fuertes vientos, ocasionando daños en  2 viviendas, aunque el fenómeno ocasionó algunos encharcamientos en los municipios del valle.</t>
  </si>
  <si>
    <t>Apan, Almoloya y Tepeapulco</t>
  </si>
  <si>
    <t xml:space="preserve">Se registró una fuerte lluvia con granizo, afectando a 30 viviendas en sus techos en el municipio de Apan, y otras 15 con pérdida total en el de Tepeapulco así como el auditorio ejidal de dicho municipio. Así mismo, se registraron varias hectáreas siniestradas en el municipio de Almoloya. En total se reportaron 180 personas afectadas. </t>
  </si>
  <si>
    <t>Holpelchen</t>
  </si>
  <si>
    <t>Se registro una intensa lluvia con ligera presencia de granizo que afectó las techumbres de 21 viviendas. No se presentaron daños humanos.</t>
  </si>
  <si>
    <t>Alpatlahuac, Calcahualco, La Perla, Los Reyes, Rafael Delgado, Atlahuilco, Texhuacan, Soledad Atzompa, Zongolica y Tequila.</t>
  </si>
  <si>
    <t>Debido a las fuertes lluvias presentadas, se reportan daños en los techos de 4,572 viviendas, así mismo se reportaron afectaciones en 9 escuelas. En total fueron 78 las comunidades afectadas. Y 100 hectáreas de cultivos (Maíz en su mayoría).</t>
  </si>
  <si>
    <t>Ciudad Serdán y Cañada de Morelos</t>
  </si>
  <si>
    <t>Debido a las fuertes lluvias acompañadas de granizo se presentaron daños en los techos de 46 viviendas, siendo el municipio más afectado Ciudad Serdán. No se reportaron daños humanos.</t>
  </si>
  <si>
    <t>Jilotepec</t>
  </si>
  <si>
    <t>Se registró una fuerte lluvia que causó afectaciones en los techos de 17 viviendas, los damnificados fueron apoyados con despensas, cobijas, colchonetas y láminas de cartón.</t>
  </si>
  <si>
    <t>Se registraron fuertes lluvias en dicho municipio afectando 20 viviendas con daño menor de colonias cercanas al Río Coatán.  Se realizó la evacuación de 8 familias.</t>
  </si>
  <si>
    <t>Coyutla, Papantla, Tezonapa, Fortín, Zongolica y Cacahualco</t>
  </si>
  <si>
    <t>Se registró una fuerte lluvia acompañada de fuertes vientos y granizo, por tal motivo se presentaron afectaciones menores en 1,817 viviendas, 75 personas se encuentran refugiadas, así mismo se registraron 4 postes caídos, un transformador, una tubería hidráulica rota, desprendimiento del domo central del palacio municipal de Fortín y 200 has. de cultivo afectadas (Maíz en su mayoría).</t>
  </si>
  <si>
    <t>Frontera Hidalgo</t>
  </si>
  <si>
    <t>Se registraron afectaciones a 9 viviendas debido a las intensas lluvias registradas. Los daños fueron menores con ligeros encharcamientos.</t>
  </si>
  <si>
    <t>Se registraron fuertes lluvias acompañadas de tormenta eléctrica. Un rayo impactó a una vivienda de material endeble y ocasionó la muerte de un adulto y dos menores de edad.</t>
  </si>
  <si>
    <t>Contla</t>
  </si>
  <si>
    <t>Se registraron fuertes lluvias acompañadas de granizo, por lo que resultaron dañadas parcialmente 14 viviendas y 70 personas resultaron afectadas</t>
  </si>
  <si>
    <t>Se registraron fuertes lluvias con granizo ocasionando lesiones leves a 3 personas</t>
  </si>
  <si>
    <t>Se reportó el desplome de una vivienda de material endeble la familia afectada fue trasladada a un refugio temporal y se le brindó apoyo con material para reconstruir su vivienda.</t>
  </si>
  <si>
    <t>Se registraron fuertes lluvias, una persona  perdió la vida al ser impactada por un rayo.</t>
  </si>
  <si>
    <t>Debido a la intensa lluvia  se registraron daños en 13 viviendas, así como el fallecimiento de una persona por impacto de rayo. A las personas afectadas se les apoyo con cobertores, colchonetas y láminas de cartón.</t>
  </si>
  <si>
    <t>Axtla de Terrazas, Río Verde, Tamazunchale, Huehuetlan, Huichihuayan y Aquismón</t>
  </si>
  <si>
    <t>Debido a las fuertes lluvias registradas se presentaron daños en 233 viviendas, 10 de estas presentaron daño total y el resto daño parcial.  Así mismo, se presentaron daños en 1 jardín de niños. Se apoyo a la población damnificada con cobertores, colchonetas, láminas de cartón y despensas.</t>
  </si>
  <si>
    <t>Chapulhuacan, Pisaflores, Lolotla, Agua Blanca, Tlanchinol, Jacala, Molango y Calnali.</t>
  </si>
  <si>
    <t>Debido a las fuertes lluvias en los municipios mencioandos se presentaron daños en 116 viviendas, 2 iglesias y una biblioteca. Se apoyo a la población con despensas, láminas de cartón y colchonetas.  Los daños en las viviendas fueron parciales.</t>
  </si>
  <si>
    <t>Se registraron fuertes lluvias en varios municipios del estado causando daños menores a 3439viviendas y 600 hectáreas afectadas de plátano y 10 de maíz. Así mismo se reportan daños en 10 escuelas y 2 negocios.</t>
  </si>
  <si>
    <t>Centro Cárdenas y Cunduacan</t>
  </si>
  <si>
    <t>Debido a las fuertes lluvias se presentaron las siguientes afectaciones: En el municipio de Cáredenas una embarcación menor se hundió en la laguna del carmén causando la muerte a 5 personas, así mismo 1 persona más falleció al caerle una barda encima. En el municipio de Centro se reporto la muerte de 2 personas y 3 más lesionadas al caer un árbol sobre el vehículo que manejaban. Por último en el muncipio de Cunduacan se reportaron daños en 300 viviendas, en su mayoría parciales y 3 personas lesionadas. Se apoyó a las familias afectadas con 500 láminas de zonc, 50 colchonetas y 50 cobertores</t>
  </si>
  <si>
    <t>Se reportaron fuertes lluvias en la ciudad ocasionado daños mneores a 10 viviendas del estado</t>
  </si>
  <si>
    <t>Debido a las fuertes lluvias registradas se presentó el colapso de un puente provisional, la corriente del arroyo Filapa socavó los costados del mismo. Hay otro camino por el cual accesar a la localidad, por lo que no quedó aislada.</t>
  </si>
  <si>
    <t>Villacomaltitlán</t>
  </si>
  <si>
    <t>A consecuencia de las fuertes lluvias registradas en el municipio el río Vado Ancho incremento su nivel, dañando un muro de contención (bordo) a la altura de la ranchería del mismo nombre, así mismo se registraron daños parciales en la estructura de un puente.</t>
  </si>
  <si>
    <t>Debido a las fuertes lluvias registradas se presnetaron afectaciones en 4 viviendas por penetración de agua.</t>
  </si>
  <si>
    <t>Tenango de Rodríguez</t>
  </si>
  <si>
    <t>Se registró una fuerte lluvia acompañada de granizo Se reportan afectaciones parciales, principalmente en los techos de 89 viviendas, así mismo se evacuó a 198 personas asentadas en lugares de riesgo.</t>
  </si>
  <si>
    <t>Fortín y San Andrés Tuxtla</t>
  </si>
  <si>
    <t>Se reportaron daños menores en 19 viviendas debido a las fuertes lluvias registradas.</t>
  </si>
  <si>
    <t>Se reportaron daños en las techumbres de 50 viviendas de material endeble ocasionados por las fuertes lluvias registradas en el municipio antes mencionado. Se apoyó a los afectados con despensas y láminas de cartón.</t>
  </si>
  <si>
    <t>Acapulco, Zihuatanejo y Chilpancingo</t>
  </si>
  <si>
    <t>Debido a las fuertes lluvias fue necesaria la evacuación de 58 habitantes de una colonia ubicada en zonas de peligro, así mismo, en el municipio de Chilpancingo se registraron daños en 4 viviendas, 3 con daños parciales y una con daño total, por lo que se evacuó a 20 personas. Y enZihuatanejo también se presentaron daños parciales en algunas viviendas</t>
  </si>
  <si>
    <t>Huixtla</t>
  </si>
  <si>
    <t>Debido a las fuertes lluvias registradas en el municipio, junto con los escurrimientos de las partes altas que ocasionaron que el río Huixtla se saliera de su cause se vió afectado un dique, la estructura de un puente y daños menores en 31 viviendas.</t>
  </si>
  <si>
    <t>Se presentó una fuerte lluvia acompañada de granizo, la cual afectó a un total de 15 viviendas de material endeble en sus techos.  Se habilitó un refugio temporal en donde pasaron la noche 75 personas, así mismo, se apoyó a la población afectada con despensas, láminas de cartón y cobertores.</t>
  </si>
  <si>
    <t>Se registraron fuertes lluvias acompañadas de fuertes vientos.  Un total de 653 viviendas sufrieron daños y se reportaron 5 personas lesionadas. Se apoyo a la población damnificada con 900 láminas, 394 despensas, y ropa.</t>
  </si>
  <si>
    <t>Guadalajara, Puerto Vallarta, Tlaquepaque y Zapopan</t>
  </si>
  <si>
    <t>Debido a las fuertes lluvias presentadas en los municipios mencionados se reportaron 50 viviendas afectadas parcialmente.</t>
  </si>
  <si>
    <t>Tatahuicapan</t>
  </si>
  <si>
    <t>Se registraron afectaciones en 430 viviendas por penetración de agua, lo anterior debido a las fuertes lluvias registradas que originaron el desbordamiento de un arroyo.</t>
  </si>
  <si>
    <t>Se registraron fuertes lluvias las cuales afectaron un total de 140 viviendas en sus techos. Se apoyo a la población afectada con láminas de cartón.</t>
  </si>
  <si>
    <t xml:space="preserve">Se registraron afectaciones en 10891 viviendas de diversos municipios debido a las fuertes lluvias registradas en el estado. Daños a 5 puentes. Se instalaron varios refugios temporales brindando el apoyo correspondiente. </t>
  </si>
  <si>
    <t>Nopalucan, Coronango, Cuautlancingo e Izucar de Matamoros</t>
  </si>
  <si>
    <t>Se registro una lluvia fuerte con granizo afectando un total de 1,025 viviendas, el municipio más afectado fue el de Izucar de Matamoros.</t>
  </si>
  <si>
    <t>Almoloya de Alquisiras</t>
  </si>
  <si>
    <t>Debido a las fuertes lluvias registradas se reportaron daños en 200 viviendas por penetración de agua, afectando enseres domésticos y 30 vehículos.  Se brindó apoyo a la población afectada con 1,248 cobertores, 1,248 colchonetas, 324 despensas y 2,480 láminas de cartón, beneficiando a un total de 2.040 personas.</t>
  </si>
  <si>
    <t>Zitlalpétl</t>
  </si>
  <si>
    <t>Se registraron fuertes lluvias acompañadas de granizo, lo que ocasionó daños a 25 viviendas. Se apoyó a las personas afectadas con láminas de cartón, cobjias y colchonetas.</t>
  </si>
  <si>
    <t>Se registró una ruptura en los bordos del río Ameca ocasionando afectaciones a 2 hectáreas de cultivo (Maíz). Se colocaron costaleras en 20 metros lineales para evitar que se siguiera vertiendo el agua.</t>
  </si>
  <si>
    <t>Se registraron daños por fuertes lluvias en 374 viviendas por penetración de agua, aprox. 1 metro, por lo que se reportaron daños en enseres. Tambi´ne se vieron afectadas 2 escuelas y un automóvil. 1 persona murio.</t>
  </si>
  <si>
    <t>San Pedro</t>
  </si>
  <si>
    <t>Se registraron fuertes lluvias, lo que ocasionó enchanrcamientos en algunas calles. Se reportó el arrastre de 5 menores de edad por la corriente del arroyo seco. 3 de los menores lograron salir ilesos, uno más fue encontrado herido y otro falleció.</t>
  </si>
  <si>
    <t xml:space="preserve">Ciudad Juárez </t>
  </si>
  <si>
    <t xml:space="preserve">Se presentó una fuerte lluvia que afectó al municipio, se presentaron daños en 2704 viviendas, se habilitaron refugios temporales. Se reportan 4 personas fallecidas,  se han recuperado los cuerpos de un menor de edad, una mujer y un hombre. </t>
  </si>
  <si>
    <t>Apodaca</t>
  </si>
  <si>
    <t>Se registró el arrastre de una persona en el canal pluvial conocido como arroyo conductores. La persona fue encontrada muerta.</t>
  </si>
  <si>
    <t>Se registró una fuerte lluvia en la zona metropolitana de la entidad, lo que ocasionó que se desbordara el Arroyo "Seco" la fuerza de la corriente arrastró a una persona de 46 años. Así mismo, se reportan daños menores y de menaje en 123 viviendas.</t>
  </si>
  <si>
    <t>Pajapán, Mecayápan, san Andrés Tuxtla, Playa Vicente, Isla, José Azueta, Ángel R. Cabada, Tlacojalpan, Tlacotalpan, Carlos A Carrillo, Chacaltianguis, Alvarado, Veracruz y Boca del Río</t>
  </si>
  <si>
    <t>Se registraron fuertes lluvias en gran parte del estado, se reportan 2 personas heridas y un muerto</t>
  </si>
  <si>
    <t>Se registró el fallecimiento de un elemento de la policía al intentar cruzar un arroyo en una unidad, la cual fue arrastrada con la persona abordo.</t>
  </si>
  <si>
    <t>Debido a las fuertes lluvias se registro la muerte de un menor de edad al ser arrastrado por la corriente de un cauce.</t>
  </si>
  <si>
    <t>Huasabas</t>
  </si>
  <si>
    <t xml:space="preserve">Se registró una fuerte lluvia ocasionando daños a los techos de 9 viviendas. </t>
  </si>
  <si>
    <t>Cacahuatán y Tuxtla Chico</t>
  </si>
  <si>
    <t>Debido a la fuerte lluvia registrada se presentaron afectaciones en 36 viviendas del municipio de Cacahuatán, 4 con daño total y el resto con afectaciones en los techos. En el municipio de Tuxtla Chico se registró la caída de varios árboles, afectando el servicio de energía eléctrica por algunas horas.</t>
  </si>
  <si>
    <t>Se registró una fuerte lluvia ocasionando daños en 23 viviendas por penetración de agua y daños en los techos, el tirante del agua alcanzó los 60 cm, por lo que causó daños al menaje de las familias.  De igual forma, se presentó la caída de varios árboles, afectando algunos cables de energía eléctrica, por lo que el servicio se vió suspendido unas horas.</t>
  </si>
  <si>
    <t>Se registró una fuerte lluvia en el municipio afectando a 10 colonias con encharcamiento leves. No se reportaron daños mayores.</t>
  </si>
  <si>
    <t>Se registraron lluvias de 25 milímetros aproximadamente, acompañadas de fuertes vientos y granizo, como resultado de lo anterior se reportaron daños en los techos de 13 viviendas. Se apoyó a las familias afectadas con láminas de cartón, cobijas y despensas.</t>
  </si>
  <si>
    <t>Bochil y Jitotol</t>
  </si>
  <si>
    <t xml:space="preserve">Debido a las fuertes lluvias registradas, se reportaron afectaciones en 12 viviendas del municipio de Bochil, los daños fueron menores y hubo afectación a enseres domésticos. Por otro lado, 2 personas perdieron la vida al intentar cruzar un vado, siendo arrastrados por la corriente. Dos personas fueron rescatadas, sin embargo 2 perdieron la vida. </t>
  </si>
  <si>
    <t>Zapopan, Guadalajara, Tlaquepaque, Tlajomulco y Tonalá</t>
  </si>
  <si>
    <t>Debido a las fuertes lluvias se presentaron afectaciones en 91 viviendas  y se registro la muerte de una persona que prusumiblemente fue arrastrada por la corriente.</t>
  </si>
  <si>
    <t>Veracruz, Boca del Río, Carlos A. Carrillo y Tatahuicapan</t>
  </si>
  <si>
    <t>Debido al paso de la onda tropical número 17 se reportan 119 viviendas afectadas, 3 puentes y 2 vados. Se instalaron 7 refugios temporales en donde se atendió a 280 personas aproximadamente. Las población afectada se estimó en 1350 personas.</t>
  </si>
  <si>
    <t>Se presentó una fuerte lluvia en dicho municipio, causando afectaciones en 42 viviendas, 12 con daño total y 30 de manera parcial. Se brindó el apoyo correspondiente a la población afectada.</t>
  </si>
  <si>
    <t>Azoyú</t>
  </si>
  <si>
    <t xml:space="preserve">Se registró una fuerte lluvia en el municipio mencionado, ocasionando que el nivel del Río denominado "Los Novios" aumentara su nivel. Se registró la muerte de 2 personas debido a la imprudencia de un taxista que intentó cruzar el Río y fue arrastrado con sus dos pasajeros menores de edad 16 y 9 años. El taxista sobrevivió pero se dió a la fuga. </t>
  </si>
  <si>
    <t>Margaritas y Reforma</t>
  </si>
  <si>
    <t xml:space="preserve">Debido a las fuertes lluvias se presentaron afectaciones en 4 viviendas del municipio de Reforma y 16 más en el municipio de las Margaritas con tirantes de 50 cm. Por lo que aparte del daño menor se presentaron afectaciones al menaje de las familias afectadas. Se habilitaron 2 refugios temporales en donde se apoyó a 100 personas con la ayuda correspondiente. </t>
  </si>
  <si>
    <t>Totolapan</t>
  </si>
  <si>
    <t>Se registró una fuerte lluvia en la entidad, lo que ocasionó que el arroyo denominado "Barranquilla" se desbordara, causando afectaciones qa 50 viviendas de la colonia Centro. La penetración del agua en las viviendas superó el metro de altura, ocasionando daños al menaje de las familias afectadas.</t>
  </si>
  <si>
    <t>Los Cabos</t>
  </si>
  <si>
    <t>Se registraron fuertes lluvias a consecuencia de la Tormenta Tropical "Emilia", se presentaron algunas afectaciones ligeras en viviendas, se instalaron 2 refugios temporales en donde se atendió a 200 personas.</t>
  </si>
  <si>
    <t>Debido a las fuertes lluvias se derrumbó una barda y cayó sobre 5 personas, causando la muerte de 2 y lesiones a las otras 3 personas.</t>
  </si>
  <si>
    <t>Se registraron fuertes lluvias que ocasionaron la creciente de un arroyo el cual arrastró un vehículo que intentó cruzarlo. Los dos tripulantes perdieron la vida.</t>
  </si>
  <si>
    <t>Praxedis</t>
  </si>
  <si>
    <t>Se registró una fuerte lluvia en el municipio, por este motivo, 30 viviendas sufrieron afectaciones, 20 de manera parcial y 10 con daños menores. De igual forma se reportan daño en la barda perimetral de una escuela con una longitud de 50 metros.</t>
  </si>
  <si>
    <t>Guasave</t>
  </si>
  <si>
    <t>Debido a las fuertes lluvias registradas en la entidad 29 viviendas sufrieron daños menores por penetración de agua con un tirante de hasta 1 metro, se reportan afectaciones al menaje de las familias. Fue necesario implementar un refugio temporal. Se apoyó a la población con colchonetas y cobertores.</t>
  </si>
  <si>
    <t>Arcelia</t>
  </si>
  <si>
    <t>Debido a las fuertes lluvias registradas en el municipio antes mencionado se reportan daños parciales en 18 viviendas, además se evacuó a 32 personas.</t>
  </si>
  <si>
    <t>Tepechitlán</t>
  </si>
  <si>
    <t>Se reportó el fallecimiento de una persona de la tercera edad al ser arrastrado por la creciente de un arroyo.</t>
  </si>
  <si>
    <t>Tlaxcala y Acuitlapilco</t>
  </si>
  <si>
    <t>Debido a las fuertes lluvias en dichos municipios se reportaron afectaciones en 5 viviendas, una gasolinera y una tienda.</t>
  </si>
  <si>
    <t>Debido a las fuertes lluvias se reportaron  30 casas afectradas con daños menores</t>
  </si>
  <si>
    <t>Ignacio Zaragoza</t>
  </si>
  <si>
    <t>Se reportó la muerte de una persona al ser arrastrado por la corriente producto de las lluvias que se presentaron en dicho municipio</t>
  </si>
  <si>
    <t>Toluca, Otzolotepec, Nocolás Romero, Xonacatlán, Temoaya, Ocoyoacac, Tenancingo, Jiquipilco, San Mateo Atenco, Ixtlahuaca</t>
  </si>
  <si>
    <t>Debido a las fuertes lluvas registradas en el estado se presentaron afectaciones en 546 viviendas. Se apoyó a la población afectada con 1,142 cobertores, 1,535 despensas, 260 fardos de lámina, 1,284 colchonetas y 312 botellas de agua potable</t>
  </si>
  <si>
    <t>Zapopan y Tlaquepaque</t>
  </si>
  <si>
    <t>Se reportaron fuertes lluvias en los municipios mencionados, se reportan 13 viviendas afectadas.</t>
  </si>
  <si>
    <t>Debido a las fuertes lluvias se registró el fallecimiento de 2 personas  que fueron arrastradas por la corriente de un río crecido</t>
  </si>
  <si>
    <t>Huejotzingo</t>
  </si>
  <si>
    <t>Debido a las fuertes lluvias registradas en el municipio antes mencionado se presnetaron daños en 10 viviendas.</t>
  </si>
  <si>
    <t>Parras de la Fuente</t>
  </si>
  <si>
    <t>Se registraron fuertes lluvias en el municipio antes mencionado, se reportan daños menores en 500 viviendas y la muerte de una persona adulta que fue arrastrada por la corriente.</t>
  </si>
  <si>
    <t>Se registró el fallecimiento de una persona al nadar en el mar  que tenia oleaje fuerte a consecuencia del huracán Ileana.</t>
  </si>
  <si>
    <t xml:space="preserve">Chignahupan, San Nicolás Buenos Aires, Tlatlauquitepec, Zautla, </t>
  </si>
  <si>
    <t>Se registraron fuertes lluvias que afectaron a productores de maíz y frijol. Fueron 3,691 los productores afectados, y la superficie afectada fue de 7,671.73 hectáreas.</t>
  </si>
  <si>
    <t xml:space="preserve">Se registró una fuerte lluvia ocasionando daños menores en 77 viviendas de la colonia Mariano Abasolo </t>
  </si>
  <si>
    <t>Se reportó el fallecimiento de un menor al ser arrastrado por la corriente de un arroyo crecido a causa de las fuertes lluvias.</t>
  </si>
  <si>
    <t>Se reporta el fallecimiento de un miembro de la policía y la desaparación de otro al ser arrastrados por una crecida en la corriente del canal</t>
  </si>
  <si>
    <t>Debido a los remanentes del Huracán John se presentaron fuertes lluvias en el municipio antes mencionado, sólo se reportan dos viviendas con daños menores.</t>
  </si>
  <si>
    <t>Coyuca de Benítez, Metlatonoc, Malinaltepec, Zapotitlán, Chochoapa el Grande, Acatepec y Iliatenco</t>
  </si>
  <si>
    <t>Debido a las fuertes lluvias ocasioanadas por los remanentes del ciclón tropical "John" se presentaron afectaciones el el sector agrícola, específicamente se vieron afectados 3.316 productores de maíz. 3.453 hectáreas afectadas.</t>
  </si>
  <si>
    <t>Comondú, La Paz, Loreto, Mulege y Los Cabos</t>
  </si>
  <si>
    <t>Se registraron varios daños a consecuencia del Huracán "John". Se realizó una evaluación a detalle por parte del CENAPRED que cuantificó los daños en cerca de 1000 millones de pesos.</t>
  </si>
  <si>
    <t>Guerrero, Temosachi y Matachi</t>
  </si>
  <si>
    <t>Se presentaron lluvias torrenciales en el estado afectando a productores de maíz. En total fueron 1054 los productores afectados</t>
  </si>
  <si>
    <t>Tlaltizapan, Cuernavaca, Cuautla, Tepozotlán y Yautepec</t>
  </si>
  <si>
    <t>Se registraron fuertes lluvas en el estado causando daños  a 80 viviendas, 20 con daños parciales y el resto menores</t>
  </si>
  <si>
    <t>Ruíz</t>
  </si>
  <si>
    <t>Se presentaron fuertes lluvias en el municipio ocasionando el colapso del techo de una vivienda. A consecuencia de los hechos una mujer de 80 años perdió la vida.</t>
  </si>
  <si>
    <t xml:space="preserve">Se registraron fuertes lluvias en el municipio de Ecatepec, por tal motivo se vieron afectadas 94 viviendas </t>
  </si>
  <si>
    <t>Se presento un fuerte lluvia lo que ocasionó que se desbordara el río Guanajuato . Como resultado del fenómeno una persona perdió la vida.</t>
  </si>
  <si>
    <t>Debido a las fuertes lluvias registradas en el municipio de Monterrey se reportó el arrastre de un vehículo en el que viajaban 4 personas. Los cuerpos fueron entregados a sus familiares, las 4 personas fallecieron.</t>
  </si>
  <si>
    <t>Simón Bolivar</t>
  </si>
  <si>
    <t>Se registraron fuertes lluvias en el municipio antes mencionado, como resultado  20 viviendas se vieron afectadas.  Así mismo se reportó una persona muerta.</t>
  </si>
  <si>
    <t>Acapulco, Marquelia y Heliodor Castillo</t>
  </si>
  <si>
    <t>Debido a las fuertes lluvias presentadas en el estado se presentó la caída de varios árboles, daños en 102viviendas, así mismo se reportó el naufragio de 1 embarcación, rescatando a tres de los tripulantes, una persona continua desaparecida  y una persona se reporta fallecida. Una escuela también presento daños</t>
  </si>
  <si>
    <t>Tierra Blanca y Xichu</t>
  </si>
  <si>
    <t>Debido a las fuertes lluvias se presnetaron afectaciones menores en 5 viviendas</t>
  </si>
  <si>
    <t>Alfajayucan</t>
  </si>
  <si>
    <t>Se registraron fuertes lluvias en dicho municipio lo que provocó que se desbordara el arroyo denominado "Del Centro" ocasionado daños a 7 vehículos y varias viviendas. 2 se reubicaran.</t>
  </si>
  <si>
    <t>Armería, Colima, Comala, Coquimatlán, Cuauhtémoc, Ixtlahuacan, Manzanillo, Minatitlán, Tecomán, y Villa de Álvarez</t>
  </si>
  <si>
    <t>Debido a los efectos del huracán "Lane" en el estado se presentaron afectaciones en diferentes sectores de la población, por lo que el CENAPRED organizó una misión de evaluación para evaluar el impacto. La población afectada directamente fue de 210 personas, sin embargo miles de personas fueron afectadas indirectamente al verse afectada severamente la infraestructura carretera.</t>
  </si>
  <si>
    <t>Acaponeta y San Pedro</t>
  </si>
  <si>
    <t>A consecuencia de las lluvias provocadas por el huracán "Lane" se evacuó a 97 personas como medida preventiva.</t>
  </si>
  <si>
    <t>Concordia, Cosalá, Culiacán, Escuinapa, Elota, Mazatlán, Rosario, San Ignacio, Salvador Alvarado y Navolato</t>
  </si>
  <si>
    <t>Debido a l impacto del huracán "Lane" en el estado el CENAPRED realizó una misión de evaluación. Los daños fueron diversos y sin duda este fenómeno fue el de mayor impacto en el 2006. La población afectada se obtuvo de la estimación del Comité de Evaluación de Daños</t>
  </si>
  <si>
    <t>Autlán de Navarro, Casimiro Castillo, Cihuatlán, Cuutitlán de García Barragán, La Huerta, Villa Purificación, Cabo Corrientes, Puerto Vallarta, Tomatlán, Mascota, Talpa de Allende y San Sebastián del Oeste</t>
  </si>
  <si>
    <t>Debido a os efectos del huracán "Lane" se presentaron afectaciones en varios municipios del estado, por lo que se rastreo información de diferentes medios para poder estimar el monto de daños ocasionadoso porel fenómeno.</t>
  </si>
  <si>
    <t>Guanacevi</t>
  </si>
  <si>
    <t>Se registró el fallecimiento de una persona al intentar cruzar un arroyo a caballo que fue arrastrado debido a las fuertes lluvias que dejo el huracán "Lane"</t>
  </si>
  <si>
    <t>Villa de Arriaga, Villa de Reyes, San Luis Potosí, y Soledad de Graciano Sánchez</t>
  </si>
  <si>
    <t>Se registraron fuertes lluvias en varios municipios del estado, se reporta una persona fallecida y tres heridas</t>
  </si>
  <si>
    <t>Reynosa y Río Bravo</t>
  </si>
  <si>
    <t>Se registraron fuertes lluvias en los municipios mencionados, se declararon como zona de desastre ambos municipios, por lo que el CENAPRED organizó una misión de evaluación para cuantificar los daños ocasionados por el fenómeno. La población afectada se obtuvo de información proporcionada por los municipios</t>
  </si>
  <si>
    <t>Otaez</t>
  </si>
  <si>
    <t>Se registraron fuertes lluvias en el municipio antes mencionado ocasionando un desgajamiento de cerro, debido a lo anterior 6 personas perdieron la vida y 2 más resultaron lesionadas, así mismo 2 viviendas resultaron con daño total</t>
  </si>
  <si>
    <t>Guanajuato, León y San Diego de la Unión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</si>
  <si>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</si>
  <si>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más se encuentra desaparecida.</t>
  </si>
  <si>
    <t>Se reportan daños en 7,104 viviendas a consecuencia de las intensas lluvias así mismo se reportan 5 personas fallecidas</t>
  </si>
  <si>
    <t>Apaseo el Grande, Salamanca y Salvatierra</t>
  </si>
  <si>
    <t xml:space="preserve">Debido a las fuertes lluvias 5 viviendas fueron afectadas y sufrieron anegaciones. </t>
  </si>
  <si>
    <t>Magdalena Contreras y Tlalpan</t>
  </si>
  <si>
    <t>Debido a las fuertes lluvias registradas en la capital  se evacuó a 8 familias por encontrarse en zona de riesgo.</t>
  </si>
  <si>
    <t>Palenque y Chapultenango</t>
  </si>
  <si>
    <t>Debido a las fuertes lluvias registradas  se reportaron 5 viviendas con daño parcial, así 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</si>
  <si>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</si>
  <si>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más afectado. Así mismo, se instalaron varios refugios temporales en donde se brindó apoyo a la población afectada</t>
  </si>
  <si>
    <t>Aguascalientes y Asientos</t>
  </si>
  <si>
    <t>Se registraron fuertes lluvias en el estado afectando varias colonias del municipio.  Se habilito un refugio temporal en donde se atendió a 22 personas. En total se reportaron 158 viviendas afectadas con daños menores.</t>
  </si>
  <si>
    <t>Chenalho y San Cristobal de las Casas</t>
  </si>
  <si>
    <t xml:space="preserve">Se registró una intensa lluvia en los municipios mencioandos, se reportó el fallecimiento de 9 personas y 3 más se reportaron con lesiones al desgajarse un cerro y sepultar a las personas. </t>
  </si>
  <si>
    <t>Se reportaron aproximadamente 15 colonias con inundaciones debido a las fuertes lluvias registradas en el municipio de Tijuana. Se reportan 5 viviendas con daño menor. Se reporta la muerte de una persona que trabajaba en una zanja al momento de que ocurrió el fenómeno.</t>
  </si>
  <si>
    <t>Jalcomulco, Pánuco, Coyutla, Álamo, Xico y Tuxpan</t>
  </si>
  <si>
    <t>Las fuertes lluvias han ocasionado severos daños en los municipios antes mencionados. Se reportan 2 personas muertas y 2526 viviendas afectadas</t>
  </si>
  <si>
    <t>Santiago Maravatío, Valle de santiago e Irapuato</t>
  </si>
  <si>
    <t>Se reportaron inundaciones en 6 viviendas los daños fueron menores</t>
  </si>
  <si>
    <t>Tonila, Tamazula, Quitupan y Atoyac</t>
  </si>
  <si>
    <t>Se registraron fuertes lluvias ocasionadas por la depresión tropical "Norman" ocasionando afectaciones en 18 viviendas</t>
  </si>
  <si>
    <t>Loreto y Villa García</t>
  </si>
  <si>
    <t>Se reportaron afectaciones menores en 26 viviendas debido a las fuertes lluvias y a que estas se encuentran dentro del cauce natural del río.</t>
  </si>
  <si>
    <t>Francisco Z Mena y Pantepec</t>
  </si>
  <si>
    <t>Debido a las fuertes lluvias se presnetaron daños menores en 218 viviendas, siendo el municipio de Francisco Z Mena el más afectado con 200 viviendas</t>
  </si>
  <si>
    <t>12 municipios</t>
  </si>
  <si>
    <t>Se registraron fuertes lluvias afectando un total de 1,153 viviendas y 2 escuelas</t>
  </si>
  <si>
    <t>Debido a las fuertes lluvias se reportaron varios deslaves en la autopista del sol, así mismo se reportan daños menores en 21 viviendas.</t>
  </si>
  <si>
    <t>Culiacán, Angostura, Badiraguato, Mocorito, Navolato y Salvador Alvarado</t>
  </si>
  <si>
    <t>Debido al impacto de la Tormenta Tropical "Paul" en los municipios antes mencionados, el CENAPRED realizó una misión de evaluación a dicho estado, recopilando información acerca de los principales daños ocasionados por el fenómeno. La población afectada se obtuvo de reportes del Comite de Evaluación de Daños</t>
  </si>
  <si>
    <t>Jerecuaro</t>
  </si>
  <si>
    <t>Debido a las fuertes lluvias registradas en el estado se presentaron daños menores en 7 viviendas del municipio antes mencionado</t>
  </si>
  <si>
    <t>Cardenas, Centla, Centro, Comacalco, Cunduacan, Huimanguillo, Jalapa, Jalapa de Méndez, Tlacotalpa y Teapa</t>
  </si>
  <si>
    <t>Debido a las lluvias se vieron afectados 8 municipios. Se instalaron 17 refugios temporales activos con 420 personas. Se presentaron daños en Vivienda, Caminos, infraestructura hidráulica y escuelas.</t>
  </si>
  <si>
    <t>Pichucalco, Juarez, Reforma y Salto de Agua</t>
  </si>
  <si>
    <t>Reportan afectaciones por penetracion de agua a viviendas, operando 2 refugios temporales con 94 personas, hay incomunicaciones por vias terrestres y daños en la infraestructura carretera. El FONDEN apoyó con 126.7 millones de pesos</t>
  </si>
  <si>
    <t xml:space="preserve">Las lluvias afectaron a 683 familias con penetracion de agua en sus viviendas se proporcionaron apoyos, con este reporte se cierra la emergencia. </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</si>
  <si>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</si>
  <si>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</si>
  <si>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Jose Maria Morelos</t>
  </si>
  <si>
    <t>Las afectaciones se debieron a la lluvia intensa que duro 10 horas aproximadamente. Se evacuaron 17 familias</t>
  </si>
  <si>
    <t>Fue evacuada preventivamente una familia, misma que regreso el dia de hoy a su vivienda. Dos personas desaparecidas. 5 vivienas presentaron afectaciones menores.</t>
  </si>
  <si>
    <t>Las lluvias afectaron varias colonias que se anegaron por basura en los registros de desagüe. Se informa de inundaciones a nivel pati, siendo afectadas 38 colonias</t>
  </si>
  <si>
    <t>Mante, Altamira y Gonzales</t>
  </si>
  <si>
    <t>Se informa de una tromba afectando  a viviendas en sus trechos. No se reportan afectaciones  humanas</t>
  </si>
  <si>
    <t>San Juan del Rio, Ezequiel Montes y Cadereita</t>
  </si>
  <si>
    <t>Se proporciono apoyo de colchonetas y cobijas, se continua con la valoracion de las afectaciones</t>
  </si>
  <si>
    <t>Calcahualco, Alpatlahuac, Tenampa, Cosautlan de Carvajal, Ixhuacan de los Reyes y Tlaltetela</t>
  </si>
  <si>
    <t>Se registraron fuertes lluvias con granizo, afectando viviendas y areas de cultivo, asi como fallas en la energia electrica</t>
  </si>
  <si>
    <t>Se informa de fuertes lluvias, vientos y granizadas, afectando 5 viviendas y 2 vehículos</t>
  </si>
  <si>
    <t>Zacatelco, Tetlatlahualca, Texoloc, Santa Cruz Quiletla, Tlaxcala, Teolocholco, Zacualpan, Tepeyanco y Panotla</t>
  </si>
  <si>
    <t xml:space="preserve">Se reportan fuertes lluvias y granizadas, se registra afecciones en  techos y encharcamientos </t>
  </si>
  <si>
    <t>San Juan Juquila Vijanos</t>
  </si>
  <si>
    <t>Se reportan fuertes lluvias y granizo afectando dos comn. Se realizan recorridos de evaluacion de daños</t>
  </si>
  <si>
    <t>Mecatlan, Coyutlan, Coahuitlan y Zozocolco de Hidalgo</t>
  </si>
  <si>
    <t>Se registraron fuertes lluvias y vientos afectando en su mayoria a techos de material endeble</t>
  </si>
  <si>
    <t>Cuetzalan, Huehuetla, Jopala, Teziutlan, Tepeaca, Oriental</t>
  </si>
  <si>
    <t>Se informa de Fuertes lluvias, vientos y granizadas, se realizan recorridos de evaluacion de daños</t>
  </si>
  <si>
    <t>Castaños, Monclova, Nadadores Piedras Negras, Ocampo</t>
  </si>
  <si>
    <t>Se informa que el rayo les callo cuando circulaban a bordo de su motocicleta ocacionando 1 muerto y 1 lesionado</t>
  </si>
  <si>
    <t>Muzquiz, Nadadores, Sabinas y San Juan de Sabinas</t>
  </si>
  <si>
    <t>Se registran afectaciones por desbordamiento de arroyos y un deslave de 30 Mts. de largo</t>
  </si>
  <si>
    <t>De 180 a 200 viviendas con penetracion de agua y lodo, por lluvia y granizo</t>
  </si>
  <si>
    <t>Acuña</t>
  </si>
  <si>
    <t>Se evacuaron 37 personas al refugio temporal, en el gimnasio Municipal, a las 08:00 hrs. de hoy retornaron a sus viviendas. 3 Viviendas afectadas en sus techos y otras con penetracion de agua</t>
  </si>
  <si>
    <t>Castaños</t>
  </si>
  <si>
    <t>Las lluvias y granizada afectaron los techos de las viviendas, se les proporciono apoyo.</t>
  </si>
  <si>
    <t>Othon P. Blanco</t>
  </si>
  <si>
    <t>Debido a los remanentes nubosos de “Barbara” una fuerte lluvia afecto a 60 viviendas con penetracion de agua con tirantes de hasta 60 cm</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</si>
  <si>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</si>
  <si>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Juárez, Tuxtla Chico, Metapa, Suchiate, Acacoyahua, Escuintla y Huixtla.  Tuzantanafectando a diversos sectores</t>
  </si>
  <si>
    <t>San Luis Potosi y Soledad de Graciano Sanchez</t>
  </si>
  <si>
    <t xml:space="preserve">Se informa de lluvias acompañadas de granizo, afectando varias colonias. Asi se reporta la caida de arboles. No se reportan daños humanos  </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</si>
  <si>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</si>
  <si>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</si>
  <si>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</si>
  <si>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penetración de agua en varias viviendas</t>
  </si>
  <si>
    <t>Progreso de Zamora</t>
  </si>
  <si>
    <t>Se informa que, debido a las fuertes lluvias, se proporciono ayuda consistente en laminas de carton  a las personas afectadas. Regresando estas a sus domicilios</t>
  </si>
  <si>
    <t>Se informa de Lluvias fuertes que afectaron diversas colonias, evacuando a la poblacion a un refugio temporal, al cual solo asistieron 16 personas</t>
  </si>
  <si>
    <t>Cañada de Morelos</t>
  </si>
  <si>
    <t>Se reportan afectaciones menores a 25 viviendas. No se reportan afectaciones humanas</t>
  </si>
  <si>
    <t>Cd. Altamirano</t>
  </si>
  <si>
    <t xml:space="preserve">Se informa de fuertes lluvias afectando 15 viviendas de 4 colonias, no se reportan afectaciones mayores </t>
  </si>
  <si>
    <t>Valle de Santiago y Abasolo</t>
  </si>
  <si>
    <t>Las penetraciones de agua fueron leves no se reportan daños humanos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</si>
  <si>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</si>
  <si>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</si>
  <si>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</si>
  <si>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</si>
  <si>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</si>
  <si>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</si>
  <si>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</si>
  <si>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</si>
  <si>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</si>
  <si>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San Nicolas, Monterrey, Santa Catarina, Los Herrera, Cerralvo, Agualeguas, Los Aldama, Dr. Coss, Melchor Ocampo, Mina, China, General Bravo, Sabinas Hidalgo y Escobedo</t>
  </si>
  <si>
    <t>Entre los meses de mayo a julio el estado de Nuevo León fue declarado en desastre en tres ocasiones, por lo que el CENAPRED realizó una misión de evaluación al estado con el fin de conocer los daños registrados</t>
  </si>
  <si>
    <t>San Juan Atenco y Acatlan</t>
  </si>
  <si>
    <t>Se reportan lluvias y granizo con un tirante de 60 Cm. aproximadamente y afectaciones a techos de material endeble, se proporcionaron apoyo de cobijas y colchonetas</t>
  </si>
  <si>
    <t>Jose Sixto Verduzco</t>
  </si>
  <si>
    <t>Se registraron inundaciones en el municipio mencionado, causando daños a varios cultivos. El FAPRACC apoyo a los productores afectados</t>
  </si>
  <si>
    <t>FAPRACC</t>
  </si>
  <si>
    <t>Reynosa, Rio Bravo y Camargo</t>
  </si>
  <si>
    <t>Reynosa reporta inundaciones de hasta 80 cm. En tres colonias. El dia de hoy el nivel del agua disminuyo en su totalidad</t>
  </si>
  <si>
    <t>Chilapa de Alvaez</t>
  </si>
  <si>
    <t>Se realizan labores de saneamiento y solicitan la intervencion del sector salud para control de vectores. Se registran daños en 86 viviendas y 44 locales comerciales</t>
  </si>
  <si>
    <t>Colima, Villa Alvarez y Tecoman</t>
  </si>
  <si>
    <t>La lluvia provoco afectaciones a viviendas con penetracion de agua, caida de arboles, desborde momentaneo de un arroyo y la caida de una barda lesionando a una persona</t>
  </si>
  <si>
    <t>Uxpanapa, Catemaco, Santiago Tuxtla, Cordoba, Veracruz y Martínez de la Torre</t>
  </si>
  <si>
    <t>La lluvia y la tormenta electrica provoco 2 decesos y 5 lesionados, destechamiento de viviendas, suspension de suministro electrico y afectaciones a vias de comunicacion por caida de arboles</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</si>
  <si>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</si>
  <si>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</si>
  <si>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sd</t>
  </si>
  <si>
    <t>Alvaro Obregon</t>
  </si>
  <si>
    <t>Las viviendas se afectaron al deslavarse 4 metros cubicos de tierra y lodo, las 12 familias de habitantes fueron evacuadas</t>
  </si>
  <si>
    <t>Villa Hermosa, Jalapa de Mendez y Nacajuca</t>
  </si>
  <si>
    <t>La lluvia y los vientos afectaron el suministro electrico caida de arboles y los techos de viviendas, se proporciono apoyo de laminas de zinc y cobertores</t>
  </si>
  <si>
    <t>Altamira, Mante, San Carlos, Abalosolo y Madero.</t>
  </si>
  <si>
    <t xml:space="preserve">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 </t>
  </si>
  <si>
    <t>El ayuntamiento apoyo a las familias afectadas con material de abrigo y despensa. Asi mismo trabajan en la reubicación de las familias que perdieron sus viviendas. Se reportaron 35 viviendas dañadas de las cuales 17 presentaron pérdida total</t>
  </si>
  <si>
    <t>Tanhuato y Yurecuaro</t>
  </si>
  <si>
    <t>Las lluvias provocaron daños en el sector agrícola y piscicola del estado. El Fapracc Apoyo a los productores afectados.</t>
  </si>
  <si>
    <t>Huanimaro</t>
  </si>
  <si>
    <t>Las lluvias y escurrimientos afectaron a 600 viviendas. 54 personas se ubicaron en un refugio temporal y recibieron los apoyos correspondientes</t>
  </si>
  <si>
    <t>Juarez</t>
  </si>
  <si>
    <t>Debido a las fuertes lluvias se reportan inundaciones en 9 colonias de hasta 1.20 metros en lugares bajos. Como medida preventiva fueron evacuadas 240 personas. Se reportaron 4 muertos</t>
  </si>
  <si>
    <t>Debido a la onda tropical 24, se presento la ruptura de una ventana del rio San Luis, de aguas negras, provocando el desvordamiento y penetracion de agua a las viviendas cercanas de 40 cm</t>
  </si>
  <si>
    <t>Cardenas</t>
  </si>
  <si>
    <t>Se registro una lluvia con fuertes vientos con duracion de dos horas. Los pacientes de un centro de salud fueron atendidos en otras clinicas. Tambien un mercado resultó afectado</t>
  </si>
  <si>
    <t>Debido a la onda tropical "24" se vieron afectadas 15 viviendas con penetración de agua</t>
  </si>
  <si>
    <t>Othón P. Blanco, Solidaridad, Felipe Carrillo Puerto, Benito Juárez, Cozumel, Lázaro Cárdenas, Isla Mujeres y José María Morelos</t>
  </si>
  <si>
    <t>El ciclón tropical Dean impactó al estado como catergoría conco, el CENAPRED organizó una misión de evaluación con el fin de cuantificar los daños y pérdidas ocasionadas por el fenómneo</t>
  </si>
  <si>
    <t>El Ciclon tropical Dean causó daños en el sector vivienda y en la infraestructura carretera del estado de Yucatán</t>
  </si>
  <si>
    <t>FONDEN Y FAPRACC</t>
  </si>
  <si>
    <t>El ciclón tropical Dean afecto severamente la infraestructura estatal del estado, por lo que el CENAPRED organizó una evaluación con el fin de conocer los sectores más afetcados</t>
  </si>
  <si>
    <t>Dean causó severos daños en el estado de Hidalgo, principalemnte en la infraestructura carretera. El Cenapred realizó la evaluación de daños a nivel sectorial</t>
  </si>
  <si>
    <t>Debido a los daños ocasionados por Dean en el estado el CENAPRED organizó una misión de evaluación con el fin de obterne información de la cuantificación de daños realizada por las dependencias encargadas</t>
  </si>
  <si>
    <t>Los 11 municipios del estado</t>
  </si>
  <si>
    <t>Se declararon en desastre todos los municipios del estado debido a los daños ocasionados por Dean en la infraestructura del estado. El CENAPRED realizo una mision de evaluacion para recopilar información</t>
  </si>
  <si>
    <t>El estado de Chiapas fue afectado por intensas lluvias producto del impacto de Dean en otros estados de la República, lo que ocasionó daños en el sector agrícola.</t>
  </si>
  <si>
    <t>Cinco municipios</t>
  </si>
  <si>
    <t>Debido a los remanentes del huracán Dean, se presentaron varios daños en la infraestructura carretera del estado, así como en algunos planteles educativos. El FONDEN apoyó con 63.6 millones de pesos para las acciones de reconstrucción, Además de mandar 5.8 millones de pesos en insumos a través del Fondo Revolvente</t>
  </si>
  <si>
    <t>Varios municipios (19)</t>
  </si>
  <si>
    <t>El estado de San Luis Potosi también fue afectado severamente por Dean, por lo que el FONDEN apoyó con 178.3 millones de pesos para resarcir los daños en vivienda, escuelas e infraestructura hidraulica y carretera. Por otro lado el FAPRACC apoyó a los mas de 10 mil productores afetcados</t>
  </si>
  <si>
    <t>Jitotol</t>
  </si>
  <si>
    <t>Debido a la onda tropical "26", se informa del desbordamiento de un rio seco, afectando varias viviendas, se realiza recorrido de evaluacion de daños. Se evacuo a 536 personas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</si>
  <si>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</si>
  <si>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</si>
  <si>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Tamazunchale y Rio Verde</t>
  </si>
  <si>
    <t>Se informa de afectaciones a viviendas por crecida de arroyo, asi  como alsgunas comunidades incomunicadas parcialmente. 27 personas fueron evacuadas</t>
  </si>
  <si>
    <t>Cuernavaca y Temixco</t>
  </si>
  <si>
    <t xml:space="preserve">Se informa de afectaciones a viviendas por penetracion de agua, asi como caida de bardas y desbordamiento de un rio, no se reportan afectaciones humanas </t>
  </si>
  <si>
    <t>Celaya, Apaseo el Alto, Coroneo y Jerecuaro</t>
  </si>
  <si>
    <t>Se informa de afectaciones  en viviendas, por penetracion de agua debido al desbordamientos de 3 Rios, en dos comunidades. Se evacuaron a 560 personas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</si>
  <si>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</si>
  <si>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</si>
  <si>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</si>
  <si>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Lazaro Cardenas</t>
  </si>
  <si>
    <t>Se albergaron 500 personas</t>
  </si>
  <si>
    <t>Tampico</t>
  </si>
  <si>
    <t>A causa de las lluvias se deslavo un cerro del Paseo Bella Vista resultando 3 fallecidos</t>
  </si>
  <si>
    <t xml:space="preserve">Altamira y Tula </t>
  </si>
  <si>
    <t>Se registraron fuertes lluvias, las cuales causaron afectaciones en el sector agrícola. El FAPRACC apoyo a los productores afectados</t>
  </si>
  <si>
    <t>Gonzales, Mante, Antigua Morelos y Nuevo Morelos</t>
  </si>
  <si>
    <t>Las lluvias provocaron daños en diferentes cultivos, el FAPRACC apoyo a los productores afectados</t>
  </si>
  <si>
    <t>Se registraron fuertes inundaciones en varios municipios del estado, causando severas afectaciones a la actividad agrícola. El FAPRACC apoyo a los productores afectados</t>
  </si>
  <si>
    <t xml:space="preserve">Se informa que las lluvias y la insuficiencia del drenaje afectaron varias casas </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</si>
  <si>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</si>
  <si>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</si>
  <si>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</si>
  <si>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registró afectación por el huracán Henriette el cual causó severas afectaciones en la infraestructura del estado y la muerte de una persona</t>
  </si>
  <si>
    <t xml:space="preserve">Se registraron daños en 49 municipios por el paso de Herniette, se reportan daños en la infraestructura del estado y dos personas fallecidas </t>
  </si>
  <si>
    <t>Acambaro, Coroneo, Jerecuaro y Salvatierra</t>
  </si>
  <si>
    <t>Las fuertes lluvias ocasionaron el desbordamiento de Arroyo e incrementacion de niveles de rios</t>
  </si>
  <si>
    <t>Tempoal, Alamo-Temapache, Tamiahua y Tuxpam</t>
  </si>
  <si>
    <t>Debido a las fuertes lluvias registradas se reportaron varios daños por inundación en la infraestructura carretera, viviendas, centros de salud, infraestructura hidráulica y en el sector pesquero. Se instalaron 54 refugios temporales y se registraron daños en 32 tramos carreteros y 12 puentes</t>
  </si>
  <si>
    <t>Huehuetlan, El Naranjo, Tamasopo, San Antonio, San Vicente Tancuayalab, Tancanhuitz de Santos, Soledad de Graciano Sánchez y San Luis Potosi</t>
  </si>
  <si>
    <t xml:space="preserve">Se informa que debido a las lluvias registradas, se han activado varios refugios temporales y diversas comunidades han sido afectadas. El Fonden apoyó las labres de reconstrucción.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</si>
  <si>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</si>
  <si>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</si>
  <si>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Patzcuaro</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</si>
  <si>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</si>
  <si>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</si>
  <si>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</si>
  <si>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</si>
  <si>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Nueva Italia</t>
  </si>
  <si>
    <t xml:space="preserve">A causa de las lluvias el canal “La estacion” se desbordo,evacuando a 243 personas a un R.T. en la Esc. Prim. Emiliano zapata </t>
  </si>
  <si>
    <t>Cd. De Oaxaca y San pablo Etla</t>
  </si>
  <si>
    <t>Las fuertes lluvias y encharcamientos ocasionaron afectacciones en los enseres domesticos de 100 viviendas en el fraccionamiento La esmeralda. En Cd. De Oaxaca se reportaron encharcamientos en las zonas bajas</t>
  </si>
  <si>
    <t xml:space="preserve">Tamazuchale, Cd. Valles, Ebano Tanlajas, Tamuin, Tampacan y Xitla. </t>
  </si>
  <si>
    <t>Varios caminos resultaron afectados y se albergaron a las personas pertenecientes a diferentes ejidos y colonias</t>
  </si>
  <si>
    <t>Chapala</t>
  </si>
  <si>
    <t>Se evacuaron 1, 490 personas, habilitandose un total de 4 R. T.</t>
  </si>
  <si>
    <t>Altar</t>
  </si>
  <si>
    <t>Las lluvias y los vientos fuertes dañaron viviendas y el derribo de arboles, anuncios y postes de luz y telefono</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</si>
  <si>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</si>
  <si>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</si>
  <si>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Tula</t>
  </si>
  <si>
    <t>Las lluvias ocasionaron una grieta profunda en el Km 75 del tramo carretero San Luis Potosi- Matamoros, en la que cayo un automovil en el que fallecieron el conductor y su acompañante</t>
  </si>
  <si>
    <t>Se reportan inundaciones, derrumbes, y personas atrapadas en vehiculos, se realizaron trabajos de saneamiento. 16 vehiculos resultaron afectados</t>
  </si>
  <si>
    <t>Tuxtla de Guerrero</t>
  </si>
  <si>
    <t>Las lluvias y el nivel alto de la laguna negra del valle de Tuxtla registraron escurrimientos, afectando 45 familias, mismas que fueron evacuadas y trasladadas a un R T. 160 personas evacuadas</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</si>
  <si>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</si>
  <si>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</si>
  <si>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</si>
  <si>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hidráulica</t>
  </si>
  <si>
    <t>1 fallecido que fue arrastrado por la corriente del canal de aguas negras el cual atraviesa la colonia Lomas del Paraiso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</si>
  <si>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</si>
  <si>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También se registraron daños en vivienda, Infraestructura carretera, de salud, escuelas y en el medio ambiente. El Fonden apoyó las labores de recostrucción con 445.4 millones de pesos. 
</t>
  </si>
  <si>
    <t>Fuertes lluvias y vientos que afectaron a 6 viviendas con penetracion de agua y a una por la caida de arbol</t>
  </si>
  <si>
    <t>Jalpan</t>
  </si>
  <si>
    <t>La crecida de algunos rios, obligaron a realizar la evacuacion preventiva de 19 personas en albergues</t>
  </si>
  <si>
    <t>Balancan, Cardenas, Centro, Jalapa, Tacotalpa y Teapa</t>
  </si>
  <si>
    <t xml:space="preserve">Las lluvias afectaron a 27 comunidades, 803 familias, 4 R. T. y 15 familias albergadas con el total de 58 personas </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</si>
  <si>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</si>
  <si>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</si>
  <si>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</si>
  <si>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</si>
  <si>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</si>
  <si>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</si>
  <si>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</si>
  <si>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</si>
  <si>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Morelia y Uruapan</t>
  </si>
  <si>
    <t>Lluvias y granizo, que afectaron a 56 viviendas en techos principalmente y 56 familias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</si>
  <si>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</si>
  <si>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</si>
  <si>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Se registraron fuertes lluvias desde mediados de octubre a consecuancia del Frente Frio 2 y a finales por el Frente Frio 4, ocasionado daños en diversas localidades y municipios del estado. Por tal motivo el CENAPRED organizó una misión de evaluación para obtener información de todos los sectores afectados. Las lluvias a su vez provocaron un deslave sobre el cauce del Río Grijalva, el cual a su vez causó la muerte de 25 personas, mismas que se consideraron dentro de los muertos por fenómenos geológicos. Así mismo, se intento separar los daños causados por el deslave monto que también se incluyó en desastres de origen geológico</t>
  </si>
  <si>
    <t>Regiones, Acapulco, Costa Grande, Costa Chica, Norte, Montaña, Tierra Caliente y Centro</t>
  </si>
  <si>
    <t>Se evacuaron a personas y se afectaron diversas viviendas</t>
  </si>
  <si>
    <t>Ciudad Serdan, Izucar de Matamoros y Teziutlan</t>
  </si>
  <si>
    <t>Se reportan 3 muertos por arrastre y uno por el deslizamiento de suelo</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</si>
  <si>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</si>
  <si>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</si>
  <si>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92 municipios por Karl y 48 por Matthew</t>
  </si>
  <si>
    <t>Los ciclones tropicales Karl y Matthew impactaron al estado de Veracruz en el mes de septiembre con apenas 10 días de diferencia. Estos eventos en conjunto fueron los más severos del año, causando daños y pérdidas por 26,841 millones de pesos y 23 defunciones+</t>
  </si>
  <si>
    <t>Tixtla, Atlamajalcingo del Monte y Tecpan</t>
  </si>
  <si>
    <t>Daños en vivienda con penetracion de agua y daños a cultivos. 386 familias y 220 personas albergadas</t>
  </si>
  <si>
    <t>CD. Valles, Tamuin, Tanlajas, Ebano, Tampacan, Xilitla y Tamasunchale</t>
  </si>
  <si>
    <r>
      <t>Las lluvias  fuertes y el incremento en los niveles de arroyos, rios y los escurrimientos, ocasionaron inundaciones en diversas Col. y comunidades se incomunicaron . Se habilitaron 8  refugios temporales,</t>
    </r>
    <r>
      <rPr>
        <sz val="9"/>
        <color indexed="10"/>
        <rFont val="Arial"/>
        <family val="2"/>
      </rPr>
      <t xml:space="preserve"> </t>
    </r>
    <r>
      <rPr>
        <sz val="9"/>
        <rFont val="Arial"/>
        <family val="2"/>
      </rPr>
      <t>443 personas refugiadas y afectaciones en diversos caminos</t>
    </r>
  </si>
  <si>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</si>
  <si>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</si>
  <si>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</si>
  <si>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</si>
  <si>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</si>
  <si>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</si>
  <si>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36 muertos: 14 por hipotermia, 20 por intoxicacion de monoxido de carbono y 2 por quemaduras</t>
  </si>
  <si>
    <t>17 muertos: 4 por hipotermia y 13 por intoxicacion de monoxido de carbono</t>
  </si>
  <si>
    <t>15 muertos: 3 por hipotermia, 10 por intoxicacion de monoxido de carbono y 2 por quemaduras</t>
  </si>
  <si>
    <t>11 muertos por intoxicacion de monoxido de carbono</t>
  </si>
  <si>
    <t>1 muerto por intoxicacion de monoxido de carbono</t>
  </si>
  <si>
    <t>6 muertos: 2 por hipotermia, 2 por intoxicacion de monoxido de carbono y 2 por quemaduras</t>
  </si>
  <si>
    <t>3 muertos por hipotermia</t>
  </si>
  <si>
    <t>3 muertos: 2 por hipotermia y 1 por quemaduras</t>
  </si>
  <si>
    <t>4 muertos: 3 por hipotermia y uno por intoxicacion de monoxido de carbono</t>
  </si>
  <si>
    <t>1 muerto por hipotermia</t>
  </si>
  <si>
    <t>2 muertos por intoxicacion de monoxido de carbono</t>
  </si>
  <si>
    <t>1 muerto por quemaduras</t>
  </si>
  <si>
    <t xml:space="preserve">Copainala, Salto de Agua y Tecpatan </t>
  </si>
  <si>
    <t>Debido a la sequia se registraron daños en el sector agrícola, por lo que el FAPRACC apoyó a los productores afectados para reactivar las actividades de los productores afectados</t>
  </si>
  <si>
    <t>Escarcega, Hopelchen, Tenabo, Carmen, Candelaria y Palizada</t>
  </si>
  <si>
    <t xml:space="preserve">Arcelia, San Miguel Totolapan, </t>
  </si>
  <si>
    <t>Guadalupe Victoria, Tecamachalco, Zautla, Zacatlan, Ayotoxco de Guerrero y Zapotitlan de Mendez</t>
  </si>
  <si>
    <t xml:space="preserve">Jonuta, Huimanguillo, Teapa, Centla, Balancan, Tenosique, Centro, Emiliano Zapata, Cunduacan, Cardenas, Nacajuca, Macuspana, Comalcalco, Jalpa de Mendez y Paraiso, </t>
  </si>
  <si>
    <t>Angel Albino Corzo, La Concordia</t>
  </si>
  <si>
    <t>Villa de la Paz</t>
  </si>
  <si>
    <t>Se reportan daños en los techos de cocheras y letrinas. No hay afectaciones mayores. Ademas de daños mínimos a 40 viviendas</t>
  </si>
  <si>
    <t>Alvaro Obregon, Azcapotzalco, Cuauhtemoc y Miguel Hidalgo</t>
  </si>
  <si>
    <t>Caida de varios arboles, anuncios espectaculares y corte de energia electrica debido a los fuertes vientos. Una persona perdio la vida</t>
  </si>
  <si>
    <t>Los vientos provocaron caida de postes y cables de energia electrica, arboles, algunos techos y lonas de negocios, anuncios espectaculares y algunos incendios en casas</t>
  </si>
  <si>
    <t>Chicomuselo</t>
  </si>
  <si>
    <t>Debido a la onda tropical "10" se presentaron fuertes vientos y granizo, lo que provoco daños a 100 viviendas de las cuales 25 son de perdida total y 75 con daños parciales en sus techos, se proporciona apoyo de laminas de cartón</t>
  </si>
  <si>
    <t>Sonda de Campeche</t>
  </si>
  <si>
    <t>Los fuertes vientos ocasionados por el Fremnte Frío 4 afectaron la plataforma Usumacinta y provocaron 21muertos y 1 desaparecido. Además se registró derrame de crudo en el golfo y posterior incendio en la plataforma.</t>
  </si>
  <si>
    <t>Zautla</t>
  </si>
  <si>
    <t>La afectacion fue a 5,000 personas de 20 comunidades aproximadamente.150 familias afectadas en su vivienda</t>
  </si>
  <si>
    <t>Acatlan, Xicotepec, Zautla, Cuautempan, Xchiapulco y Cuyuaco</t>
  </si>
  <si>
    <t>La granizada afecto viviendas de material endeble y a cultivos. Hubo 7 lesionados</t>
  </si>
  <si>
    <t>Solidaridad y Cozumel</t>
  </si>
  <si>
    <t>La granizada provocó daños menores en 20 viviendas.</t>
  </si>
  <si>
    <t>Totimehuacan</t>
  </si>
  <si>
    <t>Se registro una granizada afectando 38 parcialmente y 70 mas resultaron con afectaciones menores, se dio el apoyo correspondiente</t>
  </si>
  <si>
    <t>Moroleon</t>
  </si>
  <si>
    <t>La tormenta electrica provoco la muerte de 2 personas y 8 heridos por caida de rayo</t>
  </si>
  <si>
    <t>Tlapacoyan y Martinez de la Torre</t>
  </si>
  <si>
    <t>Los decesos ocurrieron en lugars diferentes y ambos por caida de rayo</t>
  </si>
  <si>
    <t>Tornado</t>
  </si>
  <si>
    <t>El 24 de abril un tornado categoria F2 en la escala Fujita impacto en el municipio de piedras negras principalmente en la colonia villa de fuente ocacionando daños en diferentes sectores de la poblacion</t>
  </si>
  <si>
    <t>Huandacareo</t>
  </si>
  <si>
    <t>Se registró una fuerte granizada en el municipio, afectando cerca de 200 hectáreas de maíz</t>
  </si>
  <si>
    <t>Zacapu, Jimenez y Coeneo</t>
  </si>
  <si>
    <t>Se registró una fuerte granizada la cual afecto cientos de hectáreas de maíz y sorgo</t>
  </si>
  <si>
    <t>La granizada afecto varias hectareas de Durazno, maíz, pera y ciruela. El FAPRACC apoyó a los productores afectados</t>
  </si>
  <si>
    <t>Altzayanca</t>
  </si>
  <si>
    <t>La helada afecto varias hectareas de maiz y durazno</t>
  </si>
  <si>
    <t xml:space="preserve">Jalpa, Tabasco y Huanusco, </t>
  </si>
  <si>
    <t>Se presentaron daños en el sector agropecuario a consecuencia del fenómeno.</t>
  </si>
  <si>
    <t>Se registraron severos daños en el cultivo del guayabo a consecuencia del fenómeno. El FAPRACC apoyo a los productores afectados.</t>
  </si>
  <si>
    <t>Nuevo Rosita</t>
  </si>
  <si>
    <t>Derrumbe de un pozo de carbon</t>
  </si>
  <si>
    <t>Tlachinol y Tlahuitepa</t>
  </si>
  <si>
    <t>Las lluvias del fin de semana provocaron el reblandecimiento del suelo, provocando deslizamiento de piedra y lodo en varios tramos carreteros</t>
  </si>
  <si>
    <t>Apaxco</t>
  </si>
  <si>
    <t>Rescatan el cuerpo sin vida de un minero despues de haberle caido una roca</t>
  </si>
  <si>
    <t>Se presume que el derrumbe se debio a una excavacion y el reblandecimiento del suelo, provocando que 8 personas resultaran afectadas</t>
  </si>
  <si>
    <t>Atoyac de Alvarez, Coyuca de Benitez y Benito Juarez</t>
  </si>
  <si>
    <t>Continuan los trabajos de valoracion de daños. 731 viviendas con daños de diversos grados y 2 centros escolares</t>
  </si>
  <si>
    <t>Luvianos</t>
  </si>
  <si>
    <t>La estructura de un puente se derrumbo de manera inesperada lesionando a tres trabajadores y una persona fallecida</t>
  </si>
  <si>
    <t>Se registro una ccidente en una mina el cual provoco un ligero derrumbe en la misma una persona fallecio al quedar atrapada las otras 4 presentaron lesiones</t>
  </si>
  <si>
    <t>Se presento desgajamiento de un cerro, causas desconocidas, provocando que una vivienda quedara sepultada. Dos personas resultaron muertas. Se realizan los trabajos de remocion de la tierra, para recuperar los cuerpos</t>
  </si>
  <si>
    <t>Eloxochitlan</t>
  </si>
  <si>
    <t>Se registro un deslizamiento en el trazo de la carretera que cruza esta comunidad hacia Siguilica, mientras un camion de pasajeros cruzaba, se reportó la muerte de 32 personas y 13 desaparecidos</t>
  </si>
  <si>
    <t>Debido al agrietamiento con diametro de 10 metros que se presento en la delagación iztapalapa, se dio la tarea de la habilitacion de 1 refugio temporal con 30 familias, ubicado en el area de estacionamiento del Reclusorio Oriente. Una persona fallecida al caer en la grieta</t>
  </si>
  <si>
    <t>Tetela del Volcan</t>
  </si>
  <si>
    <t>Derivado del derrumbe se reportan 2 muertos que trabajaban en la reparacion de una tuberia de agua potable</t>
  </si>
  <si>
    <t>Villa Guerrero</t>
  </si>
  <si>
    <t>Derrumbe sobre un restaurante. La persona lesionada fue trasladada a un hospital cercano</t>
  </si>
  <si>
    <t>Se informa del derrumbe de una ladera, colapsando una vivienda, resultando una persona fallecida y una lesionada</t>
  </si>
  <si>
    <t>Agua Blanca</t>
  </si>
  <si>
    <t>Se reporta la muerte de una persona por el deslave de un cerro</t>
  </si>
  <si>
    <t>El reblandecimiento de tierra a causa de las lluvias provocaron un deslave de un cerro ubicado en el libramiento en contruccion de la Carr. Acapulco Zihuatanejo (el "toro"), el movimiento de una maquinaria causaron el deslave. 1 fallecido y 7 lesionados</t>
  </si>
  <si>
    <t>Tlapacoyan</t>
  </si>
  <si>
    <t>Socavamiento por filtracion de drenaje.Por el reblandecimiento del suelo se reubicaron 8 familias</t>
  </si>
  <si>
    <t>En la Col. 1 de Mayo se colapso una vivienda por lo inestable del suelo</t>
  </si>
  <si>
    <t>Ostuacan</t>
  </si>
  <si>
    <t>Deslizamiento de suelo en la Comunidad de Juan de Grijalva, reportandose 387 personas albergadas, 25 fallecimientos y cerca de 100 viviendas inundadas. El deslizamiento ocasionó el taponamiento del Río Grijalva, ocasionando que la CFE, CNA y otras dependecias movilizaran millones de pesos y cientos de personas para intentar restablecer el cauce del río. Además derivado del tapon, se inundaron varias comunidades aguas arriba.</t>
  </si>
  <si>
    <t>Jocotepec y Chapala</t>
  </si>
  <si>
    <t>Se registró un deslave en dichos municipios producto de las fuertes lluvias. El FONDEN apoyó para las labores de reconstrucción</t>
  </si>
  <si>
    <t>Se presentaron 14 incendios. 310 hectareas afectadas (219 pastizal y 91 arbustos y matorrales)</t>
  </si>
  <si>
    <t>CONAFOR</t>
  </si>
  <si>
    <t>137 incendios. 29, 685.32 hectareas afectadas (375 pastizal, 623.5 arbolado adulto, 12.5 renuevo y 28, 674.32 arbustos y matorrales)</t>
  </si>
  <si>
    <t>Se presentaron 14 incendios. 274.1 hectareas afectadas (205.1 pastizal, 5 de arbolado adulto, 5 de renuevo y 59 de arbustos y matorrales)</t>
  </si>
  <si>
    <t>Se presentaron 21 incendios. 316 hectareas afectadas (162 pastizal y 154 de arbolado adulto)</t>
  </si>
  <si>
    <t>Se presentaron 50 incendios. 618.7 hectareas afectadas (273.75 pastizal, 0.15 de arbolado adulto, 2.3 de renuevo y 342.5 de arbustos y matorrales)</t>
  </si>
  <si>
    <t>Se presentaron 49 incendios. 503 hectareas afectadas (46.5 pastizal, 0.5 de arbolado adulto, 5 de renuevo y 451 de arbustos y matorrales)</t>
  </si>
  <si>
    <t>Se presentaron 444 incendios. 12, 893.56 hectareas afectadas (8, 681.06 pastizal, 781.5 de arbolado adulto, 551.25 de renuevo y 2, 879.75 de arbustos y matorrales)</t>
  </si>
  <si>
    <t>Se presentaron 626 incendios. 10, 560.85 hectareas afectadas (6, 552.75 pastizal, 357.7 de arbolado adulto, 1, 048.6 de renuevo y 2, 601.8 de arbustos y matorrales)</t>
  </si>
  <si>
    <t>Se presentaron 681 incendios. 890.82 hectareas afectadas (717.14 pastizal, 92.36 de renuevo y 81.32 de arbustos y matorrales)</t>
  </si>
  <si>
    <t>Se presentaron 102 incendios. 4, 118 hectareas afectadas (1, 883 pastizal, 25 de arbolado adulto, 84 de renuevo y 2, 126 de arbustos y matorrales)</t>
  </si>
  <si>
    <t>Se presentaron 26 incendios. 603.5 hectareas afectadas (522.5 pastizal, 0.5 de arbolado adulto,30 de renuevo y 50.5 de arbustos y matorrales)</t>
  </si>
  <si>
    <t>Se presentaron 212 incendios. 12, 621 hectareas afectadas (7, 497 pastizal, 12 de arbolado adulto, 763 de renuevo y 4, 349 de arbustos y matorrales)</t>
  </si>
  <si>
    <t>Se presentaron 50 incendios. 159.25 hectareas afectadas (65.75 pastizal, 4 de arbolado adulto, 20.5 de renuevo y 69 de arbustos y matorrales)</t>
  </si>
  <si>
    <t>Se presentaron 436 incendios. 14, 963 hectareas afectadas (6, 798 pastizal, 856 de arbolado adulto, 999 de renuevo y 6, 310 de arbustos y matorrales)</t>
  </si>
  <si>
    <t>Se presentaron 902 incendios. 2, 750. 3 hectareas afectadas (713.4 pastizal, 3.5 de arbolado adulto, 284.25 de renuevo y 1, 749.15 de arbustos y matorrales)</t>
  </si>
  <si>
    <t>Se presentaron 798 incendios. 11, 628.65 hectareas afectadas (3, 650 pastizal, 1, 232 de arbolado adulto, 1, 319 de renuevo y 5, 427.65 de arbustos y matorrales)</t>
  </si>
  <si>
    <t>Se presentaron 126 incendios. 326.65 hectareas afectadas (144.8 pastizal, 3 de arbolado adulto, 8.55 de renuevo y 170.3 de arbustos y matorrales)</t>
  </si>
  <si>
    <t>Se presentaron 140 incendios. 3, 351 hectareas afectadas (1317 pastizal, 7 de arbolado adulto, 29 de renuevo y 1, 998 de arbustos y matorrales)</t>
  </si>
  <si>
    <t>Se presentaron 23 incendios.1, 844.2 hectareas afectadas (1.51 pastizal, 774 de arbolado adulto, 1 de renuevo y 1, 067. 69 de arbustos y matorrales)</t>
  </si>
  <si>
    <t>Se presentaron 181 incendios. 16, 032.5 hectareas afectadas (7, 849.75 pastizal, 1, 206.25 de arbolado adulto, 1, 516.75 de renuevo y 5, 459.75 de arbustos y matorrales)</t>
  </si>
  <si>
    <t>Se presentaron 251 incendios. 693.95 hectareas afectadas (349.95 pastizal, 4.25 de arbolado adulto, 66.65 de renuevo y 273.1 de arbustos y matorrales)</t>
  </si>
  <si>
    <t>Se presentaron 22 incendios. 202.05 hectareas afectadas (164.75 pastizal, 1 de arbolado adulto y 36.3 de arbustos y matorrales)</t>
  </si>
  <si>
    <t>Se presentaron 86 incendios. 757.7 hectareas afectadas (41 pastizal, 174.5 de arbolado adulto, 3 de renuevo y 539.2 de arbustos y matorrales)</t>
  </si>
  <si>
    <t>Se presentaron 24 incendios. 301 hectareas afectadas (31 pastizal, 25 de arbolado adulto, 89.5 de renuevo y 155.5 de arbustos y matorrales)</t>
  </si>
  <si>
    <t>Se presentaron 70 incendios. 4, 419.5 hectareas afectadas (2, 304 pastizal, 204 de arbolado adulto, 414 de renuevo y 1, 497.5 de arbustos y matorrales)</t>
  </si>
  <si>
    <t>Se presentaron 42 incendios. 4, 468.5 hectareas afectadas (4, 368.5 pastizal, 65 de arbolado adulto y 35 de renuevo )</t>
  </si>
  <si>
    <t>Se presentaron 16 incendios. 1, 645 hectareas afectadas (24 pastizal, 471 de arbolado adulto, 140de renuevo y 1, 010 de arbustos y matorrales)</t>
  </si>
  <si>
    <t>Se presentaron 15 incendios. 112.5 hectareas afectadas (63 pastizal y 49.5 de arbustos y matorrales)</t>
  </si>
  <si>
    <t>Se presentaron 127 incendios. 259.5 hectareas afectadas (190.5 pastizal, 5.5 de renuevo y 63.5 de arbustos y matorrales)</t>
  </si>
  <si>
    <t>Se presentaron 142 incendios. 1, 287.5 hectareas afectadas (161.9 pastizal, 50 de arbolado adulto, 406.75 de renuevo y 668.85 de arbustos y matorrales)</t>
  </si>
  <si>
    <t>Se presentaron 62 incendios. 2, 678.5 hectareas afectadas (1, 461 pastizal, 173 de arbolado adulto, 2 de renuevo y 1, 042.5 de arbustos y matorrales)</t>
  </si>
  <si>
    <t>Se presentaron 4 incendios. 385 hectareas afectadas (345 pastizal, 1 de arbolado adulto, 1 de renuevo y 38 de arbustos y matorrales)</t>
  </si>
  <si>
    <t>Cancun</t>
  </si>
  <si>
    <t>Se reporta el incendio en una plaza comercial en la Cd. ce Cancun. El cual se extendió hacia otros locales, resultando dos Bomberos fallecidos y 16 personas atendidas por inhalacion de humo. 600mts cuadrados</t>
  </si>
  <si>
    <t>Huetamo</t>
  </si>
  <si>
    <t>Incendio y Explosion comercial. El incendio inicio cuando realizaban trabajos de reparacion en una tuberia</t>
  </si>
  <si>
    <t>Penjamo</t>
  </si>
  <si>
    <t>El incendio se reavivo al explotar un transformador de energia electrica siendo controlado y extinguido en su totalidad</t>
  </si>
  <si>
    <t>Incendio en una casa de pintura. No se reportan mayores afectaciones. Una persona con quemaduras de primer grado</t>
  </si>
  <si>
    <t>Incendio en una bodega de reciclados. 600 mts cuadrados</t>
  </si>
  <si>
    <t>Incendio de un anuncio espectacular</t>
  </si>
  <si>
    <t xml:space="preserve">Se informa de un Incendio en una tienda de telas controlado a las 24:00 hrs. del mismo dia. Los trabajos de remocion de escombros son lentos por el riesgo que persiste </t>
  </si>
  <si>
    <t>Se informa de un incendio en una empresa, afectando un almacen de piezas industriales, no se reportan daños humanos</t>
  </si>
  <si>
    <t>La conflagracion afectando una bodega de “Waldos” y la casa de empeño “Prenda Max”. Provocando perdida total</t>
  </si>
  <si>
    <t>Vallle de Chalco</t>
  </si>
  <si>
    <t>Incendio en 17 viviendas del predio. Hasta el momento se desconocen las causas que originaron el incendio</t>
  </si>
  <si>
    <t>Incendio en una fabrica de maniquies</t>
  </si>
  <si>
    <t>Se registra un incendio, por causas desconocidas. Las 20 personas afectadas se refugiaron con familiares y amigos, las 7 viviendas presentaron perdida total</t>
  </si>
  <si>
    <t>Incendio en el Mercado municipal debido a una fuga de gas LP</t>
  </si>
  <si>
    <t>El incendio industrial se produjo al realizar la empresa productora de aceite vegetal, trabajos de soldadura. Resultando la muerte de una persona y un herido</t>
  </si>
  <si>
    <t>Delegacion Iztapalapa</t>
  </si>
  <si>
    <t>La conflagracion ocurrio en calle Yaqui. Esquina con Girasol, se desconoce el origen del mismo</t>
  </si>
  <si>
    <t>Santa Barbara</t>
  </si>
  <si>
    <t xml:space="preserve">Fallecimiento en la Col. Centro de 3 niños por intoxicacion por monoxido de carbono en su domicilio provocado por un corto circuito que alcanzo un sillon que no llego a incendiarse en su totalidad y solo genero gran cantidad de humo, que los infantes inhalaron al estar dormidos </t>
  </si>
  <si>
    <t>Delegacion Gustavo A. Madero</t>
  </si>
  <si>
    <t>Incendio urbano en la Colonia Juan de Grijalva, afectando a 35 familias y 11 viviendas de material endeble</t>
  </si>
  <si>
    <t>Incendio en una bodega comercial de Gigante en la Col. Jardines de Celaya, 27 bomberos se intoxicaron</t>
  </si>
  <si>
    <t>Incendio en el centro de rehabilitacion en la Col. Los Ebanos</t>
  </si>
  <si>
    <t>Incendio en una vivienda en la Calle Ecali, Se. Tonatiuh, falleciendo 5 personas y un lesionado con quemaduras graves</t>
  </si>
  <si>
    <t>Explosion de un polvorin</t>
  </si>
  <si>
    <t>El choque de un vehiculo repartidor de gas domestico contra una vivienda provoco la explosion de 8 cilindros de gas dañando dos viviendas aledañas</t>
  </si>
  <si>
    <t>Se informa de la explosion e incendio de un etanoducto, en el Mpio. de Centro, no se reportan daños humanos, albergandose a 242 personas en 3 refugios temporales</t>
  </si>
  <si>
    <t>Explosion de un cuarto que servia de taller de artificios pirotecnicos</t>
  </si>
  <si>
    <t>EL incendio fue controlado a las 5:20 hrs</t>
  </si>
  <si>
    <t>Yahuquemeca</t>
  </si>
  <si>
    <t>Se registra le explosion en la cocina del hotel "Mision", debido a la acumulacion de gas lp, 3 personas resulataron afectadas con quemaduras de primer y tercer grado. Uno de los lesionados fue trasladado a la clinica 10 del Seguro Social</t>
  </si>
  <si>
    <t>En el incidente explotaron 4 tanques contenedores de gas en PEMEX</t>
  </si>
  <si>
    <t>Fortin</t>
  </si>
  <si>
    <t>Explosion de una pipa vacia, cuando realizaban trabajos de reparacion</t>
  </si>
  <si>
    <t>Santa Maria del Rio</t>
  </si>
  <si>
    <t>Explosión de polvorin clandestino. Los heridos fueron trasladados al hospital Central</t>
  </si>
  <si>
    <t>Explosionde 2 cilindros de gas LP. Se reporta una mujer atendida por crisis nerviosa</t>
  </si>
  <si>
    <t>Explosin en casa habitacion por acumulacion de gas butano</t>
  </si>
  <si>
    <t>Explosionde una vivienda, debido a la acumulacion de gas LP</t>
  </si>
  <si>
    <t>Se registro la explosion en un lugar donde se elaboraban fuegos pirotecnicosSe desconoce el motivo de la explosion en el taller de la pirotecnia</t>
  </si>
  <si>
    <t>Almoloya de Juarez</t>
  </si>
  <si>
    <t>Se registra la explosion de un polvorin, lo que ocaciono daños a dos personas por quemaduras de segundo grado</t>
  </si>
  <si>
    <t xml:space="preserve">Al Parecer la explosión sobrevino por una falla en la conexion de gas butano, los lesionados fueron trasladados al Hospital General </t>
  </si>
  <si>
    <t>San Pedro de las Colonias</t>
  </si>
  <si>
    <t>Se registra explosion y fuga de amoniaco en fabrica de hielo, las personas intoxicadas fueron atendidos en diversos Hospitales, se habilito un refugio temporal para las personas evacuadas, 72 personas intoxicadas</t>
  </si>
  <si>
    <t>Explosion por acumulacion de gas LP</t>
  </si>
  <si>
    <t>Ixtacuixtla</t>
  </si>
  <si>
    <t>Explosion en una fabrica de sidra</t>
  </si>
  <si>
    <t>Se informa de una explosion en un polvorin clandestino, donde se reporta un fallecido y 2 lesionados</t>
  </si>
  <si>
    <t>Izucar de Amatamoros</t>
  </si>
  <si>
    <t>Explosion de un polvorin clandestino</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</si>
  <si>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</si>
  <si>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</si>
  <si>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</si>
  <si>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Explosion de un contenedor de 30Kg de gas butano</t>
  </si>
  <si>
    <t>Explosion de una bodega en la que almacenaban artificios pirotecnicos</t>
  </si>
  <si>
    <t>San Luis Rio Colorado</t>
  </si>
  <si>
    <t>Dos de los lesionados fueron traslados al Hospital de Mexicali debido a la gravedad de las quemaduras</t>
  </si>
  <si>
    <t>Santiago de Anaya</t>
  </si>
  <si>
    <t xml:space="preserve">Explosion en un polvorin donde resulto herida una persona masculina de 37 años  </t>
  </si>
  <si>
    <t>Explosion (urbana) cuando realizaban trabajos de soldadura de una pipa. 1 muerto y 1 lesionado</t>
  </si>
  <si>
    <t>Explosion de polvorin (clandestino), el accidente ocurrio cuando manejaban porlvora sin condiciones de seguridad en el Carrio El Llano. 1 muerto y 2 lesionados</t>
  </si>
  <si>
    <t>Zacoalco</t>
  </si>
  <si>
    <t>Explosion urbana en la Cabecera Municipal a causa de polvorin clandestino</t>
  </si>
  <si>
    <t>Explosion de polvorin en el ejido "R", 10 lesionados</t>
  </si>
  <si>
    <t>Rosarito</t>
  </si>
  <si>
    <t>El manejo en la destruccion de material explosivo en los estudios Cinematograficos Fox provoco la explosion industrial. 1 muerto y 3 lesionados</t>
  </si>
  <si>
    <t>Delegacion Tlalpan</t>
  </si>
  <si>
    <t>Explosion de un tanque de gas L. P. por acumulacion en la Col. Lomas de Padierna. 5 lesionados</t>
  </si>
  <si>
    <t>Nezahulacoyotl</t>
  </si>
  <si>
    <t>Explosion en una tuberia de alta presion del drenaje profundo en Av. Texcoco. 1 muerto y 2 lesionados</t>
  </si>
  <si>
    <t>Tulancingo</t>
  </si>
  <si>
    <t>Explosion de un local que se dedicaba en la venta de artificios pirotecnicos en la Col. Cedros. 2 personas con quemaduras</t>
  </si>
  <si>
    <t>Delegacion Azcapotzalco</t>
  </si>
  <si>
    <t xml:space="preserve">Explosion urbana en la Col. Euzkadi a causa de la acumulacion de gas L. P. 5 personas con quemaduras de 2do. grado </t>
  </si>
  <si>
    <t xml:space="preserve">Almoloya de Juarez </t>
  </si>
  <si>
    <t>Explosion de un polvorin. 2 lesionados y 1 cuarto</t>
  </si>
  <si>
    <t xml:space="preserve">Explosion de una casa (#52) de la Calle Flor de Loto en la Col. Ampliacion Villa de las Palmas por acumulación de gas L.P. que se fugaba de un tanque domestico. Ocasiono la muerte de 2 menores y un adulto del sexo femenino, así como 1 herido de gravedad. </t>
  </si>
  <si>
    <t>No se reportan mayores afectaciones</t>
  </si>
  <si>
    <t>El derrame fue neutralizado con arena y cal</t>
  </si>
  <si>
    <t>Caida de un frasco que contenia 1/2 kilogramo de carburo de calcio. Fueron evacuadas 300 personas como medida preventiva. 2 personas ligeramente intoxicadas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</si>
  <si>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</si>
  <si>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</si>
  <si>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Fuga en un tanque de dioxido de carbono que cayo de un camion particular</t>
  </si>
  <si>
    <t xml:space="preserve">Se informa de una fuga de acido muriatico al realizar un trasvase de un recipiente a otro lo que provoco una intoxicacion. La intoxicación al parecer ocurrio por emanaciones de mezcla de gases provenientes de un conducto de aire acondicionado </t>
  </si>
  <si>
    <t>Alamo-Temapache</t>
  </si>
  <si>
    <t>Fisura en un oleoducto de 12" no se reportan afectaciones mayores</t>
  </si>
  <si>
    <t>El contenedor presentaba una fuga en la valvula de llenado, en la atencion fueron afectados dos bomberos</t>
  </si>
  <si>
    <t>Queretaro</t>
  </si>
  <si>
    <t>Fuga de amoniaco en una empresa de hielo</t>
  </si>
  <si>
    <t>Se informa de una fuga de cloro, en un contenedor, que se encontraba  en una unidad habitacional, resultando 26 personas intoxicadas, entre los que se encuentran bomberos y civiles</t>
  </si>
  <si>
    <t>El incidente (fuga de amoniaco) ocurrio en la Calle Bernardo Cauto No 29 en la empresa con razon social “Frios de Mexico SA. de CV.</t>
  </si>
  <si>
    <t>Se informa de una fuga de amoniaco en una empresa empacadora de mariscos, siendo controlada, se evacuaron a 250 personas, no hubo mayores afectaciones</t>
  </si>
  <si>
    <t>Cerro Azul</t>
  </si>
  <si>
    <t>Fuga de gas y crudo en la Col. Ejido el Mirador. Como medida preventiva se evacuaron 448 personas</t>
  </si>
  <si>
    <t>Fuga de amoniaco en la empresa Frespo. 2 intoxicados</t>
  </si>
  <si>
    <t>Se registro en la comunidad La Lobera fuga de amoniaco de un tanque de 1, 800 lts.</t>
  </si>
  <si>
    <t>Se reporta fuga de amoniaco en una empresa ubicada en el Boulevard San Roque, se reportan 5 personas intoxicadas y 200 personas evacuadas</t>
  </si>
  <si>
    <t>Pabellon de Arteaga</t>
  </si>
  <si>
    <t>Se reporta el descarrilamiento de 8 plataformas que conformaba un convoy de tres maquinas y 55 vagones, no se reportan afectaciones humanas</t>
  </si>
  <si>
    <t>San Juan de los Lagos</t>
  </si>
  <si>
    <t>Volcadura de una pipa que transportaba acido muriatico, la fuga fu controlada de inmediato</t>
  </si>
  <si>
    <t>Impacto de dos pipas una de ellas transportaba gas LP</t>
  </si>
  <si>
    <t>Huautla de Jimenez</t>
  </si>
  <si>
    <t>Volcadura de un camion de pasajeros</t>
  </si>
  <si>
    <t>Se reporta  la volcadura de una pipa que transportaba 36,000 de Etanol. Se registró derrame No se reportan afectaciones humanas</t>
  </si>
  <si>
    <t>Se reporta accidente automovilistico. En el accidente unicamente resultaron ilesas 8 personas</t>
  </si>
  <si>
    <t>Se reporta el accidente de un autobus que transportaba a personas de la tercera edad</t>
  </si>
  <si>
    <t>Se presento el descarrilamiento de un tren. Como resultado del accidente resultaron 2 personas lesionadas y un muerto</t>
  </si>
  <si>
    <t>Se reporta la volcadura de una pipa de gas licuado; no se presenta fuga. El lesionado fue trasladado a la Cruz Ruja de Tlanepantla en una ambulancia de la misma institucion</t>
  </si>
  <si>
    <t>Desplome de una avioneta de la Sedena</t>
  </si>
  <si>
    <t>El choque provoco volcadura y explosion de una pipa</t>
  </si>
  <si>
    <t>Benjamin Hill</t>
  </si>
  <si>
    <t>Volcadura de una pipa de gas LP</t>
  </si>
  <si>
    <t>Volcadura de un Camion Rabon que transportaba productos quimicos en 9 contenedores presentando derrame 2 de ellos, sin afectaciones</t>
  </si>
  <si>
    <t>Desplome de un helicoptero de propiedad de TELMEX en el aeropuerto internacional</t>
  </si>
  <si>
    <t>Tecamachalco</t>
  </si>
  <si>
    <t>La volcadura del camion cisterna motivo cierre momentaneo de la carretera como medida preventiva, para controlar el derrame de metil-etil-acetona y realizar el trasvase</t>
  </si>
  <si>
    <t>Malpaso</t>
  </si>
  <si>
    <t>Choque de 2 lanchas</t>
  </si>
  <si>
    <t>Caida de una avioneta en el Rancho Pechogui. Se encontro el cuerpo sin vida del piloto</t>
  </si>
  <si>
    <t>El registro de decesos es por operativos de semana santa. Los accidentes se presentaron del 30 de marzo al 01 de abril</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</si>
  <si>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</si>
  <si>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</si>
  <si>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</si>
  <si>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</si>
  <si>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Tihuatlan</t>
  </si>
  <si>
    <t>El accidente se produjo en el impacto de un trailer contra un autobus, los lesionados fueron trasladados a los Hospitales del IMSS y regional de PEMEX</t>
  </si>
  <si>
    <t>Volcadura de un camion de pasajeros. Los lesionados fueron trasladados aun hospital cercano, para su atencion medica</t>
  </si>
  <si>
    <t>Se informa del accidente de una pipa que trasportaba gas, se presento fuga. Evacuandose a 150 personas a dos refugios temporales</t>
  </si>
  <si>
    <t>Las personas lesionadas, por el accidente entre una pipa y un autobus, fueron trasladadas al Hospital General de Morelia</t>
  </si>
  <si>
    <t>Leon</t>
  </si>
  <si>
    <t>Se presento un choque entre un camion que transportaba postes de concreto y un tanque que transportaba 40,000 litros de leche dos personas resultaron heridas y dos fallecieron</t>
  </si>
  <si>
    <t xml:space="preserve">Se registro la volacadura de una pipa de PEMEX con capacidad de 30,000 litros de gasolina, de los cuales se derramaron 20,000; sobrevino un incendio y una explosion </t>
  </si>
  <si>
    <t>La colision entre los vehiculos ocasiono daños a la estructura de la caseta</t>
  </si>
  <si>
    <t>El accidente ocurrio cuando un camin golpeo el costado del trailer cisterna, que transportaba gasolina, motivo de la volcadura que provoco el derrame e incendio, el lesionado fue trasladado al Hospital General de Mexicali</t>
  </si>
  <si>
    <t>Se reporta el accidente de una maquina de tren la cual se impacto contra un vehiculo se reportan 4 lesionados</t>
  </si>
  <si>
    <t>Matias Romero</t>
  </si>
  <si>
    <t>Se informa del accidente de un trailer que trasportaba mercancia y en el que viajaban ilegales, de los cuales 6 fallecieron y 11 resultaron lesionados</t>
  </si>
  <si>
    <t>Se reporta la volcadura de una pipa que transportaba Xilenio. Presento fuga y derrame, sobre cinta asfaltica, no se reportan afectaciones mayores ni humanas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</si>
  <si>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</si>
  <si>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</si>
  <si>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</si>
  <si>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</si>
  <si>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</si>
  <si>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</si>
  <si>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</si>
  <si>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</si>
  <si>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</si>
  <si>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Culiacan</t>
  </si>
  <si>
    <t>Se despista aeronave, por falla mecanica, provocando los decesos y afectaciones</t>
  </si>
  <si>
    <t>Acuamanala y San Luis Telocholco</t>
  </si>
  <si>
    <t>Impacto de un autobus de pasajeros y un trailer</t>
  </si>
  <si>
    <t>Accidente ferroviario involucrando una cisterna y una canasta de ferrocarril</t>
  </si>
  <si>
    <t>Accidente automovilistico entre un camion y ocho vehiculos</t>
  </si>
  <si>
    <t>Se desconoce el motivo del desplome del helicoptero y la matricula de la aeronave de la Secretaria de la defensa Nacional</t>
  </si>
  <si>
    <t>Tuxtla Gutierrez</t>
  </si>
  <si>
    <t>Debido al exceso de velocidad de los vehiculos, quedaro volcados y la pipa de gas registro fuga de producto, que fue controlada por los bomberos</t>
  </si>
  <si>
    <t>Salina Cruz</t>
  </si>
  <si>
    <t>Accidente automivilistico de un camion cisterna</t>
  </si>
  <si>
    <t>El siniestro se debio al exceso de velocidad, por motivo del cual resultaron impactados un camion cisterna, dos coches y una motocicleta</t>
  </si>
  <si>
    <t>El trailer se impacto con el camion cisterna del cual se desconoce el producto transportado, la cantidad y la razón social</t>
  </si>
  <si>
    <t>Desplome de una avioneta. Se desconocen las causas</t>
  </si>
  <si>
    <t>Lagos de Moreno</t>
  </si>
  <si>
    <t>Volcadura de un autobus de la linea "Aratur" ruta Guadalajara-Aguascalientes-Jolostotitlan-Guadalajara, resultando 30 lesionados</t>
  </si>
  <si>
    <t>Sacramento</t>
  </si>
  <si>
    <t xml:space="preserve">Accidente en la carretera 30 a la altura de Celemania de un trailer que transportaba explosivos, que se impacto con una camioneta provoco un incendio y posteriormente una explosion, 144 personas fueron lesionadas gravemente y 29 personas murieron, Además se registaron daños en 64 vehículos y 20 viviendas cercanas a la zona de la explosión </t>
  </si>
  <si>
    <t>Desplome de una avioneta tipo Cessna</t>
  </si>
  <si>
    <t>Volcadura de un autobus de pasajeros en el poblado de las Guasimas, se reportan 7 fallecidos y 17 lesionados</t>
  </si>
  <si>
    <t>Desplome de una avioneta sobre una vivienda, 5 lesionados</t>
  </si>
  <si>
    <t>Accidente entre un autobus turistico y un trailer en el km 65, altura de la Autopista Guadalajara-Tepic</t>
  </si>
  <si>
    <t xml:space="preserve"> Volcadura de autobus turistico que trasportaba personas de nacionalidad “chilea”  para el festival cervantino en Guajuato en la Carretera Dolores Hidalgo-Guanajuato. 17 lesionados </t>
  </si>
  <si>
    <t>Volcadura de 1 autobus de turismo marca DINA en el tramo carretero Ocosingo-Palenque en el Km 94. Resultando 1 persona fallecida de 70 años y 16 lesionados</t>
  </si>
  <si>
    <t>Accidente carretero en Maxipista Culiacan Mazatlan, resultando 1 muerto y 13 lesionados</t>
  </si>
  <si>
    <t>Accidente carretero en la Autopista Siglo 21. Impacto de un camion de volteo y un tracto camion. Se reporta la muerte del conductor</t>
  </si>
  <si>
    <t>Accidente Aereo de una avioneta (aerotaxi) cerca del Aeropuerto de Culiacan. 14 lesionados</t>
  </si>
  <si>
    <t>Accidente carretero en el Km. 19 del circuito Mexiquince donde se involucraron 11 vehiculos (5 trailer, 2 torton y 4 vehiculos part.) de los cuales algunos resultaron calcinados, se reportan 6 personas fallecidas y 2 lesionados</t>
  </si>
  <si>
    <t xml:space="preserve">Acccidente en la Carretera Tijuana-Tecate de una pipa que transportaba gas L.P., como medida preventiva se evacuaron 100 personas de empresas aledañas </t>
  </si>
  <si>
    <t xml:space="preserve">Volcadura en el tramo carretero Puente de Ixtlajojutla que provoco dos lesionados y el derrame del producto (combustoleo) </t>
  </si>
  <si>
    <t>Accidente entre autobus y trailer en la Carreta Chapala-Guadalajara, 40 lesionados</t>
  </si>
  <si>
    <t>Desplome de una avioneta en la Zona Serrana. 3 muertos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</si>
  <si>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</si>
  <si>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</si>
  <si>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Xicotepec de Juarez</t>
  </si>
  <si>
    <t>Volcadura de un camion de redilas, el cual cayo a un barranco, en el paraje conocido como "Primera Cascada de Tlaxcalantongo". 20 muertos y 62 lesionados</t>
  </si>
  <si>
    <t>De Embalse de la Presa Malpaso</t>
  </si>
  <si>
    <t>Accidente maritimo de una lancha con 3 tripulantes ocurrudo en el Embalse de la Presa Malpaso debido al cable no señalizado de Alta Tesión. 1 muerto y 2 lesionados</t>
  </si>
  <si>
    <t>El del dia de ayer se inicio el resguardo de aproximadamente 8000, peregrinos provenientes del Edo. De México, quienes arribaron a las 5:00 hrs. del dia de hoy. No se reportan daños mayores</t>
  </si>
  <si>
    <t>Concentracion masiva en la Calzada de Guadalupe, saldo blanco. 3,274 personas atendidas por lesiones menores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</si>
  <si>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</si>
  <si>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</si>
  <si>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</si>
  <si>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</si>
  <si>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Amenaza de un artefacto explosivo, 995 personas evacuadas</t>
  </si>
  <si>
    <t>Hidalgotitlan, Jose Azueta, Isla, Playa Vicente y Texistepec</t>
  </si>
  <si>
    <t xml:space="preserve">Se registraron afectaciones en cultivos de maíz a consecuencia de la inundación registrada en los municipios mencionados. Se apoyo a los cerca de 3,000 productores afectados con 6.6 millones de pesos aproximadamente, mismos que provinieron del FAPRACC. La producción afectada se estimó en 15,312 toneladas   </t>
  </si>
  <si>
    <t>PACC/CENAPRED</t>
  </si>
  <si>
    <t>Pichucalco, Palenque, Salto de Agua, Ostuacan, Cintalapa, Arriaga y Mapastepec</t>
  </si>
  <si>
    <t>Debido a las fuertes lluvias se reportaron afectaciones menores en 90 viviendas debido a la penetración de agua provocada por el desbordamiento de algunos ríos</t>
  </si>
  <si>
    <t>Los efectos del Frente frio número 19 se sintieron en el municipio, se activaron dos refugios temporales. Se reportan daños a dos vehículos, dos viviendas y una persona fallecida.</t>
  </si>
  <si>
    <t>Tizimin</t>
  </si>
  <si>
    <t>Debido a las fuertes lluvias se registraron daños en 20 viviendas, se realizó evacuación preventiva</t>
  </si>
  <si>
    <t>Zapotitlan de Mendez y Camocuautla</t>
  </si>
  <si>
    <t>Se registraron lluvias y fuertes vientos en los municipios mencionados, se reportan daños parciales en 65 viviendas. Las autoridades correspondientes brindaron el apoyo necesario a la población</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</si>
  <si>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</si>
  <si>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</si>
  <si>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Gutiérrez Zamora, Poza Rica, San Rafael, San Andres Tuxtla, Santiago Tuxtla, Catemaco, Lerdo de Tejada, Angel R. Cabada y Saltabarranca</t>
  </si>
  <si>
    <t>Se reportaron vientos y lluvias de moderadas a fuertes en los municipios mencionados. Lo anterior se debe a la presencia del Frente Frìo nùmero 33. Hasta el momento únicamente se han reportado daños en una vivienda parcialmente y en dos vehículos</t>
  </si>
  <si>
    <t>Angel Albino Corzo</t>
  </si>
  <si>
    <t>Debido a las fuertes lluvias y vientos se reportaron daños en 12 viviendas construidas con material endeble. La población afectada recibió el apoyo correspondiente</t>
  </si>
  <si>
    <t>La Candelaria</t>
  </si>
  <si>
    <t xml:space="preserve">Debido a las fuertes lluvias y vientos registrados en la comunidad de El Porvenir se reportaron daños en los techos de 10 viviendas. La población afectada fue apoyada </t>
  </si>
  <si>
    <t>Villa de Guadalupe</t>
  </si>
  <si>
    <t>Debido a las fuertes lluvias en la comunidad de San Josè de la Peña se reportaron 10 viviendas afectadas en sus techos. La población afectada recibio el apoyo correspondiente</t>
  </si>
  <si>
    <t>Nanacamilpa de Mariano Arista</t>
  </si>
  <si>
    <t>Se registro fuerte lluvia acompañada de granizo. Se reportan 50 viviendas con daños menores</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</si>
  <si>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</si>
  <si>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</si>
  <si>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Se registraron fuertes lluvias afectando varias viviendas por penetración de agua y tres mas con daños menores. Se habilitó un refugio temporal mismo que atendió a 17 personas. Así mismo una clínica del ISSSTE resulto afectada por penetración de agua de unos 50 cm de altura</t>
  </si>
  <si>
    <t>Debido a las fuertes lluvias presnetadas en el municipio se presentaron daños en los techos de 70 viviendas. Las familias afectadas fueron apoyadas con despensas y cobertores</t>
  </si>
  <si>
    <t>Atlangatepec</t>
  </si>
  <si>
    <t>Debido a las fuertes lluvias se reportaron afectaciones en los techos de 9 viviendas. La población afectada fue apoyada con despensas y cobertores</t>
  </si>
  <si>
    <t>Sabinas, San Juan Sabinas y Múzquiz</t>
  </si>
  <si>
    <t>Se registraron fuertes lluvias y vientos en los municipios mencionados. Se reportaron 20 viviendas afectadas, mismas que seran apoyadas por la Secretaría de Desarrollo Social</t>
  </si>
  <si>
    <t>Cuautepec</t>
  </si>
  <si>
    <t>Debido a la fuerte lluvia con momentos de granizo se reportaron dañós en seis viviendas, principalmente en los techos de las mismas. Se brindo apoyo de colchonetas y cobertores a la población damnificada</t>
  </si>
  <si>
    <t>Se reportan fuertes lluvias en el municipio mencionado, una persona fue arrastrada en su vehículo, misma que perdió la vida</t>
  </si>
  <si>
    <t>Trinidad de Viguera, Santa Rosa, Pueblo Nuevo, Santa Cruz Xoxocotlan, Santa Maria Atzompa, Santa Maria del Tule, Animas Trujano, Trinidad Zaachila, Cuilapan de Guerrero, Soledad, Nareno y Guadalupe Etla</t>
  </si>
  <si>
    <t xml:space="preserve">Se presentaron lluvias con vientos fuertes en los municipios mencionados. Se reportan algunos desgajamientos de cerros sin que estos hayan afectado a la población. Se reportan dos personas fallecidas, una por caida de rayo y otra al ser aplastada por una barda que se desplomo por la lluvia. </t>
  </si>
  <si>
    <t>Teapa y Tacotalpa</t>
  </si>
  <si>
    <t>Debido a las fuertes lluvias se reporta desbordamiento de algunos rios, como medida preventiva se evacuó a la población ubicada en zonas bajas. Desafortunadamente una persona perdió la vida.</t>
  </si>
  <si>
    <t>Nueva Rosita y Sabinas</t>
  </si>
  <si>
    <t>Se registraron fuertes lluvias en los municipios mencionados, como resultado 200 viviendas sufrieron daños mínimos. Así mismo, fue necesario habilitar un refigio temporal en el cual se atendio a un total de 30 personas</t>
  </si>
  <si>
    <t>Se registraron fuertes lluvias acompañadas de vientos en la ciudad de México, se reporta la caída de varios árboles y anuncios espectaculares. Seis personas resultaron lesionadas</t>
  </si>
  <si>
    <t>Vicente Guerrero</t>
  </si>
  <si>
    <t>Se registraron fuertes lluvias acompañadas de granizo por momentos. Se reportan 100 viviendas con daños en sus techos. Se apoyo a la población afectada</t>
  </si>
  <si>
    <t>Union Juarez y Venustiano Carranza</t>
  </si>
  <si>
    <t>Se registraron fuertes lluvias y vientos que afectaron a 90 viviendas, 7 de estas con daño total</t>
  </si>
  <si>
    <t>La Perla, Calcahualco, Mariano Escobedo, Ayahualulco, Xico, Tlaltetela, Coscomatepec, Alpatlahuac, Zentla, Tlacotepec y Martinez de la Torre</t>
  </si>
  <si>
    <t>Se reportaron fuertes lluvias acompañadas por momentos de granizo, se reportan daños en 2,510 viviendas, dos puentes y varias hectáreas de cultivos afectadas</t>
  </si>
  <si>
    <t>Tlacotepec de Benito Juarez</t>
  </si>
  <si>
    <t>Se registraron fuertes lluvias en el municipio mencionado. Se reportan 120 viviendas afectadas por penetración de agua (daños mínimos)</t>
  </si>
  <si>
    <t>Debido a las fuertes lluvias varios ríos aumentaron su cauce, ocasionando la muerte de una persona que intentó cruzarlo</t>
  </si>
  <si>
    <t>Ixtepec</t>
  </si>
  <si>
    <t xml:space="preserve">Se registraron fuertes lluvias mismas que ocasionaron daños en ocho viviendas y una escuela. </t>
  </si>
  <si>
    <t>Se registraron daños por penetración de agua en 20 viviendas debido a las fuertes lluvias</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</si>
  <si>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</si>
  <si>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</si>
  <si>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</si>
  <si>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instaló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</si>
  <si>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</si>
  <si>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población afectada es de 3,517 personas. Se presentaron dañós por penetracion de agua en 881 viviendas</t>
  </si>
  <si>
    <t>Se presentaron fuertes lluvias en el estado de Quintana Roo</t>
  </si>
  <si>
    <t>Asunción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María Mixtequilla, Juchitan de Zaragoza y Santa Maria Xanadi</t>
  </si>
  <si>
    <t>A consecuencia de las fuertes lluvias e inundaciones se realizaron 90 acciones de restauración de caminos y  carrteras, 84 a nivel estatal. CONAGUA realizo 41 acciones de restauración a nivel estatal, 27 en municipal y 8 en federal</t>
  </si>
  <si>
    <t>Apazapan, Córdoba, Cuichapa, Cuitlahuac, Emiliano Zapata, Jamapa, Paso de Ovejas, Xalapa y Xico</t>
  </si>
  <si>
    <t>Se registraron fuertes lluvias dejando graves afectaciones, por lo que fue necesaro realizar 4 aciones a nivel federal, 42 en nivel estatal en el rubro de comunicaciones y transporte</t>
  </si>
  <si>
    <t>San Pedro Tapanatepec, San Pedro Pochutla y San Francisco Ixhuatlan</t>
  </si>
  <si>
    <t>Se registraron fuertes lluvias en los municipios mencioandos. Una persona perdio la vida al ser arrastrada por un arroyo crecido</t>
  </si>
  <si>
    <t>La Huasteca, CD. Valles, El Naranjo, Tamuin, Ebano, Axtla, Matlapa, Tancanhuitz de Santos, Tampolon Corona y Tanlajas</t>
  </si>
  <si>
    <t>Se registraron fuertes lluvias en los municipios mencionados, se reportan 395 personas afectadas de las cuales 116 en refugios temporales</t>
  </si>
  <si>
    <t>Aquismon, Axtla de Terrazas, Ciudad Valles, El Naranjo, San Antonio, San Martin Chalchicuautla, San Vicente Tancuayalab, Tamasopo, Tampacan, Tampamolon Corona, Tamuin, Tanjalas y Tanquian de Escobedo</t>
  </si>
  <si>
    <t xml:space="preserve">Se registraron afectaciones en cultivos de maíz a consecuencia de la inundación registrada en los municipios mencionados. Se apoyo a los 3,185 productores afectados con 4.5 millones de pesos aproximadamente, mismos que provinieron del FAPRACC. La producción afectada se estimó en 4,617 toneladas   </t>
  </si>
  <si>
    <t>Aquismon</t>
  </si>
  <si>
    <t xml:space="preserve">Se registraron afectaciones en cultivos de cafe a consecuencia de la inundación registrada en el municipio mencionado. Se apoyo a los 320 productores afectados con 857 mil pesos aproximadamente, mismos que provinieron del FAPRACC. La producción afectada se estimó en 300 toneladas   </t>
  </si>
  <si>
    <t>Tuxtepec, Huatulco, Santa María Huatulco, San Bartolo Loxicha, San Pedro Pochutla, Santa María Quilegolani, Santa María Ecatepec, Santa María Zapotlan, Santo Tomas Teopan, Santo Domingo Chontecomatlan, San Pedro Soltepec y San Lorenzo Julotepequillo</t>
  </si>
  <si>
    <t>Debido a las fuertes lluvias registradas en los municipios mencionados se reportaron daños menores en 550 viviendas, así 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</si>
  <si>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</si>
  <si>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</si>
  <si>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Acapetahua y Las Margaritas</t>
  </si>
  <si>
    <t>Debido a las fuertes lluvias se presentaron daños en 70 viviendas con daños menores y otras 594 con daños mínimos. Se apoyo a las familias afectadas con mil colchonetas, igual número de cobertores y 350 despensas</t>
  </si>
  <si>
    <t>Tenosique, Balancan, E. Zapata, Jonuta y Centla.</t>
  </si>
  <si>
    <t>Se registraron fuertes lluvias en los municipios mencionados, dejando 169 comunidades afectadas</t>
  </si>
  <si>
    <t>Aguascalientes y Calvillo</t>
  </si>
  <si>
    <t>Se registraron fuertes lluvias en los municipios mencionados, unicamente se rpesentaron daños en enseres de algunas viviendas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</si>
  <si>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</si>
  <si>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</si>
  <si>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penetración de agua.</t>
  </si>
  <si>
    <t>Se registro la muerte de una persona que fue arrastrada por el río Actopan, mismo que se encuentra crecido por las fuertes lluvias</t>
  </si>
  <si>
    <t>Acapulco y Zihuatanejo</t>
  </si>
  <si>
    <t>Se registraron fuertes lluvias acompañadas de vientos provocando daños en los techos de 11 viviendas, así mismo se reporto la caída de varios árboles, dañando totalmente a tres vehículos</t>
  </si>
  <si>
    <t>Debido a las fuertes lluvias se presentaron daños en 8 viviendas ubicadas en zonas de riesgo, se sugiere su reubicación. Las familias afectadas fueron apoyadas con conertores, colchonetas y despensas</t>
  </si>
  <si>
    <t>Se reportaron daños parciales en 7 viviendas debido a las fuertes lluvias y posterior inundación de algunas colonias.</t>
  </si>
  <si>
    <t>Celaya, León, Irapuato, Guanimaro y Guanajuato</t>
  </si>
  <si>
    <t>Se registraron fuertes lluvias en los municipios mencionados, fue necesario rescatar a varias personas de vehículos varados. Se reporta la muerte de una persona y un lesionado</t>
  </si>
  <si>
    <t>Cañada Morelos</t>
  </si>
  <si>
    <t>Debido a las fuertes lluvias se reportaron daños en 40 viviendas por penetración de agua, así mismo se reporta el bloqueo de la carretera El Seco- La Asumbilla por material de arrastre de las zonas altas</t>
  </si>
  <si>
    <t>Alvarado, Veracruz, Boca del Río Tierra Blanca, Ixtaczoquitlan, Mariano Escobedo, Puente Nacional, Emiliano Zapata, Paso de Ovejas, Camarón de Tejeda, Jamapa, Orizaba, Actopan, Medellín de Bravo, Apazapan y Manlio F. Altamirano.</t>
  </si>
  <si>
    <t>Debido a las fuertes lluvias se reportaron 87 comunidades, 40 colonias con un  total de  898 viviendas afectadas)</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</si>
  <si>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</si>
  <si>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</si>
  <si>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</si>
  <si>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</si>
  <si>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León</t>
  </si>
  <si>
    <t>Se registraron fuertes lluvias acompañadas por momentos de granizo y fuertes vientos, se reportan daños en 19 viviendas y 5 vehículos</t>
  </si>
  <si>
    <t>Loreto y Noria de los Àngeles</t>
  </si>
  <si>
    <t>Se registraron fuertes lluvias en los municipios mencionados se reportaron daños en 65 viviendas y en 190 hectáreas de hortalizas</t>
  </si>
  <si>
    <t>Se registraron fuertes lluvias en el municipio, causando afectaciones en el menaje de 150 viviendas.</t>
  </si>
  <si>
    <t>Tlapacoyan y Jaltipan</t>
  </si>
  <si>
    <t xml:space="preserve">Debido a las fuertes lluvias se registraron daños menores en 71 viviendas </t>
  </si>
  <si>
    <t>Las Choapas y Río Blanco</t>
  </si>
  <si>
    <t>Debido a las fuertes lluvias resitradas en los municipios se reportaron anegaciones en 70 viviendas</t>
  </si>
  <si>
    <t>Se registraron fuertes lluvias, mismas que afectaron 80 viviendas con penetración de agua</t>
  </si>
  <si>
    <t>varios municipios (20)</t>
  </si>
  <si>
    <t>Debido a  las fuertes lluvias se registraron 894 viviendas afectadas, 124 obras de restauracion por parte de  SCT a nivel estatal y 3 a nivel federal</t>
  </si>
  <si>
    <t>Poza Rica, Tihuatlán,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</si>
  <si>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mínimos y 548 con daños menores, un puente y daños en algunos cultivos de café, platano y maíz</t>
  </si>
  <si>
    <t>Salina Cruz, Santiago Astata Sanpedro Huilotepec San Blas Ateampa, Santa María Jalapa del Márquez, Santo Domingo Tehuantepec San Pedro Huamelula</t>
  </si>
  <si>
    <t xml:space="preserve">Debido a las fuertes lluvias se reportaron 145 municipios afectados; </t>
  </si>
  <si>
    <t>varios municipios</t>
  </si>
  <si>
    <t>Se registrarón fuertes lluvias que dejaron fuertes afectaciones, se realizaron 95 acciones de restauracion en caminos y carreteras a nivel estatal, CONAGUA  realizo 53 acciones de restauración 12 a nivel estatal, 35 a municipal y 6 a federal</t>
  </si>
  <si>
    <t>Misantla, Acayucan, Carlos A. Carrillo, Ixhuacan de los Reyes, Emiliano Zapata, Panuco, Martínez de la Torre, El Higo y Paso de Ovejas, Soledad de Doblado, Pueblo Viejo, Tlaltetela, Tlalixcoyan, Tepetlan, Jamapa y José Azueta.</t>
  </si>
  <si>
    <t>Se reportaron fuertes lluvias afectando a 358 viviendas, 2 con pérdida total, 2 ríos, desbordados 1 canal, 9 Albergues con 760 personas</t>
  </si>
  <si>
    <t>Se registraron fuertes lluvias mismas que afectaron 25 viviendas con daños menores, así mismo se registro la caída de varios árboles</t>
  </si>
  <si>
    <t>Zacatecas y Loreto</t>
  </si>
  <si>
    <t>Se registraron fuertes lluvias en los municipios mencionados, afectando 347 viviendas</t>
  </si>
  <si>
    <t>Debido a las fuertes lluvias se registraron daños menores en 30 viviendas</t>
  </si>
  <si>
    <t>Zacatecas, Loreto, Noria de Ángeles y Villa González Ortega</t>
  </si>
  <si>
    <t>Debido a las fuertes lluvias se registraron daños en 340 viviendas</t>
  </si>
  <si>
    <t>Altamira, Madero, Tampico, Aldama, González, Mante, Gómez Farias, Xicotencatl y Soto la Marina</t>
  </si>
  <si>
    <t>Debido a las fuertes lluvias se evacuaron 2,800 personas en 42 refugios temporales</t>
  </si>
  <si>
    <t>Se registraron fuertes lluvias en el municipio mencionado, una persona perdio la vida al ser arrastrada y dos mas resultaron lesionadas</t>
  </si>
  <si>
    <t>Aldama, Altamira, Gonzalez, Gomez Farias, Mante, Reynosa, Soto La Marina, Tampico, Ciudad Victoria, Ciudad Madero, Xicotencatl</t>
  </si>
  <si>
    <t>Se registraron fuertes lluvias en los municipios mencionados, se reporta la muerte de 3 personas</t>
  </si>
  <si>
    <t>Jalostotitlan, El Salto, y Puerto Vallarta</t>
  </si>
  <si>
    <t>Se registraron fuertes lluvias en los municipios mencionados, se reporta la muerte de 1 persona</t>
  </si>
  <si>
    <t>varios municipios (8)</t>
  </si>
  <si>
    <t>Debido a  las fuertes lluvias se registraron 132 viviendas afectadas y 63 obras de restauracion por parte de  SCT a nivel estatal</t>
  </si>
  <si>
    <t xml:space="preserve">Naranjos, Tempoal, Castillo de Teayo, Citlaltépetl, Tancoco, Chinampa de Gorastiza, Álamo-Tempache, Tantima, Tuxpan, Banderilla, Chontla, Jacomulco, Cerro Azul, Ursulo Galván.       </t>
  </si>
  <si>
    <t>Pachuca Huejutla, Atlapexco, Yahualica, Xochiatipan, San Felipe Orizatlan,  Tula y Apan</t>
  </si>
  <si>
    <t>Se registraron fuertes lluvias en los municipios mencionados, se reportan 169 comunidades afectadas</t>
  </si>
  <si>
    <t>varios municipios (17)</t>
  </si>
  <si>
    <t>Se registro fuerte lluvia e inundación dejando graves afectaciones, por lo que fue necesaro realizar 2 aciones a nivel federal, 28 en nivel estatal en el rubro de comunicaciones y transporte</t>
  </si>
  <si>
    <t>varios municipios (7)</t>
  </si>
  <si>
    <t>Se registro fuerte lluvia e inundación dejando graves afectaciones, por lo que fue necesaro realizar 5 aciones a nivel federal, 32 en nivel estatal en el rubro de comunicaciones y transporte</t>
  </si>
  <si>
    <t>Ixtaczoquitlán, Nogales, la Perla, Mariano Escobedo, Atlahuilco, Tequila, Pánuco, Pueblo Viejo, Camerino Z. Mendoza, el Higo, Texistepec, Tempoal, Jalapa, Colipa, Jilotepec, Soledad Atzompa,  Chiconamel, Jamapa, Manlio Fabio Altamirano, Minatitlán, la Antigua, Chocaman, Tepetlan y Zongolica</t>
  </si>
  <si>
    <t>Se registraron fuertes lluvias en los municipios mencionados, se reporta 34 municipios afectados y continua la evaluación de daños</t>
  </si>
  <si>
    <t>Se registraron fuertes lluvias  dejando 89 viviendas afectadas, además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</si>
  <si>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</si>
  <si>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</si>
  <si>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</si>
  <si>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huracán Dolly, se registraron fuertes lluvias dejando grandes afectaciones, por lo que fue necesario realizar 28 acciones a nivel estatal por parte de SCT y 41 acciones por parte de CONAGUA 2 a nivel estatal y 39 en federal</t>
  </si>
  <si>
    <t>FONDEN/CENAPRED</t>
  </si>
  <si>
    <t xml:space="preserve">Se registraron fuertes lluvias dejando grandes afectaciones, por lo que fue necesario realizar 22 acciones a nivel estatal  y 2 a federal por parte de SCT </t>
  </si>
  <si>
    <t>Parral</t>
  </si>
  <si>
    <t>Se registraron fuertes lluvias dejando grandes afectaciones, por lo que fue necesario realizar 14 acciones de restauración por parte de CONAGUA 9 a nivel estatal y 5 en hidroagrícola. 8 tramos carreteros afectados</t>
  </si>
  <si>
    <t>Manuel Doblado, Celaya, Irapuato y Salamanc</t>
  </si>
  <si>
    <t>Se registraron fuertes lluvias en los municipios mencionados dejando 106 Viviendas afectadas por penetración de agua, con tirantes de 10 a 40 cm</t>
  </si>
  <si>
    <t>Canatlan</t>
  </si>
  <si>
    <t>Se registraron afectaciones en más de 3,000 hectáreas de maíz, frijol y avena. El número de productores afectados se estimo en 1,085. El PACC apoyó con 2.9 millones de pesos aproximadamente. La producción afectada se estimó en más de 1,800 toneladas afectadas.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</si>
  <si>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</si>
  <si>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Más de 6 mil hectáreas resultaron siniestradas. El PACC apoyó a los productores con  14.5 millones de pesos. Sin embargo el daño real fue muy superior.  </t>
  </si>
  <si>
    <t>Se registrarón fuertes lluvias dejndo afectadas 80 viviendas</t>
  </si>
  <si>
    <t>Aljojuca</t>
  </si>
  <si>
    <t>Se registraron fuertes lluvias en el municipio de Aljojuca afectando 25 viviendas.</t>
  </si>
  <si>
    <t>Tequisquiapan y Querétaro</t>
  </si>
  <si>
    <t>Se registraron fuertes lluvias en los municipios mencionados dejando 35 Viviendas y 3 escuelas, con penetración de agua</t>
  </si>
  <si>
    <t>Apizaco, San Toribio Xicohtzinco y Papalotla de Xicohtencatl</t>
  </si>
  <si>
    <t>Se registraron fuertes lluvias en los municipios mencionados afectando 12 viviendas</t>
  </si>
  <si>
    <t>Nuevo Ideal, Ocampo, Poanas, Rodeo y Santiago Papasquiaro</t>
  </si>
  <si>
    <t xml:space="preserve">Se registro una inundacion entre el 13 y 29 de agosto afectando a más de 1,200 productores que cultivavan Maiz, Sorgo, Cacahuate, Avena, Frijol y Chile. El PACC los apoyó con 3.2 millones de pesos aproximadamente. La producción afectada se estimó en más de 6,200 toneladas. Además un productor de alfalfa tambien resulto afectada en una seuperficie de 3 hectáreas. se le apoyó con 1,800 pesos aproximadamente    </t>
  </si>
  <si>
    <t>Varios municipios (13)</t>
  </si>
  <si>
    <t>Se registro en los días señalados fuertes lluvias dejando grandes  afectaciones, por lo que se realizaron 14 acciones de restauración por parte de la SCT federal, mientras que la SCT estatal realizo 117 acciones</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</si>
  <si>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</si>
  <si>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</si>
  <si>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</si>
  <si>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</si>
  <si>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Las lluvias afectaron la carretera, y dos puentes en construcción.</t>
  </si>
  <si>
    <t>Tlachichuca</t>
  </si>
  <si>
    <t>Las fuertes lluvias afectaron 51 viviendas por penetración de agua</t>
  </si>
  <si>
    <t>Las fuertes lluvias afectaron 21 viviendas por penetración de agua</t>
  </si>
  <si>
    <t>Tixtla, Acapulco y Ajuchitlán del Progreso</t>
  </si>
  <si>
    <t>Se presentaron fuertes lluvias, donde la caida de un rayo provoco la muerte de un menor</t>
  </si>
  <si>
    <t>Abasolo, Cortázar, Valle de Santiago, San José de Iturbide, Dr. Mora, Salvatierra, Salamanca, Irapuato, Ocampo, Comonfort, Victoria, San Luis de la Paz.</t>
  </si>
  <si>
    <t>Se presentaron fuertes lluvias en los municipios mencionados, lo que dio como resultado una persona muerta y una desaparecida. Así mismo se registraron daños en mas de 600 viviendas y en una escuela</t>
  </si>
  <si>
    <t>varios municipios (5)</t>
  </si>
  <si>
    <t>Se registraron fuertes lluvias que afectaron a caminos y transporte, por lo que fue necesaria la implementación de 26 acciones de restauración 20 a nivel municipal y 6 a nivel estatal</t>
  </si>
  <si>
    <t>Jitepec, Yautepec, Zacatepec, Tlaltizapan y Emiliano Zapata</t>
  </si>
  <si>
    <t>El nivel del agua alcanzó hasta 1 Mt. de altura, se registro un derrumbe en la carretera Cuautla-Cuernavaca y el desborde de el canal El Zapotal</t>
  </si>
  <si>
    <t>Tlaxco, Tetla y Terrenate</t>
  </si>
  <si>
    <t xml:space="preserve">Se registraron fuertes lluvias, mismas que afectaron cultivos de maíz y cebada de mas de 3 mil productores. La superficie afectada fue de cerca de 8,200 hectáreas. El PACC apoyó a los productores con 6.5 millones de pesos aproximadamente, sin embargo los daños reales fueron superiores </t>
  </si>
  <si>
    <t>Encarnación de Díaz y Guadalajara</t>
  </si>
  <si>
    <t>Las afectaciones fueron por un tirante de agua de 1 Mt. aproximadamente.</t>
  </si>
  <si>
    <t>Rayon, Ciudad Fernandez, Santa Catarina y Cardenas</t>
  </si>
  <si>
    <t>Se registraron fuertes lluvias los días 22 y 23 de agosto, afectando cultivos de maíz y frijol pertenecientes a cerca de 1,500 productores. El PACC apoyó con 2.5 millones de pesos aproximadamente. La producción afectada se estimó en más de 3,700 toneladas afectadas</t>
  </si>
  <si>
    <t>Se registraron fuertes dejando afectadas 50 viviendas y evacuando a 200 personas</t>
  </si>
  <si>
    <t>La Paz, Los Cabos, Comondú, Loreto y Mulege.</t>
  </si>
  <si>
    <t>Se registraron fuertes lluvias en los municipios mensionados, dejando como consecuencia 1 persona muerta</t>
  </si>
  <si>
    <t>El Llano,  Aguascalientes y Calvillo</t>
  </si>
  <si>
    <t>Se registraron fuertes lluvias en los municipios mensionados, dejando como consecuencia que 5292 personas fueran evacuadas</t>
  </si>
  <si>
    <t>San Luis Potosi</t>
  </si>
  <si>
    <t>Se registraron fuertes lluvias en el municipio mensionado, dejando como consecuencia 2 personas muertas</t>
  </si>
  <si>
    <t>Se registro inundación atípica los 3 días de la contongencia y lluvia extrema el 27, por lo que fue necesario implementar 88 acciones por parte de la sCT 5 a nivel federal y 83 a nivel estatal</t>
  </si>
  <si>
    <t>Se registraron fuertes lluvias que afectaron a caminos y transporte, por lo que fue necesaria la implementación de 15 acciones de restauración 7 a nivel federal y 8 a nivel estatal</t>
  </si>
  <si>
    <t>Naucalpan, Ecatepec, Tlanepantla y Metepec</t>
  </si>
  <si>
    <t>Se registraron fuertes lluvias en losl municipios mensionados, dejando como consecuencia 2 personas muertas</t>
  </si>
  <si>
    <t>Pinos, Ojo Caliente, Valparaiso, Fresnillo y Noria de Ángeles</t>
  </si>
  <si>
    <t>Se presentaron fuertes lluvias en los municipios mencionados dejando grandes afectaciones</t>
  </si>
  <si>
    <t>Acaponeta, Rosamorada, Ruiz, San Blas, Santiago Ixcuintla, Tecuala y Tuxpam</t>
  </si>
  <si>
    <t xml:space="preserve">Se registraron severas inundaciones en el estado de Nayarit afectando a más de 1,500 productores de Sandia, Maiz, Sorgo, Platano. Papaya, Coco y Limon. El PACC apoyó con poco más de 7 millones de pesos. La superficie afectada superó las 4 mil hectáreas </t>
  </si>
  <si>
    <t>Se registraron fuertes lluvias dejando grandes afectacione en las viviendas</t>
  </si>
  <si>
    <t>Se registraron fuertes lluvias en el municipio mensionado, con penetración de agua en 26 viviendas y daños en 26 vehículos. Se evacuaron a 26 familias preventivamente.</t>
  </si>
  <si>
    <t>San Cristóbal de las Casas, Ocosingo, Oxchuc, San Fernando y Soconusco</t>
  </si>
  <si>
    <t>Buenaventura, Sabinas, Sacramento, Nueva Rrosita y Nadadores</t>
  </si>
  <si>
    <t>El río Álamo incremento su nivel, evacuaron del Mpio de nadadores y de  sabinas</t>
  </si>
  <si>
    <t xml:space="preserve">Ahumada, Aldama, Allende, Balleza, Belisario Domínguez, Camargo, Carichi, Chihuahua, Coronado, Coyame, Delicias, El Tule, Guachochi, Hidalgo del Parral, Huejotitan, Jiménez, Julimes, La Cruz, López, Manuel Benavides, Matachi, Matamoros, Meoqui, Nonoava, Ojinaga, Rosales, Santa Bárbara, San Francisco de Borja, San Francisco de Conchos, San Francisco del Oro, Satevo y Saucillo, Valle de Zaragoza, Valle del Rosario. </t>
  </si>
  <si>
    <t>Se presentaron fuertes lluvias dejando 2,500 viviendas afectadas y 3 personas muertas</t>
  </si>
  <si>
    <t>Allende, Coronado, Hidalgo del Parral, Jimenez, Lopez, Matamoros y Santa Barbara</t>
  </si>
  <si>
    <t>Se registraron fuertes lluvias entre el 29 y 31 de agosto, causando severas afectaciones en el sector agrícola. Mas de  729 productores afectados, 1500 hectareas de maíz, frijol, sorgo, alfalfa y nogal afectadas. El PACC apoyo con 1.6 millones de pesos aproximadamente. La producción afectada se estimo en más de 20 mil toneladas, la mayoría de alfalfa.</t>
  </si>
  <si>
    <t>Satevo</t>
  </si>
  <si>
    <t>Se registraron fuertes lluvias entre el 29 y 31 de agosto. Mas de 133 productores sufrieron afectaciones en aproximadamente 227 hectáreas de maíz y sorgo. El PACC los apoyo con 204 mil pesos aproximadamente, la producción afectada se estimo en  cerca de 780 toneladas.</t>
  </si>
  <si>
    <t>Se presentaron fuertes lluvias  e inundación , por lo que fue necesario implementar 8 acciones de restauración en caminos y transporte 3 a nivel federal, 5 estatal; 35 por parte de CONAGUA estatal y 2 de hidroag. Fed</t>
  </si>
  <si>
    <t>Se presentaron fuertes lluvias  e inundación , por lo que fue necesario implementar 39 acciones de restauración en caminos y transporte 12 a nivel federal, 27 estatal; 22 por parte de CONAGUA estatal y 51 de hidroag. Fed</t>
  </si>
  <si>
    <t>San Sebastián y Mezquitic</t>
  </si>
  <si>
    <t>Se presentaron fuertes lluvias dejando  5 personas muertas</t>
  </si>
  <si>
    <t>Penjamillo, Numarán y La Piedad</t>
  </si>
  <si>
    <t>Se registraron fuertes lluvias dejando 40 casas destruidas</t>
  </si>
  <si>
    <t>Los días 4 y 5 de septiembre se registro una inundaci´ón atñipica en el estado de Nuevo León afectando 2 municipios, 93 viviendas; además de tener que realizarse 17 obras por parte de SCT estatal</t>
  </si>
  <si>
    <t>Tuxpan, Santiago, San Blas y Rosamorada</t>
  </si>
  <si>
    <t>Se registraron fuertes lluvias dejando grandes afectaciones</t>
  </si>
  <si>
    <t>San Dionisio del Mar, San Francisco Ixhuatan, San Francisco del Mar.</t>
  </si>
  <si>
    <t>Se presentaron fuertes lluvias dejando graves afectaciones</t>
  </si>
  <si>
    <t>varios municipios (13)</t>
  </si>
  <si>
    <t>Se presentaron lluvias extremas el día 7 e inundación atípica del 5 a 8, por lo que CINAGUA realizo 23 acciones de restauración (3 estatal y 20 municipal), mientras que la SCT estatal realizo 47 acciones</t>
  </si>
  <si>
    <t>Acayucan, Acula, Agua Dulce, Alvarado, Ángel R. Cabada, Boca del Río, Catemaco, Cotaxtla, Isla, Hueyapan de Ocampo, Chacaltianguis, Jesús Carranza, Lerdo de Tejada, Medellín de Bravo, Otatitlán, Pajapan, Saltabarranca, San Andrés Tuxtla, Santiago Tuxtla, Sayula de Alemán, Soledad de Doblado, Tierra Blanca, Tlacojalpan, Tlalixcoyan, Jalapa  y Veracruz</t>
  </si>
  <si>
    <t xml:space="preserve">se reportaron fuertes lluvias en los municipios antes mencionados dejando graves afectaciones </t>
  </si>
  <si>
    <t>Ometepec y Marquelia</t>
  </si>
  <si>
    <t>Los niveles del río Santa Catarina rebasaron su limite, desbordándose afectando 44 viviendas</t>
  </si>
  <si>
    <t>Empalme, Guaymas, Cajeme, Huatabampo, Navojoa, Etchojoa, Benito Juárez y Álamos</t>
  </si>
  <si>
    <t>Los remanentes de Lowell provocaron fuertes lluvias e inundaciones atipìcas en 8 municipios de Sonora mismas que dejaron severos daños en la infraestructura del estado y en los bienes de la población. La CONAGUA realizo 46 acciones de restauración y SCT 26 a nivel estatal</t>
  </si>
  <si>
    <t>Se presentaron fuertes lluvias e inundaciones en los dias señalados, dejando un total de 1554 viviendas afectadas, además de tener que realizar 9 acciones por parte de la SCT (4 estatal, 5 municipal) y 38 acciones por parte de CONAGUA municipal</t>
  </si>
  <si>
    <t>Choix y Ahome</t>
  </si>
  <si>
    <t>A consecuencia de las severas inundaciones, se presentaron daños en cerca de 7,200 hectáreas de cultivo de ajonjolí, maíz y sandía, siendo el primero el más afectado. Más de 1,400 productores se vieron afectados, mismos que recibieron alrededor de 6.5 millones de pesos del PACC para reactivar su economía</t>
  </si>
  <si>
    <t>Se presentaron fuertes lluvias dejando 90 viviendas con penetración de agua</t>
  </si>
  <si>
    <t>Villa de Arriaga, Tamuin, CD. Valles y Tamazunchale</t>
  </si>
  <si>
    <t>Se presentaron fuertes lluvias dejando 12 viviendas con penetración de agua</t>
  </si>
  <si>
    <t>Ahome y Guasave</t>
  </si>
  <si>
    <t>Juchitan</t>
  </si>
  <si>
    <t>Se reportaron fuertes lluvias resultando incomunicada la comunidad Vista Hermosa 80 personas (25 familias) afectadas.</t>
  </si>
  <si>
    <t>SE registraron fuertes lluvias,  por lo que fue necesario realizar 39 acciones en caminos y carrteras estatales</t>
  </si>
  <si>
    <t>Poza Rica, Coatzintla, Tuxpan, Castillo De Teayo, Coyutla, Calcahualco, Pueblo Viejo</t>
  </si>
  <si>
    <t xml:space="preserve">Debido a las fuertes lluvias se registraron daños en más de mil hectáreas de maíz y Sorgo, afectando a 298 productores. El PACC destino apoyos por 900 mil pesos aproximadamente. La producción afectada se estimo en mas de 5,500 toneladas  </t>
  </si>
  <si>
    <t>Ayutla</t>
  </si>
  <si>
    <t>31 productores resultaron afectados por las intensas lluvias registradas en el municipio. Más de 100 hectáreas de Maiz resultaron afectadas. El PACC apoyo con 99 mil pesos a los productores con el fin de que reactivaran sus cultivos</t>
  </si>
  <si>
    <t>Guemes</t>
  </si>
  <si>
    <t>Alcahualco, Castillo de Teayo, Cerro Azul, Chicontepec, Citlaltépetl, Coatzacoalcos, Coatzintla, Coyutla, El Higo, Hueyapan de Ocampo, Mecatlán, Poza Rica, Pueblo Viejo Y Tihuatlán</t>
  </si>
  <si>
    <t>Tila, Pichucalco, Ostuacán</t>
  </si>
  <si>
    <t>Se presentaron fuertes lluvias dejando 32 viviendas con penetración de agua</t>
  </si>
  <si>
    <t>Penjamillo</t>
  </si>
  <si>
    <t xml:space="preserve">Se registraron afectaciones en cultivos de Sorgo y Maíz, los mas de 500 productores afectados fueron apoyados por el PACC con 1.4 millones de pesos. La produccion afectada se estimo en más de 7,500 toneladas </t>
  </si>
  <si>
    <t>Acayucan, Agua Dulce, Ángel R., Cabada, Atoyac, Catemaco, Chacaltianguis, Hidalgotitlan, Jaltipan, Jesús  Carranza, Las Choapas, Lerdo de Tejada, Minatitlán,  Moloacan, Saltabarranca, San Andrés Tuxtla, Santiago Tuxtla, Sayula de Alemán, Texistepec, Tlalcojalpan y Uxpanapa</t>
  </si>
  <si>
    <t>Se registraron fuertes lluvias en los municipios mencionados</t>
  </si>
  <si>
    <t>Jaltipan, Hidalgotitlan, Jesus Carranza, Las Choapas, Minatitlan, Texistepec y Uxpanapa</t>
  </si>
  <si>
    <t>El día 20 se registraron fuertes lluvias, y del 19 al 22 se presento inundación atípica, se realizaron 9 acciones de restauración por parte de CONAGUA (6 municipal, 3 hidroag. Est.) y por CONAFOR (forestal est.) 5 acciones</t>
  </si>
  <si>
    <t>Se registraron fuertes lluvias, mismas que causaron la muerte de una persona</t>
  </si>
  <si>
    <t>Los dias 24 y 25 se presentaron lluvias extremas y del 22 al 26 inundaciones atípicas, por lo que fue necesario  realizar 143 acciones de restauración por parte de SCT (6 federal y 137 estatal); CONAGUA realizo 50 (40 estatal y 10 municipal)</t>
  </si>
  <si>
    <t>las lluvias extremas registradas dejaron grandes afectaciones, por lo que fue necesario realizar  140 acciones de restauración en carreteras estatales</t>
  </si>
  <si>
    <t>Coatepec, Xalapa, Mariano Escobedo y Minatitlán</t>
  </si>
  <si>
    <t>Tuxtepec, San José Chiltepec, Ayotzintepec, Santa María Jacatepec, Santiago Jocotepec</t>
  </si>
  <si>
    <t>Se registraron  fuertes lluvias dejando un gran numero de viviendas afectadas</t>
  </si>
  <si>
    <t>Balancán, Cárdenas, Centla, Centro, Comalcalco, Cunduacán, Emiliano Zapata, Huimanguillo, Jalapa, Jalpa de Méndez, Jonuta, Macuspana, Nacajuca, Paraíso, Tacotalpan, Teapa y Tenosique.</t>
  </si>
  <si>
    <t>Se registraron lluvias extremas en varios municipios del estado. Se realizó una evlauacion de daños entre el CENAPRED y la CEPAL. Miles de personas resultaron afectadas</t>
  </si>
  <si>
    <t>Región Norte, Selva y Fronteriza</t>
  </si>
  <si>
    <t>Se registraron  fuertes lluvias dejando un gran numero de afectaciones a su paso</t>
  </si>
  <si>
    <t>Alto Lucero, Banderilla, Coacoatzintla, Colipa, Juchique de Ferrer, Misantla, Naolinco, Xalapa, Vega de la Torre y Yecuatla.</t>
  </si>
  <si>
    <t>Atoyac de Álvarez, Taxco de Alarcón</t>
  </si>
  <si>
    <t>SE presentaron grande lluvias, acompañadas con fuertes vientos</t>
  </si>
  <si>
    <t>Ahome, El Fuerte  y Guasave</t>
  </si>
  <si>
    <t>Se registraron  fuertes lluvias dejando un gran numero de personas afectadas</t>
  </si>
  <si>
    <t>Alamos, Etchojoa, Huatabampo y Navojoa</t>
  </si>
  <si>
    <t xml:space="preserve">Se presentaron fuertes lluvias, dejando un total de 828 viviendas afectadas, además de tener que realizar 15 acciones por parte de la SCT estatal </t>
  </si>
  <si>
    <t>La Paz,  Loreto, Comundu</t>
  </si>
  <si>
    <t>Debido al impacto del huracán Norbert, se registraron  fuertes lluvias dejando un gran numero de personas afectadas,se realizaron 12 acciones de restauración por parte de  la SCT  (6 estal y 6 federal) y 14 por la SEMAR federal</t>
  </si>
  <si>
    <t>Acapulco, Atoyac y Ayutla</t>
  </si>
  <si>
    <t>Una lluvia intensa registrada el 11 de octubre causo afectaciones en cultivos de platano, maiz, frijol y chile pertenecientes a 421 productores. El PACC apoyó con 620 mil pesos. La prodcción afectada se estimo en mas de 2,200 toneladas de diferentes cultivos.</t>
  </si>
  <si>
    <t>Cazones de Herrera, Papantla, Poza Rica, Tuxpan, Ixhuatlán de Madero, Alamo Temapache, Coatzintla, Tantoyuca, Platon Sánchez, Chontla, Angel R. Cabada, Santiago Tuxtla, San Andrés Tuxtla,Hueyapan de Ocampo, Catemaco, Lerdo de Tejada, Saltabarranca, Pajapan y Atzalan.</t>
  </si>
  <si>
    <t>Se registraron fuertes lluvias e inundacions dejando grande afectaciones en los municipios mencionados anteriormente</t>
  </si>
  <si>
    <t>Suchiate, Mazatán, Salto de Agua, Playas de Catazajá, Benemérito de Las Américas</t>
  </si>
  <si>
    <t>Chicoasen</t>
  </si>
  <si>
    <t xml:space="preserve">Se registraron severas lluvias entre el 17 y 28 de octubre, mismas que ocasionaron afectaciones en mas de 500 hectáreas de maiz pertenecientes a 324 productores. El PACC apoyo con 468 mil pesos aproximadamente. La producción afectada se estimo en cerca de 1,100 toneladas  </t>
  </si>
  <si>
    <t>Mapastepec y Tonala</t>
  </si>
  <si>
    <t xml:space="preserve">Debido a las fuertes lluvias se registraron daños en cerca de 1,700 hectáreas de Maíz, Sorgo, Mango, Café y Palma de Aceite. Los mas de mil productores afectados fueron apoyados através de PACC con 3.8 millones de pesos aproximadamente con el fin de reactivar su producción.  </t>
  </si>
  <si>
    <t>Calakmul, Candelaria y Palizada</t>
  </si>
  <si>
    <t>Se reportan fuertes lluvias dejando afectando a 59 habitante  en los distintos municipios</t>
  </si>
  <si>
    <t>Se registraron fuertes lluvias e inundacions dejando grande afectaciones en el municipio mencionado anteriormente</t>
  </si>
  <si>
    <t>Villa Corzo y Villaflores</t>
  </si>
  <si>
    <t xml:space="preserve">La sequia ocasiono daños en aproximadamente 16 mil hectareas. El monto real de los daños se estimo en 141 millones de pesos aproximadamente, sin embargo únicamente se tomaran en cuenta los apoyos del PACC, ya que fue el impacto que tuvo el desastre en el presupuesto de 2008 </t>
  </si>
  <si>
    <t>PACC</t>
  </si>
  <si>
    <t>La Yesca</t>
  </si>
  <si>
    <t xml:space="preserve">La sequia ocasiono daños en aproximadamente 900 hectareas. El monto real de los daños se estimo en 10.1 millones de pesos aproximadamente, sin embargo únicamente se tomaran en cuenta los apoyos del PACC, ya que fue el impacto que tuvo el desastre en el presupuesto de 2008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</si>
  <si>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</si>
  <si>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 xml:space="preserve">La sequia ocasiono daños en aproximadamente 52,838 hectareas. El monto real de los daños se estimo en 191  millones de pesos aproximadamente, sin embargo únicamente se tomaran en cuenta los apoyos del PACC, ya que fue el impacto que tuvo el desastre en el presupuesto de 2008 </t>
  </si>
  <si>
    <t>Tumbiscatio</t>
  </si>
  <si>
    <t xml:space="preserve">Debido a la sequia se registraron afectaciones en 2,700 hectareas de maiz y sorgo. El PACC apoyo con 2.4 millones de pesos, sin embargo los daños reales fueron superiores  </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</si>
  <si>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</si>
  <si>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</si>
  <si>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</si>
  <si>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</si>
  <si>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Bajas temperaturas</t>
  </si>
  <si>
    <t>Se registraron 5 muertes a consecuencia de las bajas temperaturas. 2 por hipotermia, 2 por intoxocación con monóxido de carbono y uno más por quemaduras</t>
  </si>
  <si>
    <t>Se registraron 4 muertes a consecuencia de las bajas temperaturas. 3 por hipotermia, 1  por intoxocación con monóxido de carbono</t>
  </si>
  <si>
    <t>SS/FONDEN</t>
  </si>
  <si>
    <t>Debido a las bajas temperaturas se apoyo a la población con despensas, cobertores, colchonetas y laminas</t>
  </si>
  <si>
    <t>Se registraron 32 muertes a consecuencia de las bajas temperaturas. 16 por hipotermia, 16  por intoxocación con monóxido de carbono</t>
  </si>
  <si>
    <t>Se registraron 4 muertes a consecuencia de las bajas temperaturas. todas por hipotermia</t>
  </si>
  <si>
    <t>Se registro una persona fallecida a consecuencia de las bajas temperaturas. La muerte fue por hipotermia</t>
  </si>
  <si>
    <t>Se registraron dos muertes por bajas temperaturas en Oaxaca, una por intoxocación con monoxico de carbono y otra mas por quemaduras</t>
  </si>
  <si>
    <t>Se registraron 7 muertes a consecuencia de las bajas temperaturas. 2 por hipotermia y 5  por intoxocación con monóxido de carbono</t>
  </si>
  <si>
    <t>Se registro una persona fallecida a consecuencia de las bajas temperaturas. La muerte fue por intoxocacion con monoxico de carbono</t>
  </si>
  <si>
    <t>Se registraron dos muertes por bajas temeraturas, ambas a consecuencia de intoxicación con monoxido de carbono</t>
  </si>
  <si>
    <t>Se registraron 12 personas fallecidas como consecuencia de las bajas temperaturas, 5 relacionadas con hipotermia y 7 con intoxicación por monoxico de carbono</t>
  </si>
  <si>
    <t>Putla de Guerrero, Juquila y San Pedro Mixtepec</t>
  </si>
  <si>
    <t>Se registraron fuertes vientos en diversas comunidades, resultando afectadas un total de 25 viviendas de material endeble</t>
  </si>
  <si>
    <t>Debido a los fuertes vientos se registro la caída de 140 árboles, cables de energía eléctrica, mas de 60 anuncios espectaculares, 31 vehículos, 5 viviendas. Una persona perdio la vida cuando un árbol cayó sobre su vehículo y otra mas por el impacto de un espectacular</t>
  </si>
  <si>
    <t>Se registraron fuertes nevadas ocasionando que varios vehículos quedaran varados en el tramo carretero Tecate-Rumorosa, los ocupantes fueron rescatados.</t>
  </si>
  <si>
    <t>Casas Grandes, Janos, Madera, Nuevo Casas Grandes e Ignacio Zaragoza</t>
  </si>
  <si>
    <t xml:space="preserve">Se registrò el cierre de carreteras por algunas horas en los municipios mencionados debido a las fuiertes nevadas que impactaron el estado. </t>
  </si>
  <si>
    <t>Torreon</t>
  </si>
  <si>
    <t>Se registraron vientos de hasta 50 km por hora, ocasionando la caída de 40 árboles, y afectando el sumnistrro de energía eléctrica de unas 20 colonias</t>
  </si>
  <si>
    <t>Monterrey, San Pedro Garza Garcia, San Nicolas de los Garza, Escobedo y Santa Catarina</t>
  </si>
  <si>
    <t>Se registraron fuertes vientos en la zona metropolitana de la ciudad de Monterrey que causaron daños en ventanas de algunas escuelas, 225 postes de energìa elèctrica caídos, 163 anuncios espectaculares, 612 árboles, 122 vehículos dañados, 85 comercios, 200 semáforos y 177 viviendas. Además se suspendió el suministro de energía eléctrica en algunas zonas de la ciudad afectando a 327 mil usuarios. Se reportaron 3 personas fallecidas</t>
  </si>
  <si>
    <t>Se registraron fuertes vientos que provocaron la caida de varios árboles, anuncios espectaculares y bardas. Se reportaron once personas lesionadas a consecuencia del fenomeno. Los vientos alcanzaron los 85 km/h con rachas de hasta 95km/h</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</si>
  <si>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</si>
  <si>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árboles y anuncios espectaculares caidos y tres personas lesionadas</t>
  </si>
  <si>
    <t>Los fuertes vientos provocaron la caida de varios arboles. Se reportaron dos personas lesionadas y 30 viviendas destechadas</t>
  </si>
  <si>
    <t>San Nicolas del los Ranchos</t>
  </si>
  <si>
    <t>Se registro una fuerte granizada en la cabecera municipal. Diez viviendas presentaron daños en sus techos. Se apoyo a la población afectada con láminas de cartón, despensas y material de cobijo</t>
  </si>
  <si>
    <t>Xicotencatl</t>
  </si>
  <si>
    <t>Debido a los fuertes vientos se presentaron daños en las techumbres de 17 viviendas, así como otras 14 viviendas con daños en su estructura. Además tres automóviles fueron afectados.</t>
  </si>
  <si>
    <t>Se reportaron vientos de más de 50 km/h afectando los techos de cinco viviendas.</t>
  </si>
  <si>
    <t>Tlahuilatepa, El Cardonal, Metztitlán y Nopala de Villagrán</t>
  </si>
  <si>
    <t>Se registro una fuerte granizada afectando los techos de 263 viviendas, además dos personas perdieron la vida al ser impactadas por un rayo.</t>
  </si>
  <si>
    <t>Quimixtlan</t>
  </si>
  <si>
    <t>Debido a la fuerte granizada se reportaron daños en 300 viviendas</t>
  </si>
  <si>
    <t>Se registro una tormenta electrica en el municipi omencionado, desafortunadamente una persona perdio la vida y dos mas resultaron heridas al ser impactadas por un rayo</t>
  </si>
  <si>
    <t>Paso del Macho</t>
  </si>
  <si>
    <t>Debido a una granizada se presentaron daños en los techos de 20 viviendas</t>
  </si>
  <si>
    <t>Coetzala</t>
  </si>
  <si>
    <t>Se reportaron daños en los techos de 220 viviendas debido al granizo. Las familas afectadas fueron apoyadas con láminas de cartón, despemnsas y material de cobijo</t>
  </si>
  <si>
    <t>Tamuin</t>
  </si>
  <si>
    <t>Se reporta la muerte de una persona por golpe de calor debido a las altas temperaturas</t>
  </si>
  <si>
    <t>Madera</t>
  </si>
  <si>
    <t>Debido a las fuertes vientos se reportaron daños en los techos de dos viviendas</t>
  </si>
  <si>
    <t>Meoqui</t>
  </si>
  <si>
    <t>Se registraron fuertes vientos en el municipio ocasionando daños en los techos de 15 viviendas</t>
  </si>
  <si>
    <t>Se registraron fuertes vientos, mismos que causaron daños en los techos de dos escuelas primarias</t>
  </si>
  <si>
    <t>Se reporta una persona fallecida por impacto de rayo.</t>
  </si>
  <si>
    <t>Panuco de Coronado</t>
  </si>
  <si>
    <t>Se registro una fuerte granizada en el municipio mencionado causando severos daños en la actividad agrícola. Aunque los daños reales superaron los 3 millones de pesos, únicamente se tomaran en cuenta los apoyos otorgados por El PACC, ya que el fenómeno ocurrió en el 2007, pero el apoyo fue liberado hasta el 2008, impactando directamente en el presupesto de este último</t>
  </si>
  <si>
    <t>Se realizaba un partido de futbol entre elementos de Protección Civil del municipio y H. C. de Bomberos.</t>
  </si>
  <si>
    <t>Uruachi</t>
  </si>
  <si>
    <t>Se registro una fuerte granizada, misma que afecto mas de 230 hectáreas de maíz pertenecientes a 132 productores. Estas fueron apoyadas por el PACC con 209 mil pesos aproximadamente sin embargo el monto real de daños fue mayor. La producción afectada se estimo en 162.8 toneladas aproximadamente</t>
  </si>
  <si>
    <t>Jimenez</t>
  </si>
  <si>
    <t>Se registro una fuerte granizada, misma que afecto mas de 900 hectáreas de maíz pertenecientes a 231 productores. Estas fueron apoyadas por el PACC con 483 mil pesos aproximadamente sin embargo el monto real de daños fue mayor. La producción afectada se estimo en 3,318 toneladas aproximadamente</t>
  </si>
  <si>
    <t>Se reporto una tormenta electrica que daja como consecuencia el fallecimiento de dos menores</t>
  </si>
  <si>
    <t xml:space="preserve">Se reportaron fuertes vientos dejando a su paso grandes afectaciones </t>
  </si>
  <si>
    <t>Chilapa de Álvarez, Acatepec, Atlanajalcingo del Monte y Zapotitlán.</t>
  </si>
  <si>
    <t>Se reportaron fuertes vientos dejando a su paso grandes afectaciones en un gran  número de viviendas</t>
  </si>
  <si>
    <t>Veracruz, Xalapa, Tecolutla, Cazones, Tamiahua, Boca del Río</t>
  </si>
  <si>
    <t>Se registrarón fuertes vientos debido al Frente Frío "16". Se reportaron 2 personas lesionadas</t>
  </si>
  <si>
    <t>Salina Cruz, Ixtaltepec, Tehuantepec, Juchitan de Zaragoza, Unión Hidalgo, San Dionisio del Mar, Santiago Niltepec, Zanatepec, Oaxaca, Pinotepa Nacional, Jamiltepec, Tuxtepec, Ixtepec, Cañada, Matias Romero, Tapanatepec, Palomares, Ciudad Ixtepec y María Lombardo</t>
  </si>
  <si>
    <t>Se registró un sismo de 6.6 grados en la escala de Richter, el cual afecto diversos municipios del estado. Las principales afectaciones fueron las siguientes: 1,394 viviendas, 49 escuelas, 31 templos y 12 edificios públicos.</t>
  </si>
  <si>
    <t>El sismo registrado en el estado de Oaxaca también ocasiono algunos percances en el vecino estado de Guerrero, en dónde se registró el derrumbe de una vivienda ocasionando lesiones a una persona que se encontraba en su interior.</t>
  </si>
  <si>
    <t>Se reporto el hundimiento de suelo en parte del fraccionamiento Tezontepec, mismo que afecto en su estructura a ocho viviendas. Como medida preventiva se evacuo a las familias afectadas</t>
  </si>
  <si>
    <t>Tapisca</t>
  </si>
  <si>
    <t>Se registro el derrumbe de varias rocas, una de las cuales cayó sobre una vivienda ocasionando la muerte de dos personas</t>
  </si>
  <si>
    <t>Hueytlalpan</t>
  </si>
  <si>
    <t>Se registró el derrumbe de una piedra de mas de 20 toneladas sobre una vivienda causando la muerte de una persona y lesiones a otra</t>
  </si>
  <si>
    <t>Tlalchinol</t>
  </si>
  <si>
    <t>Se registro un deslizamiento que bloqueo la carretera Tampico-México. Se suspendió el transito en la zona por varias horas</t>
  </si>
  <si>
    <t>Se registro un deslizamiento en la autopista, misma que ocasionó un accidente en el cual una persona perdio la vida y tres mas resultaron heridas</t>
  </si>
  <si>
    <t>Chocaman</t>
  </si>
  <si>
    <t>se registro un deslave de tierra y lodo proveniente de un banco de arena, esto mantiene en riesgo a las familias que habitan cerca del lugar, se afecto directamente a 2 familias, lo que provoco su evacuación</t>
  </si>
  <si>
    <t>Tlanchinol</t>
  </si>
  <si>
    <t>Debido a la saturación de humedad en la ladera en el Km. 153 se registro un deslizamiento de suelo atrapando a un taxi</t>
  </si>
  <si>
    <t>Pabellón de Arteaga</t>
  </si>
  <si>
    <t>Se reporta una grieta en una planta tratadora de agua</t>
  </si>
  <si>
    <t>Se repotan fuertes lluvias que provcaron derrumbes, dejndo como consecuencia el fallecimiento de 3 personas</t>
  </si>
  <si>
    <t>Se registro un deslave afectando un m,unicipio del estado de Veracruz</t>
  </si>
  <si>
    <t>Huautla  Jiménez</t>
  </si>
  <si>
    <t>Se reporto el hundimiento de suelo dejando 2 Muertos, 5 lesionados y 2 desaparecidos</t>
  </si>
  <si>
    <t>Se registraron 22 incendios en varios municipio del estado</t>
  </si>
  <si>
    <t>Se registraron 242 incendios en varios municipios del estado</t>
  </si>
  <si>
    <t>Se registraron 10 incendios en varios municipios del estado</t>
  </si>
  <si>
    <t>Se registraron 42 incendios en varios municipios del estado</t>
  </si>
  <si>
    <t>Se registraron 172 incendios en varios municipios del estado</t>
  </si>
  <si>
    <t>Se registraron 59 incendios en varios municipios del estado</t>
  </si>
  <si>
    <t>Se registraron 333 incendios en varios municipios del estado</t>
  </si>
  <si>
    <t>Se registraron 1,153 incendios en varios municiios del estado</t>
  </si>
  <si>
    <t>Se registraron mil incendios en varios muncipios del estado</t>
  </si>
  <si>
    <t>Se registraron 138 incendios en varios municipios del estado</t>
  </si>
  <si>
    <t>Se registraron 45 incendios en varios municipios del estado</t>
  </si>
  <si>
    <t>Se registraron 251 incendios en varios municipios del estado</t>
  </si>
  <si>
    <t>Se registraron 274 incendios en varios municipios del estado</t>
  </si>
  <si>
    <t>Se registraron 625 incendios en varios municipios del estado</t>
  </si>
  <si>
    <t>Se registraron 1671 incendios en varios municipios del estado</t>
  </si>
  <si>
    <t>Se registraron 1236 incendios en varios municipios del estado</t>
  </si>
  <si>
    <t>Se registraron 219 incendios en varios municipios del estado</t>
  </si>
  <si>
    <t>Se registraron 161 incendios en varios municipios del estado</t>
  </si>
  <si>
    <t>Se registraron 57 incendios en varios municipios del estado</t>
  </si>
  <si>
    <t>Se registraron 442 incendios en varios municipios del estado</t>
  </si>
  <si>
    <t>Se registraron 151 incendios en varios municipios del estado</t>
  </si>
  <si>
    <t>Se registraron 212 incendios en varios municipios del estado</t>
  </si>
  <si>
    <t>Se registraron 160 incendios en varios municipios del estado</t>
  </si>
  <si>
    <t>Se registraron 85 incendios en varios municipios del estado</t>
  </si>
  <si>
    <t>Se registraron 56 incendios en varios municipios del estado</t>
  </si>
  <si>
    <t>Se registraron 34 incendios en varios municipios del estado</t>
  </si>
  <si>
    <t>Se registraron 206 incendios en varios municipios del estado</t>
  </si>
  <si>
    <t>Se registraron 253 incendios en varios municipios del estado</t>
  </si>
  <si>
    <t>Se registraron 100 incendios en varios municipios del estado</t>
  </si>
  <si>
    <t>Se registraron siete incendios en varios municipios del estado</t>
  </si>
  <si>
    <t>Merida</t>
  </si>
  <si>
    <t>Se registró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pública.</t>
  </si>
  <si>
    <t xml:space="preserve">Se registró un incendio en una fabrica de tenis, fue necesario evacuar a 150 personas de 22 viviendas que se encontraban cerca del incidente </t>
  </si>
  <si>
    <t>Se registrò un incendio en la cabina de un camiòn cisterna en el tramo Apaseo el Alto-Queretaro. Se reporta una persona lesionada</t>
  </si>
  <si>
    <t>Se registró un incendio comercial a consecuencia de un corto circuito, se reporta una persona lesionada y un autoóvil dañoado totalmente</t>
  </si>
  <si>
    <t>Se registró un incendio en un centro comercial Bodega Aurrera ubicado en el primer cuadro del municipio, como medida preventiva se evacuó a tres familias con domicilios cercanos al incendio</t>
  </si>
  <si>
    <t>Tlajomulco de Zuñiga</t>
  </si>
  <si>
    <t xml:space="preserve">Se registrò un incendio industrial en la colonia Tulipanes, afectando un àrea de 300 metros cuadrados. En el siniestro se reportó pérdida total de maquinaría y materiales. La industria afectada fue Presto S.A. de C.V. </t>
  </si>
  <si>
    <t>Rayon</t>
  </si>
  <si>
    <t>Se reporto un incendio en una casa particular, no se registraron perdidas humanas.</t>
  </si>
  <si>
    <t>Se registro un incendio en una pensión en donde se encontraban dos trailers que contenia gasolina, como medida preventiva se evacuò a 80 familias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</si>
  <si>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</si>
  <si>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</si>
  <si>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</si>
  <si>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registró un incendio en un basurero quemandose un total de 11 hectáreas de basura. 350 personas trabajan en la extinción del siniestro</t>
  </si>
  <si>
    <t>Se registro un incendio en el mercado Morelos en la delegación mencionada. No se reportan daños humanos, únicamente dos locales comerciales reutaron con pérdida total</t>
  </si>
  <si>
    <t>Se registro un incendio en un jardin de niños resultando 5 menores con lesiones menores</t>
  </si>
  <si>
    <t>Se registro el incendio del tiradero municipal, se reportan 3 hectáreas de basura quemadas, mismas que han provocado una fuerte emanación de contaminantes</t>
  </si>
  <si>
    <t>Se registró un incendio en la central de abastos en el cual 60 locales presentaron daños. Afortunadamente no se reportan pérdidas humanas</t>
  </si>
  <si>
    <t>Se registro un incendio comercial en el centro histórico de la ciudad, se reportan dos personas lesionadas así como dos comercios con pérdida total</t>
  </si>
  <si>
    <t>Cancún</t>
  </si>
  <si>
    <t>Se registro un incendio comercial en la Comercial Mexicana, se reporta 3 bomberos intoxicados, así como la pérdida total del inmueble</t>
  </si>
  <si>
    <t>Tepeji del Río</t>
  </si>
  <si>
    <t>Se registro un incendio  en un parque industrial en la zona de hornos, dejando 2 muertos y 7 lesionados</t>
  </si>
  <si>
    <t>Se registro un incendio debido a un corto circuito dejando una persona muerta y 8 viviendas destruidas</t>
  </si>
  <si>
    <t>Se registro un incendio de 9 viviendas, por un posible corto circuito</t>
  </si>
  <si>
    <t>Ciudad Serdan</t>
  </si>
  <si>
    <t>Se reporta la explosión de juegos pirotécnicos almacenados en una escuela primaria, provocando la muerte de una persona y lesionando a 5 más, así mismo se registraron daños en dos aulas del plantel educativo</t>
  </si>
  <si>
    <t>Amealco de Bonfil</t>
  </si>
  <si>
    <t>Se reportó la caída de un castillo de artificios pirotécnicos en festejos patronales, se reportan 31 personas lesionadas</t>
  </si>
  <si>
    <t>Tixtla</t>
  </si>
  <si>
    <t>Explosión de una vivienda en la que se fabricaban artificios pirotécnicos. Una persona resulto lesionada y una más perdió la vida</t>
  </si>
  <si>
    <t>Mariano Escobedo</t>
  </si>
  <si>
    <t>Se registrò la explosión de un artefacto mientras se realizaban labores de corte de caña, un menor perdio la vida y otra persona resulto lesionada. El artefacto exploó al ser golpeado por el hacha del menor.</t>
  </si>
  <si>
    <t xml:space="preserve">Se reportó la explosiòn de artificios pirotécticos en el municipio de Taxco, ya que unos que ya habían sido quemados cayeron sobre otros que estaban apagados. Se reportan 5 personas lesionadas </t>
  </si>
  <si>
    <t>Azcapotzalco</t>
  </si>
  <si>
    <t>Se registró una explosión en una vivienda por acumulacion de gas LP, No se reportaron personas lesionadas</t>
  </si>
  <si>
    <t>Teloloapan</t>
  </si>
  <si>
    <t>Se registrò una Explosión en una casa destiladora de mezcal y alcohol de caña, cuatro personas perdieron la vida, asì mismo se registró la pérdida total del inmueble y de una camioneta.</t>
  </si>
  <si>
    <t>Se registrò una explosiòn en un taller de pirotecnia que contaba con permiso de la SEDENA. No se reportan lesionados, ùnicamente se registro pèrdida total del taller</t>
  </si>
  <si>
    <t>Se registó una explosión en un contenedor que abastecóa de agua a la Secretaría de Finanzas. El incidente fue provocado por la falta de mantenimiento del Sistema de Hidroneumàtico. Cuatro personas resultaron lesionadas y se evacuò a un total de 300 personas</t>
  </si>
  <si>
    <t>Se registro una Explosión en una vivienda por acumulación de Gas L.P.Se reportan cuatro personas lesionadas y pérdida total de una camioneta de tres toneladas y daños severos en una vivienda</t>
  </si>
  <si>
    <t>Se registro la Explosión de un polvorin en la zona de la Saucera. La explosión ocurrió en un barril de pólvora resultando dos personas con quemaduras en 30% de su cuerpo</t>
  </si>
  <si>
    <t>Se registró la explosión de un polvorín clandestino, se desconocen las causas que originaron el fenómeno. Lamentablemente una persona perdió la vida y se registraron daños en una vivienda</t>
  </si>
  <si>
    <t>Ozumba</t>
  </si>
  <si>
    <t>Se registro la explosión de un cuarto donde se almacenaba pólvora para la fabricación de artificios pirotécnicos. Se reportan dos personas lesionadas con quemaduras de 1er y 2ndo grado en el 90% de su cuerpo.</t>
  </si>
  <si>
    <t>Se registro una Explosión en una mina de arena al momento de colocar una carga explosiva. Lamentablemente tres personas perdieron la vida</t>
  </si>
  <si>
    <t>Garcia</t>
  </si>
  <si>
    <t>Se registró una Explosión de en un comercio que se dedicaba al comercio de diversos productos entre los que se encontraba sosa, amoniaco y otros productos químicos. Veinte personas se intoxicaron a consecuencia del fenómneo</t>
  </si>
  <si>
    <t>Se registró una explosión en el complejo petroquímico la cangrejera en la planta fraccionadora y extractora de amoniaco, en un tanque de benceno en el que se registro una sobrepresion en la cupula del mismo, una persona perdio la vida</t>
  </si>
  <si>
    <t>Se reporto la explosión de un polvorín en el Barrio San Antonio, una persona resulto lesionada</t>
  </si>
  <si>
    <t>Se registro la Explosión de una granada cuando se realizaban practicas en los campos de la SEDENA, se reportan dos personas fallecidas y 10 lesionadas</t>
  </si>
  <si>
    <t>Se registraron dos Explosiónes en la Colonia Valencia, se desconoce la causa de las Explosiónes, sin embargo se reportaron 6 viviendas con daños parciales</t>
  </si>
  <si>
    <t>Tlapanala</t>
  </si>
  <si>
    <t>Se registró una explosión y posterior incendio en un taller de bicicletas, se reporta una persona fallecida, tres personas lesionadas, dos desaparecidos y un inmueble de tres niveles dañado</t>
  </si>
  <si>
    <t>Se registró una explosión en un municipio particular que almacenaba juegos pirotécnicos. Derivado de la explosión dos personas perdieron la vida y tres mas se encuentran lesionadas con quemaduras de entre el 30% y 70% del cuerpo.</t>
  </si>
  <si>
    <t>Se registró una explosión de una camioneta que transportaba juegos pirotécnicos para los festejos de la Santa Cruz, en el accidente 10 personas resultaron lesionadas</t>
  </si>
  <si>
    <t xml:space="preserve">Tehuacan </t>
  </si>
  <si>
    <t>Se registro la Explosión de una bodega en la cual se almacenaban productos pirotécnicos. Una persona perdio la vida y otra mas resulto lesionada</t>
  </si>
  <si>
    <t>Explosión de una alcantarilla en la que se encontraan residuos de Diesel. Una persona resulto lesionada</t>
  </si>
  <si>
    <t>Se registró la explosión de un tanque de almacenamiento cuando se llevaban a cabo labores de soldadura. Dos personas perdieron la vida y una mas resulto lesionada</t>
  </si>
  <si>
    <t>Se registro la explosión de un coheton en la fiesta de la Plaza Pino Suárez. Dos personas reslutaron lesionadas</t>
  </si>
  <si>
    <t>Se registró la explosión de un polvorín causando lesiones a una persona y provocando la muerte de otra</t>
  </si>
  <si>
    <t>Se registro una explosión de un polvorín resultando lesionada una persona</t>
  </si>
  <si>
    <t>Se reporto una explosión de Gas LP en el mercado municipal. El fenómeno provoco a su vez un incendio. En total se reportaron 12 viviendas afectadas y el mercado</t>
  </si>
  <si>
    <t>Se reporto una explosión en la cual resultaron lesionadas 7 personas. La explosión se dio por acumulación de Gas LP</t>
  </si>
  <si>
    <t>Se registro un flamazo cuando se realizaban trabajos de pintura en un aljibe. El acumulamiento de gases favorecio el flamazo. Se reportan dos personas muertas y dos mas lesionadas</t>
  </si>
  <si>
    <t>Amatlan de los Reyes</t>
  </si>
  <si>
    <t>Se registro una Explosión en una empresa arrocera, la Explosión ocurrio en la zona de claderas, se reportan 3 personas lesionadas</t>
  </si>
  <si>
    <t>Se registro la explosión de una bodega que almacenaba artificios pirotécnicos. Se reporta la muerte de dos personas y dos mas lesionadas</t>
  </si>
  <si>
    <t>Explosión de un polvorín, se desconocen las causas.</t>
  </si>
  <si>
    <t>La explosión se presento al realizar trabajos de soldadura en autotanques en las instalaciones de la empresa, los lesionados fueron llevados al Centro Médico Quirúrgico</t>
  </si>
  <si>
    <t>Explosión de un cilindro de gas lp de 20 kg. en las inmediaciones de la feria del mole.</t>
  </si>
  <si>
    <t>Seguridad Pública realizó cortes viales, y Protección Civil realizó la evacuación preventiva de edificios como el de la SEP que se encuentra en la zona afectada</t>
  </si>
  <si>
    <t>Jaltocan</t>
  </si>
  <si>
    <t>Se registro un explosión de juegos pirotecnicos ubicados en una vivienda de madera, donde desgraciadamente una menor resulto con quemaduras de 2º grado.</t>
  </si>
  <si>
    <t>Se presento una explosión  de un taller clandestino de pirotecnia en el Barrio de San Martín</t>
  </si>
  <si>
    <t>Explosión en el complejo petroquímico Morelos de PEMEX, hasta el momento se desconocen las causas del incidente.</t>
  </si>
  <si>
    <t>Reforma</t>
  </si>
  <si>
    <t>Se reporta la explosión de un tanque de desafogue FA-1800, el complejo petroquímico ya opera normalmente</t>
  </si>
  <si>
    <t>Palmar de Bravo</t>
  </si>
  <si>
    <t>Se reporta la explosión de un polvorín clandestino dejando 2 personas muertas</t>
  </si>
  <si>
    <t>Tlacolula de Matamoros</t>
  </si>
  <si>
    <t>Al  preparar fuegos pirotécnicos se produjo un chispazo originando la explosión de la cohetería</t>
  </si>
  <si>
    <t>San Francisco del Rincón</t>
  </si>
  <si>
    <t>Explosión de un local donde almacenaban y laboraban artificios pirotécnicos.</t>
  </si>
  <si>
    <t>Códoba</t>
  </si>
  <si>
    <t>Explosión de artificios pirotécnicos en 2 camionetas que los transportaban.</t>
  </si>
  <si>
    <t>Explosión por acumulación de gas Lp</t>
  </si>
  <si>
    <t>Mineral de Chico</t>
  </si>
  <si>
    <t>Explosión  Juegos Pirotécnicos</t>
  </si>
  <si>
    <t>Rí oBlanco</t>
  </si>
  <si>
    <t>Se registró un derrame en un ducto de 30' de PEMEX, reportandose un derrame de 300 mil litros de Diesel y afectando un área de 100 metros cuadrados. El incidente fue provocado por una toma clandestina del combustible. Como medida preventiva se evacuó a 350 personas</t>
  </si>
  <si>
    <t>Fue necesario evacuar a todo el personal de la Dirección General de Atención  Víctimas del Delito debido a un derrame de amoniaco en el edificio</t>
  </si>
  <si>
    <t>Papantla</t>
  </si>
  <si>
    <t>Se reporto un derrame de 120 mil litros de aceite originado por ua fisura en una línea de 12 pulgadas de diámetro en la comunidad de La Grandeza. El derrame afectó a un arroyo. PEMEX se encargó de las tareas de recolección y sanemiento de la zona afectada</t>
  </si>
  <si>
    <t>100 Personas atendidas por irritación de ojos y garganta, 23 con intoxicación fueron trasladaron al Hospital Civil y a una Clínica del IMSS</t>
  </si>
  <si>
    <t xml:space="preserve">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</si>
  <si>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asfáltica, por lo que fue cerrada la carretera al paso vehicular. </t>
  </si>
  <si>
    <t>Derrame de resina en la maquiladora de ensambles “Hidson” para la elaboración de plásticos, se reportan 19 personas intoxicadas</t>
  </si>
  <si>
    <t>Se registró una fuga de gas de un vehículo cisterna al romperse una válvula, fue necesario evacuar a 10 personas</t>
  </si>
  <si>
    <t>Copanatoyac</t>
  </si>
  <si>
    <t>Se reporto una fuga de gas que derivo en la muerte de tres menores de edad al inhalarlo</t>
  </si>
  <si>
    <t>Parras</t>
  </si>
  <si>
    <t>Se reportò una fuga de Gas en un gasoducto de PEMEX, esta fue controlada cerrando la vàlvula principal. Como medida preventiva se evacuò a 65 familias cercanas al lugar.</t>
  </si>
  <si>
    <t>Al realizar maniobras de recarga del tanque estacionario en las instalaciones del Metro Estación Constitución de 1917 se registro una fuga y sobrevino un flamazo, mismo que lesionò a una persona</t>
  </si>
  <si>
    <t>Se registró una fuga de Gas LP en una herrería, lo que provocó un flamazo y un incendio posterior. Derivado de lo anterior cuatro personas presentaron quemaduras de segundo grado</t>
  </si>
  <si>
    <t>Se registro una fuga de Gas LP que posteriormente ocasiono un flamazo en la Colonia San Francisco Chilpan. Se reportaron dos personas lesionadas</t>
  </si>
  <si>
    <t>Se reporto una fuga de ácido acético, en la planta Petrocel. Se atendio a 100 personas por irritación de ojos y garganta y 23 mas por intoxicación, mismas uq efueron atendidas en centros hospitalarios</t>
  </si>
  <si>
    <t>Nueva Ciudad Guerrero</t>
  </si>
  <si>
    <t>Se registró un accidente automóvilistico entre una pipa y una camioneta. Se reportan tres personas fallecidas. La pipa transportaba gasolina y se registró explosión en el percance.</t>
  </si>
  <si>
    <t>Cosamaloapan</t>
  </si>
  <si>
    <t>Se registró un accidente carretero en el cual se vió involucrada una pipa que transportaba 30 mil litros de combustoleo se reporto fuga del combustible</t>
  </si>
  <si>
    <t>Se registró un accidente de transporte entre dos trailers y dos camionetas reportandose cuatro personas fallecidas</t>
  </si>
  <si>
    <t>Tepango de Rodríguez</t>
  </si>
  <si>
    <t>Se reportó el desplome de un helicóptero en la Sierra norte del estado, seis personas perdieron la vida</t>
  </si>
  <si>
    <t>Se registró el impacto de 30 vehículos y 10 trailers debido a la neblina en la carretera Saltillo.Monterrey, se reportó la muerte de una persona así como 3 lesionados</t>
  </si>
  <si>
    <t>Nacajuca</t>
  </si>
  <si>
    <t>Accidente en la carretera Villahermosa-Nacajuca entre un trailer y otro vehículo, se reportan 10 personas lesionadas</t>
  </si>
  <si>
    <t>Se registró la volcadura de un autobús de pasajeros en la Autopista Chamapa-Lechería el conductor manejaba en estado de ebriedad. Se reportan 10 muertos y 23 lesionados</t>
  </si>
  <si>
    <t>Fronteras</t>
  </si>
  <si>
    <t>Se registró la volcadura de un trailer con dos tanques, se reportò derrame de 40 litros de ñacido sulfúrico sobre la cinta asfáltica</t>
  </si>
  <si>
    <t>Se registrò la volcadura de un trailer que transportaba diesel, a consecuencia del accidente fue cerrada la autopist México-Cuernavaca. Se reportó el derrame de 22 mil litros del combustible</t>
  </si>
  <si>
    <t>Se desplomó un helicoptero de la Fuerza Aérea Mexicana, como resultado del incidente 9 personas presentaron lesiones. El percance se debió a fallas mecánicas de la aeronave.</t>
  </si>
  <si>
    <t>Se registrò la volcadura de una pipa que transportaba 44 mil 500 litros de cicloexano. Debido al accidente se registro fuga del producto y se interrumpio la circulación por ocho horas en el mibramiento Norponiente</t>
  </si>
  <si>
    <t>Se registró un ligero choque entre dos locomotoras, una de estas registró un derrame de diesel. Se reportaron dos personas lesionadas</t>
  </si>
  <si>
    <t>Cuitlahuac</t>
  </si>
  <si>
    <t>Se registró la volcadura de un autobues de pasajeros en la carretera Córdoba-Tierra Blanca. El accidente se debió a exceso de velocidad, en el percance una persona perdió la vida y 7 mas resultaron lesionadas.</t>
  </si>
  <si>
    <t>Se registro un accidente urbano entre un trailer y una pipa que transportaba gasolina, debido al accidente se reporto un incendio con explosiones, viendose afectados otros tres vehìculos y seis casas habitación, afortunadamente nos se registraron pèrdidas humanas.</t>
  </si>
  <si>
    <t>Se registró un accidente entre cuatro automóviles y un tractocamión,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</si>
  <si>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</si>
  <si>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</si>
  <si>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</si>
  <si>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 xml:space="preserve">Debido al sobrecupo en un evento musical en el municipio mencionado, se reportan tres personas fallecidas y 110 lesionados. </t>
  </si>
  <si>
    <t>Se registró la volcadura de una pipa que transportaba gasolina magna, se reporto una ligera fuga de 84 litros. No se reportaron afectaciones humanas</t>
  </si>
  <si>
    <t>Se reportò la volcadura de una camioneta escolar que transportaba a 9 menores, mismos que fallecieron en el lugar.</t>
  </si>
  <si>
    <t>Se registraron dos accidentes en el municipio en los cuales fallecieron cinco personas y otras cinco resultaron lesionadas. Tres Automoviles</t>
  </si>
  <si>
    <t>Se reporto un accidente automovilistico en el cual una persona perdio la vida y dos mas resultaron heridas. Un Automovil</t>
  </si>
  <si>
    <t>Se registrao un accidente en la autopista Guadalajara-Morelia en el cual dos personas perdieron la vida y tres mas resultaron lesionadas, asì mismo en la carretera Irapuato-Guadalajara otro vehìculo se volcò y dos personas perdieron la vida. Dos Automoviles</t>
  </si>
  <si>
    <t>El Marques</t>
  </si>
  <si>
    <t>Se registro la volcadura de un trailer que transportaba 200 tambos con àcido hidroxietilidendifosfonico. Varios de los tambos presentaron fuga y derrame por lo que se cerrò la autopista México-Querétaro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</si>
  <si>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</si>
  <si>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</si>
  <si>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la volcadura de un trailer en la carretera Yecora-Chihuahua, mismo que transportaba 42 mil litros de gasolina presentandose derrame del producto, como medida preventiva se cerro la carretera por ambos lados</t>
  </si>
  <si>
    <t>Se registro un accidente carretero entre un autobus de pasajeros que se encontraba estacionado por descompostura y una camioneta. Se reportan cinco personas fallecidas y una mas lesionada</t>
  </si>
  <si>
    <t>Se registraron cinco accidentes carreteros durante los primeros dias de semana santa, se reportan 2 muertos y 20 lesionados</t>
  </si>
  <si>
    <t>San José Iturbide</t>
  </si>
  <si>
    <t>Se registro un accidente entre un automovíl y una camioneta. Se reportan 7 personas fallecidas y un lesionado</t>
  </si>
  <si>
    <t>Se registro la volcadura de una pipa que transportaba 64 mil litros de combustoleo, presentandose derrame total del producto, ocasionando tambien daño ecologico</t>
  </si>
  <si>
    <t>Durante el periodo de semana santa se reportaron varios accidentes carreteros, se reportaron 6 muertos y dos personas lesionadas</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</si>
  <si>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</si>
  <si>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</si>
  <si>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 xml:space="preserve">Se registro una peregrinacion de aproximadamente 5 mil personas hacia el municipio de Atotonilco, la Unidad de Protección Civil apoyo a la poblaciòn. No se registraron daños </t>
  </si>
  <si>
    <t>Se registro un accidente urbano en el cual se vio involucrado un autobus, afortunadamente no hubo fallecidos, ùnicamente cuatro personas lesionadas</t>
  </si>
  <si>
    <t>Se reporto la volcadura de un vehìculo sobre un canal, cuatro personas perdieron la vida en el incidente.</t>
  </si>
  <si>
    <t>Se reporto el desplome de una aeronave en el municipio mencionado, dos personas perdieron la vida</t>
  </si>
  <si>
    <t>Jalatlaco</t>
  </si>
  <si>
    <t>Se reporto un accidente aéreo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</si>
  <si>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</si>
  <si>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</si>
  <si>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</si>
  <si>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</si>
  <si>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</si>
  <si>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la volcadura de varios vagones de tren a la altura de la comunidad de Santa Maria. En el ferrocarril viajaan varios indocumentados, de los cuales 15 resultaron lesionados y uno perdio la vida</t>
  </si>
  <si>
    <t>Se registro un accidente carretero entre un tractocamion y un autobús de pasajeros, se reportan tres personas lesionadas</t>
  </si>
  <si>
    <t>Se registro la volcadura de un microbus de servicio de transporte público, un menor de edad perdió la vida y 36 personas mas resultaron lesionadas</t>
  </si>
  <si>
    <t>Bloqueo</t>
  </si>
  <si>
    <t xml:space="preserve">Se reporta el bloqueo de la carretera transistmica por alumnos del Tecnológico de Tehuantepec. Aproximadamente 12 horas duro el bloqueo, mismo que impidió que decenas de pipas que surten petroliferos hacia la costa y occidente del paìs Salieran de u na refinería. </t>
  </si>
  <si>
    <t>Cuautitlan</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</si>
  <si>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</si>
  <si>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vehículo transportaba 15 mil litros de gasolina, se presento un derrame de 2,500 litros aproximadamente, afectando un área de 100 metros cuadrados</t>
  </si>
  <si>
    <t>Se registro el desplome de un helicóptero en la Comunidad de San Marcos del municipio mencionado, desafortunadamente 9 personas perdieron la vida y una mas resulto lesionada</t>
  </si>
  <si>
    <t>Impacto de un tren contra un trailer, se reportan dos personas fallecidas</t>
  </si>
  <si>
    <t>Bloqueo de instalaciones de PEMEX por mas de 10 horas, no se reportan daños mayores</t>
  </si>
  <si>
    <t>Se desplomo un helicoptero en las instalaciones de la Policia Federal Preventiva, afortunadamente solo uno de los nueve tripulantes presneto lesiones</t>
  </si>
  <si>
    <t>Se registro una accidente entre una pipa de PEMEX y cinco automóviles particulares. Afortunadamente solo una persona resulto lesionada y no se presento derrame del material que transportaba la pipa.</t>
  </si>
  <si>
    <t>Se registró el derrumbe de una construcción en la Universidad Autonoma de Nuevo Leon. Esta sucedió al realizar las labores de vaciado de concreto en una estructura  que fue vencida por el peso. Dos trabajadores resultaron lesionados</t>
  </si>
  <si>
    <t>Se reporto el impacto de un trailer contra dos autobuses de pasajeros y un vehículo particular. En el accidente dos personas perdieron la vida y ocho mas resultaron lesionadas.</t>
  </si>
  <si>
    <t>Se desplomo una aeronave en la cual viajaban seis personas, mismas que resultaron lesionadas</t>
  </si>
  <si>
    <t>Se reporta el impacto de un trailer contra un vehículo particular. Lamentablemente una persona perdió la vida</t>
  </si>
  <si>
    <t>Se registró un accidente en el cual se vio involucrado un autobus de pasajeros. El autobús iba sobre la Autopista del Sol a la altura del km 186. Se reportan cuatro personas fallecidas y 34 lesionadas</t>
  </si>
  <si>
    <t>Se registró la volcadura de un camión de pasajeros en la Comunidad de Mata Oscura. Se reportan 25 personas lesionadas</t>
  </si>
  <si>
    <t>Se volco un autobús de pasajeros de la Línea Estrella Blanca en la comunidad de Platanillo. Se reportan 24 personas lesionadas</t>
  </si>
  <si>
    <t>Una persona resulto lesionada al volcarse un camion cisterna en la autopista Cuernavaca-Iguala.</t>
  </si>
  <si>
    <t>Se registro la volcadura de una pipa que transportaba 19,600 litros de ácido sulfúrico en la carretera Queretaro-Celaya, se reporto derrame total del producto</t>
  </si>
  <si>
    <t>Volcadura de un camión tipo torton que trasnportaba naranjas. Debido al incidente cinco personas perdieron la vida y ocho mas resultaron lesionadas</t>
  </si>
  <si>
    <t>Se reporto un accidente en el cual 25 personas resultaron lesionadas. El camión en el que viajaba personal de la SEDEMAR se volcó</t>
  </si>
  <si>
    <t>Se registro un accidente urbano entre dos combis de transporte publico. 19 personas resultaron lesionadas</t>
  </si>
  <si>
    <t>Nejapa de Madero</t>
  </si>
  <si>
    <t>Se registro la volcadura de una pipa, en el incidente una persona perdio la vida</t>
  </si>
  <si>
    <t>Tecoman</t>
  </si>
  <si>
    <t>Se registro la volcadura de una pipa que transportaba ácido nítrico. Se reporta el derrame de 12 mil litros</t>
  </si>
  <si>
    <t>Metzquititlan</t>
  </si>
  <si>
    <t>Se registro la volcadura de un camion de pasajeros, mismo que cayó a un barranco en la Comunidad de El Banco. Desafortunadamente 21 personas perdieron la vida y 12 mas resultaron lesionadas</t>
  </si>
  <si>
    <t>El Cardonal</t>
  </si>
  <si>
    <t>Se registro la volcadura de una camioneta en un camino local, desafortunadamente dos personas perdieron la vida y seis mas resultaron lesionadas</t>
  </si>
  <si>
    <t>Se registro la insolación de 20 niños en un acto protocolario en la Secretaría de Gobernación. Los niños fueron atendidos en la unidad interna</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</si>
  <si>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</si>
  <si>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</si>
  <si>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</si>
  <si>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</si>
  <si>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volcadura de una pipa que transportaba 50 mil litros de chapopote derramando casi la totalidad del mismo. Se reporta una persona fallecida y un herido, además de la contaminación de un arroyo utilizado para el consumo de ganado</t>
  </si>
  <si>
    <t>Cotaxtla</t>
  </si>
  <si>
    <t>Se registro la volcadura de un autobus de pasajeros en la carretera Veracruz-Paso del Toro. Se reportan seis personas fallecidas y 24 lesionadas</t>
  </si>
  <si>
    <t>Se reporto la volcadura de una pipa de PEMEX que transportaba gasolina Magna, se reporta un ligero derrame de 20 litros. El conductor resulto lesionado</t>
  </si>
  <si>
    <t>Teul de Gonzalez Ortega</t>
  </si>
  <si>
    <t>Se registro la volcadura de un autobus de pasajeros que se dirigia a Guadalajara. Se reporta la muerte de 5 personas y seis mas lesionadas.</t>
  </si>
  <si>
    <t>Se reporta el desplome de una aeronave que realizaba labores de reconocimiento y patrullaje en la Sierra la Laguna. Dos personas perdieron la vida</t>
  </si>
  <si>
    <t>Tizayuca</t>
  </si>
  <si>
    <t>Se reporto un accidente carretero en el cual estuvieron invlolucrados varios vehículos. Se reportan 6 personas fallecidas y dos lesionadas</t>
  </si>
  <si>
    <t>Gustavo A Madero</t>
  </si>
  <si>
    <t>Se realizó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</si>
  <si>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Lechería, la carga cayo sobre un taxi. Se reporta una persona fallecida y 4 lesionadas</t>
  </si>
  <si>
    <t>Tlalixcoyan</t>
  </si>
  <si>
    <t>Se reporto la volcadura de una pipa que transportaba Gas LP se reporto una ligera fuga, misma que fue controlada de inmediato. Se reporta una persona lesionada</t>
  </si>
  <si>
    <t>Se registro la volcadura de un trailer que transportaba 20 mil litros de gasolina, se reporto derrame y posterior incendio. Así mismo se reporta la muerte de tres personas calcinadas</t>
  </si>
  <si>
    <t>Huauchinango</t>
  </si>
  <si>
    <t>Se registro una accidente en la carretera Mexico-Tuxpan. El autobus de pasajeros cayó por un barranco de 70 metros de profundidad. Se reportan 5 muertos y 16 lesionados</t>
  </si>
  <si>
    <t>Bavicora</t>
  </si>
  <si>
    <t>Se registro la volcadura de una pipa que transportaba Diesel, se reporto una ligera fuga misma que se controlo inmediatamente. El conductor resulto lesionado</t>
  </si>
  <si>
    <t>Se reporto el impacto de un autotanque que transportaba Diesel. Se presento derrame de 15 mil litros del producto</t>
  </si>
  <si>
    <t>Se registro la volcadura de una pipa que transportaba gasolina. Se reporto un derrame de 20 mil litros del producto</t>
  </si>
  <si>
    <t>Se registro la volcadura de un autobus de pasajeros que transportaba a alumnos de una escuela, desafortunadamente 5 personas perdieron la vida y 29 mas resultaron lesionadas</t>
  </si>
  <si>
    <t>Se registro choque de un  tractocamión, contra una camioneta de transporte público.</t>
  </si>
  <si>
    <t>Se registro la persecución de un camión torton, por parte de policias. El camión transportaba 25 indocumentados y se impacto contra un cerro.</t>
  </si>
  <si>
    <t>Accidente urbano</t>
  </si>
  <si>
    <t xml:space="preserve"> En las festividades de Comitán, se registro un accidente en la montaña rusa debido al sobrepeso en el primer tren, ya que al no alcanzar la pendiente se  deslizo de reversa para chocar contra el siguiente tren.</t>
  </si>
  <si>
    <t>Cd. Guzmán</t>
  </si>
  <si>
    <t>Se registro  un choque multiple donde participaron 4 carros</t>
  </si>
  <si>
    <t>Santa Ana</t>
  </si>
  <si>
    <t>Se registro la volcadura de un tractocamión y dos cisternas que arrastraba y que  contenían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registró el incendio del vehículo.</t>
  </si>
  <si>
    <t>Chilapa de Álvarez</t>
  </si>
  <si>
    <t>Se registro la volcadura de un camión de pasajeros</t>
  </si>
  <si>
    <t>Se registro la volcadura de una pipa que transportaba gas, presentando una fuga</t>
  </si>
  <si>
    <t>Se registro la volcadura de un camión que transportaba naranjas</t>
  </si>
  <si>
    <t>Agua Pietra</t>
  </si>
  <si>
    <t>Caída de 4  personas al Río Bravo, se rescato una persona y tres permanecen desaparecidas.</t>
  </si>
  <si>
    <t xml:space="preserve"> </t>
  </si>
  <si>
    <t>Volcadura de Autobús sub-urbano con 42 personas lesionadas, tramo Cueramaro-Manuel Doblado km. 36, comunidad de los Hornos</t>
  </si>
  <si>
    <t>2 personas circulaban en una motocicleta, los cuales cayeron a un arroyo, uno de ellos fue rescato y el segundo se encuentra como desaparecido</t>
  </si>
  <si>
    <t>Se presento un choque de un autobus y un camión tipo tolva</t>
  </si>
  <si>
    <t>Se presento una explosión en el centro de la ciudad. Al parecer provocadas por granadas de fragmentación, mismas que fueron arrojadas a la población durante los festejos del Día de la Independencia</t>
  </si>
  <si>
    <t>Ojinaga</t>
  </si>
  <si>
    <t>Se reporto el deplome de una aeronave</t>
  </si>
  <si>
    <t>Accidente aéreo</t>
  </si>
  <si>
    <t>Oaxaca de Juárez</t>
  </si>
  <si>
    <t>Se registro un accidente aéreo en el Aeropuerto Internacional "Beníto Juárez"</t>
  </si>
  <si>
    <t>Delegación Gustavo A. Madero</t>
  </si>
  <si>
    <t>Se presento una gran congregación de personas debido a peregrinaciones a la Basilica de Guadalupe</t>
  </si>
  <si>
    <t>Cd. Nezahualcoyotl</t>
  </si>
  <si>
    <t>Se registro un accidente urbano, con la volcadura de un camión presentando derrame</t>
  </si>
  <si>
    <t>Cerro del Fraile</t>
  </si>
  <si>
    <t>Se reporta un accidente aeroe de una avioneta, con el desceso de 3 personas</t>
  </si>
  <si>
    <t>Sin dato</t>
  </si>
  <si>
    <t xml:space="preserve">Accidente carretero choque de frente entre autobús de turismo y trailer tipo nodriza, ubicado en carr. Fed. 136 México Zacatepec km 43+ 400, en tramo conocido como las ventas </t>
  </si>
  <si>
    <t>Accidente carretero de frente entre un autobús de turismo y una camioneta</t>
  </si>
  <si>
    <t>Encarnación de Díaz</t>
  </si>
  <si>
    <t>Se reporta la volcadura de un automóvil particular, el cual cayó a un estanque, localizado a un costado de la carretera. Se reporta el fallecimiento de 5 personas que viajaban en el vehículo.</t>
  </si>
  <si>
    <t xml:space="preserve">Se reporta un accidente carretero de una pipa con capacidad de 20,000 litros de combustible diesel. Se presento un derrame de aproximadamente 300 litros de producto y al momento del trasvase se registra un derrame de 1, 200 litros.  </t>
  </si>
  <si>
    <t>Se reporta un accidente aérreo, dejando 14 personas muertas, 9 de la SEGOB, 5 en tierra y uno en calidad de desconocido. 32 vehículos afectados. En el percance murió el Secretarío de Gobernación Juan Camilo Mouriño</t>
  </si>
  <si>
    <t>Ixtlán del Río</t>
  </si>
  <si>
    <t>Se registro un accidente aéreo debido a que una de las llantas se enredo con cables de electricidad, situación que orilló a planear, para caer cerca de un río</t>
  </si>
  <si>
    <t>Atizapán de Zaragoza</t>
  </si>
  <si>
    <t>Desplome de una avioneta con dos pasajeros, hasta el momento se desconocen las causas que originaron el accidente.</t>
  </si>
  <si>
    <t>Santa Lucia Miahuatlán</t>
  </si>
  <si>
    <t xml:space="preserve">Se reporta un accidente carretero donde una camioneta de 3 1/2  ton. Volco hacia un barranco de 60 metros de profundidad </t>
  </si>
  <si>
    <t>4 buzos se encontraban laborando en el sistema de agua de Cutzamla.</t>
  </si>
  <si>
    <t>Atlixco</t>
  </si>
  <si>
    <t>El autobús transportaba 57 pasajeros, los lesionados fueron trasladados a diferentes hospitales y el Gobierno Estatal esta pendiente de las gestiones que se generen.</t>
  </si>
  <si>
    <t>Se reporta la volcadura de autobús, procedía de Puerto Escondido destino a la CD. de México, los lesionados fueron trasladados a diferentes hospitales</t>
  </si>
  <si>
    <t>Desplome de un helicóptero perteneciente a la PGR</t>
  </si>
  <si>
    <t>Se presento el accidente carrretero de un autobús, donde desgraciadamente 2 personas perdieron la vida</t>
  </si>
  <si>
    <t>Se presento la volcadura de una pipa que transportaba keroseno</t>
  </si>
  <si>
    <t>Se reporto el desplome de una avioneta</t>
  </si>
  <si>
    <t>Medellín del Bravo</t>
  </si>
  <si>
    <t>Se reporta el derrumbe de parte de cimbra metálica afectando a 20 personas</t>
  </si>
  <si>
    <t>Mérida</t>
  </si>
  <si>
    <t>SE reporta el choque de un auto compacto a un autobús urbano, mismo que  perdió el control proyectándose a un taller, volcándose, resultaron 20 lesionados.</t>
  </si>
  <si>
    <t>Se reporta la caída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</si>
  <si>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</si>
  <si>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vvida</t>
  </si>
  <si>
    <t>Gómes Farías</t>
  </si>
  <si>
    <t>Desplome de una avioneta, que realizaba labores de fumigación.</t>
  </si>
  <si>
    <t>Las autoridades locales no confirmaron la nota periodística.</t>
  </si>
  <si>
    <t>Impacto de un trailer contra un tren de carga. Los lesionados fueron trasladados a un hospital cercano para su atención médica.</t>
  </si>
  <si>
    <t>Zempoala</t>
  </si>
  <si>
    <t>Impacto de un trailer de gas Lp contra un vehículo particular.</t>
  </si>
  <si>
    <t>Zacoalco de Torres, Acatlan de Juárez</t>
  </si>
  <si>
    <t>Se registro la volcadura de una pipa de gas, con razón social “z gas”, perteneciente a la empresa transportadora Tepeyac sa de cv, ubicada en el kilometro 26+800 de la autopista Guadalajara – Colima,  municipio de Zacoalco de Torres, limites con  el municipio de Acatlan de Juárez</t>
  </si>
  <si>
    <t>Impacto de una camioneta, debido al exceso de velocidad.</t>
  </si>
  <si>
    <t>Volcadura de una pipa que transportaba ácido sulfúrico. No se reporta derrame del producto.</t>
  </si>
  <si>
    <t>Yecuatla</t>
  </si>
  <si>
    <t>Se registro una volcadura de una camioneta con 11 tripulantes entre ellas una embarazada las cuales fallecieron, los cuerpos ya fueron rescatados</t>
  </si>
  <si>
    <t>Se registraron fuertes lluvias en la Colonia Ciudad del Lago. Se reportan 50 viviendas con daños mínimos y afectaciones en sus enseres domésticos</t>
  </si>
  <si>
    <t>Tecate y Mexicali</t>
  </si>
  <si>
    <t xml:space="preserve">MPIO. DE TECATE; A las 12 de la noche (hora local) fue cerrada la carretera de la Rumorosa y reabierta a las 10:30 horas del día siguiente, debido a las lluvias que se presentaron durante la madrugada y  parte de la mañana del día del siniestro, además se reportaron inundaciones menores en avenidas y calles principales, así como en las colonias Rincón Tecate, la Coyotera, el Descanso y la zona Centro.                                                                                                             MPIO. DE MEXICALI; Se informa que las lluvias han afectado algunas viviendas, así como se han registrado  inundaciones ligeras en avenidas y calles principales.  </t>
  </si>
  <si>
    <t>Atzalan, Alamo, Temapache, Banderilla, Coatepec, Colipa, Tenochtitlan, Xalapa y Chiconamel</t>
  </si>
  <si>
    <t>Se registraron fuertes lluvias acompañadas de tormenta electrica, se reportan 175 viviendas afectadas</t>
  </si>
  <si>
    <t>Alcozauca de Guerrero y Cochoapa el Grande</t>
  </si>
  <si>
    <t>La Unidad Estatal de Protección Civil informó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</si>
  <si>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La Unidad Estatal de Protección Civil, reportó que el día 15 de mayo a las 23:15 horas, debido a las fuertes lluvias registradas en la zona  se produjeron encharcamientos en 11 colonias pertenecientes al municipio de Dolores Hidalgo, Guanajuato, afectando a 31 viviendas con un tirante de agua en su interior de 50cm, además de que se presentaron derrumbes en las paredes de una casa, estos sucesos dejaron a 24 personas damnificadas entre menores y adultos, también se vieron afectados 16 vehículos, un transformador y cableado de energía eléctrica y de telefonía.</t>
  </si>
  <si>
    <t>Se registraron fuertes lluvias en el municipios, mismas que afectaron alrededor de 40 viviendas construidas de material endeble, sobretodo en techos. Se instalo un refugio temporal para atender a la población afectada</t>
  </si>
  <si>
    <t>Monclova, San buena Aventura y Frontera</t>
  </si>
  <si>
    <r>
      <t xml:space="preserve">Se registraron lluvias fuertes acompañada de granizo, lo que ocasiono encharcamientos en diversas colonias y vialidades de los municipios de Monclava, San Buena bentura y frontera.           </t>
    </r>
    <r>
      <rPr>
        <b/>
        <sz val="9"/>
        <rFont val="Arial"/>
        <family val="2"/>
      </rPr>
      <t xml:space="preserve">Monclava: </t>
    </r>
    <r>
      <rPr>
        <sz val="9"/>
        <rFont val="Arial"/>
        <family val="2"/>
      </rPr>
      <t xml:space="preserve">Debido a las lluvias se presentaron encharcamientos en las principales vialidades y patios de diversas viviendas. El granizó alcanzó un espesor entre los 2 y los 3 cm, dejando un sinnúmero de carros y camionetas abollados o con los vidrios rotos, así como encharcamientos en avenidas, además de que se presentaron vientos los cuales derribaron árboles, espectaculares, lámparas de alumbrado público y provocaron un  fuga de gas en algunas viviendas.        </t>
    </r>
    <r>
      <rPr>
        <b/>
        <sz val="9"/>
        <rFont val="Arial"/>
        <family val="2"/>
      </rPr>
      <t>San Buena Aventura:</t>
    </r>
    <r>
      <rPr>
        <sz val="9"/>
        <rFont val="Arial"/>
        <family val="2"/>
      </rPr>
      <t xml:space="preserve"> las lluvias registraron encharcamientos en principales vialidades afectando el flujo vehicular, provocando un congestionamiento vial y tres casas encharcadas
</t>
    </r>
  </si>
  <si>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</si>
  <si>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</si>
  <si>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</si>
  <si>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</si>
  <si>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atendió al menos a 500 personas.</t>
  </si>
  <si>
    <t>Victoria</t>
  </si>
  <si>
    <t>La Unidad Estatal de Protección Civil, reportó que el día 30 de mayo a partir de las 18:00 se registraron fuertes lluvias y una granizada severa en la Comunidad de la “Estancia”  que pertenece al municipio de Victoria, esta granizadaza afectó el techo de 40 viviendas pero sin que se registraran daños mayores.</t>
  </si>
  <si>
    <t>Boca del Rio</t>
  </si>
  <si>
    <t>Se reportan afectaciones en 294viviendas a consecuencia de las fuertes lluvias, mismas que ocasionaron el desbordamiento del Dren B. Se reportan 1670 personas afectadas</t>
  </si>
  <si>
    <t>Huatusco, Emiliano Zapata y Tamiahua</t>
  </si>
  <si>
    <t>Se registraron fuertes lluvias en los municipios mencionados, causando daños a 48 viviendas, así como caída de postes de energía eléctrica, afectando el suministro. Se reporta una persona fallecida</t>
  </si>
  <si>
    <t>Salvador Escalante</t>
  </si>
  <si>
    <t>Se registraron fuertes lluvias causando afectaciones en 60 viviendas construidas con material endeble</t>
  </si>
  <si>
    <t>Se registraron fuertes lluvias causando afectaciones a 11 viviendas, 30 postes de luz y telefonía tirados, y una antena de comunicaciones</t>
  </si>
  <si>
    <t>Mazaltitepec de Juárez, San Salvador el Seco y Quecholac</t>
  </si>
  <si>
    <t>La Unidad Estatal de Protección Civil informó que el día 9 de junio por la tarde se registraron lluvias y vientos fuertes en los municipios de: Mazaltiltepec de Juárez, San Salvador el Seco y Quecholac. Por dicho suceso se registraron 76 viviendas afectadas en sus techos, debido a que fueron construidos con material endeble y no resistieron las lluvias ni los vientos debido a que en su mayoría eran techos construidos con láminas de cartón.</t>
  </si>
  <si>
    <t>Se registraron fuertes lluvias ocasionando la caida de 28 arboles, causando daños a 5 vehículos, 7 transformadores y 3 postes</t>
  </si>
  <si>
    <t>Maravatio</t>
  </si>
  <si>
    <t>La Unidad Estatal de Protección Civil, reportó que el día 17 de junio a las 19:00 horas se registró una fuerte lluvia en el Municipio de Maravatío, en el cual se registró el creciente del arroyo de nombre el Arenal, afectando 7 viviendas con penetración de agua con un tirante de 80 cm, ubicadas en la colonia los Sabinos, sin que se registraran daños humanos. Si hubo daños en enseres</t>
  </si>
  <si>
    <t>Se registraron fuertes lluvias acompañadas de viento. 35 viviendas resultaron afectadas, asi como 6 edificios publicos, 6 bardas, 15 vehiculos, 5 arboles y un poste de luz</t>
  </si>
  <si>
    <t xml:space="preserve">La Unidad Estatal de Protección Civil informó que el día 18 de junio a las 19:00 horas se registraron lluvias fuertes acompañadas de granizo en el municipio de Chalco, dejando a su paso encharcamientos en avenidas importantes con tirantes de 30  a 45 cm., inundando varias viviendas, sin que se registren daños humanos. </t>
  </si>
  <si>
    <t>Álvaro Obregón, Cuauhtémoc, Venustiano Carranza, Gustavo A. Madero, Tlalpan, Tlahuac, Magdalena Contreras y Xochimilco</t>
  </si>
  <si>
    <t>La Subsecretaria de Protección Civil del Distrito Federal, informó que debido a las lluvias y vientos registrados el día 18 de junio a las 18:30 horas se generaron encharcamientos y la caída de 3 árboles, de los cuales uno cayó en la delegación Gustavo A. Madero, cayó sobre las líneas de energía eléctrica, telefonía y  televisón por cable</t>
  </si>
  <si>
    <t>La Unidad Estatal de Protección Civil informó que el día 18 de junio por la tarde por la tarde se registraron fuertes lluvias, ocasionando la creciente del río Alseca, en el cual apareció un cuerpo sin vida de un hombre de 40 años. Daños en 15 viviendas</t>
  </si>
  <si>
    <t>La subsecretaria de protección civil reportó que las fueres lluvias ocurridas el día 19 de junio por la tarde en el municipio de de Torreón, fueron de 35.7mm y en menos de una hora afecto con tirantes de 40cms. Las colonias, Lázaro Cárdenas, Lauro Fernández, residencial del Norte, Ejido San Luisito y colonia las Fuentes, dejando derribados a 25 árboles</t>
  </si>
  <si>
    <t>Irapuáto</t>
  </si>
  <si>
    <t>La Unidad Estatal de Protección Civil notificó que el día 20 de junio a las 07:30 horas se registraron fuertes lluvias en todo el municipio de Irapuato, afectando 4 colonias, afectando 66 viviendas por penetración de agua lo cual dejo un saldo de 264 personas damnificadas, sin que se registraran pérdidas humanas.</t>
  </si>
  <si>
    <t xml:space="preserve">La Subsecretaria de Protección Civil del Distrito Federal informó que el día 21 de junio a las 17:10 horas se desgajo parte de la marquesina del edificio de gobierno al ablandarse en su lado poniente, reportándose 6 personas lesionadas. </t>
  </si>
  <si>
    <t>La Unidad Estatal de Protección Civil informó que el día 21 de junio a las 21:00 horas se registraron lluvias de hasta 74mm en 45 minutos, loo que provocó la creciente del arroyo el Muerto, donde una familia de 10 personas que iban en una camioneta suburban trataron de cruzarlo  sin poder hacerlo y como resultado la corriente arrastró el vehículo, dejando un saldo de 9 muertos y una persona rescatada con vida. También se registraron afectaciones en 60 viviendas de las cuales 2 son con pérdida total, 8 con daños parciales y 50 con penetración de agua hasta 30 centímetros, todo esto registrado en 10 colonias</t>
  </si>
  <si>
    <t>La Unidad Estatal de Protección Civil, reportó que el día 22 de junio, se presentaron afectaciones por el paso del huracán Andrés, registrándose la suspensión del suministro de energía eléctrica en los tramos costeros de Playa Azul-Caleta y Caleta-Tumbo, registrándose la caída de árboles, y se vieron afectadas 110 propiedades, debido a anegaciones y daños en enseres, sin que se reportaran daños humanos.</t>
  </si>
  <si>
    <t>Acapulco, Marquelia, Petatlán, La Unión y Tecpatan</t>
  </si>
  <si>
    <t>La Unidad Estatal de Protección Civil informó que debido al paso del huracán “Andrés” el día 22 de junio se generaron las siguientes afectaciones. En los municipios de Acapulco, Marquelia, Petatlán y Tecpan, registrándose un gran número de personas y viviendas afectadas. Una persona fallecio al ser arrastrada por el oleaje y otra resulto lesionada al caerle una palapa encima</t>
  </si>
  <si>
    <t xml:space="preserve">La Unidad Estatal de Protección Civil informó que el día 24 de junio a las 16:00 horas se registró una precipitación de 32mm. En 15 minutos, en el municipio de Cintalapa, como resultado de esto se generaron encharcamientos de 50 a 80cm. De altura, los cuales al secarse dejaron montículos de lodo y basura en las calles, además de que colapsaron 8 bardas perimetrales, de las cuales una cayó sobre una persona adulta, y también se vieron afectadas 126 viviendas. </t>
  </si>
  <si>
    <t>La Unidad Estatal de Protección Civil informó que el día 28 de junio a las 19:29 horas se registraron fuertes lluvias en todo el municipio de Irapuato, afectando a 4 personas que fueron arrastradas por  la corriente de una bajada de agua proveniente del Río “Temascatio”, el cual pertenece a la comunidad del Teponal, dicha bajada los llevo aguas abajo hasta llegar a la presa “De Ortega”. Se encontraron los cuerpos de las 4 personas pero ya sin vida, uno de de los cuerpo se encontró el mismo día del percance, mientras  q otros dos se encontraron el día 4 de julio y el ultimo cuerpo hasta el día 6 de julio con ayuda de buzos, de las personas fallecidas 3 eran mujeres dos de ellas con 17 años de edad y una con 18, el otro cuerpo encontrado pertenece a un joven de 18 años. Asi mismo se informo que dos de los busos involucrados en la búsqueda terminaron con descompensación por permanecer mucho tiempo dentro del agua.</t>
  </si>
  <si>
    <t>Ecatepec, Nezahualcóyotl y Los Reyes la Paz</t>
  </si>
  <si>
    <t>La Unidad Estatal de Protección Civil, informó que el día 30 de junio a las 19:50 horas se registraron fuertes lluvias en los municipios de Ecatepec, Nezahualcóyotl y los Reyes la Paz, con tirantes de agua entre los 30 y los 50 cm, reportándose un mal sistema de alcantarillado.</t>
  </si>
  <si>
    <t>Fortin, Cordoba, Coscomatepec, Emiliano Zapata, Huatusco</t>
  </si>
  <si>
    <t>Se registraron fuertes lluvias en los municipios mencionados, se reportan 32 viviendas afectadas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</si>
  <si>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</si>
  <si>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</si>
  <si>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</si>
  <si>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Protección Civil informó que el día 30 de junio a las 19:30 horas se presento el arrastre de un taxi por parte del cause del “Río Grande”, al momento en que el taxi intentaba cruzarlo pero no lo logro por producto de la fuerte corriente que se genero a causa de las fuertes lluvias que han caído sobre la región. También se informa que el taxi viajaba con 5 personas a bordo, las cuales en el momento en que  era arrastrado el vehículo lograron salir, sin embargo una mujer que llevaba en brazos a un menor de 6 años no logro sostenerlo bien y cayo al agua, el cuerpo del menor fue encontrado dos días después ya sin vida.</t>
  </si>
  <si>
    <t>Cuapiaxtla, Huamantla, Apizaco, Tzompantepec, San José Teacalco, Amaxac, Tetla De La Solidaridad, Altzayanca, Tlaxcala, Zitlaltepec</t>
  </si>
  <si>
    <t>Debido a las fuertes lluvias se registraron daños en 260 viviendas, además se cayeron 2 bardas</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</si>
  <si>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</si>
  <si>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</si>
  <si>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 xml:space="preserve">Zapopan </t>
  </si>
  <si>
    <t>Debido a las fuertes lluvias se registraron daños en 6 viviendas, la caida de 4 espectaculares, 21 vehiculos afectados y 38 árboles caídos</t>
  </si>
  <si>
    <t>Ecatepec e Ixtapaluca</t>
  </si>
  <si>
    <t xml:space="preserve">
La Unida Estatal de Protección Civil informó que el día 2 de julio a las 18:54 horas se registró una fuerte  lluvia en el municipio de Ixtapaluca, teniendo como resultado 14 personas  damnificadas, sin que se reportaran daños graves.
</t>
  </si>
  <si>
    <t>Zapopan, Tlaquepaque, Guadalajara, Tlajomulco</t>
  </si>
  <si>
    <t>La Unidad Estatal de Protección Civil informó que debido a las fuertes Lluvias registradas durante la mañana del día 3 de julio se presentaron inundaciones en calles y avenidas, además de que se presentaron algunos desbordamientos de ríos y derrumbes en algunas en algunas zonas carreteras de los municipios de Zapopan, Tlaquepaque, Guadalajara y Tlajomulco.</t>
  </si>
  <si>
    <t>NSR</t>
  </si>
  <si>
    <t>La Unidad Estatal de Protección Civil informó que debido a las fuertes Lluvias registradas el día 5 de julio en el municipio de Pto. Vallarta, perteneciente al estado de Jalisco, donde se registraron fuertes inundaciones y desbordamiento de ríos que afectaron a 200 viviendas, por lo que las familias tendrán que ser reubicadas a otros lados mas seguros o bien tendrán que ir con familiares.</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</si>
  <si>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</si>
  <si>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 xml:space="preserve">A consecuencia de las lluvias se registraron daños en 675 viviendas dañadas, afectaciones en varias hectáreas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</si>
  <si>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Santa Maria Chilchotla</t>
  </si>
  <si>
    <t>Se registraron lluvias intensas afectando 60 viviendas, una de ellas con pérdida total.</t>
  </si>
  <si>
    <t>San Andres Tuxtla</t>
  </si>
  <si>
    <t>Se registraron fuertes lluvias ocasionando daños en los techos de 12 viviendas</t>
  </si>
  <si>
    <t>Tlacoapa</t>
  </si>
  <si>
    <t>Se registraron fuertes lluvias con algo de granizo. Se reportan 96 viviendas con daños en sus techos</t>
  </si>
  <si>
    <t>Benito Juarez, Villa Juarez y Bacum</t>
  </si>
  <si>
    <t>Se registraron fuertes lluvias acompañadas de viento, se reportan daños en los techos de 8 viviendas, así como caída de árboles y postes de luz</t>
  </si>
  <si>
    <t>Se registro la fractura de el Río Ameca, inundando de aguas negras 6 hectáreas de cultivo</t>
  </si>
  <si>
    <t>Se registraron fuertes lluvias que ocasionadron la creciente de los arroyos Jesus Garcia y Tecnologico. Se reportan 3 viviendas afectadas y 11 vehículos</t>
  </si>
  <si>
    <t>Debido a las fuertes lluvias se presentaron daños minimos en 40 viviendas</t>
  </si>
  <si>
    <t>Santiago Miltepec, Asunción Cuyotepeji, San Juan Bautista Cuchitepec, Santa María Comatlán</t>
  </si>
  <si>
    <t>Debido a las intensas lluvias se reportan 275 viviendas con diversas afectaciones. Se instalaron tres refugios temporales en los cuales se atiende a 325 personas.</t>
  </si>
  <si>
    <t>Guadalajara y Zapopan</t>
  </si>
  <si>
    <t>Las fuertes lluvias ocasionaron la caída de 55 árboles y tendido eléctrico. Se reportan daños en 31 viviendas, así como una persona lesionada</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</si>
  <si>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</si>
  <si>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</si>
  <si>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láminas de zinc, cobertores y colchonetas</t>
  </si>
  <si>
    <t>Guadalajara, Tonala y Tlaquepaque</t>
  </si>
  <si>
    <t>Se registraron severas lluvias en los municipios mencionados. Se reportan daños minimos en 73 domicilios, así como en su menaje. Además un menor perdió la vida al ser arrastrado por la corriente de un canal</t>
  </si>
  <si>
    <t>Salvador Escalante y Uruapan</t>
  </si>
  <si>
    <t>Se registraron fuertes lluvias acompañadas de viento y granizo. Se repotan daños en 35 viviendas</t>
  </si>
  <si>
    <t>Debido a las fuertes lluvias se registraron daños en 24 viviendas. Principalmente en sus techos</t>
  </si>
  <si>
    <t>Debido a las intensas lluvias registradas en la madrugada se reportan daños en 25 viviendas. 60 vehículos. Se reportan ademas 1 persona fallecida y 7 lesionados</t>
  </si>
  <si>
    <t>Se registraron fuertes lluvias. Se reporta la muerte de una persona al intentar cruzar el cauce de un arroyo denominado Los Jabalies</t>
  </si>
  <si>
    <t>Debido a las fuertes lluvias se registraron anegaciones en 51 domicilios</t>
  </si>
  <si>
    <t>Magdalena Contreras, Alvaro Obregon y Miguel Hidalgo</t>
  </si>
  <si>
    <t>Se registraron fuertes lluvias al poniente de la ciudad ocasionando daños en 10 viviendas y 4 negocios</t>
  </si>
  <si>
    <t>Coatepec y Veracruz</t>
  </si>
  <si>
    <t>Devido a las fuertes lluvias se registraron daños en 22 viviendas</t>
  </si>
  <si>
    <t>San Andres Tuxtla, Acayucan, Meacatlan</t>
  </si>
  <si>
    <t>Se registraron fuertes lluvias afectando a 50 viviendas en diferentes grados</t>
  </si>
  <si>
    <t>La Paz, Loreto, Mulege y Comondu</t>
  </si>
  <si>
    <t>El ciclon tropical Jimena afecto severamente diversos sectores del estado. El CENAPRED organizo una mision de evaluacion con el fin de medir el impacto socioeconómico del fenómeno</t>
  </si>
  <si>
    <t>Benito Juarez, Empalme, Etchojoa, Guaymas, Huatabampo, Navojoa y San Ignacio Rio Muerto</t>
  </si>
  <si>
    <t xml:space="preserve">A pesar de que el  ciclon tropical Jimena no toco tierra en el estado, sus remanentes ocasionaron severas lluvias en los municipios de Guaymas y Empalme, ocasionando daños en diferentes sectores de la poblacion. El CENAPRED realizo una mision de evaluacion </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</si>
  <si>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</si>
  <si>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evaluación. Se declaro como Zona de desastre a ambos municipios</t>
  </si>
  <si>
    <t>Se registraron fuertes lluvias en el norte de la ciudad, se reportan inundaciones en dos estaciones del metro, daños en varios comercios y viviendas</t>
  </si>
  <si>
    <t>Ixtaczoquitlan, Mecatlán y Tihuatlan</t>
  </si>
  <si>
    <t>Se registraron fuertes lluvias ocasionando daños en 171 viviendas</t>
  </si>
  <si>
    <t>Xalapa, La Perla, Mariano Escobedo, Orizaba, Río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</si>
  <si>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hidráulica y una accion de recuperacion de areas naturales protegidas. Se declaro emergencia por lo que se brindo apoyo a traves del Fondo Revolvente</t>
  </si>
  <si>
    <t>Apazapan</t>
  </si>
  <si>
    <t>Debido a las intensas lluvias registradas entre el 9 y el 11 de septiembre se presentaron daños en infraestructura carretera. ElFONDEN apoyo las tareas de reconstrucción.</t>
  </si>
  <si>
    <t>Zacatepec</t>
  </si>
  <si>
    <t>Se registraron fuertes lluvias en la localidad barranca poza honda, causando daños a 40 viviendas</t>
  </si>
  <si>
    <t>Se reportan 58 viviendas afectadas con tirantes de 50cm aprox. Debido a las fuertes lluvias</t>
  </si>
  <si>
    <t>Se reportan daños minimos en 30 viviendas a consecuencia de las intensas lluvias</t>
  </si>
  <si>
    <t>Cortazar, Salamanca y Abasolo</t>
  </si>
  <si>
    <t>Debido a las fuertes lluvias registradas se reportan daños en 27 viviendas y en una escuela primaria</t>
  </si>
  <si>
    <t>Se registraron fuertes lluvias en la zona metropolitana causando ligeras anegaciones en 150 viviendas</t>
  </si>
  <si>
    <t>Tepeji de Rodriguez</t>
  </si>
  <si>
    <t>Se registraron fuertes lluvias producto de la Onda Tropical 30. Se reportan seis personas falleciidas, mismas que intentaron cruzar el cauce de un arroyo cuando este estaba crecido.</t>
  </si>
  <si>
    <t>Tlaxcala y Huyotlipan</t>
  </si>
  <si>
    <t>Se registro penetracion de agua con tirantes de hasta 60 cm en 60 viviendas. Las intensas lluvias fueron producto de la Onda Tropical 30.</t>
  </si>
  <si>
    <t>Acapulco, Copala y Tlapehuala</t>
  </si>
  <si>
    <t>Las fuertes lluvias causaron daños a 43 viviendas. No se reportaron daños humanos</t>
  </si>
  <si>
    <t>Temixco, Xochitepec y Zacatepec</t>
  </si>
  <si>
    <t xml:space="preserve">Se registraron fuertes lluvias a consecuencia de la Onda Tropical 30. Se reportan 23 viviendas inundadas </t>
  </si>
  <si>
    <t>Celaya, Tarimoro, Yuriria, San Luis de la Paz, Apaseo el Grande y León</t>
  </si>
  <si>
    <t>Debido a la Onda Tropical 30 se reportan afectaciones en 30 viviendas, así mismo se realizo la evacuacion de 21 personas que se encontraban asentadas en zonas de riesgo</t>
  </si>
  <si>
    <t>Una persona falleció ahogada derivado de las fuertes lluvias. Al parecer la persona fue arrastrada y cayo en una alcantarilla</t>
  </si>
  <si>
    <t>Se registraron fuertes lluvias ocasionando derrumbes en algunas carreteras, se reportan 62 viviendas afectadas, de las cuales 9 presentaron daño total.</t>
  </si>
  <si>
    <t>Dos personas fueron arrastradas por el Río San Marcos debido a que con las fuertes lluvias aumento su caudal</t>
  </si>
  <si>
    <t xml:space="preserve">Magdalena Contreras </t>
  </si>
  <si>
    <t>Se registro fuerte lluvia que ocasiono la crecida del Río Magdalen  Anzaldo, afectando dos agencias de vehículos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</si>
  <si>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</si>
  <si>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ríos desbordados. Daños en energía eléctrica, caminos y telefonía. El FONDEN apoyo para la reconstruccion de 427 viviendas, 193 acciones de reconstruccion de caminos y puentes, 6 acciones para reconstruccion de infraestructura hidráulica y para la reconstruccion de infraestructura de residuos solidos. Asi mismo se activó el fondo revolvente para atender la emergencia.</t>
  </si>
  <si>
    <t>Ayotzintepec, San Jose Chiltepec, San Juan Bautista Valle Nacional, San Juan Comaltepec y Santa Maria Jacatepec</t>
  </si>
  <si>
    <t>Debido al frente frio 2 se registraron fuertes lluvias en los municipios mencionados. Se instaló un refugio temporal en el que se atendió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</si>
  <si>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</si>
  <si>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</si>
  <si>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</si>
  <si>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Atlapexco</t>
  </si>
  <si>
    <t>Se registraron lluvias en el mencionado municipio. Varios tramos carreteros resultaron dañados, por lo que FONDEN apoyo para la realizacion de 96 acciones de reconstruccion</t>
  </si>
  <si>
    <t>Huautla, Huazalingo, Jaltocán, La Misión,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</si>
  <si>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</si>
  <si>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Alamos, Bacum, Cajeme, Quiriego, Rosario, Suaqui Grande, Yecora</t>
  </si>
  <si>
    <t xml:space="preserve">Debido a las lluvias provocadas por la cercanía de la TT Patricia, se declaro en emergencia a siete municipios del Estado de Sonora, activandose los recursos del fondo revolvente por $2,242,205 para atender a la poblacion </t>
  </si>
  <si>
    <t>Debido a la Tormenta Tropical Patricia se registraron daños en 300 viviendas. Protección Civil estatal movilizó personal y coordino las acciones de evacuación de mñas de 4160 personas. Además fue declarado en emergencia el municipio de Ahome, activando los recursos del FGondo revolvente</t>
  </si>
  <si>
    <t>Coatzintla, Coyutla, Espinal, Martinez de la Torre, Nautla, Poza Rica de Hidalgo, San Rafael y Tlapacoyan</t>
  </si>
  <si>
    <t>Debido a las fuertes lluvias del frente frio 6 resultaron dañadas 205 viviendas, de las cuales 88 fueron atendidas por FONDEN. Así mismo FONDEN aporto recursos para la realización de 73 acciones de reconstruccion de infraestructura carretera y para la rehabilitación de infraestructura de residuos solidos. Se apoyó a la población por medio de insumos adquiridos atraves del fondo revolvente.</t>
  </si>
  <si>
    <t>Debido al Ciclon Tropical Rick, se declaro en emergencia a un municipio del Estado de Colima, Activandose los recursos del fondo revolvente por $14,048 para atender a la poblacion</t>
  </si>
  <si>
    <t xml:space="preserve">Debido al Ciclon Tropical Rick, se declaro en emergencia a un municipio del Estado de Baja California Sur, activandose los recursos del fondo revolvente por $470,000 para atender a la poblacion </t>
  </si>
  <si>
    <t>Culiacan y Mazatlan</t>
  </si>
  <si>
    <t xml:space="preserve">El Huracán Rick ocasiono fuertes lluvias en los municipios mencionados. Se reportan daños en al menos 714 viviendas 5 caminos y 10 obras de infraestructura hidraulica. De igual forma el Fonden apoyo a través del Fondo Revolvente con insumos para atender a la población afectada. </t>
  </si>
  <si>
    <t>Azcapotzalco y Gustavo A. Madero</t>
  </si>
  <si>
    <t>Las fuertes lluvias ocasionaron daños en 60 viviendas, 2 escuelas, 15 vehiculos y un hospital.</t>
  </si>
  <si>
    <t>Coacalco de Berriozabal, Ecatepec de Morelos y Tultitlan</t>
  </si>
  <si>
    <t>Se registraron severas lluvias en los municipios mencionados ocasionando daños en infraestructura y viviendas, además de 5 personas fallecidas en Ecatepec y 14 lesionadas. Así mismo se reportan daños en al menos 520 viviendas con daños, 15 con daño total. La compañía ICA apoya con; 1 retroexcavadora, 3 retrocargadores, 1 barredora, 20 camiones de 14 metros cúbicos, 3 bombas de gasolina, 1 ambulancia 60 ayudantes, 18 oficiales, 20 senaleros, 7 operadores, 3 oficiales de seguridad, 6 jefes de obra y 3 superintendentes. El FONDEN apoyo con recursos para obras de recosntruccion.</t>
  </si>
  <si>
    <t>Comalcalco, Cunduacan, Paraiso, Cardenas y Huimanguillo</t>
  </si>
  <si>
    <t>Se registraron intensas lluvias a consecuencia del Frente Frio 9, mismas que causaron severas inundaciones en la Región de la Chontalpa en el estado de Tabasco. La SEGOB declaro en desastre a cinco municipios, por tal motivo, el CENAPRED realizó una misión de evaluación con el fin de cuantificar el impacto social y económico que provocó el fenómeno. Desafortunadamente dos personas perdieron la vida y se registraron daños en 2369 viviendas, además otras 59,667 requirieron de acciones de limpieza al sufrir ligera penetración de agua.</t>
  </si>
  <si>
    <t>Ostuacan, Pichucalco, Juárez y Francisco León</t>
  </si>
  <si>
    <t>Debido a la Onda Tropical 38 se registraron intensas lluvias, mismas que afectaron dos tramos carreteros y 54 viviendas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</si>
  <si>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</si>
  <si>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 del Estado de Veracruz, con lo que se activaron los recursos del fondo revolvente por 47.7 millones de pesos aproximadamente para atender a la poblacion.  Se reportan afectaciones en 9,156 viviendas, 135 comunidades y 39 colonias. El FONDEN apoyó para acciones de reconstrucción de 243 viviendas, 20 de infraestructura urbana, 239 de caminos y puentes, 5 de infraestructura hidraulica y 19 para acciones de CONAFOR. 12 municipios fueron declarados en Desastre. </t>
  </si>
  <si>
    <t>Compostela, Ruiz, San Blas y Tuxpan</t>
  </si>
  <si>
    <t>Debido a las fuertes lluvias se registraron inundaciones en zonas de cultivo, afectando 5,182 hectáreas de cultivos de frijol, sorgo, maiz, jicama, jitomate, sandia, tomatillo, etc. Se vieron afectados 1,658 productores. El PACC apoyó con cerca de 5 millones de pesos con el fin de reactivar las actividades para el siguiente ciclo. El monto real de los daños se estimó en 70.3 millones de pesos</t>
  </si>
  <si>
    <t xml:space="preserve">Apulco, Concepción del Oro, Genaro Codina, General Panfilo Natera, Jalpa, Juchipila, Mayohua de Estrada, Nochistlan de Mejia, Noria de Angeles, Ojocaliente, Panuco, Pinos, Santa Maria de la Paz, Tabasco, Trancoso, Villa García, Villa Hidalgo, Villanueva y Zacatecas. </t>
  </si>
  <si>
    <t>La sequia ocasiono daños en aproximadamente 40,345.36 hectáreas. Se afectó a 9,975 productores. El Cultivo más afectado fue maíz. El PACC apoyó con 36,310,824 pesos.</t>
  </si>
  <si>
    <t>SAGARPA</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</si>
  <si>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García de la Cadena y Villa Gozalez Ortega. </t>
  </si>
  <si>
    <t>La sequia ocasionó daños a 23,522.43 unidades animales, afectando a 1629  productores. El ganado más afectado fue bovino. El PACC apoyó con 10,585,095 pesos.</t>
  </si>
  <si>
    <t>NA</t>
  </si>
  <si>
    <t>Aguililla,Alvaro Obregón, Angamacutiro, Arteaga, Buena vista, Carácuaro, Coeneo, Contepec, Copándero, Chavinda, Chucándiro, Gabriel Zamora, La Huacana, Huandacareo, Huaniqueo, Huetamo, Ixtlán, Jacona, Maravatío, Morelia, Morelos, Nocupétaro, Parácuaro, Purépero, San Lucas, Senguio, Tancítaro, Tangancícuaro, Tarímbaro, Tiquicheo de Nicolás Romero, Tlazazalca, Tumbiscatío, Turicato, Tzitzio y Zacapu.</t>
  </si>
  <si>
    <t>La sequia ocasiono daños en aproximadamente 40,622.22 hectáreas. Se afectó a 12,772  productores. El Cultivo más afectado fue maíz, frijol, sorgo, ajonjoli. El PACC apoyó con 38,022,397.92 pesos.</t>
  </si>
  <si>
    <t>Churintzio, La piedad, Numaran, Penjamillo, Tanhuato, Vista Hermosa, Yurecuaro, Zinaparo y Susupuato.</t>
  </si>
  <si>
    <t>La sequia ocasiono daños en aproximadamente 17,149.01 hectáreas. Se afectó a 4,695  productores. El Cultivo más afectado fue maíz. El PACC apoyó con 15,434,104.5 pesos.</t>
  </si>
  <si>
    <t>Del Nayar.</t>
  </si>
  <si>
    <t>La sequia ocasiono daños en aproximadamente 6,700.5 hectáreas. Se afectó a 3642  productores. El Cultivo más afectado fue maíz. El PACC apoyó con 6,271,668.0 pesos.</t>
  </si>
  <si>
    <t>Arroyo Seco, Colón, Corregidora, Ezequiel Montes, Huimilpan, Jalpan de Serra, Peñamiller, San Juan del Rio y Tequisquiapan.</t>
  </si>
  <si>
    <t>La sequia ocasiono daños en aproximadamente 17,529.88 hectáreas. Se afectó a 6,168  productores. El Cultivo más afectado fue maíz. El PACC apoyó con 16,407,967.68 pesos.</t>
  </si>
  <si>
    <t>Querétaro, El Marqués y Cadereyta de Montes.</t>
  </si>
  <si>
    <t>La sequia ocasiono daños en aproximadamente 12,991.43 hectáreas. Se afectó a 4,481  productores. El Cultivo más afectado fue frijol y maíz. El PACC apoyó con 467,691.48 pesos.</t>
  </si>
  <si>
    <t>Abasolo, Manuel Doblado, Cortazar, Dolores Hidalgo, Huanímaro, Jaral del Progreso, León, Moroleón, Pénjamo, Romita, Salvatierra, San Diego de la Unión, San Francisco del Rincon, San Luis de la Paz, Santiago Maravatío, Silao, Tarimaro, Uriangato, Valle de Santiago, Villagrán, Xichú.</t>
  </si>
  <si>
    <t>La sequia ocasiono daños en aproximadamente 32,779.32 hectáreas. Se afectó a 8,756  productores. El Cultivo más afectado fue maíz, frijol, Sorgo, Avena, Cebada. El PACC apoyó con 30,681,443.52 pesos.</t>
  </si>
  <si>
    <t>Guadalcázar.</t>
  </si>
  <si>
    <t>La sequia ocasiono daños en aproximadamente 6,843 hectáreas. Se afectó a 2,737  productores. El Cultivo más afectado fue maíz, Sorgo. El PACC apoyó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</si>
  <si>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Juárez, Saltillo Lafragua, San Francisco Mixtla, San Gregorio Atzompa, San Geronimo Xayacatlan, San Miguel Ixitlan, San Nicolas Buenos Aires, San Pablo Anicano, San Pedro Yeloixtlahuaca, Santa Catarina Tlaltempan, Tecomatlan, Tehuitzingo, Tepeyahualco, Tlachichuca, Tlacotepec de Benito Juárez, Tlatlauquitepec, Totoltepec, Xayacatlan de Bravo y Zautla, </t>
  </si>
  <si>
    <t>La sequia ocasiono daños en aproximadamente 38,675.87 hectáreas. Se afectó a 13,816  productores. El Cultivo más afectado fue maíz. El PACC apoyó con 34,808,278.24 pesos.</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</si>
  <si>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</si>
  <si>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más afectado fue bovino. El PACC apoyó con 4,523,781.6 pesos.</t>
  </si>
  <si>
    <t>106 municipios afectados</t>
  </si>
  <si>
    <t>La sequia ocasionó daños en 62,745.5 hectáreas afectando a 47,814  productores. El PACC apoyó con 58,729,788.0 pesos.</t>
  </si>
  <si>
    <t>Aquila, Coahuayana, Chinicuila y José Sixto Verduzco</t>
  </si>
  <si>
    <t>La sequia ocasionó daños en 10,040.54 hectáreas afectando a 2,906  productores. El cultivo más afectado fue el maíz, frijol y sorgo. El PACC apoyó con 9,397,945.44 pesos.</t>
  </si>
  <si>
    <t>Canatlán, Gómez Palacio, Guadalupe Victoria y Poanas</t>
  </si>
  <si>
    <t>La sequia ocasionó daños en 12,075 unidades animales afectando a 460 productores. El ganado afectado fue el bovino, caprino y ovino. El PACC apoyó con 5,651,100.0 pesos.</t>
  </si>
  <si>
    <t>Atarjea</t>
  </si>
  <si>
    <t>La sequia ocasionó daños en 1,002.07 hectáreas afectando a 529 productores. El cultivo afectado fue el maíz y frijol. El PACC apoyó con 937,937.52 pesos.</t>
  </si>
  <si>
    <t>Apulco, Concepción del Oro, Genaro Codina, General Panfilo Natera, Jalpa, Juchipila, Mayohua de Estrada, Nochistlan de Mejia, Noria de Angeles, Ojocaliente, Panuco, Pinos, Tabasco, Villa García, Villa Hidalgo, Villanueva y Zacatecas.</t>
  </si>
  <si>
    <t>La sequia ocasionó daños en 40,345.36 hectáreas y 23,522.43 unidades animales afectando a 11,603 productores. El cultivo afectado fue el maíz, avena, sorgo y frijol. El ganado afectado fue bovinos, ovinos y caprinos. El PACC apoyó con 48,771,755.76 pesos.</t>
  </si>
  <si>
    <t>Ocotepec, Santo Tomás Hueyotlipan, Tepeyahualco de Cuauhtémoc, Tlanepantla y Xochitlán Todos Santos</t>
  </si>
  <si>
    <t>La sequia ocasionó daños en 1,165.18 hectáreas afectando a 526 productores. El cultivo afectado fue el maíz, frijol y cebada. El PACC apoyó con 1,090,604.57 pesos.</t>
  </si>
  <si>
    <t>Acatlán, Ahuehuetitla, Coatzingo, Cohetzala, Cuapiaxtla de Madero, Chigmecatitlán, Chila, Chinantla, General Felipe Ángeles, Guadalupe Victoria, Ixcamilpa de Guerrero, Jolalpan, La Fragua, La Magdalena Tlatlauquitepec, Mixtla, Molcaxac, Ocotucan, Palmar de Bravo, Petlalcingo, Puebla, Los Reyes de Juárez, San Gregorio Atzompa, San Jerónimo Xayacatlán, San Miguel Ixitlán, San Nicolás Buenos Aires, San Pablo Anicano, San Pedro Yeloixtlahuaca, San Salvador Huixcolotla, Santa Catarina Tlaltempan, Tecamachalco, Tecomatlán, Tehuitzingo, Tpeyahualco, Tlacotepec de Benito Juárez, Tlachichuca, Tlatlauquitepec, Totoltepec de Guerrero, Xayacatlán de Bravo y Zautla.</t>
  </si>
  <si>
    <t>La sequia ocasionó daños en 37,510.69 hectáreas y 726 unidades animales afectando a 13,326 productores. El cultivo afectado fue el maíz, frijol, avena y cebada. El PACC apoyó con 35,446,772.8 pesos.</t>
  </si>
  <si>
    <t>Churintzio, Numerán, Penjamillo, La Piedad, Tanhuato, Vista Hermosa, Yurécuaro y Zináparo</t>
  </si>
  <si>
    <t>La sequia ocasionó daños en 17,149.01 hectáreas afectando a 4,695 productores. El cultivo afectado fue el maíz, frijol y sorgo. El PACC apoyó con 16,051,473.36 pesos.</t>
  </si>
  <si>
    <t>Akil, Buctzotz, Calotmul, Cenotillo, Chankom, Chemax, Chikindzonot, Dzitás, Dzoncauich, Espita, Hoctún, Kaua, Oxkutzcab, Panabá, Quintana Roo, Río Lagartos, San Felipe, Suculá, Tahmek, Tekax, Temozón, Tinum, Tixcacalcupul, Tizimín, Uayma, Valladolid y Xocchel.</t>
  </si>
  <si>
    <t>La sequia ocasionó daños en 8,730 unidades animales afectando a 539 productores. El ganado afectado fue el bovino. El PACC apoyó con 4,085,640.0 pesos.</t>
  </si>
  <si>
    <t>Susupuato</t>
  </si>
  <si>
    <t>La sequia ocasionó daños en 945.63 hectáreas afectando a 321 productores. El cultivo afectado fue el maíz. El PACC apoyó con 885,109.68 pesos.</t>
  </si>
  <si>
    <t>Bajas Temperaturas</t>
  </si>
  <si>
    <t>Se registraron 7 muertes a consecuencia de las bajas temperaturas. 7 por hipotermia y 6 por intoxocación con monóxido de carbono.</t>
  </si>
  <si>
    <t>Se registró 1 muerte a consecuencia de las bajas temperaturas. 1 por hipotermia.</t>
  </si>
  <si>
    <t>Se registraron 2 muertes a consecuencia de las bajas temperaturas. 2 por hipotermia.</t>
  </si>
  <si>
    <t>Se registraron 3 muertes a consecuencia de las bajas temperaturas. 3  por intoxocación con monóxido de carbono.</t>
  </si>
  <si>
    <t>Se registraron 2 muertes a consecuencia de las bajas temperaturas. 1 por hipotermia y 1 por intoxicación con monóxidode carbono.</t>
  </si>
  <si>
    <t>Se registraron 6 muertes a consecuencia de las bajas temperaturas. Todas por intoxicación con monóxidode carbono.</t>
  </si>
  <si>
    <t>Se registraron 2 muertes a consecuencia de las bajas temperaturas. Ambas por intoxicación con monóxidode carbono.</t>
  </si>
  <si>
    <t>Se registraron 9 muertes por bajas temperaturas, 2 por hipotermia y 7 por intoxocación con monoxico de carbono.</t>
  </si>
  <si>
    <t>La Unidad Estatal de Protección Civil informó que el día 31 de enero a las 2:00 se registró la volcadura de tres trailers sobre la carretera 190 en el tramo La Venta-La Ventosa, a la altura del Km 85, debido a los fuertes vientos que se generan en esta zona. No se reportan daños materiales ni humanos.</t>
  </si>
  <si>
    <t xml:space="preserve">Debido a  heladas, se declaro en emergencia a un municipio del Estado de Tlaxcala, activandose los recursos del fondo revolvente  por $1,828,500 para atender a la poblacion </t>
  </si>
  <si>
    <t xml:space="preserve">La Unidad Estatal de Protección Civil informo que a las 20:00 horas del día 20 de febrero, ocurrieron fuertes ráfagas de viento en la ciudad de Campeche, principalmente en el Malecón Av Ruíz Cortínez, Colonia Centro, ocasionando el fallecimiento de una menor y tres lesionadas. Se reportó que los hechos ocurrieron en pleno desfile del corso infantil, en el marco del carnaval de Campeche 2009, cuando una ráfaga de viento derribó un poste de alumbrado público del malecón de la ciudad, provocando la muerte de la menor Jovanna Estefanía Segovia Manzano de 8 años de edad y lesionó a otras 3 personas mayores que permanecían frente al hotel del Mar junto con sus familiares. </t>
  </si>
  <si>
    <t>La Unidad Estatal de Protección Civil, reportó que el día 21 de febrero a las 18:00 horas se registró una fuerte granizada que afecto a varias colonias pertenecientes al municipio de Morelia, reportándose 6 viviendas afectadas con daño menor, sin que se reporten daños humanos.</t>
  </si>
  <si>
    <t>Tuxpan, Pueblo Viejo, Tampico Alto, Veracruz, Boca del Río, Alvarado, La Antigua, Ursulo Galván,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</si>
  <si>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navegación.</t>
  </si>
  <si>
    <t>Atzalan</t>
  </si>
  <si>
    <t xml:space="preserve">Debido a las heladas, se declaro en emergencia a un municipio del estado de Veracruz, activandose los recursos del fondo revolvente  por $2,124,000 para atender a la poblacion </t>
  </si>
  <si>
    <t>Santa Ana Nopalucan</t>
  </si>
  <si>
    <t>Se registró una fuerte granzada afectando a 4 viviendas de material endeble en sus techos</t>
  </si>
  <si>
    <t>Nava, Zaragoza y Morelos</t>
  </si>
  <si>
    <t>La unidad Estatal de Protección Civil informó que el día 25 de marzo a las 15:30 horas se registró una fuerte granizada acompañada de lluvias en los municipios de Nava, Zaragoza y Morelos, en este último se registraron afectaciones en varios sectores del municipio, por lo cual Protección Civil del Municipio y del estado efectúan recorridos para verificar y realizar una cuantificación de daños, además de que el municipio quedo sin energía eléctrica. 200 autos, 150 viviendas.</t>
  </si>
  <si>
    <t>Solosuchiapa</t>
  </si>
  <si>
    <t>La Unidad Estatal de Protección Civil informó que el día 27 de marzo entre las 04:00 horas y las 5:30 horas, se registraron fuertes vientos, en el municipio de Solosuchiapa. En la ranchería “El Beneficio” se reportaron 12 viviendas que fueron destechadas, además de 80 personas albergadas en la casa ejidal y en la escuela primaria Melchor Ocampo. También se indicó  que hay daños en un puente en el ejido Monte Ored. En la Ranchería San Sebastián se reportó que la escuela primaria estaba destechada, y en la Ranchería Río Negro una galera cayo sobre una persona.</t>
  </si>
  <si>
    <t xml:space="preserve">Tuzamapan, Cuetzalan y San Pedro </t>
  </si>
  <si>
    <t>La Unidad Estatal de Protección Civil informó que el día 19 de junio a las 15:00 horas se registraron fuertes vientos en los municipios de: Tuzamapan, Cuetzalan y San Pedro Cholula. Estos vientos afectaron a 32 viviendas que contaban con techos endebles, ya que eran de láminas de cartón, estos vientos no causaron afectaciones humanas.</t>
  </si>
  <si>
    <t>Cosautlan de Carvajal e Ixhuatlan de los Reyes</t>
  </si>
  <si>
    <t>Se registró una fuerte granizada misma que afecto los techos de 456 viviendas. El Ayuntamiento apoyo con laminas y despensas</t>
  </si>
  <si>
    <t>Comitan</t>
  </si>
  <si>
    <t>La Unidad Estatal de Protección Civil informó que el día 10 de mayo a las 15:30 horas se registró fuerte viento y lluvia acompañada con granizo, en la comunidad de Chichima  Benito Juárez, ubicada en el Municipio de Comitán, afectando un templo y varias viviendas en sus techos.</t>
  </si>
  <si>
    <t>Ixhuatlán de los Reyes, Chocamán, Ixtacxoquitlán, Fortín, Córdoba, Coscomatepec, Río Blanco y Zongolica</t>
  </si>
  <si>
    <t>Debido a la fuerte granizada acompañada de lluvia se registraron daños de diversos tipos en 665 viviendas. Las familias afectadas recibieron apoyo</t>
  </si>
  <si>
    <t>La Secretaria de Protección Civil estatal reportó que el día 30 de  mayo  a las 17:50 horas se registró una granizada que  afecto el techo de 35 viviendas en la comunidad de la Soledad, la cual pertenece a la comunidad de Atoyac de Álvarez.</t>
  </si>
  <si>
    <t>La Unidad Estatal de Protección Civil Informó que el día 28 de junio se registró una lluvia acompañada de una  tormenta eléctrica en el municipio de Magdalena, como producto de esta se produjo la caída de un rayo en la zona del basurero, matando a una pepenadora con una edad de 34 años.</t>
  </si>
  <si>
    <t>La Unidad Estatal de Protección Civil informó que el día 1 de julio a las 16:30 horas se registraron lluvias fuertes acompañadas de tormentas eléctricas, lo cual genero problemas en las colonias: Lagos de Oriente y lomas de independencia, viéndose afectadas 6 viviendas, 24 personas, 38 árboles caídos, 4 espectaculares y 21vehículos.</t>
  </si>
  <si>
    <t>La Unidad Estatal de Protección Civil informó que el día 2 de julio a las 19:50 horas, se registraron fuertes lluvias en colonias y avenidas  de los muinicipios de  Ecatepec y de  Ixtapaluca, con unos tirantes de agua de entre 40 y 50 cm,de altitud, sin que se registraran perdidas humanas.</t>
  </si>
  <si>
    <t>Mexicale</t>
  </si>
  <si>
    <t>Se reportaron dos decesos por golpe de calor</t>
  </si>
  <si>
    <t>Frontera y Saltillo</t>
  </si>
  <si>
    <t>Se reportaron dos decesos de una adulto y un menos por golpe de calor</t>
  </si>
  <si>
    <t>Laredo</t>
  </si>
  <si>
    <t>Se reporta la muerte de una persona por golpe de calor</t>
  </si>
  <si>
    <t>Se registro un fallecimiento por golpe de calor</t>
  </si>
  <si>
    <t>Saric</t>
  </si>
  <si>
    <t>Una persona fallecio en el hospital por golpe de calor</t>
  </si>
  <si>
    <t>Praxedis G. Guerrero</t>
  </si>
  <si>
    <t>Se presentaron fuertes vientos denominados Downburst o correintes descendentes. Se reportan daños en 80 viviendas. Se instalo un refugio temporal mismo que atendio a 25 personas</t>
  </si>
  <si>
    <t>Cajeme</t>
  </si>
  <si>
    <t>Debido a los fuertes vientos un árbol cayo encima de un autobús, ocasionando la muerte de dos personas y lesiones a otras 4.</t>
  </si>
  <si>
    <t>Una persona fallecio por golpe de calor</t>
  </si>
  <si>
    <t>Debido a la fuerte tormenta electrica registrada, se reportaron dos personas fallecidas y 3 lesionados al ser impactados por un rayo</t>
  </si>
  <si>
    <t>Un rayo alcanzo a dos personas, causandoles serias lesiones</t>
  </si>
  <si>
    <t>Tantoyucan</t>
  </si>
  <si>
    <t>Se presentaron fuertes vientos afectando los techos de 118 viviendas</t>
  </si>
  <si>
    <t>Se reporto la caida de un rayo a un grupo de cuatro personas. Una perdio la vida y tres mas resultaron lesionadas</t>
  </si>
  <si>
    <t>Coquimatlan</t>
  </si>
  <si>
    <t>Se reporto la muerte de una persona cuando los fuertes vientos ocasionaron que una palmera le cayera encima</t>
  </si>
  <si>
    <t>Caida de rayo en la posición 54 de la terminal aerea, causo lesiones a 4 trabajadores del AICM</t>
  </si>
  <si>
    <t>Se reporta la muerte de un menor al ser alcanzado por un rayo</t>
  </si>
  <si>
    <t>Cayó un rayo en un campo de futbol, se reporta la muerte  de un menor y un herido</t>
  </si>
  <si>
    <t>Debido a la caida de un rayo, una persona falleció</t>
  </si>
  <si>
    <t>Guadalupe, Sombrerete, Fresnillo, Ojo Caliente, Jerez, Vetagrande y Zacatecas</t>
  </si>
  <si>
    <t>Los fuertes vientos propiciaron caída de árboles, anuncios espectaculares, postes luz y telefonicos, fuga de gas domestico. Se reportan daños en 15 viviendas y 6 lesionados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</si>
  <si>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</si>
  <si>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</si>
  <si>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</si>
  <si>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</si>
  <si>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La Secretaria de protección Civil del Gobierno del Distrito Federal, informó que el día 20 de enero a las 18:00 horas se registró una grieta de aproximadamente 14 metros de longitud con 3 metros de ancho y 10 metros de profundidad, afectando el patio de un taller mecánico, dicha grieta se ubica en las calles de Vista Hermosa y Gardenia, colonia San Lorenzo, de la Delegación Azcapotzalco, esto reactivo otra falla ya existente en la zona, además de que se registra el fallecimiento de dos personas.</t>
  </si>
  <si>
    <t xml:space="preserve">La Secretaria de Protección Civil del Gobierno del Distrito Federal informó que el día 22 de enero se registró un deslizamiento de tierra en un cerro ubicado en la colonia Palmitas de la delegación Iztapalapa, reportándose 60 viviendas con afectaciones por lo que las familias fueron desalojadas, las cuales se refugiaron con familiares y amigos, de estas familias refugiadas a 6 se les otorgó un departamento en la Delegación Álvaro Obregón, ya que sus viviendas presentaban daños estructurales; 15 familias más fueron reubicadas en predios aledaños.  </t>
  </si>
  <si>
    <t>Se registró un derrumbe en el Pico de Orizaba en elcual una persona resultó lesionada. No se reportan daños materiales</t>
  </si>
  <si>
    <t xml:space="preserve">La Unidad Estatal de Protección Civil, informó que el día 30 de enero a las 6:20 horas se registró el  desgajamiento de un cerro en el municipio de Xochitepec, los hechos se registraron en un tramo de la carretera libre México-Acapulco, a la altura de Jardines del Xochitepec, debido a que en días anteriores se realizo un corte para ampliar la carretera a 4 carriles. No se reportaron afectaciones humanas. </t>
  </si>
  <si>
    <t>La Unidad Estatal de Protección Civil informó que el día 31 de enero a las 6:10 horas se registró el derrumbe de piedras sobre la carretera Monterrey-Monclova en el km 21, resultando 4 personas sepultadas, de las cuales 2 fueron rescatadas con vida y los otros 2 fallecieron.</t>
  </si>
  <si>
    <t>Ixhuatlan de los Reyes</t>
  </si>
  <si>
    <t>Se registro un deslizamiento, mismo que ocasiono la muerte de una persona y causó lesiones a 3 más.</t>
  </si>
  <si>
    <t>Acapulco de Juarez, Chilpancingo de los Bravo, San Marcos, Chilapa de Alvarez y Juan R. Escudero</t>
  </si>
  <si>
    <t>Se registro un sismo de 5.7 grados en la escala de Richter. Se reportan daños en 1611 viviendas y 13 escuelas. El FONDEN apoyo para las acciones de reconstrucción. Una persona de 67 años fallecio</t>
  </si>
  <si>
    <t xml:space="preserve">La Secretaria de Protección Civil del Distrito Federal informó que el día 13 de mayo a las 18:15 horas se registró una falla geológica dejando una grieta de 10 metros de diámetro por 15 de profundidad, dicha grieta se ubica en avenida del parque, entre las calles de Dakota y Chicago en la colonia Nápoles en la delegación Benito Juarez.  </t>
  </si>
  <si>
    <t>La Unidad Estatal de Protección Civil  informó que el día 1 de junio a las 21:00 horas se registró un agrietamiento de suelo, en la colonia Villas San Martín, ubicado en el municipio de Chalco Edo. Mex, dicha grieta afecto a 40 domicilios, en los cuales se generaron agrietamientos interiores y fachadas.</t>
  </si>
  <si>
    <t>Tamazula y Topias</t>
  </si>
  <si>
    <t xml:space="preserve">Se han sentido enjambres de pequeños sismos, se activó un refugio temporal el cual atendio a 80 personas. </t>
  </si>
  <si>
    <t>Huitzilan de Serdan</t>
  </si>
  <si>
    <t>Se registro un hundimiento en una zona habitacional se reportan 2 viviendas con daños parciales y 17 mas con agrietamientos en pisos y muros. Se contempla reubicación</t>
  </si>
  <si>
    <t>Se registro un deslizamiento de suelos, sepultando una vivienda construida con material endeble. Se reportan 5 personas lesionadas y un muerto</t>
  </si>
  <si>
    <t>Huehuetla</t>
  </si>
  <si>
    <t>Se registro el deslizamiento de una ladera en la comunidad 5 de mayo se reportan daños en una vivienda, así como 3 muertos y 2 lesionados</t>
  </si>
  <si>
    <t>Las fuertes lluvias ocasionaron un deslizamiento, mismo que sepulto una vivienda en la cual tres personas fallecieron y una mas resulto herida</t>
  </si>
  <si>
    <t>Se registró un deslizamiento de un cerro, mismo que sepulto una vivienda ocasionando la muerte de 1 persona y dos heridos.</t>
  </si>
  <si>
    <t>Teziutlan</t>
  </si>
  <si>
    <t>Se registro un deslizamiento de suelos en la carretera, arrastrando a un autobus. Afortunadamente solo una persona resulto lesionada</t>
  </si>
  <si>
    <t>Alvarado, Ángel R. Cabada, Tlacotalpan, San Andrés Tuxtla, Lerdo de Tejada y Medellin</t>
  </si>
  <si>
    <t>El sismo provocó daños en 14 Viviendas, 7 escuelas, 2 templos con diferentes daños estructurales y 1 pozo de agua potable y tres caminos</t>
  </si>
  <si>
    <t>Se registro un hundimiento de suelo en un Boulevard de dicho municipio. Dos vehículos cayeron en el hundimiento causando lesiones a cinco personas</t>
  </si>
  <si>
    <t xml:space="preserve">Incendios forestales </t>
  </si>
  <si>
    <t>La Sub Secretaria de Protección Civil del Distrito Federal en conjunto con el periódico " El Universal" informó que el día 2 de junio a las 11:45 horas, se generó un incendio a causa de un corto circuito en un local de cafetería en el segundo nivel de  La Plaza Las Estrellas, ubicada en Avenida del Circuito Interior de la colonia Anahuac, resultando 5 personas lesionadas una por intoxicación y otras por quemaduras de primer grado, además de una persona fallecida por intoxicación.</t>
  </si>
  <si>
    <t>Tula de Allende</t>
  </si>
  <si>
    <t xml:space="preserve">La Unidad Estatal de Protección Civil informó que el día 10 de enero a las 6:30 horas se reporto el incendio de dos tractocamiones y un camión de volteo, este último contaba con una tolva adaptada para vender gasolina clandestinamente, lo cual provoco que se quemaran 18,000 litros de gasolina, los vehículos son propiedad de la empresa “Transportes Promotores de Servicios S..A. de C.V.”, ubicada en un lote baldío ubicado en Boulevard Iturbe perteneciente al municipio de Tula. </t>
  </si>
  <si>
    <t>Se reporto el incendio de un pequeño hotel de 12 habitaciones, fueron evacuadas 14 personas y 2 lesionadas por inhalación de humo</t>
  </si>
  <si>
    <t>La dirección general de Protección Civil del Distrito Federal informó que el día 19 de enero se presentó un incendio de unos pinos navideños secos, que estaban apilados a las 3:30 horas en la explanada  de la delegación.</t>
  </si>
  <si>
    <t>La Unidad Estatal de Protección Civil, informó que el día 21 de enero a las 16:30 horas se registró un incendio en una fábrica de plásticos y textiles, con razón social “Sigifredo Mendoza Matias “; ubicada en el fraccionamiento industrial Niños Héroes, perteneciente al Municipio de Tlalnepantla, se colapso el techo de 100metros cuadrados, del inmueble solo se evacuaron a los 14 trabajadores de la empresa, el fuego se controló a las 17:15 horas.</t>
  </si>
  <si>
    <t>La Unidad Estatal de Protección Civil Informó que el día 21 de enero a las 2:20 horas se registró un incendio en una bodega de frituras, localizada en la colonia Anahuac, Municipio de Monterrey, evacuando a 15 familias que viven en las cercanías del lugar, sin que se registraran daños humanos.</t>
  </si>
  <si>
    <t>Se registró un incendio en una recicladora de plasticos, quemando 7 toneladas de plástico. Afortunadamente no se registraron lesionados.</t>
  </si>
  <si>
    <t>Sahuayo</t>
  </si>
  <si>
    <t xml:space="preserve">La Unidad Estatal de Protección Civil, reportó que el día 25 de enero a las 19:30 horas se registró un incendio en una abarrotera con Razón Social “María Antonieta S.A. de C.V.”, ubicada en la colonia Limonera, perteneciente al Municipio de Sahuayo, el fuego se extinguió en su totalidad al día siguiente a las 14:40 horas, reportándose un área afectada de 5,000m2 </t>
  </si>
  <si>
    <t>La Unidad Estatal de Protección Civil informó que el día 28 de enero a las 19:56 horas se registró un incendio en el interior de la empresa ”Emulsiones Alonso” ubicada en la carretera Salamanca-Juventino Rosas, en el Km. 1 perteneciente al Municipio de Salamanca. El incendio se originó en un tanque vertical de 15 metros de altura con capacidad para 90,000 litros, debido a que sufrió una sobre presión por la alta temperatura, incendiándose en su interior y posteriormente el exterior del tanque. , debido a esto se informó q una persona de 60 años quedo lesionada en el lugar y el incendio quedo controlado a las 21:59 horas.</t>
  </si>
  <si>
    <t xml:space="preserve">L a Secretaria de Protección Civil del Distrito Federal, reportó que el día 1 de febrero a las 15:43 horas se registró in incendio en el interior de una bodega de desperdicios industriales, ubicado en la Colonia San Juan Tllihuaca, de la delegación Azcapotzalco. Reportándose la pérdida en un 80%de un terreno de mil metros cuadrados. Se evacuaron 500 personas </t>
  </si>
  <si>
    <t>NR</t>
  </si>
  <si>
    <t xml:space="preserve">La Unidad Estatal de Protección Civil informó que el día 1 de febrero a las 14:07 se registró un incendio en el patio de maniobras de la empresa “Foca Construcciones” ubicada en la carretera Tuxtla-Chiapa de Corzo Km. 8, reportando que el incendio se debió a un corto circuito, afectando a un tanque de  1200 litros y llantas en desuso, las cuales fueron consumidas por el fuego y generaron una columna de humo muy densa en la zona. </t>
  </si>
  <si>
    <t>En base al trabajo del CENACOM y al diario “El Universal”, se informó que el día 2 de febrero a las 2:00 horas se registró un incendio en el interior del centro de rehabilitación de adicciones para alcohólicos y drogadictos, ubicado en la colonia los Altos. Se reporta que el fugo inicio por un corto circuito, por lo que el fuego consumió en su totalidad los cuartos y enseres domésticos del centro, esto debido a que estaban construidas las instalaciones con madera y techos de lamina metálica. Como medida preventiva se desalojaron a 12 personas que estaban en el centro y demás vecinos de la zona donde ocurrió el incendio.</t>
  </si>
  <si>
    <t>Se registro un incendio en una vivienda acondicionada como taller de zapatos, se reporta una persona lesionada.</t>
  </si>
  <si>
    <t>El diario “El Universal” en conjunto con la Secretaria de Protección Civil del Distrito Federal, informaron que el día 4 de febrero a las 02:00 horas se registró un incendio en la colonia Lomas de Chapultepec, ubicada en Delegación Miguel Hidalgo, el incendio se concentró en los pisos 3 y 4, afectando los departamentos 301 y 401, en donde se encontraban 4 mujeres, las cuales sufrieron intoxicación,</t>
  </si>
  <si>
    <t>Se registro un incendio en una bodega de aceites y lubricantes. Como medida preventiva se evacuó a 200 familias de la zona. No se reportan daños humanos</t>
  </si>
  <si>
    <t>La Sub Secretaria de Protección Civil del Distrito Federal informó que el día 15 de abril a las 17:00 horas  exploto un cohetón en el marco del inicio de la precampaña por las candidaturas a jefe delegacional y a diputados por parte del PRD, esto ocurrió por el mal manejo de los  explosivos ocasionó que uno de ellos se desviara de su trayectoria y se estrellara con un árbol, explotando y causando lesiones a 13 personas, entre las cuales había una niña.</t>
  </si>
  <si>
    <t>Cuautitlán Izcalli</t>
  </si>
  <si>
    <t xml:space="preserve">La Unidad Estatal de Protección Civil, informó que el día 15 de febrero a las 13:50 se registró un incendio en las bodegas de  la tienda Waldos Mart, dicho incendio cubrió una superficie de 33 mil metros cuadrados, dicho establecimiento se ubica en San Sebastián Xala al lado de un bodega Aurrera, dicho incendio provocó la muerte de mujer de 32 años de edad que pertenecia al cuerpo de bomberos  </t>
  </si>
  <si>
    <t>La Secretaría de Protección Civil reportó que el día 16 de febrero a las 8:30 horas se registró un incendio en un local comercial,  reportándose dos personas heridas, una en crisis nerviosa, y una intoxicación en donde fueron los hechos. Además de que a las 10:59 horas quedo extinguido el incendio.</t>
  </si>
  <si>
    <t xml:space="preserve">En conjunto el diario “El Universal” y la Secretaría de Protección Civil del Gobierno del Distrito Federal, informaron que el día 19 de febrero a las 06:55 horas se  registró un incendio urbano en la colonia Ampliación la Polvorilla, ubicada en la delegación Iztapalapa, el siniestro se registro en un asentamiento irregular perteneciente al grupo “Francisco Villa”, esto obligó a la evacuación de 500 familias. </t>
  </si>
  <si>
    <t>Iztacalco</t>
  </si>
  <si>
    <t>La Secretaria de Protección Civil del Distrito Federal, informó que el día 21 de marzo a las 11:40 horas se registró un incendio en la bodega de la fábrica con razón social “Tambores Torres” en un área de 400 metros cuadrados, en donde se almacenaban productos químicos aditivos para concretos y químicos para impermeabilizantes, el siniestro se registro en calles de la colonia Agrícola Oriental, perteneciente a la delegación Iztacalco, y se controló el incendio a las 12:40 horas</t>
  </si>
  <si>
    <t>SC</t>
  </si>
  <si>
    <t>La Unidad Estatal de Protección Civil informó que el día 27 de febrero se registró un in incendio industrial en el depósito de madera y aglomerados, ubicado en la colonia San Juan Ixhuatepec, perteneciente al municipio de Tlalnepantla en el Estado de México, no se reportan victimas ni lesionados.</t>
  </si>
  <si>
    <t xml:space="preserve">La Subsecretaria de protección civil del Distrito Federal, reportó que el día 2 de marzo a las 20:15 horas se registró un incendio en un campamento clandestino “Frente popular  Francisco Villa” ubicado a un costado de la Central de Abasto del Distrito Federal, siendo afectadas 50 viviendas de material endeble, y siendo afectada en su totalidad un área de 4 mil metros cuadrados, siendo evacuadas 170 personas     </t>
  </si>
  <si>
    <t>La Unidad Estatal de Protección Civil informó que el día 4 de marzo a las 19:30 horas se registró un incendio de una bodega que almacenaba almohadas, perteneciente a la empresa de colchones SELTHER, ubicada en la colonia Recursos Hidráulicos, perteneciente al municipio de Tultitlán. El siniestro consumió en su totalidad la bodega, afectando un área de 800metros cuadrados, así como parte de la estructura metálica, la cual se colapsó. El incendio se controló a las 22:40 horas.</t>
  </si>
  <si>
    <t>La Unidad Estatal de Protección Civil informó que el día 6 de marzo a las 13:30 horas se registró un incendio en la empresa textil ZAGAS, ubicada en el corredor industrial de Tepeji del Río. No se registraron daños humanos. Perdida total de 3 mil pacas de algodón</t>
  </si>
  <si>
    <t>Incendio en la colonia irregular El Apache. Daños total en tres viviendas de material endeble</t>
  </si>
  <si>
    <t>Incendio que afecto a cinco viviendas de material endeble en predio irregular Col. Invasión Laura Alicia Frías</t>
  </si>
  <si>
    <t>Se registro un incendio el la Colonia la Polvorilla, se reportan 60 viviendas afectadas, como medida precautoria se evacuo 500 familias.</t>
  </si>
  <si>
    <t>Se registro un incendio en una casa habitación de la colonia Ahuizotla. Se reporta la muerte de una persona y 4 mas lesionados. Daños en dos vehículos y una vivienda</t>
  </si>
  <si>
    <t>Se registró un incendio en el basurero municipal causando daños en dos viviendas, una camioneta, el remolque de un trailer y 20 toneladas de plastico</t>
  </si>
  <si>
    <t>El diario “el Universal” en conjunto con la Secretaria de Protección Civil del Distrito Federal informaron que el día 4 de abril a las 12:30 horas se registró un incendio en un departamento  ubicado en la colonia condesa perteneciente a la delegación Cuauhtémoc. El incendio afecto  a dos departamentos y a las 14:33 horas el incendio quedo controlado.</t>
  </si>
  <si>
    <t>Se registro un incendio en una bodega de almohadas de la empresa Selther. El area afectada fue de 800 metros cuadrados</t>
  </si>
  <si>
    <t>Tamazula</t>
  </si>
  <si>
    <t>La Unidad Estatal de Protección Civil informó que el día 10 de abril se presento un incendio en una turbina del ingenio de Tamazula, con razón social “Grupo Saenz Ingenio Tamazula S.A. de C.V.”, ubicada en la Colonia Centro del Municipio de Tamazula; dicho incendio se genero en uno de los turbogeneradores, abarcando un área de 30 metros de ancho por 60 metros de fondo, quemándose un turbogenerador de 7,500 watts y dos generadores más, dejando el siniestro perdidas por 2 millones de  dólares  resultando intoxicado uno de los elementos de bomberos al inhalar el humo en el momento que intentaba controlar el incendio.</t>
  </si>
  <si>
    <t>La Secretaria de Protección Civil del Distrito Federal, informó que el día 12 de abril a las 3:00 horas se registró un incendio en un edificio de 12 pisos, perteneciente a la SAGARPA, ubicado en la colonia Santa Cruz Atoyac, de la Delegación Benito Juárez. Se reportó que el incendio se debió a un corto circuito en el piso 10, afectando en su totalidad a los pisos 9 y 10, y parcialmente a los pisos 7,8,, 11 y 12, el siniestro fue controlado a la 06:30 horas.</t>
  </si>
  <si>
    <t>La Unidad Estatal de Protección Civil Informó que el día 18 de abril a las 3:10 horas se registró un incendio en el interior de de una casa habitación, ubicada en la unidad habitacional SUTERM modulo IV de la colonia Lomas de Tetela, perteneciente al municipio de Cuernavaca. En el incendio se registraron 3 fallecidos y 3 lesionados, de estos últimos 2 eran menores de 6 meses de edad.</t>
  </si>
  <si>
    <t>En conjunto el diario “El Universal” y la Secretaría de Protección Civil del Gobierno del Distrito Federal, informaron que el día 18 de abril a las 12:00 horas se registró un incendio en una bodega de las instalaciones de la SEMAR ubicada en la delegación Iztapalapa. El incendio se origino en una bodega done almacenan láminas para la construcción de naves industriales, viéndose afectadas por el incendio 17 máquinas con remolque y una grúa, resultando 5 lesionados, 1 por caída 2 por quemaduras y 2 mas por intoxicación.</t>
  </si>
  <si>
    <t xml:space="preserve">La Secretaría de Protección Civil del Distrito Federal, en conjunto con los medios de Comunicación informaron que el día 22 de abril  a las 12:20 horas, se registro el incendio de un camión repartidor de gas doméstico, con razón social “Compañía de Gas Nieto”. El siniestro se registro en la colonia Ramos Millán, cuando el camión transportaba 76 cilindros, de los cuales explotaron algunos sin causar daños a personas pero si a una casa.  </t>
  </si>
  <si>
    <t>La Unidad Estatal de Protección Civil de Coahuila informó que el día 21 de Abril a las 17:50 horas, se registró un incendio en el basurero municipal, ubicado en calle Cuauhtémoc y Escuadrón 201 dentro del Municipio de Piedras Negras; dicho incendio se originó en el basurero y se extendió a un predio aledaño, afectando a pastizal y arbusto. Se informó que quedó controlado a las 20:30 horas del mismo día.</t>
  </si>
  <si>
    <t>Se registro un incendio en una empresa, por motivos de seguridad fue necesario evacuar a 150 personas</t>
  </si>
  <si>
    <t>La Unidad Estatal de Protección Civil informó que el día 9 de mayo a las 13:53 horas se registró un incendio en el interior del corralón municipal ubicado en el fraccionamiento Mira Sierra a la altura de la Carretera No 57, Municipio de Saltillo. El cual se originó por un corto circuito afectando un total de 3 hectáreas sin q se determine el número de vehículos afectados por el incendio, el cual fue sofocado por los bomberos a las  16 horas.</t>
  </si>
  <si>
    <t>Metepec</t>
  </si>
  <si>
    <t>La Unidad Estatal de Protección Civil informó que el día 24 de mayo a las 13 horas, se registró un incendio en el área de cocina de un Restaurante con razón social “Texas Ribs”, ubicado en la plaza Galerías  Metepec, el incendio se originó por un corto circuito en la parte de la Chimenea, afectando un área de 16 metros cuadrados del restaurante, sin que se afectaran vidas humanas y a las 14:25 el incendio fue controlado</t>
  </si>
  <si>
    <t>Se registro un incendio en la zona hotelera de cancun, en el hotel casa maya. Se reportan 7 personas intoxicadas, así mismo fue necesario evacuar a 279 personas.</t>
  </si>
  <si>
    <t>García Nuevo León</t>
  </si>
  <si>
    <t xml:space="preserve">La Unidad Estatal de Protección Civil informó que el día 13 de junio a las 13:53 horas se registró un incendio en la tejavana de 8 viviendas, en las cuales vivían cerca de 40 o personas, las cuales están ubicadas en la colonia Avance Popular, el siniestro se genero por estar ubicadas en zonas marginadas </t>
  </si>
  <si>
    <t>La Unidad Estatal de Protección Civil informó que el día 19 de junio a las 10:17 horas se registró un incendio en un microbus, en la colonia Girasoles, perteneciente al municipio de Escobedo, derivado de esto se presento fuga de diesel, el cual se fue hacia alguna alcantarilla. se evacuo a un total de 1500 personas</t>
  </si>
  <si>
    <t>SR</t>
  </si>
  <si>
    <t>La Unidad Estatal de Protección Civil informó que el día 19 de junio a las 9:15 horas se registró un incendio por fuga de gas de una pipa con razón social “Empresa Sony GAS”, con capacidad para 5,000 litros en el municipio de Oaxaca, el siniestro se genero cuando el camión repartía gas a una pastelería, lo cual ocasionó que personas que se encontraban en el interior de la pastelería tuviera crisis nerviosas, sin embargo un bombero sufrio intoxicación al momento de q inentaba apagar el fuego</t>
  </si>
  <si>
    <t>Nsr</t>
  </si>
  <si>
    <t>La Unidad Estatal de Protección Civil, informó que el día 24 de junio a las 2:00 horas  se registró el incendio de un comercio, con razón social “hermanos” ubicada en la colonia Centro, perteneciente al municipio de Uruapan, se indica que al zapatería sufrió perdida total, además de que dos locales que se encontraban al lado fueron afectados parcialmente.</t>
  </si>
  <si>
    <t>Incendio Buque</t>
  </si>
  <si>
    <t>Islas Marías</t>
  </si>
  <si>
    <t>La Secretaría de Marina-Armada de México, en conjunto con el diario “El Universal”, informó que el día 3 de julio a las 5:50 horas fue necesario evacuar el buque “maya” debido a un incendio a bordo, cuando se encontraba navegando de Nayarit a la colonia penal de islas Marías, transportando 89 civiles que Irian a la visita semanal, por lo que se tuvo que desalojar el barco, sin que se registraran daños humanos.</t>
  </si>
  <si>
    <t>Secretaria de Marina</t>
  </si>
  <si>
    <t>La unidad estatal de protección civil informó que el día 6 de julio de 2009 a las 13:30 horas (hora local) se registró un conato de incendio en la clínica del ISSSTE, ubicada en calle Fray Junipero, colonia fraccionamiento las Palmas Municipio de Tijuana. Tomándose como medida preventiva la evacuación de 9 pacientes, los cuales fueron llevados al hospital de la Cruz Roja y 5 más fueron trasladados a la clínica ISSSTECALI, así como 40 personas que se encontraban en espera de consulta salieron de la clínica. A las 14:30 horas se reporta controlada la situación, y se informa que el conato de incendio se registró en un tablero de las calderas, saliendo solo humo.</t>
  </si>
  <si>
    <t>Se registro un incendio en una bodega del DIF estatal. El incendio consumio la totalidad de la bodega y sus contenidos, así como una vivienda aledaña</t>
  </si>
  <si>
    <t>Se reporto el incendio de tres viviendas construidas con material endeble en la Colonia la Pradera. Se reportan 7 personas l3esionadas</t>
  </si>
  <si>
    <t>Amatitlan</t>
  </si>
  <si>
    <t>Se registro un incendio en una industria tequilera. Dos personas resultaron lesionadas</t>
  </si>
  <si>
    <t>Se registro un incendio en el Teatro Aldama. Se evacuó a un total de 60 personas. Una persona resulto lesionada</t>
  </si>
  <si>
    <t>Se registró un incendio en una vivienda de la Col. Villa. Nueve personas fallecieron y una mas resulto herida. Entre las personas fallecidas, había 7 menores y dos adultos</t>
  </si>
  <si>
    <t>Se registro un incednio en la zona industrial, especificamente en una empresa dedicada a la fabricacion de veladoras. Se reportan 32 personas intoxicadas y mil evacuados</t>
  </si>
  <si>
    <t>Se registro un incendio en una vivienda construida de material endeble en un asentamiento irregular, este se propago alcanzando a otras 35 viviendas del mismo material. Dos personas perdieron la vida</t>
  </si>
  <si>
    <t>Se registro un incendio comercial afectando a 250 locales del mercado municipal. Afortunadamente no se registraron daños humanos</t>
  </si>
  <si>
    <t>Se registro un incendio en el fraccionamiento Los Angeles. Se reportan tres personas lesionadas</t>
  </si>
  <si>
    <t>Se registro un incendio en una fabrica de plasticos resultando intoxicadas 2 personas</t>
  </si>
  <si>
    <t>Se registro un incendio en la Colonia Lomas de Pitic, en el Hotel Fiesta Americana. Se reportaron unicamente dos personas intoxicadas</t>
  </si>
  <si>
    <t>Incendio en una bodega que contenia Iztle, material para elaborar escobas. Se reportan dos personas intoxicadas</t>
  </si>
  <si>
    <t xml:space="preserve">Se registro un incendio en el mercado denominado Los Ancianos. Se reportan daños en 30 locales. </t>
  </si>
  <si>
    <t>Santos Reyes Tejejillo</t>
  </si>
  <si>
    <t>La Unidad Estatal de Protección Civil informó que el día 5 de enero a las 20:00 horas se presento una explosión de juegos pirotécnicos en el municipio de Santos Reyes Tepejillo, los hechos ocurrieron en el momento en que se realizaba una procesión religiosa con motivo de las fiestas anuales, al momento de pasar al lado de una camioneta que contenía juegos pirotécnicos aventaron un cohete y una chispa cayo en la camioneta, originando la explosión, resultando 3 personas lesionadas  y falleciendo dos  de ellas  camino al hospital.</t>
  </si>
  <si>
    <t>La dirección General de Protección Civil del Distrito Federal, informó que el dia 7 de enero a las 01:25 horas se presentó una explosión en un inmueble de departamentos, debido a una fuga de gas en un calentador. Se reporta una persona lesionada</t>
  </si>
  <si>
    <t>La Unidad Estatal de Protección Civil, Informó que el día 19 de enero a las 20:30 horas se registró una explosión en un tanque de asfalto en el municipio de Arteaga. Los hechos se registraron en la constructora “JP. Saltillo S.A.”, ubicada en el camino antiguo a Loma Alta Km. 2.5, reportándose que la explosión se produjo cuando se realizaban trabajos de soldadura en el tanque, que en ese momento se encontraba al 30% de su capacidad. Para las 22:13 horas concluyeron los trabajos de enfriamiento del área afectada y control del siniestro, sin reportarse afectaciones humanas.</t>
  </si>
  <si>
    <t>Paraiso</t>
  </si>
  <si>
    <t>Se registro una explosion/flamazo en instalaciones de PEMEX al realizar labores de reparación en un ducto. Se reportaron dos personas lesionadas</t>
  </si>
  <si>
    <t>Matehuala</t>
  </si>
  <si>
    <t>Se registró la explosión de un polvorín clandestino en el cual una persona resulto lesionada</t>
  </si>
  <si>
    <t>Mochitlan</t>
  </si>
  <si>
    <t>La Unidad Estatal de Protección Civil estatal notificó que el día 25 de enero a las 15:35 horas se registró una explosión en un tanque estacionario, teniendo como consecuencia una persona muerta de 76 años de edad de sexo masculino y 11 personas lesionadas, el accidente se originó en la comunidad de las Villitas perteneciente al municipio de Mochitlan, el suceso ocurrió cuando un trabajador realizaba labores de soldadura, las chispas q saltaron provocaron que un tanque estacionario con capacidad para 500 litros, produciéndose un fuerte incendio que quemo 4 viviendas construidas de madera, dos camionetas y una maquina tipo tractor.</t>
  </si>
  <si>
    <t>Cujimalpa</t>
  </si>
  <si>
    <t xml:space="preserve">La Secretaria de Protección Civil del Distrito Federal, reportó que el día 2 de febrero a las 14:00 horas se registró la explosión de un cohetón en el techo de la iglesia de la Candelaria, ubicada en el centro de  La Delegación Cuajimalpa, debido a la onda expansiva se rompieron los vitrales que cayeron encima  de los feligreses, resultando 17 personas lesionadas. </t>
  </si>
  <si>
    <t>Tonaya</t>
  </si>
  <si>
    <t>Se registro una explosion en el area de cocina de la escuela primaria Ignacio Zaragoza. La explosión fue producto de una fuga de gas LP. Se reportan 3 personas lesionadas y daños en la zona de cocina de la escuela</t>
  </si>
  <si>
    <t>Se registró la explosión de un cuetón en un acto político por error humano. Se reportan 13 personas lesionadas</t>
  </si>
  <si>
    <t>La Unidad Estatal de Protección Civil, reportó que el día 20 de febrero a las 16:36 horas se registró la explosión de una camioneta que transportaba artificios pirotécnicos, los hechos ocurrieron al momento de que la camioneta circulaba por la colonia Morelos, perteneciente al municipio de Morelia, dejando un saldo de 6 personas lesionadas.</t>
  </si>
  <si>
    <t>Cosautlan</t>
  </si>
  <si>
    <t>Se registro una explosion en un polvorin clandestino afectando una vivienda, lesionando a 4 personas y falleciendo una mas en el lugar.</t>
  </si>
  <si>
    <t>Se registró la explosión de un polvorín reglamentado en el cual dos personas resultaron lesionadas</t>
  </si>
  <si>
    <t>Se registró una explosión en un polvorín resultando tres personas lesionadas</t>
  </si>
  <si>
    <t>San Juan Epatlán</t>
  </si>
  <si>
    <t xml:space="preserve">La Unidad Estatal de Protección Civil informó que el día 26 de Marzo a las 12:30  horas se registró la explosión de juegos pirotécnicos, que se encontraban almacenados en una bodega en el municipio de San Juan Epatlan. Reportándose 58 personas lesionadas. </t>
  </si>
  <si>
    <t>La Unidad Estatal de Protección Civil informó que el día 21 de Abril a las 11:20 horas se registró una explosión en un local donde se elaboraban artificios pirotécnicos, ubicado en el barrio “La Saucera” en el municipio de Tultepec, esta explosión dejo como saldo a 2 personas lesionadas, normalizándose la situación a las 12:00 horas.</t>
  </si>
  <si>
    <t>La Unidad Estatal de Protección Civil informó que el día 2 de mayo a las 17:50 horas se registró una explosión de dos barriles de pólvora, en un taller donde se elaboraban juegos pirotécnicos, el cual cuenta o contaba con la autorización correspondiente para llevar a cabo esta actividad. Derivado de esta explosión se reportaron 4 personas lesionadas, de las cuales 2 sufrieron quemaduras de segundo y tercer grado. Todo quedo reestablecido a las 20:15 horas.</t>
  </si>
  <si>
    <t>Almoyola de Juárez</t>
  </si>
  <si>
    <t>La Unidad Estatal de Protección Civil informó que el día 16 de mayo a las 15:45 horas se registró la explosión de un polvorín, afectando el taller de elaboración e juegos pirotécnicos de aproximadamente 35mteros cuadrados, ubicado en la comunidad de San Mateo Tlalchichilpan, perteneciente al municipio de Almoloya de Juárez, dejando un saldo de 2 lesionados, la situación se normalizo cerca de las 16:40 horas.</t>
  </si>
  <si>
    <t>Se registro la explosion de un contenedor de amoniaco. La explosión creo una nube de color amarillo, misma que intoxico a 10 personas</t>
  </si>
  <si>
    <t>Se registro una explosión en la Cervecería Cuahtemoc Moctezuma. Se registraron daños estructurales en instalaciones de la empresa. Desafortunadamente dos personas perdieron la vida y una mas resulto lesionada</t>
  </si>
  <si>
    <t>Cadereyta</t>
  </si>
  <si>
    <t>La Unidad Estatal de Protección Civil informó que el día 11 de junio a las 5:10 horas se registró una explosión e incendio de 2 contenedores de diesel, los hechos ocurrieron dentro de la empresa “Grupo Energéticos” ubicada en la colonia Bella Vista, perteneciente al municipio de Cadereyta.</t>
  </si>
  <si>
    <t>Nochistlan</t>
  </si>
  <si>
    <t>Se registro la explosion de un polvorin clandestino, resultando tres personas lesionadas</t>
  </si>
  <si>
    <t>Se registro la explosion de una camioneta cargada de artefactos pirotecnicos lesionando a 8 personas y causando el fallecimiento de una más</t>
  </si>
  <si>
    <t>Uman</t>
  </si>
  <si>
    <t>Accidente en una industria denominada Petromayab. Se reportan 2 personas lesionadas</t>
  </si>
  <si>
    <t>San Francisco del Rincon</t>
  </si>
  <si>
    <t>La Unidad Estatal de protección civil informó que el día 25 de junio a las 16:15 horas, se registró un flamazo que dejo a 6 personas con quemaduras de 2º y 3er grado, en una zapatería, ubicada en la colonia Santa Rita, perteneciente al municipio de San francisco del rincón, sin que se registraran muertos</t>
  </si>
  <si>
    <t>Se registro una explosión en la colonia Centro en un local comercial. Una persona perdio la vida.</t>
  </si>
  <si>
    <t>La Secretaría de Protección Civil del Gobierno del Distrito Federal, informó que el día 1 de julio a las 14:30, se registró una serie de cortos circuitos en las calles 5 de mayo y madera, lo que provocó este siniestro causo daños en un puesto de periódicos y en la cortina de un comercio fijo, además de que un apersona de la tercera edad fue atendida por crisis nerviosa.</t>
  </si>
  <si>
    <t>La Secretaría de Protección Civil del Gobierno del Distrito Federal, informó que el día 5 de julio a las 12:58 y a las 13:15 horas se registraron una serie de cortos circuitos en 3 mufas subterráneas, lo que provocó dos explosiones en la calle de Francisco I. Madero y una más en la calle Condesa, ambas calles ubicadas en la colonia Centro de la delegación Cuauhtémoc, no se reportaron lesionados.</t>
  </si>
  <si>
    <t>Tochtepec</t>
  </si>
  <si>
    <t>Se registro la explosion de un polvorin ocasionando la muerte de 4 personas y lesiones a otras dos</t>
  </si>
  <si>
    <t>La Unidad Estatal de Protección Civil informó que el día 14 de julio a las 10:15 horas se registró la explosión de cohetones momentos antes de que iniciara la marcha de la APPO, los cohetones se encontraban en el interior de una camioneta, ubicada en la colonia Eucaliptos, dicho suceso inició cuando la chispa de un cuete lanzado por un miembro de la APPO alcanzó la camioneta estacionada, la cual estalló y provocó la muerte de una persona y dejo a otras 8 con lesiones graves.</t>
  </si>
  <si>
    <t>Se registro una explosion en un polvorin clandestino, se reportan daños en una vivienda y dos personas lesionadas</t>
  </si>
  <si>
    <t>Se registro una explosion en un polvorin autorizado, se reportan daños en una vivienda y una persona lesionada</t>
  </si>
  <si>
    <t>Ciudad Guzma</t>
  </si>
  <si>
    <t>Se registro una explosion en un local comercial de abarrotes afectando a una tortileria. Se reportan 7 personas lesionadas</t>
  </si>
  <si>
    <t>Se registro una explosion por acumulacion de gases en  un departamento. Se reportaron 10 personas lesionadas</t>
  </si>
  <si>
    <t>Minatitlan</t>
  </si>
  <si>
    <t>Se registro la explosion de un domo de un autotanque que transportaba gasolina cuando se realizaban labores de limpieza. Una persona resulto lesionada</t>
  </si>
  <si>
    <t>Se registro la explosion de varios cuetones en el atrio de una iglesia. Se reportan 5 personas lesionadas</t>
  </si>
  <si>
    <t>Ajalpan</t>
  </si>
  <si>
    <t>Se registro una explosion en la cual una persona resulto lesionada. Se reportan daños en una vivienda</t>
  </si>
  <si>
    <t>Tepoztlan</t>
  </si>
  <si>
    <t>Se registro la explosion de un polvorin. Se reporta una persona fallecida y cuatro lesionados</t>
  </si>
  <si>
    <t>Se registro una explosion en el area de cocina de una panaderia. Una persona lesionada</t>
  </si>
  <si>
    <t>Explosion de un transformador en la colonia Tabacalera. Se reporta una persona lesionada</t>
  </si>
  <si>
    <t>Se registro una explosion en la termoeléctrica "El Caracol" Una persona perdio la vida y cicno mas resultaron intoxicados</t>
  </si>
  <si>
    <t>Se registro una explosion en un edificio de 4 niveles. El motivo fue acumulacion de Gas LP. Se reportan 3 lesionados</t>
  </si>
  <si>
    <t>San Jeronimo Zacualpan</t>
  </si>
  <si>
    <t>Se registro la explosion de un polvorin con permiso. Una persona perdio la vida</t>
  </si>
  <si>
    <t>Explosion de un tanque estacionario debido a acumulación de gas. Se reportan daños en 5 locales con perdida total y 21 viviendas con daños menores. 4 lesionados</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</si>
  <si>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</si>
  <si>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</si>
  <si>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Chilchotla</t>
  </si>
  <si>
    <t>Se reporta la explosion de una camioneta que transportaba artificios pirotecnicos. Misma que afectó una vivienda en la que se encontraba reunida una familia de 14 integrantes. Se reporta la muerte de 8 personas y 6 mas lesionados</t>
  </si>
  <si>
    <t>Personal de SETIQ. Informó que el día 21 de enero a las 06:45 horas se presentó un derrame de ácido muriático, los hechos ocurrieron en la colonia industrial Vallejo, cuando una pipa propiedad de la empresa química Richter S.A. de C.V. frenó bruscamente por lo que el contenedor cayó bruscamente en el interior de la plataforma en que era transportado, golpeando a otro contenedor el cual se rompió originando el derrame del líquido, del cual se perdieron 300 litros del producto.</t>
  </si>
  <si>
    <t>Se registró el derrame de 40 litros de ácido sulfúrico  en una gasolionera. El motivo fue que la pipa que transportaba el producto revento una de sus tapas por la sobre presión.</t>
  </si>
  <si>
    <t>La Unidad Estatal de Protección Civil, en conjunto con medios de información, registró que el día 17 de marzo se produjo un derrame de gasolina sobre el derecho de vía del poliducto de 14 pulgadas Satélite-Gómez Palacio, en el municipio de Francisco I. Madero, Coahuila, por lo que personal especializado de PEMEX se traslado a la válvula de Simón Bolívar, con la finalidad de bloquear el flujo del producto. El hidrocarburo derramado afectó un área de 1.5X2mtrs por lo que se realizaron trabajos para la reparación del ducto afectado.</t>
  </si>
  <si>
    <t xml:space="preserve">La Unidad de Protección Civil Estatal Informó que el día 1 de julio se registró un derrame de gasolina en un ducto de 10 pulgadas, el cual fue fracturado  por una retroexcavadora, que se encontraba haciendo una zanja, los hechos se registraron en calle República, Colonia Sierrita, Personal de  PEMEX reportó la pérdida de 40mil litros de gasolina, con lo cual las autoridades se vieron en la necesidad de utilizar bombas de succión para recuperar la gasolina derramada en pipas, ademasde arreglar 5 alcantarillas, protección civil estatal  realzó monitoreos de explosividad en el alcantarillado para verificar que no hubiera filtración de producto al drenaje.  </t>
  </si>
  <si>
    <t>Derrame de 3,500 Lts. de crudo en el Óleo de 24” que va de Nuevo Teapa – Venta de Carpio</t>
  </si>
  <si>
    <t>Cenacom</t>
  </si>
  <si>
    <t>Se registro el derrame de 30 mil litros de emulsion asfaltica al realizar maniobras de vaciado en un tanque que se encontraba en malas condiciones. Se perdio la totalidad del producto</t>
  </si>
  <si>
    <t>Debido a trabajos de perforacion se registro el derrame de Bentonita, afectando a una vivienda</t>
  </si>
  <si>
    <t>La Secretaria de Protección Civil del Distrito Federal, informó que el día 3 de enero a las 12 horas se registró una fuga de gas L.P, el cual dejo un fuerte olor, esto se registró en la calle de Fresno No 91 esquina con Sor Juana Inés de la Cruz, colonia Santa María la Rivera de la delegación Cuauhtémoc. Este olor se presento por la picadura de uno de los ductos de gas por lo que el cuerpo de bomberos se vio a la tarea de levantar la cinta asfáltica y poder arreglar el ducto, y quedo controlada la fuga a las 14:10 horas</t>
  </si>
  <si>
    <t>El periódico " El universal" en conjunto con el CENACOM, informaron que el día 8 de enero a las 20:00 horas, se presentó una fuga de gas butano que causo la muerte a 1 persona e intoxicación a 5 mas de las que 3 fueron llevadas al hospital magdalena de las salinas y las otras 2  fueron atendidas en el lugar.</t>
  </si>
  <si>
    <t>La Unidad Estatal de Protección Civil Estata, informó de una fuga de Acido Clorhídrico, en la empresa “Químicos Ángeles”, en un contenedor de 1000 lts. derramándose en un área de 150 mts. debido a daños en una válvula, cuando se realizaban trabajos de descarga. No se tiene cuantificación del derrame. Los hechos se registraron en la empresa “Químicos Angeles”, ubicada en calle Guerrero, ubicada entre Abasolo  y Miguel blanco. La fuga se presentó en contenedor de 1000lts, derramándose en un área de 150 metros.</t>
  </si>
  <si>
    <t>La Unidad Estatal de Protección Civil, informó que el día 26 de enero a las 9:56 horas se registró una fuga de cloro en el Municipio de Monterrey, en la empresa “Recuperadora Industrial de Fierro S.A.”, la fuga se debió a que dos tanques de 65kg que contenían residuos de cloro fueron bajados de un camión, y en ese momento una de las válvulas sufrió algún tipo de daño, por lo que se presento la fuga, afectando a 33 personas las cuales sufrieron de intoxicación.</t>
  </si>
  <si>
    <t>Cocula</t>
  </si>
  <si>
    <t xml:space="preserve">La Unidad Estatal de Protección Civil informó que el día 18 de febrero se registró una fuga de amoniaco en un ingenio azucarero abandonado, en la comunidad de “El Puente” perteneciente al municipio de Cocula, el incendio se origino debido a que había varios contenedores con amoniaco, lo que provocó que 7 personas resultaran con intoxicación. </t>
  </si>
  <si>
    <t xml:space="preserve">Se registro una fuga de oxido de etileno en un hospital del IMSS, misma que intoxico a 6 personas. </t>
  </si>
  <si>
    <t>La Unidad Estatal de Protección Civil informó que el día 21 de marzo a las 20:42 horas se produjo una fuga de dióxido de Carbono en la empresa PRAXIAR, ubicada junto a la refinería del municipio de Salamanca, dicha fuga se produjo por una sobre presión de la válvula eléctrica de un tanque de almacenamiento con capacidad para 300 Toneladas, el cual se encontraba en un 27% de su capacidad. L fuga quedó controlada a las 22:15 horas, sin que se registraran personas lesionadas o intoxicadas.</t>
  </si>
  <si>
    <t>La Secretaría de Protección Civil del Gobierno del Distrito Federal, informó que el día 11 de junio a las 14:00 horas se presentaba un fuerte olor a amoniaco, el cual provenía de una pastelería “El Globo”  ubicada en la colonia Agrícola Oriental, como resultado de esto 4 menores resultaron con síntomas de intoxicación leve.</t>
  </si>
  <si>
    <t>La Unidad Estatal de Protección Civil informó que el día 26 de mayo a las 13:58 horas se registró la fuga en poca cantidad de insecticida agrícola (Paratiol metílico) en la empresa llamada “Los Potosinos”, ubicada en calle Vito Alessio, Col. Nazario Ortiz, resultando 3 personas intoxicadas, que fueron trasladadas para su atención a la Clínica No. 2 del IMSS. La fuga fue controlada rápidamente por personal de la empresa y no se registraron más afectaciones</t>
  </si>
  <si>
    <t>Se registro una fuga de crudo en ducto de PEMEX. Se desconoce la cantidad derramada</t>
  </si>
  <si>
    <t>Se registro una fuga de amoniaco en una pasteleria, intoxicando a 4 personas</t>
  </si>
  <si>
    <t>Se registro una fuga de gas cuando un trascavo averio un gasoducto. Como medida preventiva fue necesario evacuar a 600 personas</t>
  </si>
  <si>
    <t>Se presento una fuga de hipoclorito de sodio, que al entrar en contacto con un acido formo una nube tóxica. Se reportan tres personas lesionadas</t>
  </si>
  <si>
    <t>Se registro la fuga de gas natural, lo que ocasiono que se evacuara un kinder cercano y una primaria. 450 en total fueron evacuadas</t>
  </si>
  <si>
    <t>Se registro una fuga de 110 mil litros de gas LP en la colonia las flores</t>
  </si>
  <si>
    <t>Se registro una fuga de Gas cuando personal de CFE realizaba trabajos de excavación. Se evacuó a 200 personas de manera preventiva</t>
  </si>
  <si>
    <t>Benito Juarez</t>
  </si>
  <si>
    <t>Se registro una fuga de gas butano en una vivienda ocasionando la muerte de una persona, asi como tres intoxicados</t>
  </si>
  <si>
    <t>Se registro una fuga de gas LP en una tortilleria se reportan 18 personas intoxicadas. Fue necesario evacuar a 200 menores de una escuela</t>
  </si>
  <si>
    <t>Oxchuc</t>
  </si>
  <si>
    <t>La Unidad Estatal de Protección Civil del estado de Chiapas, informó que a las 13:30 horas del 4 de enero se registró un choque de frente entre 2 camionetas de pasajeros del transporte colectivo en la carretera Oxchuc-Ocosingo Km.184, el accidente dejo un registro de 12 lesionados.</t>
  </si>
  <si>
    <t>Se registró la volcadura de un autobús de pasajeros en la carretera costera Chicxulub-Tizimin Km 8, se reportaron 30 personas lesionadas.</t>
  </si>
  <si>
    <t>Se registro la volcadura de una pipa que transportaba 27 mil litros de aquilato de butilio. Se reporta una persona lesionada</t>
  </si>
  <si>
    <t>Se registró la volcadura de una pipa con capacidad de 28 mil litros de gasolina derramandose 10 mil litros aproximadamente. El incidente se registró en el Tramo carretero La ribereña. Kilómetro 192+900</t>
  </si>
  <si>
    <t>Acatzingo</t>
  </si>
  <si>
    <t xml:space="preserve">El centro de Coordinación y Apoyo a Emergencias de PEMEX, informó que el día 11 de enero a las 11:32 horas se registró un accidente en la autopista Veracruz-México a la altura del Km 163+100 a la altura del Municipio de Acatzingo, Puebla. Este accidente se debió cuando a la Unidad PP-1090 de la compañía transportista “EXPRESS Y TANQUES ESPECIALIZADOS SA DE CV”  se le atravesó una camioneta particular y al querer esquivarla sufre una colisión, volcándose y quedando llantas arriba, derramando 43,500 litros de gasóleo en un barranco y en un canal de riego. Por dicho accidente fallecieron 6 personas que viajaban en el vehículo particular y posteriormente falleció el conductor de la pipa cuando iba rumbo al hospital. </t>
  </si>
  <si>
    <t>Se registró la volcadura de un autobús de pasajeros en la carretera federal número 15. Como consecuencia fallecieron 5 personas y 18 más resultaron lesionadas</t>
  </si>
  <si>
    <t>Se registró un accidente en el cual se vio involucrada una pipa que transportaba 30 mil litros de gasolina. El incidente sucedió en la carretera Mérida-Cancún Km 8</t>
  </si>
  <si>
    <t>Seguridad Pública del Distrito Federal, informó que el día 15 de enero se llevo acabo una marcha a las 11:30 horas, iniciando en el cruce de ala avenida 5 de mayo y Monte de Piedad con rumbo a la Secretaría de Gobernación, donde posteriormente tomaron rumbo a la Residencia Oficial de los Pinos, en dicha marcha participaron 10,000 integrantes del grupo “Antorcha Campesina”. esta manifestación terminó cercad de las 16:00 horas.</t>
  </si>
  <si>
    <t>Se registro la volcadura de una pipa que transportaba 20 mil litros de barniz diluido en el km 27 de la carretera San Luis-Matehuala. Una persona resulto lesionada</t>
  </si>
  <si>
    <t>Volcadura de pipa que transportaba 45 mil litros de emulsión asfaltica. El derrame ocasionó incendio de la pipa y de un tractor.</t>
  </si>
  <si>
    <t>Amenaza de Bomba</t>
  </si>
  <si>
    <t>Se reporto la amenza de bomba en el puente internacional 1, mismo que se cerro, se encontro el artefacto explosivo y se detono en lugar seguro, la situación se normalizó después de 30 minutos aproximadamente</t>
  </si>
  <si>
    <t>Colorado</t>
  </si>
  <si>
    <t>Se registró un derrumbe en una mina de carbón, se reporta una persona fallecida y una mas lesionada</t>
  </si>
  <si>
    <t>La Unidad Estatal de Protección Civil Informó que el día 25 de enero a las 11:05 horas  se registró un accidente en la colonia Buenavista, el percance  se registró cuando un microbus perteneciente  a una empresa del estado de México, se quedo sin frenos, impactándose con 2 locales comerciales y un taxi.</t>
  </si>
  <si>
    <t>Accidente Ferroviario</t>
  </si>
  <si>
    <t>Taretan</t>
  </si>
  <si>
    <t>La Unidad Estatal de Protección Civil, informó que el día 26 de enero a las 20:30 horas se registró el descarrilamiento de un tren de la compañía “Kansas City Soutethn de México” que circulaba por la vía Morelia-Lázaro Cárdenas, a la altura de la comunidad de la Purísima, perteneciente del municipio de Taretan, el accidente tuvo lugar debido a la falta de mantenimiento en las vías ferroviarias, por  lo que seis furgones que transportaban combustóleo se descarrilaron ocasionando la fuga de este producto sobre campos de cultivo y canales de riego, por lo que fue necesario evacuar a 25 familias del área. Se derramaron 69,200 litros</t>
  </si>
  <si>
    <t>Acajete</t>
  </si>
  <si>
    <t>Se registró la volcadura de una pipa que transportaba 22 mil litros de diesel preentantose derrame total del producto. No se reportaron daños humanos</t>
  </si>
  <si>
    <t>Ahome</t>
  </si>
  <si>
    <t>Se registró un accindete entre una pipa y un automóvil particular en el cual 1 persona perdio la vida y la otra resulto lesionada</t>
  </si>
  <si>
    <t>Diversos medios electrónicos de Comunicación informaron que el día 28 de enero a las 7:30 horas se produjo un accidente carretero entre dos autobuses de pasajeros, conocidos como chimecos a la altura del Km.20 de la carretera México-Puebla, a la altura de la Virgen, en dirección al DF, las placas de los vehículos son 776XH1 y 089CH102, este choque dejo un saldo de 22 personas lesionadas.</t>
  </si>
  <si>
    <t>Se registró un accidente en el cual se volcó una pipa que transportaba acido sulfurico, presentandose pequeña fuga. El siniestro ocurrio en la carretera Moctezuma-Mazocahui Km164. Se reporta una persona lesionada</t>
  </si>
  <si>
    <t>Calkini</t>
  </si>
  <si>
    <t xml:space="preserve">El Periódico “Milenio” notifico que el día 31 de enero ocurrió un choque entre una camioneta Voyager y un trailer en la carretera Campeche-Mérida, a la altura de Bacabche-Calkini, resultando 6 personas muertas y tres heridas, las personas heridas fueron trasladadas para su atención a una clínica del IMSS. </t>
  </si>
  <si>
    <t xml:space="preserve">La Unidad Estatal de Protección Civil informó que el día 31 de enero a las 09:18 horas se registró la volcadura de un autobús de línea frontera con placas de circulación 383HS-8, sobre la carretera Torreón-Saltillo a la altura del Km 22, el autobús provenía de “ la Salle de Saltillo” por que acudirían a un evento deportivo a Torreón, siendo la causa principal para la volcadura el exceso de l el exceso de velocidad, en esta volcadura se reportaron 33 personas lesionadas </t>
  </si>
  <si>
    <t>Accidente Aéreo</t>
  </si>
  <si>
    <t>Armería</t>
  </si>
  <si>
    <t>La Unidad Estatal de Protección Civil de Colima informó que el día 1 de febrero a las 19:30 horas se registró la caída de un avión ultraligero de 2 plazas modelo gt500 que pertenece al señor Rodolfo Rodríguez, el cual es dueño de un rancho en el municipio de Armería, informando que al querer aterrizar  los fuertes vientos lo impidieron que se lograra el aterrizaje y llevaron a la avioneta hacia los plantíos de papaya que se encontraban en el interior de la propiedad ubicada entre la carretera federal y  las vías del Ferrocarril que van a manzanillo, como resultado de este percance hay una persona lesionada</t>
  </si>
  <si>
    <t>Se registró la volcadura de un tracto camion doble remolque que transportaba 60 mil litros de aceite inflamable, derramando la totalidad del producto. El incidente ocurrio en la carretera Matehuala-San Luis Km84</t>
  </si>
  <si>
    <t>La Unidad Estatal de Protección Civil informó que el día 3 de febrero a las 12:15 horas se registró la volcadura de 2 camionetas pick-upen el kilómetro 50 de la autopista Guadalajara-Colima, en el tramo que ubicado dentro del municipio de Atoyac, resultando 5 personas lesionadas.</t>
  </si>
  <si>
    <t>La Unidad Estatal de Protección Civil, informó que el día 4 de febrero a las 12:30 horas se registró el fallecimiento de dos trabajadores por intoxicación, cuando realizaban trabajos de limpieza en una pipa que contenía residuos de viseras de pollo, las cuales desprendieron gas butano, intoxicando a 3 personas. De las cuales una persona salio con vida.</t>
  </si>
  <si>
    <t>Se registró la volcadura de una pipa doble remolque que transportaba 62 mil litros de gasolina premium, ocasionando incendio . Una persona con quemaduras de segundo grado.</t>
  </si>
  <si>
    <t>Rio Verde</t>
  </si>
  <si>
    <t>Volcadura de pipa que transportaba 40 mil litros de acido sulfurico derramandose la totalidad del producto. No se reportan personas lesionadas</t>
  </si>
  <si>
    <t>La Unidad Estatal de Protección Civil informó que el día 04 de junio a las por la mañana se registró un choque por alcance entre dos autobuses del transporte urbano, de las rutas 46 y 206, el percance se presentó cerca del fraccionamiento Bernardo Reyes, dejando un saldo de 20 lesionados.</t>
  </si>
  <si>
    <t>La Unidad Estatal de Protección Civil, en conjunto con información del diario “El Universal”, informó que el día 6 de febrero a las 6:35 horas se registró una volcadura en las márgenes del canal de aguas negras, a la altura de Avenida Mexiquense, dejando a 12 heridos.</t>
  </si>
  <si>
    <t>Colapso de un edificio de tres pisos cuando realizaban el colado. Se reportan 5 personas fallecidas y 11 lesionados</t>
  </si>
  <si>
    <t>Macuspana</t>
  </si>
  <si>
    <t>Se registro un accidente de una avioneta tipo CESSNA al intentar aterrizar. Tres personas resultaron lesionadas</t>
  </si>
  <si>
    <t>Se registro la volcadura de una pipa que transportaba 42 mil litros de acetato de vinilo, se registro la fuga de 15 mil litros del producto. Se reporta una persona lesionada</t>
  </si>
  <si>
    <t>La Unidad Estatal de Protección Civil, informó que el día 12 de febrero a las 9:30 horas se registró la volcadura de un auto tanque Mara Kenwoorth, con placas 83AH-3del servicio público federal, el percance ocurrió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</si>
  <si>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 xml:space="preserve">La Unidad Estatal de Protección Civil, reporto que el día 15 de febrero a las 10:40 horas (hora local) se registró un choque de frente entre un camión de pasajeros de la empresa Autotransportes Guamuchil que se dirigía de Sinaloa a Tijuana y un trailer que transportaba verdura, el accidente fue ubicado en la carretera San Luís Río Colorado y Ejido Cuernavaca, resultando 10 muertos y 18 lesionados, falleciendo el chofer del tráiler y los dos operadores del autobús, quienes fueron arrojados a la carretera por el impacto, en el autobús quedaron prensados los cuerpos de siete personas entre ellos 2 niños </t>
  </si>
  <si>
    <t xml:space="preserve">La Secretaría de Protección Civil del Gobierno del Distrito Federal, informó que el día 18 de febrero a las 05:30 horas, arribó una peregrinación proveniente de diversos puntos del Estado de México a la Basílica de Guadalupe, estimándose una afluencia de 123,000 personas, de las cuales 2,578 requirieron atención médica por lesiones leves, 7 personas necesitaron traslado hospitalario, se extraviaron 4 personas y se registraron 80 personas intoxicadas por comer pollo en mal estado. para finalizar se informó que a las 13:00 horas del día 19 de de febrero los peregrinos empezaron a retirarse del atrio de la basílica. </t>
  </si>
  <si>
    <t>La Unidad Estatal de Protección Civil, informó que el día 19 de febrero a las 10:09 horas se registró la volcadura de una pipa doble remolque en el libramiento a la altura de Tiripetio de la carretera Patzcuaro-Morelia, en el tramo perteneciente al municipio de Patzcuaro, se indica que al momento del accidente la pipa transportaba 32,000 litros de combustóleo en cada uno de los contenedores, por lo que al presentarse la volcadura hubo derrame del producto, y se indica que no hubo daños humanos.</t>
  </si>
  <si>
    <t>Santiago Papasquiaro</t>
  </si>
  <si>
    <t xml:space="preserve">Protección civil estatal informó que el día 18 de febrero  por la mañana se registró el desplome de una avioneta proveniente de la ciudad de Mazatlán, la cual iba con 4 tripulantes a bordo, el desplome ocurrió en la sierra “Ciénega de Nuestra Señora” en el lugar fallecieron los cuatro tripulantes.  </t>
  </si>
  <si>
    <t>Se volcó un autobus de pasajeros el la carretera Altar-Caborca Km89 resultando lesionados 21 pasajeros.</t>
  </si>
  <si>
    <t xml:space="preserve">La Secretaría de Protección Civil del Gobierno del Distrito Federal informó que el día 24 de febrero a las 5:20 horas se registró la volcadura de una pipa en la autopista México-Cuernavaca a la altura del Km. 25+500, perteneciente a la delegación Tlalpan, la pipa con razón social “Comercializadora IRIS, S.A. de C.V.” transportaba 40,000 litros de etanol, y por el percance se perdieron cerca de 30,000 litros del combustible.  </t>
  </si>
  <si>
    <t>A las 02:53 (hora local) del día 25 de febrero del 2009, se registró un incendio en la casa hogar “LLUVIAS DE MISERICORDIA”, ubicada en calle Cerrada Cruz del Sur, Col. Sánchez Taboada, municipio de Tijuana. En dicho siniestro fallecieron 5 menores y un adulto, además de salir heridos 3 menores y un adulto con lesiones. Informándose que el incendio quedo controlado a las 7.22 horas local.</t>
  </si>
  <si>
    <t>Jesus María</t>
  </si>
  <si>
    <t>La unidad estatal de protección Civil informó que el día 28 de febrero a las 10:00 horas se registró el desplome de un helicóptero perteneciente a CONAGUA matrícula XCDEF en el que viajaban 6 funcionarios de CONAGUA y el director general del organismo José Luís Luego Tamargo.</t>
  </si>
  <si>
    <t>PEMEX informa que el día 28 de febrero de 2009 a las 8:00 horas (hora local), se registró la volcadura e incendio de un autotanque, en la carretera Federal Rumorosa-Mexicali a la altura del Km 57, en el municipio de Mexicali. Derivado del accidente, la pipa doble remolque, con razón social “Transportes internacionales de Baja California” y con capacidad de 31,000 Lts. en cada uno, transportaba gasolina PEMEX Premium, fue alcanzada por el incendio en sus dos toneles, reportándose una persona lesionada con quemaduras de segundo grado en el 100% del cuerpo, el cual fue trasladado a la clínica 30 del IMSS. A las 12:40 hora local quedo sofocado el incendio, procediendo a la recuperación del producto remanente en los toneles</t>
  </si>
  <si>
    <t>La Unidad Estatal de Protección Civil reportó que el día 28 de febrero a las 11:00 horas se registró la volcadura de una pipa con placas de circulación 050BM1 del SPF, con razón social “Empresa PETROEXPRES del Norte SA  de CV”, dicha pipa transportaba 45,500 litros de combustible de residuos derivados petróleo, conocido como combustible alterno, el suceso ocurrió en la zona metropolitana de Guadalajara, en la autopista de Zapotlanejo a la altura del Km 24, resultando solo el chofer del autotanque con  lesiones.</t>
  </si>
  <si>
    <t>San José del Rincón</t>
  </si>
  <si>
    <t>La Unidad Estatal de Protección Civil, informó que el día 2 de marzo a las 18:00 horas se presento un accidente en un tiro de mina de 9 metros de caída y 45 metros horizontales, teniendo como consecuencia 6 personas muertas, de las cuales 4 eran civiles, 1 perteneciente de la cruz roja y una más de protección civil del municipio de Villa Victoria, presuntamente la tragedia se presentó por que las 4 personas civiles buscaban un tesoro, cuando la soga que los sostenía se rompió y cayeron al vacío, y las otras dos personas fallecieron en el momento del rescate por falta de oxígeno.</t>
  </si>
  <si>
    <t>Acayucan</t>
  </si>
  <si>
    <t>Se registro la volcadura de una pipa que transportaba gasolina, se reporta el derrame de 3 mil litros del combustible. No hubo lesionados</t>
  </si>
  <si>
    <t>La Unidad Estatal de Protección Civil informó que el día 5 de marzo se registró la volcadura de un camión de pasajeros en la carretera Tapanatepec-Arriaga, a la altura del municipio de Arriaga. Derivándose del accidente 5 personas muertas y 25 lesionados</t>
  </si>
  <si>
    <t>Cinco personas perdieron la vida al realizar trabajos de limpieza de un pozo. El motivo de los fallecimientos fue que debido a la mezcla de productos se generaron gases tóxicos</t>
  </si>
  <si>
    <t>La Unidad Estatal de Protección Civil informó, que el día 07 de marzo a las 04:03 horas se produjo la volcadura de una pipa que transportaba 42,000 litros de combustóleo, del cual se derramaron 2500 litros, el accidente se produjo en la carretera 53 Monterrey- Monclova, quedando dañada una pipa.</t>
  </si>
  <si>
    <t>Acatlán de Juárez</t>
  </si>
  <si>
    <t xml:space="preserve">La Unidad Estatal de Protección Civil informó que el día 11 de marzo a las 8:10 horas se registró un accidente vehicular en el Km. 15 de la autopista Guadalajara-Colima, en el tramo ubicado en el municipio de Acatlán de Juárez, en el cual tuvo que ver un autobús de pasajeros de la línea Primera Plus, el cual se salio de la cinta asfáltica y termino en al cuneta central de la vía, reportándose 11 personas lesionadas. </t>
  </si>
  <si>
    <t xml:space="preserve">La Unidad Estatal de Protección Civil informó, que el día 13 de marzo a las 14:30 horas, sobre el desplome de un helicóptero BEL-212 de 5 plazas, con matrícula XAUGZ, esto ocurrió cuando se disponía a aterrizar en una pista de la ciudad de Madera. En el helicóptero viajaban 5 personas de la empresa minera V-2 GOLD, los cuales regresaban de un recorrido de búsqueda de yacimientos de mineral, resultando solo con lesiones leves. </t>
  </si>
  <si>
    <t>La Unidad Estatal de Protección Civil Informó que el día 16 de marzo a las 14:01 horas se produjo un choque entre un camión torton y un autobús de pasajeros,los cuales eran de nacionalidad canadiense y estadounidense  todos  jubilados en dicho percanse resultaron 15 personas clesionadas y11 personas muertas, de las cuales 3 eran mujeres con residencia en los Estados Unidos y dos más con residencia en Canadá; 4 hombres con residencia en los Estados Unidos, uno con residencia en Canadá y uno más con residencia en México, el percance ocurrió en la carretera 54 Saltillo-Zacatecas a la altura del Km 303 cerca del ejido Guadalupe Victoria, donde se destaca que el fallecimiento de 8 de personas ocurrió en el momento el impacto, 2 más en el trayecto al hospital y una más en uno de los hospitales.</t>
  </si>
  <si>
    <t>Metztitlan</t>
  </si>
  <si>
    <t xml:space="preserve">La Unidad Estatal de Protección Civil en conjunto con la información recopilada de el diario “El Universal”, informaron que el día 17 de marzo a las 00:56 horas se desbarranco un trailer de doble remolque con placas 384-VV67, el cual transportaba grava, cayendo de una altura de 30 metros sobre la carretera Federal México-Tampico a la altura del Km. 60+600, cerca del lugar conocido como las higueras, destruyendo una vivienda con los integrantes de una familia dentro, debido a esto fallecieron el conductor del camión, su copiloto y 5 integrantes de la familia que se encontraba durmiendo en ese momento, incluyendo una niña de 6 meses de edad. </t>
  </si>
  <si>
    <t>Ciudad Guzman</t>
  </si>
  <si>
    <t>La Unidad Estatal de Protección Civil informó que el día 18 de marzo a las 4:45 horas se registró la volcadura de una pipa con razón Social transportes especializados con capacidad de 32,000 de crudo, el cual fue derramado en la autopista Colima-Guadalajara Km 108, dejando una persona muerta y una persona lesionada.</t>
  </si>
  <si>
    <t>La Unidad Estatal de Protección Civil informó que el día 19 de marzo a las 18:29 se registró la volcadura de una pipa cisterna marca volvo, en el tramo carretero Ocozocoautla-Cintalapa, Km. 118 a la altura del municipio de Ocozocoautla. Se informó que la pipa transportaba 34,000 litros de turbocina, siendo propiedad de la Fuerza Aérea Mexicana, producto de este accidente se derramaron 1000 litros del producto.</t>
  </si>
  <si>
    <t>La Unidad Estatal de Protección Civil informó que el día 20 de marzo a las 22:40 horas se registró un accidente carretero por el alcance entre un autobús de pasajeros de la empresa “flecha amarilla” con número económico 389 y placas 226HW2, y un coche tsuru con placas GLZ-2082, resultando 4 personas lesionadas y una persona fallecida, el accidente ocurrió en la carretera federal Salamanca-Celaya, dentro del Municipio de Salamanca.</t>
  </si>
  <si>
    <t>La Unidad Estatal de Protección Civil informó que el día 21 de marzo en el municipio de Lagos de Moreno a las 9:55 horas cayó una avioneta super ligera al enredarse en unos cables de alta tensión, lo cual provocó que la avioneta cayera en el vertedero de la presa “El Cuarenta”, en el interior viajaban 2 personas de las cuales una salio con lesiones leves y una mujer de 25 años la cual falleció en el lugar.</t>
  </si>
  <si>
    <t>Atotonilco de Tula</t>
  </si>
  <si>
    <t>Al realizar labores de limpieza en un pozo de una estación de rebombeo de aguas negras, fallecieron 10 personas y una mas resultaron intoxicadas por la acumulación de gases</t>
  </si>
  <si>
    <t>La Unidad Estatal de Protección Civil informó que el día 21 de marzo se registró un choque múltiple por alcance en la autopista estatal Guanajuato-Silao a la altura del Km. 12 a la altura de la colonia Villas de Guadalupe ubicada en el municipio de Silao, reportándose que en el accidente  se vieron involucrados 7 vehículos, resultando 18 personas lesionadas, este accidente se debió a la escasa visibilidad y a que la carretera se encontraba mojada.</t>
  </si>
  <si>
    <t>Rodriguez Clara</t>
  </si>
  <si>
    <t>Se registró un accidente en la Carretera Isla-Acayucan km 149+200. 5 personas perdieron la vida y una mas resulto lesionada</t>
  </si>
  <si>
    <t>Amozoc</t>
  </si>
  <si>
    <t>La Unidad Estatal de Protección Civil informó que el día 22 de marzo se registró la volcadura de 1 autobús en la carretera México-Orizaba a la altura del Km 160 , el cual iba con simpatizantes del Señor López Obrador, los cuales iban rumbo a coatzacalcos. De este accidente resultaron 36 personas  lesionadas.</t>
  </si>
  <si>
    <t>La Unidad Estatal de Protección Civil informó que el día 23 de marzo a las 23:30 horas se registró un choque múltiple entre un trailer doble remolque con razón social “TLM”, un autobús de pasajeros con razón social “Transporte tres estrellas” y un vehículo chevy, el accidente ocurrió en la carretera federal a la altura del Km. 45+133 en el tramo Irapuato Silao, a la altura de la comunidad de los Nicolases, dentro del municipio de Guanajuato, derivado de este accidente se registraron 17 personas lesionadas.</t>
  </si>
  <si>
    <t>Se desplomo una aeronave de la PGR, se reporta una persona fallecida y dos lesionadas</t>
  </si>
  <si>
    <t>Cordoba</t>
  </si>
  <si>
    <t>Se reporto un accidente en el cual se vio involucrado un camion tipo nodriza vacio y una pipa que con dos salchichas de 65 mil litros de gasolina. No se reporto derrame del producto sin embargo una persona perdió la vida en el incidente</t>
  </si>
  <si>
    <t xml:space="preserve">La Unidad Estatal de Protección Civil informó que el día 3 de abril a las 15:30 horas a la altura del del Km 72 de la autopista Guadalajara –Colima, se registró un accidente e incendio de un trailer marca “FREHIGLINER” modelo 1998 con placas 653EK8, como resultado de este accidente el chofer resulto con lesiones en la cara.  </t>
  </si>
  <si>
    <t>Se registro un accidente entre tres autobuses urbanos resultando 15 personas lesionadas, mismas que fueron transladadas a diversos hospitales para su atencion</t>
  </si>
  <si>
    <t xml:space="preserve">La Unidad Estatal de Protección Civil informó que el día 6 de abril a las 16:15 horas se registró la volcadura de un camión torton a la altura del Km. 2 de la carretera libre de Valle de Guadalupe a San Miguel el Alto, derivado del accidente se registraron 4 personas lesionadas y una niña de 6 años muerta. </t>
  </si>
  <si>
    <t>Accidente Urbano</t>
  </si>
  <si>
    <t xml:space="preserve">La Unidad Estatal de Protección Civil informó que el día 6 de abril se presentó un accidente por alcance entre dos autobuses del transporte urbano, de las líneas 46 y 206, los hechos se presentaron  en las cercanías del fraccionamiento Bernardo Reyes, cuando el autobús de la ruta 46 se quedo sin frenos, como resultado de este accidente quedaron 25 personas lesionadas. </t>
  </si>
  <si>
    <t>Los medios electrónicos en conjunto con la Unidad Estatal de Protección Civil informaron que el día 6 de abril a las 06:30 horas se registró la volcadura de una camioneta Pik Up de 3 toneladas con placas CMB-303 en el tramo carretero Ocuilapa de Juárez-Embarcadero APIT PAC, en el municipio de Ocozocoautla, al volcarse el vehículo murió al instante el conductor de la unidad y 6 menores de edad.</t>
  </si>
  <si>
    <t>Se registro la volcadura de una pipa que transportaba gasolina, se desconoce la cantidad del producto derramado. Se reporta una persona lesionada</t>
  </si>
  <si>
    <t xml:space="preserve">Personal de PEMEX, informó que el día 8 de abril a las 01:00 horas se registró la volcadura del segundo tonel de la unidad PP1570 de la empresa “Transportadora de Integral de Carga S.A. de C.V.”, la cual transportaba 63,100 litros de combustóleo pesado, el accidente se registró a la altura del Km 15 frente a la comunidad de Tanhuato, perteneciente al municipio de La Piedad, al desprenderse el segundo tonel este se impacto con un trailer por lo que debido al impacto falleció el conductor del trailer y dejo grave al copiloto además de que se perdió totalmente la carga del segundo Tonel. </t>
  </si>
  <si>
    <t>Se desplomo un helicoptero probablemente por falla en el motor. Tres personas perdieron la vida</t>
  </si>
  <si>
    <t>Se reporto el fallecimiento de tres empleados de PEMEX al impactar una grua con cables de alta tensión  y tiraran un poste que cayo sobre tres trabajadores</t>
  </si>
  <si>
    <t>En conjunto el diario “El Universal” y la Secretaria de Protección Civil del Distrito Federal informaron que el día 9 de febrero a las 15:00 horas, inició la 166 representación de la “Pasión de Cristo” en la delegación Iztapalapa, con 500 personas en el recorrido por los 8 barrios de la delegación, la cual continuó el día 10 de abril a las 16:30 horas, registrándose un aforo de 1,300,000 personas, registrándose 350 atenciones médicas menores, más 7 personas extraviadas que fueron encontradas, y una persona hospitalizada por fractura de brazo.</t>
  </si>
  <si>
    <t>Alto Lucero</t>
  </si>
  <si>
    <t>Se registro la volcadura de una camioneta en la carretera Alto Lucero-Palma km23 se reportan 14 personas lesionadas</t>
  </si>
  <si>
    <t>Se registro un choque entre un autobus de pasajeros y un trailer en la carretera Isla-Acayucan km157. Se reportan 32 lesionados y 3 personas fallecidas</t>
  </si>
  <si>
    <t>La Unidad municipal de Protección Civil informó que el día 13 de abril se registró un choque múltiple en una zona de curvas, en el cual se vieron involucrados un tractocamión  que transportaba leche con placas 2HU7218, el cual viajaba a exceso de velocidad, impactándose contra los vehículos que se encontraban a su paso, de los cuales fueron 14 vehículos particulares, 2 trailers, 1 taxi y un autobús turístico, reportándose 10 muertos y 30 personas lesionadas.</t>
  </si>
  <si>
    <t>Se registro la volcadura de una pipa misma que derramó 20 mil litros. No se reportan daños humanos</t>
  </si>
  <si>
    <t>La Unidad Estatal de Protección Civil informó que el día 16 de abril a las 22:00 horas se registró el choque entre dos autobuses en el municipio de Ocozocoautla, el cual ocurrió en el tramo carretero Jiquipila-Ocozocoautla, cuando un autobús de turismo que viajaba con destino a Huatulco, invadió el carril contrario impactándose de frente contra un camión ADO GL que se dirigía a la capital del estado. Derivado del accidente se reportaron 17 muertos, así como 64 personas lesionadas, y  a la 1:00 del siguiente día fue reabierta la carretera al transito.</t>
  </si>
  <si>
    <t>Axapusco</t>
  </si>
  <si>
    <t>La Unidad Estatal de Protección Civil, en conjunto con el diario “la Jornada”, informó que el día 16 de abril a las 17:00 horas, se registró un accidente carretero en el que se vieron afectados 8 vehículos, este percance sucedió en la autopista Km 36+900 de la carretera México-Tulancingo, cuando la capa de humo por la quema de pastizal era demasiado densa para q los automovilistas pudieran ver, por lo que un autobús de pasajeros frenara intempestivamente, provocando que lo impactara un vehiculo particular por la parte posterior, posteriormente se vinieron una serie de choques entre los autos que se encontraban en la parte posterior, entre ellos un camión que trenso a un auto particular. Este accidente como resultado dejo 7 personas muertas, y 2 lesionadas.</t>
  </si>
  <si>
    <t>Se volco una pipa doble remolque que transportaba 90 mil litros de diesel se presento derrame de 45 mil litros. Una persona falleció</t>
  </si>
  <si>
    <t>La Unidad Estatal de protección civil Informó que el día 18 de abril a las 22:10 horas se registró un choque entre dos trenes en las inmediaciones de las estaciones Lechería  y San Rafael, pertenecientes al tren Suburbano, resultando 128 personas heridas.</t>
  </si>
  <si>
    <t>La Unidad Estatal de Protección Civil informó que el día 20 de abril se registró a las 14:56 horas la volcadura de un camión tipo torton, con número de placas, GK76501, del servicio público federal, el cual transportaba a 21 trabajadores del campo, el accidente ocurrió en a carretera federal San Luí-Dolores, Km. 29 a la altura de la comunidad “El Mezquite”, reportándose 21 personas lesionadas.</t>
  </si>
  <si>
    <t>Se desplomo una loza del palacio de la musica, lesionando 19 personas</t>
  </si>
  <si>
    <t>Martinez de la Torre</t>
  </si>
  <si>
    <t>Se evació a un total de 581 personas de una unbiversidad, un centro comercial y una gasolineria. Falsa Alarma</t>
  </si>
  <si>
    <t xml:space="preserve">La Unidad Estatal de Protección Civil, informó que el día 1 de mayo a las 19:30 horas se registró la volcadura de una pipa que transportaba 60 mil litros de gasolina presentando derrame total del producto, con razón social “Transportes Promotores de Servicio”, el percance ocurrió  debido a que el conductor de la pipa conducía con exceso de velocidad. </t>
  </si>
  <si>
    <t>Se registro el desplome de una avioneta tipo CESSNA. En el incidente fallecieron 3 personas y una mas resulto lesionada</t>
  </si>
  <si>
    <t>La Unidad Estatal de Protección Civil informó que el día 7 de mayo a las 12:30 horas se presentó un accidente en el poblado de San Diego de los Padres, perteneciente al Municipio de Toluca, en el cual se vio involucrado el pozo de agua que abastece a la población,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</si>
  <si>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 xml:space="preserve">La Secretaría de Protección Civil, en conjunto con el diario “El Universal” informó que el día 12 de mayo a las 6:50 horas se registró la volcadura de un transporte público de la Ruta “98”, este accidente ocurrió debajo del puente de la Concordia, ubicado en la delegación Iztapalapa, debido a que lo provocó una camioneta tipo Urban proveniente de la zona de los Reyes la Paz, por exceso de velocidad y por estar el pavimento mojado, este percance provocó lesiones a 12 personas. </t>
  </si>
  <si>
    <t>Se registró el desplome de una avioneta en el poblado el Realito. Se reportan dos personas fallecidas</t>
  </si>
  <si>
    <t>Huehuetoca</t>
  </si>
  <si>
    <t>La Unidad Estatal de Protección Civil informó que el día 27 de enero a las 15:50 horas se registró  la caída de tierra sobre 5 trabajadores que abrían una zanja para elaborar un muro de contención en la zona habitacional URBIS Villas del Rey, ubicado en el municipio de Huehuetoca el, esto se debió a que las lluvias del día anterior reblandecieron la tierra, este suceso dejo como saldo a los 5 trabajadores muertos.</t>
  </si>
  <si>
    <t>La Unidad Estatal de Protección Civil informó que el día 27 de mayo a las 17:45 horas se registró la volcadura de un tractocamión con doble semirremolque transportaba gas L.P. con capacidad de 44 litros cada uno, dicho semirremolque pertenecía a la empresa “Transportadora SILZA S.A. DE C.V.” con placas de circulación 869 CW8. Dicho percance ocurrió en la carretera federal Reforma–Complejo Cactus a la altura del Km 17en el crucero conocido como Boca Limón, reportándose una persona herida.</t>
  </si>
  <si>
    <t>Comonfort</t>
  </si>
  <si>
    <t>La Unidad de Protección Civil del Estado y del Municpio, informaron que el día 30 de mayo a las 15:55 horas, se registró un accidente entre dos autobuses uno de “Flecha Amarilla” y otro de turismo con razón social “Angels Tours” con placas de circulación 815 RC6 del SPF  en la carretera San Miguel Allende-Celaya a la altura de la comunidad el Rinconcillo, perteneciente al municipio de Comonfort. Las personas del camión de turismo provenían de Zapopan Jalisco, resultando 41 lesionados y 2 fallecidos.</t>
  </si>
  <si>
    <t>La Unidad Estatal de Protección Civil informó que el día 30 de mayo a las 20:25 en la autopista Guadalajara-Zapotlanejo en el Km.19+300 se registró la volcadura de una pipa que transportaba Gas LP, con placas 532CN6 con razón social “Transportes RAMMAR SA de CV” con capacidad para 45,000 kilos, iba cargado al 90% de gas, en el momento del percance la pipa sufrió un desperfecto en el gancho que la une al remolque quedando semi volcada sobre su costado izquierdo, el contenedor no presento fuga y en el percance no se presentaron perdidas humanas.</t>
  </si>
  <si>
    <t xml:space="preserve">La Unidad Estatal de Protección Civil, FERROMEX  y PROFEPA informaron que el día 30 de mayo a las 04:54 horas, se registró el descarrilamiento de 10 furgones, que transportaban alcohol, con capacidad para 80 toneladas, del tren que se dirigía de Torreón a Guadalajara, a la altura del ejido Flor de Jimulco, en el tramo Juan Eugenio García. Este suceso provocó que dos que dos furgones se perforaran e incendiaran, afectando a 6 casas aledañas a la zona del desastre, por lo que fueron evacuadas 250 personas. También se reporta que otro vagón tipo jaula que transportaba vehículos se ladeo cayendo en la barda de una casa ubicada a la orilla de las vías, provocando el fallecimiento de tres menores y del guardia del tren. Por ultimo se reporta que el incendio se controló a las 08:45 horas.  </t>
  </si>
  <si>
    <t>La Secretaría de Protección Civil del Gobierno del Distrito Federal, informó que el día 3 de junio a las 6:10 horas  se registró un choque y volcadura de una pipa de gas LP con razón social “Gas Uribe” con placas KW37365, con capacidad para 12500 litros, que iba ocupada a un 80% de su capacidad, el percance ocurrió cuando la pipa fue impactada por un microbus de la ruta 1 con placas 0010957 y al volcar golpeo un vehículo particular con placas 319RZR. Este accidente dejo 7 lesionados y no se registro fuga del combustible, a las 7:15 horas se restableció la unidad en sus cuatro ruedas.</t>
  </si>
  <si>
    <t>Se reporta un accidente en el cual se vio involucrado un autobus de pasajeros. El percance sucedió en la carretera Hizache-Tula. 16 personas perdieron la vida y 4 mas resultaron lesionadas</t>
  </si>
  <si>
    <t>Diversos medios electrónicos de Comunicación informaron que el día 4 de junio a las 19:00 horas se registró un choque por alcance entre un camión de gas LP a un trailer, el cual afectó aun vehículo particular, dicho percance se efectuó en el Km 50 de la carretera México-Querétaro, resultando de este accidente una persona lesionada, una persona muerta, un vehiculo particular destruido y una posible fuga de gas LP.</t>
  </si>
  <si>
    <t>Se registro un incendio en una zona industrial de Hermosillo Sonora en dónde se encontraba una guardería denominada ABC. Desafortunadamente se registro el fallecimiento de al menos 49 menopres de edad, así mismo se reportaron otras 84 lesionadas, 22 de ellas con quemaduras.</t>
  </si>
  <si>
    <t>La Unidad Estatal de Protección Civil, informó que el día 6 de junio a las 6:00 horas se registro la volcadura de una pipa con doble remolque, con Razón Social “Transportes Especializados  Cantú”, la cual transportaba 30,000 litros de gasolina, no se reportan daños humanos. Se presento fuga total</t>
  </si>
  <si>
    <t xml:space="preserve">La Unidad Estatal de Protección Civil, informó que el día 6 de junio a las 10:30 horas se registró la volcadura de una pipa con doble remolque en la autopista siglo XXI en el Km 194, ubicado entre la comunidad de Cuatro Caminos y las Cañas, perteneciente al Municipio de Apatzingan. La pipa con placas del SPF VWW25 de la empresa “Ferrocarriel S.A. de C.V. de Cadereyta”, perdió uno de sus contenedores y cayó a un pozo, derramando 45,000 litros de combustóleo, quedando solo 14,000 en el contenedor, sin que se reportaron daños humanos y se indica que el conductor se fue a la fuga. </t>
  </si>
  <si>
    <t xml:space="preserve">La unidad estatal de protección civil informa a este centro que el día 9 de junio a las 11:20 hora local, se registró la volcadura de un autotanque doble remolque, en la carretera de cuota Tijuana-Mexicali, a la altura del Km. 10018+700, dentro del municipio de Tecate. Derivado del accidente, el tracto camión doble remolque con razón social “IBCSA Transportistas Industriales de Baja California S.A.” con capacidad de 35,300 Lts. en cada uno de los contenedores y que transportaba gasolina Premium, se informa que la pipa se salio del camino, presentando volcadura la segunda cisterna, la cual presentó fuga, ocasionando una explosión e incendio, consumiéndose 27,000 Lts. de producto, a la vez se informa que este contenedor cayó dentro de una propiedad privada, incendiándose 4 vehículos y una casa la cual se reportaron pérdida total, sin reportarse afectaciones humanas. A las 16 horas se informa del término de los trabajos de limpieza y trasvase del producto sobrante a otra pipa. </t>
  </si>
  <si>
    <t>García</t>
  </si>
  <si>
    <t>La Unidad Estatal de Protección Civil informó que el día 10 de junio a las 8:50 horas se presento un accidente ferroviario, el cual ocurrió en la estación Ferroviaria Rinconada, ubicada en el municipio de García. Como resultado del percance se descarrilaron 4 vagones, de los cuales uno llevaba acido fosforito, con una capacidad de 18,000 litros, presentándose un derrame de este producto, evacuando a 250 personas de una escuela y un kinder cercanos a la zona.</t>
  </si>
  <si>
    <t>Extravio de persona</t>
  </si>
  <si>
    <t xml:space="preserve">La Unidad  Estatal de Protección Civil informo que el día 11 de junio a las 13:00, una persona con 26 años de edad, que realizaba trabajos de topografía para SAGARPA se extravió </t>
  </si>
  <si>
    <t>La Unidad Estatal de Protección Civil, informó que el día 13 de junio a las 12:47 horas se registró la volcadura de una pipa que transportaba 42, 600 litros de gasolina, con placas 353UG9 y razón social “MaderoTampico S.A. de C.V.”, dicho suceso se ubicó en el libramiento José López Portillo del Municipio de Arteaga, a la altura de las empresas DHL y LAZVOY. La pipa presento fuga sin determinar el total del producto derramado, posteriormente se controló la fuga por HC de Bomberos.</t>
  </si>
  <si>
    <t>La Unidad Estatal de Protección Civil informó que el día 19 de junio a las 10:05 horas se registró un accidente entre dos unidades de transporte público, pertenecientes a las Líneas Cuautitlán-México y Tultitlan-México,  el percance se dio cuando las unidades circulaban en la colonia Barrientos, perteneciente al Municipio de Tlalnepantla. Por este accidente se reportaron 25 personas lesionadas.</t>
  </si>
  <si>
    <t>La Unidad Estatal de Protección Civil reportó que el día 20 de junio a las 03:30 horas se registró un accidente por alcance entre un autobús de turismo de la línea  ”AEXA” contra un camión torton, dicho accidente ocurrió en la autopista Arriaga-Cintalapa, en el tramo Tiltepec-Arriaga Km. 9 Municipio de Arriaga, resultando 46 personas lesionadas.</t>
  </si>
  <si>
    <t>Se registro la volcadura de un autobus de pasajeros y su caida a un barranco de 30 metros. Se reportan 6 muertos y 30 lesionados</t>
  </si>
  <si>
    <t>Se registro el desplome de un helicoptero resultando dos personas lesionadas</t>
  </si>
  <si>
    <t xml:space="preserve">Se registro la volcadura de una pipa que transportaba 42 mil litros de alcohol. Se presento derrame causando incendios en pastilzales. </t>
  </si>
  <si>
    <t>Se registro un accidente entre un autobus y un trailer. Una persona fallecio y 10 mas resultaron heridas</t>
  </si>
  <si>
    <t>La Subsecretaría de Protección Civil informó que el día 27 de junio a las 6:30 horas se registró un choque, por el alcance entre un trailer marca Kenworth con placas 482-DY4 de la empresa SOTOMEX de la Cd. De Torreón y un autobús de pasajeros, marca Dina con placas IZMC49, de Zacatecas, perteneciendo a la orquesta de “Beto Díaz, el percance ocurrió en el Km. 162 Paila la Cuchilla, Carretera Saltillo-Torreón, a la altura del ejido San Rafael perteneciente al municipio de Parras, como producto del percance resultaron 5 muertos y 10 lesionados, todos mayores de edad.</t>
  </si>
  <si>
    <t>La Unidad Estatal de Protección Civil, informó que el día 27 de junio a las 8:00 horas se registró un accidente entre un autobús de pasajeros con razón social “Empresa la LINEA” a la altura del Km 240 de la autopista México-Guadalajara, en el tramo ubicado en el municipio de Cuitzeo. El percance se debió  al exceso de velocidad con el que viajaba el autobús, dejando un saldo de 14 lesionados y una persona muerta de sexo masculino y de 38 años de edad de procedencia extrajera.</t>
  </si>
  <si>
    <t>La Unidad Estatal de Protección Civil informó que el día 5 de julio a las 16:15 horas se registró la volcadura de un trailer con dos contenedores que transportaba café en polvo, en el Km. 18 de la autopista Manzanillo-Colima,  a la altura de la curva conocida como  “ la Salada”, como resultado del accidente se reporta una persona lesionada, además de que se presentó  un ligero derrame de diesel, proveniente del trailer, mismo que fue controlado por personal del HC de bomberos y Protección Civil.</t>
  </si>
  <si>
    <t>La Unidad Estatal de protección Civil informó que el día 05 de julio a las 12:00 horas se registró la volcadura de una camioneta tipo pick-up, en el tramo San Isidro-Las Banderas, a la altura de la comunidad de Laguna Grande y chica, en el Municipio de Pantepec, Dicha Camioneta se precipitó a un Barronco de 250 metros de altura, como resultado del accidente se reportaron 7 personas fallecidas y 20 lesionadas, esto se produjo por fallas mecánicas en la camioneta.</t>
  </si>
  <si>
    <t>Se registro un derrumbe en una mina de carbon. Desafortunadamente 2 personas perdieron la vida</t>
  </si>
  <si>
    <t>Se registro un accidente de un autobus urbano. Se reportan 25 personas lesionadas.</t>
  </si>
  <si>
    <t>Se registro la volcadura de una pipa que transportaba 30 mil litros de Gasolina, derramandose la totalidad del producto</t>
  </si>
  <si>
    <t>Se registro un percance entre dos autobuses de pasajeros, se reportan 20 personas lesionadas</t>
  </si>
  <si>
    <t>Se reporto un accidente entre un autobus de pasajeros y un trailer. Se reportan 2 muertos y 25 lesionados</t>
  </si>
  <si>
    <t>Tabasco y Veracruz</t>
  </si>
  <si>
    <t>Agua Dulce y Huimanguillo</t>
  </si>
  <si>
    <t>Se registro el colapso de un puente justo al momento en el que cruzaban varios vehiculos. Se reportan 7 personas fallecidas</t>
  </si>
  <si>
    <t>Se volcó una autobus de pasajeros en la Carretera Mexico Toluca, 10 personas resultaron lesionadas</t>
  </si>
  <si>
    <t>Se reporta la volcadura de una autobus de pasajeros. 44 personas resultaron lesionadas</t>
  </si>
  <si>
    <t>Cuautitlan Izcalli</t>
  </si>
  <si>
    <t>Se registro un accidente entre un autobus de pasajeros y un trailer. Se reportaron 10 personas lesionadas y una fallecida</t>
  </si>
  <si>
    <t>Coatepec</t>
  </si>
  <si>
    <t>Se registro un accidente carretero entre un trailer y un vehículo. Dos personas resultaron lesionadas</t>
  </si>
  <si>
    <t>Se registro un accidente en el cual un autobus de pasajeros se volcó en un barranco de 98 metros de profundidad. Se reporta una persona fallecida y 34 lesionados</t>
  </si>
  <si>
    <t>Se regitro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</si>
  <si>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</si>
  <si>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</si>
  <si>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</si>
  <si>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Choque entre un autobus de pasajeros y un trailer doble remolque. Se reportan 17 personas lesionadas</t>
  </si>
  <si>
    <t>Accidente en la carretera Chapala-Guadalajara en el cual dos trailers, una camioneta y dos vehículos se vieron afectados. Se reportan 7 personas lesionadas</t>
  </si>
  <si>
    <t xml:space="preserve">Se registro un accidente en la carretera federal Mexico Toluca. Una camion cargado con 17 toneladas de maíz se volcó. Una persona resulto lesionada. La carga se perdió </t>
  </si>
  <si>
    <t>Se registro un choque de frente entre una camioneta y una automóvil en la Carretera Hermosillo-Bahia de Kino. Se reporta el fallecimiento de 7 personas y tres lesionados</t>
  </si>
  <si>
    <t>Se registro el impacto entre dos trenes del metro al realizar maniobras de remolque. Se reportan seis personas lesionadas</t>
  </si>
  <si>
    <t>Salinas</t>
  </si>
  <si>
    <t>Se registro la volcadura de una pipa que transportaba 20 mil litros de Diesel. Se presento derrame de 200 litros</t>
  </si>
  <si>
    <t>Se registró el aterrizaje forzoso de un helicoptero resultando lesionado el piloto</t>
  </si>
  <si>
    <t>Cuautitlan de Garcia Barragan</t>
  </si>
  <si>
    <t>Desplome de un helicoptero de la CFE. Se reportan dos fallecidos</t>
  </si>
  <si>
    <t>Tolocholco</t>
  </si>
  <si>
    <t>Se desprendió la góndola de un convoy ocasionando tres accidentes, causando la muerte de 2 personas y lesiones a 4 mas</t>
  </si>
  <si>
    <t>Se registro una accidente en la carretera Lagos de Moreno-Guadalajara km69+800. Se reportan 9 personas lesionadas. Se vio involucrada una pipa que transportaba tubosina y dos vehículos</t>
  </si>
  <si>
    <t>Se registro un accidente en el cual se vio involucrado un autobus de pasajeros, 15 personas resultaron lesionadas</t>
  </si>
  <si>
    <t xml:space="preserve">Se registro un accidente en la carretera federal Mexico-Tampico el cual una persona resulto lesionada. </t>
  </si>
  <si>
    <t>Se registro una accidente entre un autobus de pasajeros y una camioneta. Se reportan dos fallecimientos y 26 heridos</t>
  </si>
  <si>
    <t xml:space="preserve">Se registro un accidente carretero en el cual se vio involucrado un vehiculo de la SEDENA y una pipa que transportaba 20 kilogramos de oxigeno. Se reportan 20 personas lesionadas </t>
  </si>
  <si>
    <t>Se registro el desplome de un puente justo cuando un trailer circulaba por el mismo. El puente no resistio el peso de la unidad y colapso. El chofer del trailer perdio la vida</t>
  </si>
  <si>
    <t>Accidente entre dos autobuses urbanos. 27 personas resultaron lesionadas</t>
  </si>
  <si>
    <t>Se registro un accidente entre un autobus urbano, mismo que volco lesionando a 11 personas</t>
  </si>
  <si>
    <t>Llamatlan</t>
  </si>
  <si>
    <t>Se registro la caida de un autobus de pasajeros a una barranca de 150 metros de profundidad. Se reportan 6 personas fallecidas y 23 heridos</t>
  </si>
  <si>
    <t>Kinchil</t>
  </si>
  <si>
    <t>Se registro un accidente de un autobus de pasajeros en el cual perecieron 2 personas y 27 mas resultaron heridas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</si>
  <si>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</si>
  <si>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</si>
  <si>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</si>
  <si>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una falla en el aerotren del AICM ocasionando lesiones a tres personas, ya que este se activo accidentalmente por una falla</t>
  </si>
  <si>
    <t>Manzanillo</t>
  </si>
  <si>
    <t>Se registro un accidente en el cual una pipa se volco derramando 10 mil litros de gasolina</t>
  </si>
  <si>
    <t>Se volco una pipa que transportaba 43 mil litros de gasolina, presentando derrame. Una persona lesionada</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</si>
  <si>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</si>
  <si>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</si>
  <si>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</si>
  <si>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Compostela</t>
  </si>
  <si>
    <t>Se registro la volcadura de una pipa que transportaba 60 mil litros de gasolina. Se presentó derrame de 18 mil litros del producto</t>
  </si>
  <si>
    <t>Se volcó un triler que transportaba Nitrato de Amonio, en el siniestro se perdieron 2 toneladas del producto</t>
  </si>
  <si>
    <t>Se registro un aterrizaje forzoso de una avioneta tipo CESSNA. Afortunadamente no se reportan daños humanos</t>
  </si>
  <si>
    <t>Se registro un accidente entre 2 trailers y 2 autobuses de pasajeros. 10 personas lesionadas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</si>
  <si>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</si>
  <si>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</si>
  <si>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</si>
  <si>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</si>
  <si>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</si>
  <si>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registró una marcha en conmemoración del movimiento estudiantil del 68. Se reportan 26 personas detenidas, así como tres lesionados</t>
  </si>
  <si>
    <t>Se registro un accidente aereo en el cual una avioneta tipo CESSNA se desplomó. Se reportan 2 fallecidos y un lesionado</t>
  </si>
  <si>
    <t>Se registro la volcadura de una pipa, misma que choco con una camioneta particular. Se reporta una persona muerta y dos lesionados</t>
  </si>
  <si>
    <t>Se registro el aterrizaje forzoso de una avioneta tipo CESSNA. Una persona resulto lesionada</t>
  </si>
  <si>
    <t>Se registro un accidente entre un autobus de pasajeros y un vehículo particular. Se reportan 15 personas lesionadas y una fallecida</t>
  </si>
  <si>
    <t>Se registro la volcadura de un trailer que transportaba 13 contenedores con capacidad de 1,100 listros de sulfato de amonio. Se derramaron 11 contenedores 12100 litros</t>
  </si>
  <si>
    <t>Calera</t>
  </si>
  <si>
    <t>Se registro la volcadura de 4 vehículos. Un trailer, un autobus de pasajeros, un camion y una camioneta. Una persona perdió la vida y 11 mas resultaron lesionadas</t>
  </si>
  <si>
    <t>Se registro un accidente entre un autobus de pasajeros y un camion. Se reportan 2 fallecidos y 14 lesionados</t>
  </si>
  <si>
    <t>Se registro un accidente entre un trailer y un autobus escolar. Una persona fallecio y seis mas resultaron heridos</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</si>
  <si>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</si>
  <si>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</si>
  <si>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</si>
  <si>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volco un tracto camion que transportaba 14,400 litros de azufre líquido, se derramo todo el producto</t>
  </si>
  <si>
    <t>Coque de un autobus de pasajeros contra un muro de contencion. Se reportan 15 personas lesionadas</t>
  </si>
  <si>
    <t>Accidente marítimo</t>
  </si>
  <si>
    <t>Se encuentra desaparecida una embarcación de pescadores, una persona fue rescatada con vida y 4 mas se encuentran desaparecidas</t>
  </si>
  <si>
    <t>Se desplomo un helicoptero casusando lesiones a cuatro personas</t>
  </si>
  <si>
    <t>Accidente del metrobus con un vehiculo particular. Se reportan 18 personas lesionadas.</t>
  </si>
  <si>
    <t>Se volco una pipa  en la Col. Chimalcoyotl. Se presento derrame de 42 mil litros de gasolina</t>
  </si>
  <si>
    <t>Tenabo</t>
  </si>
  <si>
    <t>Se registro un accidente de un tractocamion que transportaba 67 mil litros de gasolina Magna. Una persona resulto lesionada.</t>
  </si>
  <si>
    <t>Se reporto el incendio de una casa hogar para ancianos. Se reportan 4 personas lesionadas</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</si>
  <si>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</si>
  <si>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</si>
  <si>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Silao y Acambaro</t>
  </si>
  <si>
    <t xml:space="preserve">Se reportaron dos accidentes carrteros mismos que causaron lesiones a 31 personas. </t>
  </si>
  <si>
    <t>Se registro la volcadura de un camion que tranportaba tapas de refrescos en la zona conocida como tres marias. El conductor falleció</t>
  </si>
  <si>
    <t>Se registro la volcadura de una pipa doble remolque que transportaba 60 mil litros de turbosina. Uno de los contenedores derramo la totalidad de su contenido.</t>
  </si>
  <si>
    <t>Todo el país</t>
  </si>
  <si>
    <t>Epidmia AH1N1 que se presentó en el país desde el 16 de abril hasta el 10 de mayo que se reanudaron las clases en la educación básica</t>
  </si>
  <si>
    <t>Tijuana, Mexicali, Rosarito</t>
  </si>
  <si>
    <t>Afectaciones por lluvias en diversas colonias y vialidades. En total 178 viviendas afectadas. Se reportan cables caídos de energía eléctrica, telefónica, TV, cable y transformadores, tres personas desaparecidas y una lesionada. En Tijuana: se reportaron 3 derrumbes en un cerro, que colinda con las colonias Sánchez Taboada, Flores Magón y México Lindo. Se declaró en desastre a los municipios de Tijuana y Rosarito. Fuerton necesarias 21 acciones en vialidades principales, 101 acciones en infraestructura carretera, tanto estatal como federal y 10 en infraestructura hidráulica. Desafortunadamente, tres personas perdieron la vida</t>
  </si>
  <si>
    <t>CENACOM/FONDEN</t>
  </si>
  <si>
    <t>Altotonga y Atzalan</t>
  </si>
  <si>
    <t>Se registraron bajas temperaturas y heladas en el estado. Se declaro en emergencia a dos municipios con el fin de cubrir las necesidades de abrigo, techo y alimentacion.</t>
  </si>
  <si>
    <t>Campeche, Cd del Carmen,Champotón</t>
  </si>
  <si>
    <t>Lluvias acompañadas de fuertes vientos (de 55 a 77 km/hr). Caída de árboles, espectaculares, cortes de energía eléctrica, daño en techo de viviendas y evacuaciones preventivas en diversas colonias y comunidades. Cierre momentáneo de vialidades. Se registra una persona lesionada. Se registran 27 personas albergadas en el Refugio temporal Escuela Ramón G. Bonfil.</t>
  </si>
  <si>
    <t>Se registraron lluvias intensas que afectaron ocasionando daños en vivienda, infraestructura carretera e hidráulica</t>
  </si>
  <si>
    <t>16 municipios</t>
  </si>
  <si>
    <t>Villagrán, Valle de Santiago, Ocampo, Dr Mora, Irapuato, San Luis de la Paz,Salamanca y Manuel Doblado</t>
  </si>
  <si>
    <t>Se reportan afectaciones por incremento de canales de riego.Como acción preventiva se desalojaron a 7 personas. El Río Laja, a la altura de la comunidad  Mexicanos, provocó inundaciones en los campos de cultivo. Se reporta el desbordamiento del arroyo Blanco y canal cañones. El arroyo Cachinches, provocó la evacuación a un Refugio Temporal de 4 personas. También los ríos Querétaro y Apaseo dañaron los cultivos de las comunidades Calera de Ameche, el Nacimiento, Cuachipili y Jaral. Se registran afectaciones en campos de cultivo. Se afectaron 40 hectáreas del ejido Churubusco y 60 hectáreas del ejido Panales Jamaica. Otas 250 hectareas afectadas en Manuel Dobaldo por la ruptura de un bordo de La Presa La Recibidora.</t>
  </si>
  <si>
    <t>Agangueo, Ocampo, Tiquicheo, Tuxpan, Tuzantla, Ciudad Hidalgo, Jungapeo y Zitácuaro</t>
  </si>
  <si>
    <t>Se registraron intensas lluvias en la zona oriente del estado, afectando severamente a varios municipios, especialmente a Angangueo, en dónde un flojo de escombros ocasionó la muerte de más de 30 personas. Los daños y pérdidas superaron los 1,600 millones de pesos, convirtiendose en el desastre más severo de los últimos años en el estado.</t>
  </si>
  <si>
    <t>Gustavo A. Madero, Venustiano Carranza, Iztacalco e Iztapalapa</t>
  </si>
  <si>
    <t>Derivado de las intensas lluvias en el Valle de México se registraron afectaciones en delegaciones del Distrito Dederal. Afortunadaemtne no se registraron fallecimientos.</t>
  </si>
  <si>
    <t>Chalco y Valle de Chalco, Ecatepec y Nezahualcóyotl</t>
  </si>
  <si>
    <t>Derivado de las intensas lluvias en el Valle de México se registraron afectaciones en algunos municipios de la zona conurbada. Afortunadaemtne no se registraron fallecimientos.</t>
  </si>
  <si>
    <t>Allende, Anahuac, Apodaca, Cadereyta, Jiménez, Cerralvo, Doctor Coss, General Terán, Guadalupe, Hualahuises, Juárez,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</si>
  <si>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</si>
  <si>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</si>
  <si>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</si>
  <si>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Zona alta, Huixtla, Motozintla, Finca La Paz, Villacomaltitlán, Huehuetan, Escuintla, Acacoyagua, Mapastepec, Pijiapan, Jaltenango, Tuzantan, Sichiate, Bejucal de Ocampo, Mazapa de Madero, Tapachula, Unión Juárez, Amatenango, Acapetahua, Ocosingo, Benemérito de las Américas</t>
  </si>
  <si>
    <t xml:space="preserve">Se registaron 86 viviendas con encharcamientos en los municipios de Suchiate, Tapachula, Mazatán y Mazapa de Madero. Se reportaron daños en infraestructura pública, 11 tramos de derrumbes en la zona alta de Tapachula. Además de la atención integral de 17 tramos de carretera en los municipios Tapachula, Villacomaltitlán, Tuzantán, Siltepec, Mazatán, Mapastepec, Escuintla, Mazapa de Madero y Unión Juárez.  Se observaron campo anegados de cultivos de plátano y mango en zonas bajas de Huehuetán. Se reportan 4 lesionados y 3 fallecidos, la suspensión momentánea de energía eléctrica. Deslizamiento del cerro en el Municipio de Escuintla, se presume sepultó a 3 personas. Se reporta la caída de árboles en Tapachula, Mazatán y Tuzantán. </t>
  </si>
  <si>
    <t>Suchiate</t>
  </si>
  <si>
    <t>Derivado de las intensas lluvias se registraron daños en vivienda, infraestructura hidráulica, hidroagrícola y carretera del estado. La SEGOB emitió la declaratoria de Emergencia y Desastre</t>
  </si>
  <si>
    <t>Varios municipios (30)</t>
  </si>
  <si>
    <t>El impacto del huracán Alex en el estado de Tamaulipas provocó severos daños en su infraestructura. Desafortunadamente, seis personas perdieron la vida, la mayoría por actos imprudenciales al intentar cruzar ríos o arroyos crecidos. El sector agrícola fue el más afectado, ya que se perdieron miles de hectáreas de diferentes cultivos</t>
  </si>
  <si>
    <t>La Paz, Loreto, Los Cabos, Mulege y Comondu</t>
  </si>
  <si>
    <t xml:space="preserve">El huracán Odile  ha sido uno de los más intenso al tocar tierra sobre la península de Baja California afectó principalmente a la actividad turística del municipio de los Cabos,  provocó la muerte de 6 personas, afectó 5,046 viviendas, 923 escuelas, 14 unidades de salud. </t>
  </si>
  <si>
    <t xml:space="preserve">Varios Municipios (32) </t>
  </si>
  <si>
    <t>El huracán Alex ocasionó severos daños en el estado de Coahuila, el monto de daños se estimó en 1,430 millones de pesos. Se reportaron seis muertos asociados directamente al fenómeno y ocho indirectos al realizar labores de evaluación de daños.</t>
  </si>
  <si>
    <t>Champoton,Calakmul,Carmen,Escárcega,Hopelchen,Candelaria</t>
  </si>
  <si>
    <t>Se registran lluvias fuertes. Evacuación, daños materiales y movilización de cuerpos de rescate, en diversas colonias y comunidades. Cortes parciales de energía eléctrica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además de daños en el puente nuevo, así como deslave por escurrimientos y taludes (no se afectó el paso de vehículos). Hopelchen: 42 viviendas afectadas.</t>
  </si>
  <si>
    <t>Se reportan lluvias en las zonas Istmo-Costa, Soconusco, Sierra. Se reportó daño en un tramo carretero de los municipios de Chicoasén y Copainalá. Se reportaron 2 albergues, el primero en el Auditorio Municipal Juan Gutiérrez con 20 familias (54 personas), el segundo en el DIF Municipal con 45 familias (143 personas). 60 Viviendas con daños menores</t>
  </si>
  <si>
    <t>Fuertes lluvias que provocaron la crecida del arroyo El Toro. Incio a las 00:20 horas. Se reportan 3 lesionados y una persona fallecida, así como un vehículo dañado. Algunas personas se encontraban festejando y al cruzar el río para trasladarse, fueron arrastrados por la corriente.</t>
  </si>
  <si>
    <t>Afectaciones por lluvia intensa, en colonias Valle Residencial, Vázquez Bomfil, Arboledas, rinconada de Álamos, Girasoles 3a sección, Colonia La Capilla. Evacuación de 2 familias.</t>
  </si>
  <si>
    <t>Catorce</t>
  </si>
  <si>
    <t>Afectaciones en viviendas y movilización de equipos de emergencia. Iniciado a las 02:00 horas, se reportan derrumbes en caminos, desabasto de agua potable, penetración de agua en viviendas, inundaciones de hasta 1 metro de altura.  2 puentes fuertemenete colapsados en las comunidades Tohonitos, La Maroma, El Alamo. Las lluvias comenzaron el 1 de julio y terminaron hasta el día 7.</t>
  </si>
  <si>
    <t>Mier, Miguel Aleman, Camargo, Gustavo Diaz Ordaz, Reynosa, Río Bravo y Matamoros</t>
  </si>
  <si>
    <t xml:space="preserve">Se registraron severas inundaciones fluviales en varios municipios del estado. Por tal motivo el FONDEN apoyó para la realización de 1,184 acciones de reconstruccion. </t>
  </si>
  <si>
    <t>Cotija</t>
  </si>
  <si>
    <t>Se registran evacuaciones preventivas, daños materiales y movilización de cuerpos de emergencia. En diversas colonias y comunidades. Se registran algunos cortes de carretera ocasionados por deslaves. En la Comunidad El Paraíso, se reportan 12 viviendas afectadas, por penetración de agua. Hubo deslaves en la carretera Jiquilpan-Cotija. Comunidad de El Paso: se encuentra en las faldas de un cerro y por el deslave, provocó que cayera un alud de lodo y piedras sobre 8 viviendas. Comunidad de  Puerto: alojó a una planta tratadora de agua. Comunidad El Sauz, reporta penetración de agua en viviendas.</t>
  </si>
  <si>
    <t>Indaparapeo,Charo</t>
  </si>
  <si>
    <t xml:space="preserve">Desbordamiento de río, personas refugiadas y movilización de cuerpos de emergencia. 104 personas en Refugios Temporales. Las afectaciones mayores, se registraron en la colonia Miguel Hidalgo del Municipio de Indaparapeo, donde se reportó el desbordamiento del Río Cahuaro, así como afectaciones en 30 hectáreas en diversos cultivos por penetración de agua. El Refugio Temporal se habilitó en la Casa de la Cultura. </t>
  </si>
  <si>
    <t>Guadalcazar, Axtla de Terrazas, Ebano, San Martín Chalchicuautla, Tamazunchale, Tampacán y Tanquián de Escobedo</t>
  </si>
  <si>
    <t>Inundaciones con afectaciones en la población, ocurrido a  diversas horas, en diversas colonias y comunidades. Las principales afectaciones se dieron en viviendas. Debido a las precipitaciones ocurridas del 21 al 30 de julio en la zona de la Huasteca, en el Municipio San Vicente, quedaron incomunicadas más de 18 comunidades. El el Municipio de Tamuín, resultaron afectados alerdedor de 300 viviendas, con daños severos, así como afectaciones en caminos y el sistema de red de agua potable. De los 19 municipios afectados, solicitaron declaratoria de emergencia Axtla de Terrazas, Ébano, San Martín, Tamazunchale y Tanquian. En Ciudad Valles: registrados 2 Albergues Temporales con 15 y 56 personas respectivamente. El Naranjo: quedaron comunidades incomunicadas, por el daño en las carreteras. Tanquian de Escobedo: el río Escobedo descendió rápidamente, se instaló un RT, que refugia a 50 personas. Ébano: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Tamuín: 2 albergues, con 200 personas. Tierra Nueva: La Presa La Muñeca vertiendo sus excedentes. Guadalcazar: evacuación de comunidades.  Xilitla: incomunicadas 350 familias por la crecida de los arroyos. Huehuetlán: incomunicadas 50 familias. Lagunillas: Creciente de ríos, mantiene incomunidacas comunidades. Santa Catarina: Comunides incomunicadas. Tierra Nueva: crecida de arroyos provoca incomunicación de comunidades.</t>
  </si>
  <si>
    <t>Santa Ana, Agua Prieta, Hermosillo</t>
  </si>
  <si>
    <t>Afectaciones a la población, a viviendas, postes y vialidades. Santa Ana: reubicación de familias, no fue necesaria la declaratoria de emergencia. Aguaprieta: se registra el fallecimiento de una persona cuando intentó cruzar el arroyo. En Hermosillo, 46 colonias inundadas, las más afectadas Tulipanes y vecinos del arroyo Las Víboras. Benjamin Hill, daño por vientos fuertes. Arispe: vientos fuertes causaron daños a viviendas.</t>
  </si>
  <si>
    <t xml:space="preserve">Atzacan, Calcahualco, Camarón de Tejeda, Cerro Azul, Chiconamel, Coscomatepec, Gutiérrez Zamora, Las Choapas, Naranjos Amatlán, Nautla, Pánuco, Platón Sánchez, Tantoyuca, Tecolutla, Temapache, Tempoal, Tuxpam y Vega de Alatorre. </t>
  </si>
  <si>
    <t>Se registraron intensas lluvias entre el 22 y 25 de julio, afectando la infraestructura del estado, sobretodo la carretera. Los efectos se sintieron en 64 municipios, aunque únicamente 18 fueron declarados en emergencia y desastre. Colonias afectadas 165. Comunidades afectadas 468. Viviendas afectadas 10,591. Ríos desbordados 28. Arroyos desbordados 30. Albergues 55. Personas albergadas 4,962. Personas rescatadas 40. Puentes afectados 26. Escuelas afectadas 2. Lesionados 1. Cultivos afectados 200 hectáreas de maíz y 65 de frijol. El FONDEN destinó 1,377 millones de pesos para la reconstrucción de la zona afectada</t>
  </si>
  <si>
    <t>CENACOM, FONDEN y CENAPRED</t>
  </si>
  <si>
    <t>265 municipioS (4 declaratorias)</t>
  </si>
  <si>
    <t>Se registraron varios eventos entre julio y septiembre de 2010 afectanco a varios municipios, por lo que fue necesario emitir 9 declaratorias de emergencia para 219 municipio y 4 de desastre para 265 municipios. El CENAPRED realizó una misión de evaluación para evaluar los daños y pérdidas ocasionados por lo fenómenos.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</si>
  <si>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Acapetahua, Ocosingo, Benemérito de las Américas, Escuintla</t>
  </si>
  <si>
    <t>Lesionados, fallecidos e inundación, activación de los cuerpos de emregencia. Afectadas diversas comunidades y diversos tramos carreteros. Municipio de Acapetahua: se presenta el desbordamiento del río Cintalapa, con tirante de 30 a 50 cms. Municipio de Ocosingo: en el tramo Ocosingo-San Cristóbal en el km 169, se desgaja un banco de arena, cayendo dos piedras en el camino. Con tirante de 30 a 40 cms. Municipio Benemérito de las Américas, evacuadas 24 familias, con un RT con 120. Municipio de Escuintla desgajamiento de cerro, que sepultó a 5 personas.</t>
  </si>
  <si>
    <t>Altamira, Gonzalez, Ciudad Madero y Tampico</t>
  </si>
  <si>
    <t>Se registraron intensas lluvias e inundaciones en los municipios mencionados, se reportaron daños en carretero, hidráulico, urbano y vivienda. El Fonden apoyo con 544 acciones de reconstrucción</t>
  </si>
  <si>
    <t>Chontla, Tancoco, Tantima, Ozuluama, Tampico el Alto,  Pueblo Viejo y El Higo</t>
  </si>
  <si>
    <t>Se registraron intensas lluvias e inundaciones en los municipios mencionados. Por tal motivo se registraron daños en la infraestructura hidráulica y carretera, así como en el medio ambiente. El Fonden apoyó para la realización de 101 acciones de reconstrucción.</t>
  </si>
  <si>
    <t>Se reporta a las 20:00 horas, la ruptura de un cárcamo en le río chico de los Remedios, en la Colonia Izcalli. Afectando viviendas por la inundación. El canal arrastró los costales con arena, que se habían asignado para detener la corriente. El agua alcanzó casi 2 metros.</t>
  </si>
  <si>
    <t>Santa María Rayón</t>
  </si>
  <si>
    <t>Se reporta que a las 21:30 horas ocurrieron fuertes lluvias. Las viviendas reportaron daño por penetración de agua y lodo. De igual forma, la infraestructura urbana sufrió daños y por ende fue necesario emitir la declaratoria de desastre.</t>
  </si>
  <si>
    <t>Tiquicheo</t>
  </si>
  <si>
    <t xml:space="preserve">Ocurrido a las 15:28, el desbordamiento del arroyo del Muncipio de Tiquicheo, donde el agua subió 2 metros en las colonias Deportiva, Ricardo Flores Magón y Bella Vista, el lodo afectó a enseres domésticos de las viviendas. </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</si>
  <si>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</si>
  <si>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t>
  </si>
  <si>
    <t>Ocurrida en diversas colonias, a las 17:30 horas, afectando a Jaconá, con el desbordamiento del Río Celió a la altura de la barranca, la altura del agua alcanzó los 1.50 metros, afectando los domicilios</t>
  </si>
  <si>
    <t>Balacán, Centro, Emiliano Zapata,Tenosique, Cunduacán, Cebtla, Jalapa, Jalpa de Méndez, Jonuta, Macuspana, Nacajuca, Tacotalpa y Teapa</t>
  </si>
  <si>
    <t>Ocurrido a diversas horas del 09 de agosto.  Balancán: reporta anegaciones de hasta 30 cm, en las comunidades Buenavista, Chacavita, Frente Único, Multé y en la Ciudad de Balancán, en la colonia Palenque. Afectando con agua al interior de las viviendas. El acceso al poblado Cuba, se encuentra interrumpido por un vado de 50 cm de profundidad con 70 metros de largo. Centro: reporta incremento del Río Viejo Mezcalapa, que afecta a 40 familias del Fraccionamiento Carlos A.  Madrazo, con anegaciones de hasta 10 cm. Emiliano Zapata: reporta que debido al incremento en el Río Usumacinta, continúan anegadas viviendas, afectando a 909 familias. Tenosique: reporta afectación por el incremento en el Río Usumacinta de 177 familias. El Río Sierra también resultó de los más afectados.</t>
  </si>
  <si>
    <t>Chapala, Ixtlahuacan de los membrillos</t>
  </si>
  <si>
    <t>Inició alrededor de las 03:00 horas. Afectación en viviendas y movilización de cuerpos de emergencia, en la región de Ciénega. Durante la madrugada se registró el desbordamiento del Arroyo Grande, afectando a la comunidad Atotonilco (con 175 viviendas afectadas) que pertenece al Municipio de Chapala y a la comunidad de Atequiza (40 viviendas afectadas), que pertenece al Municipio de Ixtlahuacan de los Membrillos. El desbordamiento se debió a las lluvias. Las inundaciones llegaron hasta el metro y medio de altura.</t>
  </si>
  <si>
    <t>la precipitación pluvial se registró en la tarde-noche. Hubo movilización de cuerpos de rescate y evacuación de personas a las 19:00 horas, la zona afectado es la cercana al Puebo de Río Frío. Que se encuentra en el límite del Estado de México y Puebla. Se registran fuertes lluvias y escurrimientos de las partes altas del volcán Iztaccihuatl. Se registra el desbordamiento de la represa Río Frío, con 34 afectados. En el Refugio Temporal, se alijaron 17 personas. La comunidad de Río Frío se encontró bloqueada por agua y lodo que provocó la engación.</t>
  </si>
  <si>
    <t>Iguala, de la Independencia, Pungarabato</t>
  </si>
  <si>
    <t>Penetración de agua en viviendas, en diversas horas y diversas colonias y comunidades. Municipio de Iguala de la Independencia: se reportan encharcamientos, alcanzó de 30 a 40 centímetros. Municipio de Pungarabato: afectación de hasta 80 centímetros.</t>
  </si>
  <si>
    <t>Se registra la movilización de cuerpos de rescate, ante las lluvias acompañadas de fuertes vientos, que afectaron a 5 casas habitación en sus techumbres y al suministro de agua potable y la corriente eléctrica</t>
  </si>
  <si>
    <t>Acapulco, Igualapa, Ayutla de los libres, Márquelia, San Marcos, Atoyac de Álvarez, Chilpancingo, Iliatenco, Zirándaro de los Chávez</t>
  </si>
  <si>
    <t xml:space="preserve">Afectaciones por lluvias en Acapulco, hubo afectaciones, km 0, Colonia Vicente Guerrero, caídas de barda sobre vivienda, provocando la muerte de una persona, se evacuaron a 4 familias. En la Colonia Progreso se regitran caída de árboles. En las colonias Nueva Era, Radio Koko, Ciudad Renacimiento se registra la caída de árboles sobre cables de luz. se registra deslizamiento de tierra, en la Colonia San Agustín y la Colonia Sinaí, caída de bardas. Afectaciones en carreteras, un arbol cayo sobre un vehículo causando la muerte del conductor. Igualapa, 7 viviendas afectadas por inundación. Ayutla de los libres 4 viviendas inundadadas. En Márquelia, se evacuaron a 2 familias debido al crecimiento del Río Márquelia. En Zihuatanejo 3 viviendas resultaron afectadas  por el deslizamiento de tierra, una vivienda por las lluvias y una por la crecida de un Río. Chilpancingo, en la Carretera libre México-Acapulco y en Tierra Colorada, derrumbes de tierra que obstruyeron carriles.  En Iliatenco se regsitró un desgajamiento de un cerro sobre la carretera estatal Tlpa-Márquelia en el km 28+900 sepultando una pick up 93, perdiendo la vida 3 personas. </t>
  </si>
  <si>
    <t>Se reporta el desbordamiento  del Río Chiquito, afectando a 15 viviendas.</t>
  </si>
  <si>
    <t>Reporta que la Central Hidroeléctrica La Villita, en Lázaro Cárdenas desfogó con una alerta preventiva. En total 1,308 m3/seg, provocando un crecimiento de cauce en las comunidades Zacatula, San Francisco y Naranjito. Del Municipio de la Unión Isidoro Montes de Oca, suman 300 familias en el margen del Bajo Balsas. Se desplazaron las comunidades, para abrir los Refugios Temporales.</t>
  </si>
  <si>
    <t xml:space="preserve">Reportan  caída de muros que obstruyeron vehicularmente avenidas, deslizamiento de rocas y derrumbe de tierra que obstruyeron un carril de la carretera Acapulco-Zihuatanejo, 15 viviendas de  la colonia Praderas de Costa Azul dañadas por introducción de material sólido arrastrado por la lluvia. Col Progreso y carretera federal Aacapulco-Pinotepa, resgistra caída de árboles. En la Colonia La Laja, hubo caída de árboles con afectación a viviendas. </t>
  </si>
  <si>
    <t>Coyuca de Benítez</t>
  </si>
  <si>
    <t>Resultan afectadas por inundación de 20 a 30 centímetros, 41 viviendas en la localidad de Ejido Viejo y 23 de  Cerrito de Oro.</t>
  </si>
  <si>
    <t>Miguel Alemán</t>
  </si>
  <si>
    <t xml:space="preserve">Reportan 5 Refugios activados, 239  personas refugiadas. En el Municipio Miguel Alemán se recibió alimento 3 veces al día. Municipio Gustavo Díaz Ordaz, 2 colonias encharcadas y 28 viviendas con penetración de agua, alcanzando 50 centímetros. En la colonia Nueva Esperanza penetraciónde agua hasta de 60 cm. Municipio Reynosa, 10 colonias encharcadas: Los Longoria, El Banco, El Guerreño, Rancho Viejo, Los Patos, Los Corrales, El Porvenir, Los Cavazos. </t>
  </si>
  <si>
    <t>Angostura, Mazatlán, Escuinapa, Ahome, Culiacán,Navolato</t>
  </si>
  <si>
    <t>Se evacuó a alrededor de 12 mil personas asentadas en zonas de riesgo. Se registra el cierre temporal de la carretera por acumulación de agua. Se registran daños parciales en viviendas. Se reportó el descarrilamiento del tren a la altura de Tecualiya. Se dañaron 20 vagones que tranpsortaban granos, la máquina al volcarse, provocó un derrame de 9,000 litros de diesel, dos personas resultaron lesionadas. Inundaciones en el Centro que provocaron el arrastre de vehículos y caída de bardas.  Caída de árboles y evacuación de 90 personas del asilo de ancianos, postes caídos.</t>
  </si>
  <si>
    <t>La Unión, Taxco, Pungarabato, Cutzamala, Tlapehuala, Zirándaro</t>
  </si>
  <si>
    <t>Se reporta el desfogue de la Presa La Villita, no se repostan afectacione en viviendas en las comunidades: Naranjo, Zacatula y San Francisco. En el Centro, se registra el crecimiento del Río Balsas en las comunidades de Mezcala. Tierra caliente, inundaciones en Querendas y Tlapeguala, Cutzamala, incremento del caudal del río. Norte: en Taxco, 5 personas arrastradas por intentar cruzar el río San Juan de Dios, vehículo VW verde, quedando un desaparecido.  En la comunidad Querendas, se reportan afectadas 4 viviendas con penetración de agua en un tirante de 80 cm, a consecuencia de la apertura de la Presa El  Gallo.</t>
  </si>
  <si>
    <t>Se reporta el desgajamiento de un cerro, por lo que se evacuó a 3 viviendas. No se reportan afectaciones a personas.</t>
  </si>
  <si>
    <t>Tlaxiaco</t>
  </si>
  <si>
    <t>Afectaciones en 40 viviendas en el Muncipio de Tlaxiaco. Se otorgó apoyo de despensas, cobertores y colchonetas. No se activaron albergues.</t>
  </si>
  <si>
    <t>Ahome, Culiacán, Novolato, Angostura, Mazatlán</t>
  </si>
  <si>
    <t>Se reportan inundaciones por acumulación de basura en el alcantarillado. Culiacán: afectación en colonias Alto de Bachigualato, Infonavit Humaya, La Estancia III, Campo el Diez. Arrastre de vehículos, inundaciones. Árboles caídos. 90 evacuados. En Costa Rica 3 casas inundadas, 4 postes caídos. Novolato: Colonias Ejidal y Calderón reportan encharcamientos menores. Angostura: en la Colonia Miramar se desplomaron viviendas. Reportan afectaciones por árboles caídos y daños en el cableado eléctrico. Mazatlán: afectaciones menores en las colonias 13 de septiembre, 10 de mayo, Toledo Corro, Pueblo nuevo, Emiliano Zapata. Sin necesidad de activar albergues. En Ahome: inundaciones menores, provocadas  por acumulación de basura en el alcantarillado.</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</si>
  <si>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</si>
  <si>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evacuación. Se presentaron caídas de bardas, incluso del panteón Municipal.</t>
  </si>
  <si>
    <t>Álvaro Obregón, Coyoacán, Cuauhtémoc, Cuajimalpa,Gustavo A. Madero, Iztacalco, Magdalena Contreras, Tlalpan, Venustiano Carranza</t>
  </si>
  <si>
    <t xml:space="preserve">Ocurrido a las 19:30 horas. Encharcamientos viales, deslizamiento de tierra y caída de árboles.  Se registraron precipitaciones fuertes, lo que ocasionó el encharcamientos viales y la caída de 8 árboles, principalmente en las Delegaciones Iztacalco y Venustiano Carranza. Derivado de  las lluvias, en la continuación de la calle Acueducto 3, Calzada Desierto de los Leones, km 24.5 en la colonia Santa Rosa Xochiac, se registró el deslizamiento de tierra. La lluvia registró una intensidad de 16 a 32 mm, sobre metro cuadrado. </t>
  </si>
  <si>
    <t>Tlayacapan, Cuautla, Jiutepec, Cd Ayala, Yautepec,Tlaltizapan</t>
  </si>
  <si>
    <t>Registrado a  las 21:00 horas, tromba, emiten alerta de inunadación en 5 Municipios que cruza el Río Yautepec, con evacuaciones preventivas, daños materiales y movilización de cuerpos de emergencia. Las zonas más afcetadas son Barrio Rosario, Exaltación y Nacapenco. Se observaron varios vehículos ararstrados por la corriente. La Barranca Chiclutla se desbordó y acusó afectaciones, con provocación de agua en 24 viviendas. Se realizó la evacuación de familias, de las cuales 8 fueron a un RT, donde se les proporcionó comida y abrigo. El RT de la Unidad Deportiva de Cuautla, registró 40 personas albergadas.</t>
  </si>
  <si>
    <t>Movilización de cuerpos de emergencia en diferentes días a diversas horas. La Presa Cointzio empezó a desfogar 2,000 metros cúbicos por segundo. Al llegar al 90% de su capacidad. Se reporta que en la colonia El Ejidal Tres Puentes, en el 45 y una bodega con el 70 presentan penetración de agua por el desbordamiento del Dren de Barajas. Se abrió la compuerta 2 a las 11, desfogando 8,196 metros cúbicos. Se proyecta inundaciones en 52 colonias. La basura, principalmente plásticos, además de ramas y hojas ocasionaron la obstrucción de alcantarillas. Se llegó a una acumulación de agua de entre 70  a 150  mm de lluvia en diferentes zonas de la Ciudad.</t>
  </si>
  <si>
    <t>Gustavo A. Madero, Tlalpan, Coyoacán, Miguel Hidalgo</t>
  </si>
  <si>
    <t xml:space="preserve">Afectadas diversas colonias, con caída de árboles. Y desbordamiento de cauce en Av 5 de mayo, esq. Río Antiguo. Como consecuencia de la bajada de aguas, se produjo acumulación de lodo y materiales de sedimento, de hasta 50 cm, afectando la vialidad y algunas viviendas, se alcanzó un tirante de 5 cms. Asimismo, enchracamientos afectaron Periférico Sur, Viaducto Tlalpan, se registró afectación de 100 metros lineales, por 40 cms de tirante. </t>
  </si>
  <si>
    <t>Desbordamiento del Río Benito Juárez, afectando a 25 casas, las familias se albergaron con familiares. Se habilitó un RT en el Auditorio Municipal con 500 a 800 personas, con apoyo de colchonetas y cobijas.</t>
  </si>
  <si>
    <t>Iliatenco, Chilapa</t>
  </si>
  <si>
    <t>Lluvia y viento fuerte activa los cuerpos de emergencia, con 2 vehículos afectados a las 17:00 horas. Sobre la carretera estatal Tlapa-Márquelia a la altura de tierra colorada, de la región montaña, se sucitó un derrumbe, sepultando a 2 vehículos. Se registró un derrumbe en la carretera Chilapa-Tlapa a la altura de la comunidad Chiepepetepec, en el Municipio de Iliatenco en la zona alta d ela montaña, se registró la caída de una barda sobre 2 automóviles, uno de ellos con 2 personas en el interior que fallecieron aplastados.</t>
  </si>
  <si>
    <t>Ocosocuatla</t>
  </si>
  <si>
    <t>3 derrumbes ocasionados por las lluvias, en los km 85 y 89,  en los tramos Ocosocuautla-Jiquipilas, a la altura del Cerro de Juárez, se reporta obstrucción parcial y el el km 99 obstrucción completa.</t>
  </si>
  <si>
    <t>Debido a las fuertes lluvias que se presentarone n la entidad, a las 5:25 en la Comunidad Cuajinicuilapa se resgitró un derrumbe sobre el tramo carretero Petaquillas-Tepechicotlán a la altura de la cañada.</t>
  </si>
  <si>
    <t>Zacatlán, Olintla, Quimixtlan</t>
  </si>
  <si>
    <t>Se registran vientos acompañados de fuertes lluvias en la entidad afectando techos de viviendas de material endeble. Zacatlán, 17 viviendas. Olintla, 12 viviendas. Quimixtlan, 8 viviendas.</t>
  </si>
  <si>
    <t>Ometepec, Zirandaro, San Luis de Acatlán,Atixtac</t>
  </si>
  <si>
    <t>Penetración de agua en viviendas, en diversas colonias y comunidades. Daños en un puente peatonal. Afectaciones en 51 viviendas, una escuela primaria, una escuela secundaria, devido al incremento del Río Santa Catarina, en el Municipio de Ometepec con inundaciones de 50 cm en la localidad de Las Iguanas, se instalaron 2 RT. En San Luis Acatlán se realizó la entrega de 200 colchonetas, 200 cobertores, 25 placas de lámina de cartón y para 65 familias en la localidad de Buena Vista y 32 familias de  Pueblo Hidalgo. Se entregaron 99 colchonetas, 99 cobertores, 6 kits de limpieza, 4 placas de lámina en la comunidad de Cajiltepec, Municipio de Atlixtac. En Zirándaro 18 colchonetas, 18 cobertores, 6 kits de limpieza y placas de lámina de cartón. En Coyuca de Catalán hubo un colapso de un puente peatonal, en la comunidad de Pandacuareo. En el límite con Veracruz, ciudad de Tuxtepec se incomunicaron 5,000 personas.</t>
  </si>
  <si>
    <t>Acapulco, Ometepec, La Unión</t>
  </si>
  <si>
    <t>Se reporta la instalación de los Consejos Municipales y estatales de Protección Civil, activación de Progarmas de Prevención y auxilio a la población y activación de Refugios Temporales. Se habilitaron los RT en las comunidades del Naranjo, Zacatula y San Francisco en el Municipio de La Unión. En Ometepec se habilitaron 2 RT. En la comunidad Tamarindos, se refugian 12 familias, con un total de 90 personas afectadas. En la Comunidad Capricho, 24 refugiados. Precaución en la zona de la barrabca por posibles deslaves. derrumbes y rodamiento de peidras. La presencia de viento puede provocar marejadas en zonas de playa y oleaje. En Tlacoachistlahuaca, comunidad de Las Minas, se afectó a 15 viviendas, por inundaciones menores. Atoyac de Álvarez, comunidad Cerro Prieto, derrumbes y cortes en la carretera en ambos carriles. Entre Quemado y Plan de Molinos derrumbes y no hay circulación. 3 derrumbes entre las comunidades Arrayanes, Delicias,Piloncillos. A la altura del Río Atoyac, puente Ticui cerca del balenario Coyotomate se registra afectación en 4 enramadas. Caída de espectaculares en Acapulco y y un derrumbe-deslizamiento de rocas sobre la carrera Acapulco-Zihuatanejo, Col. Venustiano Carranza. Zirándaro de los Chavez: rocas en los km 25 y 26 en la carretera Zirándaro-Coyuca de Catalán.</t>
  </si>
  <si>
    <t>Ometepec, Acapulco, Zirándaro, San Luis de Acatlán, Atixtac,Tlacochistlahuaca</t>
  </si>
  <si>
    <t>Lluvia fuerte el 20 y 21 de agosto. Se registra penetración de agua en viviendas. En la comunidad Las Iguanas se reportan 51 viviendas afectadas por la creciente del cauce del Río Santa Catarina. En la comunidad Tamarindos 8 viviendas con inundaciones de 50 centímetros, a causa de la creciente del cauce del Río Santa Catarina, Municipio de Tlacochistlahuaca. Comunidad de las Minas, 15 viviendas, con inundaciones de hasta 13 centímetros a causa de la crecida del Río Las Minas. En Acapulco, Col Jardín Azteca, reporta caída de árboles. El Fraccionamiento Hornos reporta la caída de espectaculares. La Comunidad Capricho refugia a 15 personas en la escuela primaria Margarita Maza de Juárez. La comunidad Cerro Prieto reporta derrumbes y cortes en la carretera. Entre Quemado y Plan de Molinos hubo derrumbes, y sin circulación en ambos carriles de la carretera. En Arrayanes 3 derrumbes.</t>
  </si>
  <si>
    <t>Tlayacapan, Tepoztlan, Tlanepantla, Totolapan, Atlatlahucan, Tetela, Yecapixtla, Ocuituco, Cuautla, Ayala, Yautepec, Jiutepec, Cuernavaca</t>
  </si>
  <si>
    <t>Aumentó el nivel de los ríos Yautepec y Nexpa, desbordándose a la altura de la Plaza del Arte, con un tirante de más de un metro. Se activaron 3 RT. La CFE ha realizado cortes preventivos. Afectaciones en  los poblados Temilpa Viejo y Ticuman, principalmente en viviendas. Encharcamientos en  Lomas de Jiutepec, Los Tabiques y Chica. Así como en la Col. Obrera del Municipio de Tepoztlán. En Tlaquiltenango se registran afectaciones en viviendas, con tirante de 50 a 100 metros.  2 puentes dañados, uno de uso vehicular y otro peatonal. Además de cortes en la energía eléctrica. 700 viviendas afectadas y 350 locales con daños. Fuertes lluvias con 137 mm, en el Río Yautepec, que presentó una crecida de 5 metros, presentando una venida que cruzó por la cabecera municipal. En Yautepec: se registran tirantes de hast 2 metros, incluso en los mercados: Centenario y Huerta Cadenas, donde se perdieron 350 locales, 12 colonias afectadas con más de 200 viviendas con daños, por penetración de agua y lodo. Se instalaron 2 RT. Se cuenta con una potabilizadiora con pipa. En Tlalquitenango: 70 viviendas afectadas por penetración de agua y lodo, 1 RT. Se solicita Declaratoria de Deasastre para Yautepec. En Tlaltizapan hay 80 viviendas afectadas, Temilpa Viejo 90, Tukuman 100 y en Tlalquitenango 130 viviendas.</t>
  </si>
  <si>
    <t>Yautepec, Tlaquiltenango y Tlaltizapán</t>
  </si>
  <si>
    <t>Se registro el desbordamiento de algunos ríos como consecuencia de las intensas lluvias registradas en el estado. Desafortunadamente se reportaron daños en viviendas, escuelas, infraestructura carretera, urbana e hidráulica. Fue necesario emitir delcaratoria de emergencia y desastre.</t>
  </si>
  <si>
    <t>Afectaciones en 15 casas,  por penetración de agua, alcanzando los 20 cm.</t>
  </si>
  <si>
    <t>Ocurrido por la mañana tarde, por las constantes lluvias que reblandecieron el cerro de nombre La Cuesta del Sirion, ubicado a la altura del km 85 de la carretera Tiquicheo-Tuzantla, del Municipio de Huetamo. 1 vehículo Nissan dañado, que fue cubierto por un alud de piedras y lodo. Este fenómeno dejó incomunicada a la Cabecera Municipal.</t>
  </si>
  <si>
    <t>Jáltipan, Cosoleacaque, Minatitlán, Texistepec</t>
  </si>
  <si>
    <t>La zona afectada en la cuenca del Papaloapan, a consecuencia de las precipitaciones, donde no hay daños humanos, con un RT que aloja a 100 personas. Se otorgó a los menores, paquetes escolares para el regreso a clases. Se registra el desbordamiento del Río Coatzacoalcos en las orillas del Malecón Minatitlán, a las 08:00, se realizan alertamientos a la población. Fuga de agua por alcantarillados de laas avenidas, el Ejército ayuda con el relleno de costales, provoca inundaciones en zonas urbanas.</t>
  </si>
  <si>
    <t>San Cristóbal de las Casas, Ángel Albino Corzo</t>
  </si>
  <si>
    <t>Afectaciones y movilizaciones de cuerpos de rescate. 1:30 horas. 346 personas evacuadas. 1 menor muerto. 150 viviendas dañadas. San Cristóbal de las Casas: desbordamiento del río amarillo, 15 viviendas inundadadas, con tirante de 40 a 50 cm, en la Colonia Molino de los Arcos 50 viviendas, en 31 de marzo 25 viviendas, Colonia Revolución 10 viviendas, Col 14 de Septiembre, 30 viviendas. Angel Albino Corzo: en Monte Cristo, deslizamiento de un cerro, se evacúa a 346 personas, las comunidades Independencia y Ojo de agua quedaron incomunicadas. Villa Corzo: una familia trata de cruzar arroyo, un menor es arrastrado.</t>
  </si>
  <si>
    <t>Afectaciones por lluvias y movilización de cuerpos de emergencia. Tramos carreteros dañados. Acapulco: reporta caída de árboles. 222 personas refugiadas. En tierra colorada, se tiene habilitado 1 RT. En Zihuatanejo, se registra un derrumbe en Higueritas, que obstruye paso en carriles. En la región centro, 14 viviendas afectadas. 527 personas evacuadas en la emergencia.</t>
  </si>
  <si>
    <t>Ocurrido a las 00:36 horas, colapso de puente sobre la carretera federal México-Acapulco en el km 50. Debido al reblandeciemiento de los cimientos. La afectación de la carretra es de 3 metros de largo por 2 de profundidad.</t>
  </si>
  <si>
    <t>San Cristóbal de las Casas, Frontera Comalapa</t>
  </si>
  <si>
    <t>Movilización de cuerpos de emergencia. Frontera Comalapa: desbordamiento del arroyo "Xamaipac", afectando a 200 viviendas. San Cristóbal de las Casas:  afectaciones debido al desbordamiento del río amarillo, a la altura de la Colonia Peje de Oro, afectadas 150 viviendas.</t>
  </si>
  <si>
    <t>Berriozábal, Tuxtla</t>
  </si>
  <si>
    <t>Activación de los cuerpos de emergencia. Por penetración de agua y deslizamiento de suelo. En Berriozábal hay un RT en la Cabecera Municipal con 6 familias, 15 personas, anegaciones en viviendas. En Tuxtla, desbordamiento de río 1 RT con 6 familias y 6 personas. Y 200 persona afectadas de las colonias Terón, La Octava Norte, 3a Oriente, 1a Oriente,  con 4 muertos.</t>
  </si>
  <si>
    <t>Se registran inundaciones y encharcamientos a causa del desbordamiento del Río Bravo, por las lluvias registradas en el Puente Internacional Reynosa-Hidalgo, dañando colonias aledañas, como  Los Patos y 21 de marzo. Rebasando los 500 metros cúbicos por segundo.</t>
  </si>
  <si>
    <t>Chilpancingo, Benito Juárez, Atoyac de Álvarez, Marquelia, Ometepec, San Luis Acatlán e Iliatenco.</t>
  </si>
  <si>
    <t>Se registraron fuertes lluvias en el estado de Guerrerp ocasionando daños en infraestructura educativa, hidráulica, carretera y viviendas. Por tal motivo se emitio la correspondiente declaratoria de desastre y emergencia</t>
  </si>
  <si>
    <t>Valparaíso</t>
  </si>
  <si>
    <t>Se presentó una precipitación pluvial de 49 mm. Y ráfagas de viento de 80 km por hora. 8 comunidades quedaron incomunicadas por la creciente de los ríos y arroyos. Daño a caminos y viviendas. El número de damnificados asciende a 25,000 personas y 8 comunidades afectadas.</t>
  </si>
  <si>
    <t>Acapulco, Chilpancingo, Zihuatanejo</t>
  </si>
  <si>
    <t>En Acapulco 302 personas refugiadas, 15 refugios temporales, 527 refugiados, 450 raciones de comida. en Chilpancingo 100 viviendas afectadas, en Zihuatanejo 115 viviendas afectadas, 289 personas afectadas</t>
  </si>
  <si>
    <t>Debido a la lluvia registrada y al desfogue de la presa  Cointzio, hay encharcamiento en 17 colonias del municipio de Morelia.</t>
  </si>
  <si>
    <t>Compostela, San Blas, Acaponeta, Tecuala, Santiago, Bahía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</si>
  <si>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Bahía de Banderas. Daños en diversas comunidades.  Por la humedad proveniente del Pacífico, incremento en los ríos y arroyos. Río Viejo, que cruza el Llano, se colpasa un puente, dejando incomunicadas a diferentes  comunidades: El Llano, Jolotemba, El Espino, Otates y Cantarranas, Ixtapa de la concepción, Platanitos, Coastecomatillo, El Paranal, entre otros.  Se originó un derrumbe por la carretera 200 Tepic- Puerto Vallarta, entre San Francisco y Lo de Marcos. Inundaciones en el poblado Higuera Blanca, dejando incomunicado este poblado. Por la carretera, a  la altura del km 133 se registró un deslave del cerro. En el municipio de San Blas por la margen izquierda del río el Limón y el Ciruelo. Se confirman 2 puentes colapsados, uno a 1.5 km de San Pancho de esta carretera, hacia el poblado de Sayulita. Otro derrumbe en el km 119.  La carretera a Guayabitos, se cerró. Se habilitó como RT el Salón Ejidal, para personas en riesgo.  13 comunidades de Compostela afectadas, con daño 5,197 viviendas. Las localidades incomunicadas por colapso de puente Zacualpan, Platanitos, san Isidro, Ixtapa,Otates, y Cantarranas. Parcialmente inundadadas Rincón de Guayabitos, Los Ayala. En Bahía de Banderas: 10 localidades afectadas, con 1,857 viviendas dañadas. Parcialmente inundadas Lo de Marcos, Santa Fe, Bucerías, Higuera Blanca y Sayulita. 2 RT. En San Blas 9 comunidades afectadas y 2,299 viviendas con daño. Parcialmente inundadadas Santa Cruz de Miramar, Aticama, El Limón y El Ciruelo.  Acaponeta: 1 comunidad y 215 viviendas. Tecuala: 4 comunidades y 1,449 viviendas. Santiago: 7 comunidades y 2,115 viviendas.  En total 3 RT con 115 personas. En Compostela: 18,775. Bahía de banderas: 6,977.  San Blas: 8,216. Acaponeta: 215. Tecuala: 5,328. Santiago: 7,888</t>
  </si>
  <si>
    <t>José Azueta, la unión de Isidro, Montes de Oca, Atoyac de Alvarez, Ometepec</t>
  </si>
  <si>
    <t xml:space="preserve">Viviendas que resultaron afectadas por deslizamiento de tierras e inundaciones en colonias. 21 personas en RT. Locales comerciales afectados: 10 locales de ve nta de artesanías, 4 restaurantes, 2 misceláneas, 15 de diferentes giros. </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</si>
  <si>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</si>
  <si>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</si>
  <si>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Motozintla, Jiquipilas, Guaquitepec, Huehuetan, Reforma, Tapachula, Mazatan, Pijijiapan, Acapetahua, Palenque, Mapastepec</t>
  </si>
  <si>
    <t xml:space="preserve">Encharcamientos y derrumbes en diversos municipios. Viviandas encharcadas 137, con daño en enseres domésticos. 5 RT con 45 familias, en total 159 personas. Derrumbes en: Motozintla, Jiquipilas, Cuaquitepec, Huehuetan, Motozintla. Viviendas encharcadas: Huehuetan, Reforma, Tapachula, Suchiate, Mazatan. </t>
  </si>
  <si>
    <t xml:space="preserve">Debido a las lluvias, se reporta que en Puerto Marquez, se inspeccionaron 2 rocas inestables. En Paseo de la Cañada, se registra derrumbe de tierra de aproximadamente, 2 metros cúbicos. Barda derrumbada de 1 metro. En la colonia Simón Bolívar se colapsa un puente y caen 4 árboles en vía pública. </t>
  </si>
  <si>
    <t>En la Comunidad El Centinela se reportan, 40 familias incomunicadas por 48 horas. Iniciado a las 19:00 horas. Daños en enseres domésticos y menage. Desbordamiento del río Narasco, lo que provocó que la comunidad El Centinela, quedara incomunicada, por más de 2 días. Provocando inundación en 40 domicilios. Se les ayudó con colchonetas, cobertores y despensas, así como la ayuda para las tareas de limpieza.</t>
  </si>
  <si>
    <t>Derrumbe de una vivienda y movilización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</si>
  <si>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Tlapa, Metlatonoc</t>
  </si>
  <si>
    <t>Afectaciones por lluvias y movilización de cuerpos de emeregencia. Los días 9 y 10 de septiembre, a las 20 y 11:30 horas. 9 viviendas dañadas, una con daño total y 8 evacuadas. Metlatonoc: en la región montañosa, debido al reblandecimiento del suelo en terrenos y laderas inestables. Producto de las lluvias, se registra desgajamiento de un cerro en la localidad de Zapote Cabezón, sepultando una vivienda con un talud de tierra y rocas, en el interior 4 personas fallecidas. Tlapa de Comonfort, en la comunidad de Lindavista, rodamiento de rocas sobre 110 viviendas, se procedió a la evacuación de 8 que eran las que corrían mayor riesgo.</t>
  </si>
  <si>
    <t>Colonias al oriente de la ciudad de Saltillo. A las 20:30 se registró la precipitación más fuerte, afectando a 66 casas, con anegaciones de 20 y 30 centímetros. 19 árboles caídos, 36 bardas caídas, 32 automóviles con penetración de agua, poste incendiado. No se reportan daños humanos.</t>
  </si>
  <si>
    <t>Ajuchitlán del Progreso</t>
  </si>
  <si>
    <t>Afectación a viviendas y movilización de cuerpos de emeregencia. Lluvias provocan incremento del nivel del arroyo "Padiche", afectando a 32 viviendas, de las márgenes del arroyo. Con tirante de 50 cm, afectando muebles y enseres domésticos. No hubo daños humanos.</t>
  </si>
  <si>
    <t>Hopelchen, Calakmul, Champotón, Calkiní, Hecelchakán, Campeche, Escárcega, Carmen, Palizada Tenabo</t>
  </si>
  <si>
    <t xml:space="preserve">Penetración de agua en viviendas. Se tiene un RT en el municipio del Carmen, comunidad Emiliano Zapata. Escurrimientos en Champotón. Calkiní: habilitó un RT, que no se ha ocupado. Hecelchakán: sin lluvias. Hopelchén: lluvias y vientos fuertes, que dejaron afectaciones en techos de 10 familias, 55 personas, que se trasladaron a RT. Se entregaron despensas. Tenabo: llovizna, sin novedad. Campeche: Lluvias ligeras. Champotón: por lluvias, afectadas las calles 15, 16 y 18 de la colonia Pozomonte. Árboles y ramas caídas. En Villamar, casas afectadas, 1 RT.  Escárcega: lluvias fuertes, se registran cortes en la energía eléctrica. Calakmul: lluvias fuertes y vientos, que afectaron las comunidades Nueva Vida, 20 casas afectadas, 10 familias. Nuevo Becal: 3 familias afectadas, en 1 RT. Más 5 casas afectadas y 1 RT. Carmen: Lluvias intensas. Candelaria: lluvia moderada. Palizada: lluvias continuas, no afectaciones. Total de RT 20 de modo preventivo, sólo 5 de ellos fueron abiertos, albergando a 132 personas. Entrega de insumos: 7 toneladas de alimentos, 1,150 cobertores, 1,200 colchonetas y 6 cocinas comunitarias. </t>
  </si>
  <si>
    <t>32 municipios</t>
  </si>
  <si>
    <t>Derivado de las intensas lluvias provocadas por el ciclón tropical Karl, se registraron afectaciones en la infraestructura carretera del estado. El FONDEN apoyó para la realización de 16 acciones de reconstrucción.</t>
  </si>
  <si>
    <t>Inundación de 80 colonias. Las fuertes lluvias ocasionaron inundaciones en 80 colonias, se reporta un RT, con 128 personas.</t>
  </si>
  <si>
    <t>Se registraron fuertes lluvias en el municipio mencionado causando afectaciones en la infraestructura carretera e hidráulica, así como en 2 Centros de Salud.</t>
  </si>
  <si>
    <t>Zacapoaxtla</t>
  </si>
  <si>
    <t>Como consecuencia del huracán Karl. En la comunidad de Nextilapan, se registró el reblandecimiento de el piso, por un talud, afectando a una vivienda, en el derrumbe 4 personas resultaron afectadas. 2 de ellas muertas.</t>
  </si>
  <si>
    <t>Zihuatanejo, Iguala</t>
  </si>
  <si>
    <t>Afectaciones en viviendas y evacuación de familias. Ocurrido a las 17:00 horas. Zihuatanejo: se registra un deslave en San José Ixtapa, afectando un carril. Se registra la caída de un árbol sobre la carretera Ixtapa-Zihuatanejo. 2 autos varados por los niveles de agua estancada, en la autopista Iguala-Cuernavaca. Afectaciones en 80 casas, por lo que se abrió 1 RT en La feria, con capacidad para 250 personas, sólo fue utilizado por 18, el resto acudió con familiares.</t>
  </si>
  <si>
    <t>Inundaciones en la colonia San Carlos, con tirantes de 70 cm, afectando a 125 viviendas, 27 negocios y 44 vehículos. En vía pública, hasta 120 cm.</t>
  </si>
  <si>
    <t>San Bartolo Tutotepec</t>
  </si>
  <si>
    <t>Se desalojó a 58 personas asentadas en una zona inestable, llevadas a un RT en el auditorio de Tenango de Doria, comunidad Chalma.</t>
  </si>
  <si>
    <t>Huehuetlan el chico, Chietla</t>
  </si>
  <si>
    <t>Huehuetlán el Chico: En la comunidad El Terreno, RT con 40 personas. 25 viviendas afectadas por inundación de hasta 80 cm. Chietla: 53 viviendas afectadas, por inundación de hasta 80 cm, 45 en Atencingo y 8 en Zompahuacan.</t>
  </si>
  <si>
    <t>Incremento del nivel del arroyo. Ocurrido a las 19:30, en la colonia Nueva Jerusalén, una menor intentó cruzar el arroyo, pero la corriente la arrastró.</t>
  </si>
  <si>
    <t>A  las 03:00 se reportan afectaciones en viviendas por penetración de agua, en 11 colonias, siendo evacuadas 60 personas, a 1 RT. Se rgistra un deslave en la comunidad Lomo de Toro. El Hospital General, presenta penetración de agua, por lo que se evacuaron 12 pacientes y 4 médicos.</t>
  </si>
  <si>
    <t>Evacuación de 200 familias, a las 21:00 horas. Con penetración de agua en las viviendas, por elevamiento de niveles en los arroyos cercanos. Lo que provocó el desbordamiento. Se mantiene el albergue del Club de los Leones de cercado, con 115 personas.</t>
  </si>
  <si>
    <t>Acumulamiento de basura, que generó obstrucción de alcantarillas, con introducción de agua en viviendas, con niveles de 20 a 30 cm. También provocado por el desbordamiento del arroyo Las Liebres, con niveles de 1 metro.</t>
  </si>
  <si>
    <t xml:space="preserve">San Pablo Etla </t>
  </si>
  <si>
    <t>Lluvia fuerte que afectó a 600 casas, con penetración de agua, hasta 1.20 metros, en los fraccionamientos La Cascada, Hacienda Blanca, Esmeralda.</t>
  </si>
  <si>
    <t>Ocurrido a las 19:00 horas. A consecuencia de las lluvias que se han presentado en el estado, se regsitra el colapso de un puente vehicular, que comunica a Poza Rica y a Papantla. Lo que mantiene suspendido el tránsito local. No hay lesionados. Se dio una ruta alterna para circular entre ambos municipios.</t>
  </si>
  <si>
    <t>Metlatonoc, Tecuanapa, San Miguel Totolapan</t>
  </si>
  <si>
    <t>Fallecimientos y movilización de cuerpos de emergencia. A diversas horas del 10, 11 y 19 de Septiembre. Debido a las lluvias, se registra el fallecimiento de 6 personas. Metlatonoc: 4 muertes a causa de desgajamiento de un cerro. Tecuanapa: 1 a consecuencia de ser arrastrado por la crecida de un río en la localidad de Ocotitlán. San Miguel Totolapan: 1 por haber colapsado su vivienda.</t>
  </si>
  <si>
    <t>Aproximadamente a las 18:56, 3 personas fueron arrastradas por la corriente de agua del Arroyo Los Rodríguez. Una de ellas fallecio</t>
  </si>
  <si>
    <t>A las  07:00 horas se registra el colapso del puente Puente Vehicular, debido a la crecida de 5 metros, el cual atraviesa el Arroyo Santa Rosa.</t>
  </si>
  <si>
    <t>Por la lluvia intensa, se registra la creciente del arroyo que provocó que el agua se introdujera a las viviendas de  las comunidades Rancho las Ánimas, Palo Alto de Abajo y Mitad de Noria. Con niveles de 20 centímetros, hasta un metro. Afectando puentes vehiculares, peatonales y caminos de terracería. 56 viviendas afectadas, de las que 29 se localizan en el Río Lerma y las restantes 14 cerca del Río Bravo.  Comunidad las Ánimas: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</si>
  <si>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Dr. González, Allende</t>
  </si>
  <si>
    <t>Lluvias fuertes, que ocasionan que 3 personas sean arrastradas por el Río Pesqueira, otras 3 arrastraads en el Municipio General Allende.</t>
  </si>
  <si>
    <t>Chilón, Palenque, Comitán, La Concordia, La Trinitaria, Pichucalco, Ocozocuautla, Chalchihuitán, Sitalá, Simojovel, Pueblo Nuevo</t>
  </si>
  <si>
    <t xml:space="preserve">6 RT con 254 familias albergadas, que hacen un total de 547 personas. 5 muertos. 1,016 viviendas afectadas. Derrumbes registrados en: Chilon, 3 tramos carreteros. Palenque 1 tramo carretero. Comitán 1 tramo carretero. La Concordia: 1 tramo. La Trinitaria 2 tramos. Pichucalco: 1 tramo. Ocozocuautla: 1. Chalchihuitán: 1. Sitalá:1. Simojovel: 2. Pueblo Nuevo: 1. </t>
  </si>
  <si>
    <t>Reporta desplazamiento de tierra en el tramo carretero san Cristóbal-Ocoxingo.</t>
  </si>
  <si>
    <t>Encharcamientos en 24 viviendas, provocadas por la lluvia resgistrada en la localidad.</t>
  </si>
  <si>
    <t>San José Iturbide, Irapuato, Guanajuato</t>
  </si>
  <si>
    <t>San José Iturbide: inundaciones de 40 cm al interior de 10 viviendas, ubicadas en La Venta, devido al escurrimiento del arroyo La Desgracia. Y en 8 viviendas de la colonia La Purísima, debido al taponamiento del drenaje. Irapuato: inundaciones de 30 cm, por escurrimientos del cerro, afectando a 2 viviendas en la Comunidad San Javier. Guanajuato: se registra deslave de piedras, salida del túnel, en la nueva carretera estatal. Deslave de piedras en el camino estatal MIna de Rayas- Cerro del cuarto a la altura de la mina San Vicente. Deslave en la carretera Guanajuato-Silao a la altura de las bodegas del IFE.</t>
  </si>
  <si>
    <t>Ocurrido a las 15:30 horas, tromba acompañada de fuertes vientos y tormenta eléctrica, causando daño en 67 viviendas, 42 fueron destechadas y con penetración de agua, caída de árboles.</t>
  </si>
  <si>
    <t>Zongozontla, Tepexintla</t>
  </si>
  <si>
    <t>Se afectó a 10 familias y 10 viviendas. Reportan deslaves y cierres parciales de vialidades, daño en los techos de lámina, no se instalaron albergues, no hay lesionados.</t>
  </si>
  <si>
    <t>Ocotepec, Pantepec, Solochiapa, Yajalón Tapilula, Palenque, Salto del Agua, Trinitaria, Amatán, Pichucalco</t>
  </si>
  <si>
    <t>Afectando a diversas comunidades. Se afectaron diversos tramos carretreros. Ocotepec: se reportan 74 viviendas con afectaciones en sus techos (20 viviendas de la comunidad Santa Lucia, 15 viviendas de la comunidad San José Lomas Alta, 17 viviendas de la comunidad San Juan Bosco y 22 viviendas de la comunidad San Miguel Allende). En la comunidad de Esquipula se reporta la obstrucción de camino de un total de 180 metros3 en el tramo carretero Ocotepec-Tapalapa. En el tramo Playas de Catazaja-rancho nuevo en el kilómetro 48+300, se colapsó una obra de drenaje, por lo cual se tiene una interrupción total, a lo cual se procedió a realizar los trabajos de sustitución de la obra del drenaje.Por otro lado se informó que el depósito de captación de agua fue destruido un tubo galvanizado de 3 pulgadas. Pantepec: 3 viviendas encharcadas con niveles de 20 a 30 centímetros en la cabecera municipal. Solosuchiapa: 20 viviendas encharcadas de la colonia la Deportiva por desbordamiento del río. Las personas afectadas se trasladaron con familiares y amigos. Yahalón: 1 vivienda con penetración de lodo. En el lugar ya trabaja Protección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centímetros de altura por el desbordamiento del río Chivishibul. Las familias afectadas se trasladaron con familiares y amigos. Salto de Agua: Aproximadamente a las 18:30 hrs., se reportaron afectaciones en el Tramo Playas De Catazajá - Rancho Nuevo Km 48+300, así como el colapso de una obra de drenaje el cual ocurrió a las 08:30 hrs., del día ayer, presentando interrupción total. Procediendo  a la colocación de señalamiento de protección de obra, se realizaran trabajos de sustitución de obra de drenaje a través de la empresa constructora que tiene trabajos en el programa de conservación rutinaria de este tramo. Municipio de Ocotepec; Informan que desde el día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José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Sebastián y San Jose Plan: Hay obstrucción de camino por derrumbe. En el Tramo Carretero Coapilla-Ocotepec: Se reportan 6 derrumbes parciales. En el tramo Carretero Ocotepec-Tapalapa, hay obstrucción total de 180 metros cúbicos de material. 60 familias de la comunidad Ruiz Cortinez  fueron evacuadas debido al desbordamiento del río Tulija. Tramos carreteros afectados: Tramo Copainalá-Coapilla.- diversos derrumbes, ya se realizan trabajos de limpieza y retiro de escombros. Hasta el momento no se ha interrumpido el paso. Tramo Coapilla-Ocotepec.- se reportan diversos derrumbes y caída de árboles en la desviación de Tapala, en el lugar solo hay paso en un carril. Tramo Tecpatan-Francisco León.- diversos derrumbes cercad e la comunidad San José Maspaz. Solo hay paso en un carril. Trinitaria: Se realizaron recorridos de verificación de daños, por las Comunidades de Francisco Villa (reportan daños en el camino rural, que comunica a las tres comunidades), Sabinalito (daños a mallas y bombas de agua que estaban a la orilla del Rio) y El Vergel Rio Azul (afectaciones en cultivos de maíz,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rehabilitación por personas de la comunidad con el apoyo de un camión de volteo del municipio de la trinitaria. Amatán: El día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afectación no especificadas). Pichucalco: se informa que ayer se registraron afectaciones sobre la Carretera Teapa-Pichucalco, debido al incremento del agua sobre la carretera, a la altura de la gasolinera, por lo que fue suspendida la circulación,  y la cual comunica a los municipios de Nicapa, El Zoque y Suspiro.</t>
  </si>
  <si>
    <t>Las lluvias afectaron a 144 productores de café el PACC apoyó con 2,118,667.2</t>
  </si>
  <si>
    <t>Armería, Colima, Comala, Coquimatlán, Cuahutémoc, Ixtlahuacán, Manzanillo, Minatitlán, Tecomán y Villa de Álvarez</t>
  </si>
  <si>
    <t>Las lluvias afectaron a 859 productores de plantaciones de frutales perennes y cultivos de café y nopal</t>
  </si>
  <si>
    <t>Acatepec, Atoyac de Álvarez, Coyuca de Benítez</t>
  </si>
  <si>
    <t>Las lluvias afectaron a 2,368 productores de café en sus cultivos. El PACC apoyó con 4,757,513.2</t>
  </si>
  <si>
    <t>Las lluvias torrenciales afectaron a 355 productores de cebolla, chile jitomate, maíz, lechuga, nopal y sorgo. El PACC apoyó con 1,235,108.16</t>
  </si>
  <si>
    <t>Las lluvias torrenciales afectaron a 74 productores de maíz. El PACC apoyó con 208,409.78</t>
  </si>
  <si>
    <t>Las lluvias torrenciales afectaron a 226 productores de maíz. El PACC apoyó con 340,432.56.</t>
  </si>
  <si>
    <t>Acaponeta, Bahía de Banderas, Rosamorada, Ruíz, San Blas, Santiago Ixcuintla, Tecuala, Tuxpan</t>
  </si>
  <si>
    <t>Las lluvias torrenciales afectaron a 14,141 productores de Frijol, Sorgo, Maíz, Chile, Jitomate, Melon, Sandia, Tomatillo, Tabaco, Calabaza, Pepino, Arroz, Mango, Guanabana, Papaya y Plátano.</t>
  </si>
  <si>
    <t>Aguililla, Angamacutiro, Angangueo, Apatzingán, Aquila, Arteaga, Briseñas, Buenavista, Coahuayana, Coalcomán de Vázquez Pallares, Coeneo, Chavinda, Chinicuila, Ecuandureo, Hidalgo, Huaniqueo, Huetamo, Ixtlán, Jacona, Jiquilpan, José Sixto Verduzco, Juárez, Jungapeo, Los Reyes, Maravatío, Morelia, Múgica, Ocampo, Pajacuarán, Panindícuaro, Parácuaro, Pátzcuaro, Penjamillo, Puruándiro, Queréndaro, San Lucas, Susupuato, Tangamandapio, Tangancícuaro, Tanhuato, Tepalcatepec, Tingüindín, Tiquicheo de Nicolás Romero, Tocumbo, Tuxpan, Tuzantla, Tzintzuntzan, Venustiano Carranza, Villamar, Vista Hermosa, Yurécuaro, Zamora, Zinapécuaro, Zitácuaro</t>
  </si>
  <si>
    <t>Las lluvias torrenciales afectaron a 3,658 productores en 7,947.34 hectáreas de cultivos anuales y 120.22 de perennes, a 27 productores pecuarios  y a 29 productores acuícolas en una jaula y un estanque y 1.6 hectáreas.</t>
  </si>
  <si>
    <t>Vista Hermosa</t>
  </si>
  <si>
    <t>Las lluvias torrenciales afectaron a 245 productores en sus cultivos de maíz, sorgo y camote. El PACC apoyó con 931,544.64.</t>
  </si>
  <si>
    <t>Vista Hermosa y Zinapécuaro</t>
  </si>
  <si>
    <t>Las lluvias torrenciales afectaron a 676 productores en sus cultivos de maíz, sorgo y camote. El PACC apoyó con 2,176,171.92.</t>
  </si>
  <si>
    <t xml:space="preserve">Bahía de Banderas, Compostela, Rosamorada, Tuxpan. </t>
  </si>
  <si>
    <t xml:space="preserve">Las lluvias torrenciales afectaron 672 productores de diversos cultivos y a 48 productores de ganado. El PACC apoyó con 1,333,163. </t>
  </si>
  <si>
    <t>Bahía de Banderas, Compostela, Rosamorada, Tuxpan</t>
  </si>
  <si>
    <t>Las lluvias torrenciales afectaron a 722 productores de diversos cultivos a 53 porductores de 104.25 unidades animanes de gando y 44 productores de 104.25 hectáreas de producción acuícola. El PACC apoyó con 2,521,051.</t>
  </si>
  <si>
    <t>82 municipios</t>
  </si>
  <si>
    <t>Afectaciones por la interacción de los huracanes Ingrid Manuel en el estado de Guerrero. Fueron dos declaratorias de desastres una por 56 municipios y otra por 25, es decir por una total de 82 municpios, la totalidad del estado.</t>
  </si>
  <si>
    <t>Zoquitlán</t>
  </si>
  <si>
    <t>Reportan una tromba en el Municipio de Zoquitlán, afectando a 10 viviendas. No fue necesario activar RT.</t>
  </si>
  <si>
    <t>Ocurrido en la mañana y tarde, lluvia y viento de 60 a 70 km por hora, provocando la caída de los árboles y espectaculares, en la comunidad El Pino, cayó sobre un profesor de educación artística, fallecido en el lugar, perteneciente a la localidad de Boticaria, el cuerpo fue trasladado al SEMEFO del Estado.</t>
  </si>
  <si>
    <t>Santa Catarina, Xilitla y Villa de Arriaga</t>
  </si>
  <si>
    <t>Se registraron bajas temperaturas y heladas en los municipios mencionados, por lo que se declararon en emergencia con el fin de apoyarlos con insumos para la atención de la emergencia.</t>
  </si>
  <si>
    <t>Fresnillo, General Codina, General Pánfilo Natera y Pinos</t>
  </si>
  <si>
    <t>Se registraron bajas temperaturas y heladas en el estado. Fue necesario Declarar en emergencia a cuatro municipios con el fin de ditarlos de insumos para atender la emergencia.</t>
  </si>
  <si>
    <t>Calera, General Enrique Estrada, Pánuco y Morelos</t>
  </si>
  <si>
    <t>Nevada. 58 municipios afectados, un RT en cada uno. Se registran 220  personas en albergues. Se registra una duración del evento de 9 horas continuas en la mayoría de las localidades afectadas, alcanzando una altura de 20 cm. No se registran víctimas fatales, sólo un aumento en las enfremedades respiratorias y accidentes de tránsito menores. Se estima que 3,700 viviendas sufrieron daños mínimos</t>
  </si>
  <si>
    <t>Se reportan 7 personas lesionadas. En la colonia Lomas del Rosario, al sur de la ciudad. Cuando recolectaban leña en un cerro que es área protegida por la SEMARNAT, al norte de la ciudad de Uruapan, registrándose una tormenta eléctrica, por la que cayó un rayo que causó una muerte.</t>
  </si>
  <si>
    <t>Xilitla</t>
  </si>
  <si>
    <t>Debido a la helada atípica 2,723 productores de café fueron afectados. El PACC apoyó con 14,261,156.02</t>
  </si>
  <si>
    <t>Acateno, Ahuacatlán, Amixtlán, Atlequizayan, Camocuautla, Caxhuacan, Cuetzalan del Progreso, Hermenegildo Galeana, Huehuetla, Hueyapan, Hueytlalpan, Huitzilan de Serdán, Jalpan, Jonotla, Jopala, Juan Galindo, Olintla, San Felipe Tepatlán, Tepango de Rodríguez, Tlacuilotepec, Tlaola, Tlaxco, Tuzamapan de Galeana, Xicotepec, Yaonáhuac, Zihuateutla, Zongozotla, Zoquiapan</t>
  </si>
  <si>
    <t>Debido a la helada atípica 2,162 productores de café fueron afectados. El PACC apoyó con 912,417.48</t>
  </si>
  <si>
    <t>Altotonga</t>
  </si>
  <si>
    <t>Debido a la helada atípica 1,381 productores café sufrieron afectaciones en sus cultivos. El PACC apoyó con 8,738,756.02</t>
  </si>
  <si>
    <t>Tancítaro, Uruapan</t>
  </si>
  <si>
    <t>Debido a la helada atípica 73 productores de aguacate sufrieron afectaciones en diversos porcentajes el PACC apoyó con 1,272,565</t>
  </si>
  <si>
    <t>Cherán</t>
  </si>
  <si>
    <t>Debido a la helada atípica 139 productores de maíz sufrieron afectaciones e el PACC apoyó con 288,756.02</t>
  </si>
  <si>
    <t>Tláhuac</t>
  </si>
  <si>
    <t>Debido a la helada atípica 21 productores de nopal sufrieron afectaciones. El PACC apoyó con 73,872.92</t>
  </si>
  <si>
    <t>Paracho</t>
  </si>
  <si>
    <t xml:space="preserve">Debido a la helada atípica 247 productores de maíz sufrieron afectaciones. El PACC apoyó con 585,000 pesos. </t>
  </si>
  <si>
    <t>Debido a la helada atípica 4,426 productores de nopal sufrieron afectaciones. El PACC apoyó con 11,299,718</t>
  </si>
  <si>
    <t>Puruándiro</t>
  </si>
  <si>
    <t>Debido a la helada atípica 368 porductores de maíz y sorgo sufrieron afectaciones. El PACC apoyó con 3,401,526.96</t>
  </si>
  <si>
    <t>Fallecimiento y movilización de cuerpos de emergencia, por la caída de un rayo. Hubo 2 menores afectados, uno de ellos se reporta fallecido. En el Rancho San Jorge, cuando el menor trataba de cubrirse  de la lluvia. Desbordamiento del  Canal Patria, ubicado entre los límites de Guadalajara y Zapopan, causando encharcamientos ligeros.</t>
  </si>
  <si>
    <t>Alpatláhuac, Calcahualco, Comapa, Coscomatepec, Huatusco, Perote, Sochiapa, Tenampa, Tomatlán, Totutla</t>
  </si>
  <si>
    <t>debido a la helada atípica 1,556 productores de chayote, alcatraz, tomate, frijol, papa y café sufrieron afectaciones. El PACC apoyó con 6,334,614</t>
  </si>
  <si>
    <t>Debido a la granizada 142 productores de maíz sufieron afectaciones en sus cultivos. El PACC apoyó con 345,852.</t>
  </si>
  <si>
    <t xml:space="preserve">Debido a las bajas temperaturas se registraron 26 muertes en el estado </t>
  </si>
  <si>
    <t xml:space="preserve">Debido a las bajas temperaturas se registraron 2 muertes en el estado </t>
  </si>
  <si>
    <t xml:space="preserve">Debido a las bajas temperaturas se registraron 3 muertes en el estado </t>
  </si>
  <si>
    <t xml:space="preserve">Debido a las bajas temperaturas se registro 1 muerte en el estado </t>
  </si>
  <si>
    <t>Calera, Cañitas de Felipe Pescador, Concepción del Oro, Cuauhtémoc, El Salvador, Fresnillo, Genaro Codina, General Enrique Estrada, General Francisco R. Murguía, General Pánfilo Natera, Guadalupe, Jerez, Jiménez del Teul, Loreto, Luis Moya, Mazapil, Melchor Ocampo, Monte Escobedo, Morelos, Noria de Ángeles, Ojocaliente, Pánuco, Pinos, Río Grande, Sain Alto, Santa María de la Paz, Trancoso, Valparaíso, Vetagrande, Villa de Cos, Villa García, Villa González Ortega, Villa Hidalgo, Villanueva, Zacatecas</t>
  </si>
  <si>
    <t>Debido a la sequía 40,366 productores de Avena, Cebada, Frijol, Maíz, Sorgo y Trigo sufrieron la pérdida total de sus cultivos, así como a 2,336 productores pecuarios ya que la sequia afecto agostaderos y pastizales en su totalidad, especies bovinas, ovinas, caprinas y abejas, sufrieronla falta de comida.</t>
  </si>
  <si>
    <t>Chalchihuites, Juan Aldama, Miguel Auza, Sombrerete, Susticacán</t>
  </si>
  <si>
    <t>Debido a la sequía 1,690 productores de avena, cebada, frijol, maíz y trigo, así como 338 productores pecuarios ya que la sequía afectó altamente pastizales y agostaderos donde se beneficiaban especies como bovinos, ovinos, caprinos y colmenas.</t>
  </si>
  <si>
    <t>Se registraron intensas lluvias en la zona oriente del estado, afectando severamente a varios municipios, especialmente a Angangueo, en dónde un flojo de escombros ocasionó la muerte de de 35 personas (16 de estas fueron producto de dos deslizamientos de laderas en Angangueo, éstas se contabilizaron en el apartado de desastres geológicos). Los daños y pérdidas superaron los 1,600 millones de pesos, convirtiendose en el desastre más severo de los últimos años en el estado.</t>
  </si>
  <si>
    <t xml:space="preserve">Viviendas afectads y movilización de cuerpos de rescate. El Lunes a las 6:50 hrs., se registró el deslave, afectando a 20 viviendas, de las cuales 8 presentaron daños totales, 3 parciales, 2 menores y 7 en peligro. No se pidió ayuda por ser zona residencial. Debido al deslave de cerro, registrado en el Fraccionamiento privado Laderas de Monterrey, se vieron afectadas las calles de Gladiolas, Jazmín y Clavel. Además de haberse presentado un  agrietamiento de 9 cm, por lo que se realizó una evacuación preventiva. </t>
  </si>
  <si>
    <t xml:space="preserve">Sismo de 7.2 grados Richter. Con epicentro en la Falla de Cucapah (Ejido Durango). Registrado a las 15:40 (hora local). Resultaron afectados 13 ejidos. Afectaciones en energía eléctrica, de telefonía, agua potable y carreteras. También en edificios de gobierno, escuelas, hospitales y viviendas. Colapso de estructuras, fugas de gas e incendios. Crisis nerviosas. 35,233 fueron las personas afectadas  (entre lesionados, damnificados, etc.). Evacución por anegaciones en el Valle. El total de lesionados asciende a 231. Se registraron 180 réplicas, no mayores de 5 grados, ni menores de 2.5. Se registra daño en edificios de gobierno, escuelas, hospitales y viviendas.  De los 283 planteles educativos, se reporta: 132 sin daños, 75  con daños leves, 61 con daños moderados y 15 con severos. En términos de Refugios Temporales, se registró: 1, comunidad El Faro (89 albergados). 1 Ejido de Oaxaca (105 albergados).  Gimnasio Juventud, con 20 albergados.  Además de contabilizarse Centros de Acopio en diferentes lugares de la zona urbana, como Ensenada, Mexicali y Tijuana y de ponerse en operación 19 guarderías.  Se realizaron evaluaciones en 704 viviendas, de las cuales 416 presentan daños en diversos grados: 54  están en peligro de colapso y 5 colapsadas, el resto presentan daños menores. La colonia Ampliación Solidarida fue la colonia más afectada con 300 viviendas dañadas. En el Ejido de Zacatecas, 17 vieviendas en riesgo y 6 destruidas. En el Ejido de Agualeguas, 25 destruidas. En el Ejido Oaxaca 115 con daños severos. En Río Nuevo hay viviendas en peligro por el desgajamiento de taludes. </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</si>
  <si>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</si>
  <si>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hidráulica. El FONDEN apoyo para la realización de 1,014 acciones de reconstrucción.</t>
  </si>
  <si>
    <t>Sismo de 5.9 grados Richter. Se registra el colapso de estructuras, fugas de gas e incendios, crisis nerviosas y suspensión de servicios.</t>
  </si>
  <si>
    <t>Ocurrido  a las 05:00 horas, por el desprendimiento de un cerro, en la colonia El Carmen. Se registra un alud, con arrastre de rocas y lodo, en el cerro del chiquihuite, debido al escurrimiento de agua.</t>
  </si>
  <si>
    <t>Evacuación de personas y movilización de cuerpos de emergencia. Ocurrido a las 01:00 horas, en que en la madrugada se registró el desgajamiento de tierra y rocas en el cerro del Chiquihuite en la parte que colinda con la Colonia Ampliación Castillo Grande. Como medida preventiva se desalojó a 50 personas, confirmando que ninguna  tuvo lesiones. Se instaló un Refugio Temporal, pero no se hizo uso de él, la gente quiso acudir con familiares.</t>
  </si>
  <si>
    <t>Xichu, Romita</t>
  </si>
  <si>
    <t>Xichu: se registra el derrumbe de piedras, en la carretera Xichu-Comunidad Agua Zarca, obstruyendo ambos carriles. Romita: se registra un choque en la carretera Romita-Cuerámaro 10+800 a la altura de la comunidad Gavia de Rivas, en el que se vieron involucrados una camioneta Ford Ranger, contra una Nissan, resultando 5 lesionados.</t>
  </si>
  <si>
    <t>Zihuatlán</t>
  </si>
  <si>
    <t>A las 21:11 se registró un sismo de 6.4 a 300 km del Municipio de Zihuatlán.</t>
  </si>
  <si>
    <t>Puerto Vallarta, Bahía de Banderas</t>
  </si>
  <si>
    <t>Sucedido en los límites de Jalisco y Nayarit, entre las 02:00 y las 03:00 horas. Se registra daño en un puente y 4 vehículos. El Puente se localizaba en Río Ameca.</t>
  </si>
  <si>
    <t>Angel Alvino Corzo</t>
  </si>
  <si>
    <t>Deslizamiento de cerro, que impactó a 40 familias</t>
  </si>
  <si>
    <t>Desgajamiento de Cerro, ocurrido a las 20:00 horas, con movilización de cuerpos de rescate. En la comunidad de La Paloma, colapsando un  muro de contención. La avalancha de tierra y rocas provenía del cerro y provocó la caída de postes de luz y un choque automovilístico, con 4 personas lesionadas.</t>
  </si>
  <si>
    <t>San Javier</t>
  </si>
  <si>
    <t>Ocurrido  a las 10:47, afectando a una persona. Se registra derrumbe ocurrido en una mina de grafito. Derivado de ello, hubo un fallecimiento, además de personas atrapadas. Se desconoce la causa del derrumbe.</t>
  </si>
  <si>
    <t>Xalpatláhuac</t>
  </si>
  <si>
    <t xml:space="preserve">A  las 8:00 se reporta una vivienda colapsada, cosntruida de adobe y techo de teja. 2 viviendas más resultaron con daños estructurales. Al registrarse un deslizamiento de tierra y rodamiento de rocas, en Barrio Tlaseca, debido al reblandecimiento del suelo en terrenos y laderas inestables. No se reportan lesionados. </t>
  </si>
  <si>
    <t>Ante los desprendimientos del cerro Colorado en la comunidad San Marcos, se inunda con agua y lodo. Colonias Rincón de Urías, Felipe Angeles y Ampliación Felipe Ángeles.</t>
  </si>
  <si>
    <t>Se registro un deslizamiento de laderas en la carretera Villa Guerrero ocasionando la muerte de 10 personas en el km 8 de la carretera, varios vehículos transitaban por ahí.</t>
  </si>
  <si>
    <t>Ocurrido a las 08:10 horas. En la carretera estatal Atoyac de Alvarez-El Paraiso. Deslizamiento de suelo de unos 300 metros, sobre la carretera estatal Atoyac de Alvarez, entre las comunidades Río Santiago y San Vicente de Benitez a la altura de arroyo seco. Obstruyendo la circulación en su totalidad.</t>
  </si>
  <si>
    <t>Ocurrido a las 14:50 horas, en la carretera estatal Taxco de Alarcón-Ixcateopan. Se registra un derrumbe de tierra, sobre la carretera, obstruyendo un carril. No hay lesionados.</t>
  </si>
  <si>
    <t>Tierra Colorada</t>
  </si>
  <si>
    <t>Se reportan daños en un vehículo, a las 7:30 horas en la carretera fedaral Tierra Colorada-Acapulco km 74. Por un derrumbe de tierra, obstruyendo el carril de circulación de Norte a Sur. Provoca un accidente de un vehículo. No se reportan lesionados.</t>
  </si>
  <si>
    <t>Ocurrido a las 17:35, en la Carretera Federal Chilpancingo-Acapulco. Hundimiento en la carpeta asfáltica, se cerró la vialidad como medida preventiva.</t>
  </si>
  <si>
    <t>Atlamajalcingo del Monte</t>
  </si>
  <si>
    <t>Ocurrido a las 11:30 horas, derrumbe de tierra por el reblendecimiento del suelo en terrenos y laderas inestables, producto de las lluvias. Sobre la carretera estatal Tlapa Comonfort-Atlamajalcingo del Monte, a la altura del poblado Tepecocatlán, afectando la cinta safáltica en ambos lados.</t>
  </si>
  <si>
    <t>Ixtacomitan</t>
  </si>
  <si>
    <t>Se registra un desalojo de 34 familias (156 personas), debido al riesgo que correon por deslizamiento de suelo. Se instalaron en el auditorio municipal de la cabecera del municipio.</t>
  </si>
  <si>
    <t>Juquila</t>
  </si>
  <si>
    <t xml:space="preserve">Deslave de cerro, en la madrugada y tarde-noche del 21, no hay víctimas, dado que se desalojaron 24 horas antes del suceso. Sólo reportados daños materiales. Sepultando 5 casas, 30 más estuvieron en riesgo, en la sierra Chatina. Esta población, está catalogada por el Programa para el Desarrollo de Zonas Prioritarias (PDZP), como de alta marginación, con poco más de 2,400 pobladores. </t>
  </si>
  <si>
    <t>Tenango</t>
  </si>
  <si>
    <t>A las 4:15 se registró un desgajamiento de tierra sobre la autopista Tenango-Ixtapa de la Sal km 19, debido a las lluvias y el respectivo reblandecimiento de tierra, ocasionando el derrumbe de 2 mil metros cúbicos sobre la cinta asfáltica. No se reportan lesioandos.</t>
  </si>
  <si>
    <t>Hundimiento de suelo, afectando a varias viviendas, 22 daño total, 100 parcial y 93 aún en peritaje. Se dañaron 2 calles, árboles, faroles. Hubo 22 familias afectadas.</t>
  </si>
  <si>
    <t>Amatán y Ángel Albino Corzo</t>
  </si>
  <si>
    <t xml:space="preserve">Entre el 8 de agosto y el 29 de septiembre se registraron varios eventos en el estado de Chiapas, mismos que ocasionaron daños en varios municipios del estado. Además como consecuencia de las lluvias se registraron dos deslizamientos de ladera en el municipio de Amatán y en Angel Albino Corzo, como resultado 19 personas perdieron la vida, 16 en Amatan y 3 en Angel Albino Corzo. Estas muertes se contabilizaron en el apartado de Desastres Geológicos, sin embargo el monto de daños y pérdidas se consideró en el apartado de lluvias e inundaciones. </t>
  </si>
  <si>
    <t>Deslizamiento de tierra/suelo, personas heridas, cierre de carretera. Ocurrido a las 12:00 horas, con 5 personas afectadas. 2 vehículos y un local comercial. Cierre temporal de la carretera. El deslizamiento implicó un cerro con 100 metros de ancho, 130 de largo y 3 metros de alto. Ubicado en el km 16 del tramo carretero Zacapoaxtla-Acuaco a la altura del Ejicayan. Se reportaron 5 lesionadas, 2 vehículos dañados y afectaciones a un local comercial.</t>
  </si>
  <si>
    <t>Santa María Tlahuitoltepec</t>
  </si>
  <si>
    <t>Se registraron varios eventos entre julio y septiembre de 2010 afectanco a varios municipios.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</si>
  <si>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Siendo las 8:57 horas, en la región montaña, se registra un lesionado y una persona fallecida, por un reblandecimiento, en el que perdió estabilidad una ladera, en la Cabecera Municipal.</t>
  </si>
  <si>
    <t>Derrame de diesel por ordeña de ducto. A las 14:00 horas, cerca de la comunidad de La Rumorosa (Asilo: hermano Pablo).</t>
  </si>
  <si>
    <t>Carmen</t>
  </si>
  <si>
    <t>Movilización de cuerpos de emergencia a las 22:17, por el incendio en un transformador del módulo 3 de la Planta de Nitrógeno Cantarell, administrado por la compañía SONITSA. El incendio duró poco más de 24 horas. La producción quedó paralizada, del yacimiento petrolífero en el área de Plataformas Marinas de PEMEX. Evento derivado de una falla eléctrica en el transformador potencial de la bahía de 69 kv.</t>
  </si>
  <si>
    <t>Incendio Urbano</t>
  </si>
  <si>
    <t>Movilización de cuerpos de rescate a las 03:00 horas. Incendio de 10 locales de tianguis de madera, a las 06:00 quedó sofocado, por los bomberos.</t>
  </si>
  <si>
    <t>Destrucción de 35 puestos en mercado. Iniciado a las 4:00 horas. Se presume fue iniciado por un corto circuito.</t>
  </si>
  <si>
    <t>Evacuación de 50 menores, por fuga de gas LP (mal cerrado), a las 11:00 horas.</t>
  </si>
  <si>
    <t>Delegación Venustiano Carranza</t>
  </si>
  <si>
    <t>Ocurrido a las 14:28 horas, por un corto circuito a un costado del restaurante WINGS.</t>
  </si>
  <si>
    <t>Paraíso</t>
  </si>
  <si>
    <t>Evacuación de personas por la fuga de gas-aceite y movilización de equipos de emergencia de PEMEX. Descontrol de pozo UECH 32, en el área litoral. Reportado a las 18:30 horas. Se presentó una fuga de gas-aceite en una de las plataformas en la región marítima suroeste, cuando se reparaba  el pozo Uech 32. La plataforma semi-sumergible cuenta con propelas y dominio propio. 18 personas fueron evacuadas, se activó el CRAE nivel 3 de emergencia. No hubo lesionados. Se desconocen las causas que originaron el daño. La infraestructura dañada, fue una plataforma petrolera.</t>
  </si>
  <si>
    <t>Iniciado a las 10:40. Pérdida total de embarcación y movilización de cuerpos de emergencia. Se informó de un incendio en una embarcación recreativa atracada en el muelle de la Marina Blue Rey, ubicada en el km 13.5, boulevard Kukulcán, en el Municipio de Benito Juárez. Se desconoce la causa que originó el incendio. La embarcación tenía una medida de 40 pies. No se reportan daños humanos.</t>
  </si>
  <si>
    <t>Pánuco</t>
  </si>
  <si>
    <t>Ocurrido a las 10:46. Derrame de aceite crudo y movilización de personal PEMEX, en la Colonia Chimalpopoca, en el poblado de Salvasuchil, Municipio de Pánuco, donde se realizaban trabajos de maquinaria pesada, provocando daños a un ducto de PEMEX y a una tubería de agua potable. Al lugar acudió personal del Centro de Iniciativas de Cooperación al Desarrollo-CICODE y Ecología para el apoyo en la contención del aceite, mediente la instalación de barreras y aplicación de polvo absorbente biodegradable, en el cauce del Río Pánuco. El área de afectación es un área despoblada, la Comisión del Agua en el Estado de Veracruz comunica que suspendió el suministro de agua potable el Municipio por la detección de trazas de aceite en el equipo de bombeo.</t>
  </si>
  <si>
    <t>Acámbaro</t>
  </si>
  <si>
    <t xml:space="preserve">Resultaron 2 personas intoxicadas  a las 13:42, por fuga de material peligroso (amoniaco) al interior de una empresa "Hielo La Polar", ubicada en Prolongación Zaragoza, debido a falla en líneas de refrigeración. </t>
  </si>
  <si>
    <t>Se registra fuga de gas en la Colonia Cosntituyentes, en una toma domiciliaria. Algunos automovilistas se vieron en peligro cuando transitaban por Constituyentes de Nuevo León y Miguel Alemán. Acudió la empresa Gas Natural, quienes procedieron al control de la fuga, cerrando uno de los carriles de la avenida. La fuga se dio después de que las tuberías resultarn dañadas por el paso del Huracán Alex, la humedad dañó las tuberías.</t>
  </si>
  <si>
    <t>4 personas lesionadas y movilización de cuerpos de emergencia, a las 11:00 horas. Se registró una explosión en el local del centro joyero en la Colonia Centro.  La causa del accidente, fue una fuga de gas LP, de un tanque se 30 kilos utilizado para la soldadura, el cual se localizaba en el interior de un local, que al acercar un cautín originó un chispazo y provocó la explosión.</t>
  </si>
  <si>
    <t>Ocurrido a las 00:00 del 26 de agosto. Con la activavción de cuerpos de emergencia. Ocurrido en un bar "Pinkcheladas". Se desconocen las causas. La explosión fue por una granada de  fragmentación en el interior del Bar. Hubo 9 personas lesionadas.</t>
  </si>
  <si>
    <t>A las 12:15  se reportan 6 personas intoxicadas por gas pimienta al interior del plantel VIBA, en la zona Centro. Se evacuaron a 230 personas entre alumnos y docentes. 2 alumnos son detenidos como presuntos responsables.</t>
  </si>
  <si>
    <t>Tepatitlán</t>
  </si>
  <si>
    <t>Se reporta una explosión en el km 3+060 en el libramiento de periférico. A las 12:00 horas.Se reporta un muerto, un señor de 62 años de edad que tranposrtaba pólvora negra, utilizada para pirotecnia. Se desconoce la causa  que provocó la explosión.</t>
  </si>
  <si>
    <t>Ocurrido a las 9:20 horas, en la Refinería Cadereyta y empresas aledañas. Resultaron lesionados 10. Se registró una explosión en la refinería ubicada en el municipio de Cadereyta. Originada por una fuga de hidrógeno en la línea de alimentación de la Planta Hidrodesulfuradora de Gasóleo. El incendio fue controlado y sofocado por personal de la refinería. Se reportan 6 trabajadores lesionados y 3 de la empresa CICSA en el médico.</t>
  </si>
  <si>
    <t>Ocurrido a las 10:00 horas. Movilización de cuerpos de emergencia. Reporta 35 personas evacuadas. Se registra la fuga de material tóxico en la empresa DHL, que se ubica en la Av. de las Industrias. Originado por un montacargas que golpeó la tarima donde se encontraban los cilindros con ácido clorhídrico, derramándose 8 litros. No hubo intoxicados, el evento concluyó a las 17:50 horas.</t>
  </si>
  <si>
    <t>Ocurrido a las 14:40 horas. Intoxicación y movilización de cuerpos de emergencia. Por un derrame de una sustancia química conocida como formol en las instalaciones de la clínica del ISSSTE. Por descuido y mal manejo del personal de la clínica. 2 personas resultaron con intoxicación, atendidas en la misma clínica. Se evacuaron a 20 personas más.</t>
  </si>
  <si>
    <t>Delegación Gustavo A Madero</t>
  </si>
  <si>
    <t>Crisis nerviosa, movilización de cuerpos de emergencia. Iniciado a las 14:00 horas, se reportan 3 personas con crisis nerviosa. Dañado un inmueble de 4 niveles. En la calle poniente 116 y norte 3 en la colonia Panamericana. Provocado por un cohete aéreo, cuya detonación alcanzó un chispazo a las cortinas del primer departamento. 3 mujeres fueron rescatadas de las llamas y remitidas a atención médica por la asfixia del humo del incendio.</t>
  </si>
  <si>
    <t>Ocurrido a las 17:00 horas,  en una bodega de aparatos de línea blanca, donde almacenaban refrigeradores viejos. En la calle 16 de septiembre no, 20. Se desconocen las causas que originaron el incendio. No se reportan daños humanos. Fueron evacuados de manera preventiva los domicilios aledaños, mientras se consumía el fuego.</t>
  </si>
  <si>
    <t>Los Reyes, La Paz</t>
  </si>
  <si>
    <t>Ocurrido a las 4:20 horas. Resultando una persona lesionada a partir de un incendio en una fábrica de cartón y galvanizado, ubicada en la Calle Champotón de la colonia El Salado, perteneciente al Municipio de Los Reyes. La posible causa fue un corto circuito. Un bombero resultó ligeramente intoxicado. Área afectada de 600 metros cuadrados, dejando en pérdida total la fábrica. Evacúan a los vecinos, pues los muros del predio y el techo colapsaron totalmente.</t>
  </si>
  <si>
    <t>Ocurrido a las 15:40 horas, afectadas 2 personas. Se informa que se registró una explosión pirotécnica en un cuarto de almacén en el Barrio San Pedro, resultando 2 personas fallecidas. Y 30 metros cuadrados afectados. Se desconoce la causa que originó el accidente.</t>
  </si>
  <si>
    <t xml:space="preserve">A las 18:05 horas, se registra una explosión en un local del mercado de Tultepec, en el que se comercializan fuegos pirotécnicos. Se desconocen las causas que originaron el accidente. </t>
  </si>
  <si>
    <t>Ocurrido en el Centro Cultural de Tijuana a las 19:30 horas, el teatro se encontraba a total capacidad, se realizaba un evento inter-escolar. Se reporta un conato de incendio, con 12 menores intoxicados y 3 con ataque se histreria</t>
  </si>
  <si>
    <t>A las 11:25 se recibió un reporte de un incendio de lote baldío. En el poblado de Barra Vieja. Se consumieron 200 m de hierba seca. Ademád del icendio de 3 vehículos, sobre la Costera Miguel Alemán, barrio de Manzanillo. El 1er vehículo es un Jeep con placas EZB-3793 de Guerrero, el 2o un BMW con placas MEM 4643 y el 3er una Ford lobo, se desconoce el color de los autos y el nombre de los propietarios.</t>
  </si>
  <si>
    <t xml:space="preserve">Fuga </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</si>
  <si>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válvula de bronce, por lo que se solicitó la ayuda de los bomberos. No se registran daños humanos. La ex planta se encuentra en el libramiento a Chicxulub Puerto.</t>
  </si>
  <si>
    <t>Delegación Azcapotzalco</t>
  </si>
  <si>
    <t>Evacuación de 3,100 personas por fuga de gas natural y activavción de cuerpos de emergencia. A las 10:20 horas, una fuga de gas natural en una planta panificadora de Bimbo ubicada en San Pablo Xalpa, Colonia Reynosa, delegación Azcapotzalco. Se menciona que una excavación provocó el rompimiento de una tubería de 16, lo que ocasionó la fuga de combustible, se realizó una evacuación de 3,100 personas (600 del personal de bimbo y 1,500 de escuelas y el resto vecinos del lugar).</t>
  </si>
  <si>
    <t>Se reportan 2 locales comerciales afectados y 3 personas. Hubo un flamazo en el mercado de la merced, locales 599 y 600, ubicado en la colonia Centro, al estar calentando comida en una estufa de alcohol, se registró flamazo provocando lesiones con quemaduras de 1o y 2o.</t>
  </si>
  <si>
    <t>A las 10:40 horas, se registró una fuga de ácido sulfúrico de un contenedor de la empresa de razón social ECOLAB, que está cerrada y clausurada, ubicada en la calle San Miguel, Ciudad Industrial. Se informa que la fuga de material peligroso se localizó en un contenedor con capacidad para 10 mil litros, con un derrame de 8 mil litros de ácido, contaminando 120 mts al exterior y 225 mts cuadrados en el interior del terreno, cercano a la plataforma de los contenedores. Se evacuó a 15 personas y contratistas, de la CFE. Después a 100 trabajadores del almacén de granos La Vaca.</t>
  </si>
  <si>
    <t>Delegación Iztapalapa</t>
  </si>
  <si>
    <t xml:space="preserve">A las 4:00 horas, se registró un incendio en una bodega en la que se almacenaban principalmete cajas de cartón y huacales, que se ubica en la calle 14, colonia Leyes de Reforma 2a sección. Se informa que el incendio se extendió de forma rápida por la bodega de mil 400 metros cuadrados, como medidas preventivas se evacuaron a 20 personas de casas aledañas. </t>
  </si>
  <si>
    <t>Ocurrido a las 17:00 horas, un incendio en la fábrica de colchones de hule espuma (sin razón social), ubicados en la calle de oriente 37, mz 129, lt 24 de la colonia Guadalupana, 2a secc, en el  municipio de Valle de Chalco. La fábrica abarcaba un área de 300 metros cuadrados, no se registran personas fallecidas o lesionadas. Hubo una nota periodística falsa, que reportaba 200 familias desalojadas, los vecinos colaboraron con los bomberos en la mitigación del fuego. El motivo del fuego, es probablemente un corto circuito, las llamas consumieron unos 300 mestros  cuadrados de cosntrucción. Las llamas alcanzaron varios metros de altura.</t>
  </si>
  <si>
    <t>Ocurrido a las 15:00, con un área afectada de 1,000 metros cuadrados aproximadamanete. En un deshuesadero de vehículos en la carretera Lechería-Texcoco a la altura de la colonia Héroes de Ecatepec 3a sección. Se desconoce la causa que originó el incendio, no se reportan daños humanos. Derivado del incendio, se tiene la pérdida total de un área comprendida de 1,000 metros cuadrados, 93 vehículos y 56 motocicletas. A las 17:00 horas, el incendio quedó controlado y extinguido. Bomberos de Tecámac combatieron las llamas desde 5 puntos. Las vías López Portillo, el Circuito Mexiquense y la carretera Lechería-Texcoco presentan graves problemas de circulación vehicular.</t>
  </si>
  <si>
    <t xml:space="preserve">Fallecimientos, movilización de cuerpos de emergencia y daños materiales. Daños a un local comercial y 6 muertos. Aproximadamente a las 21:30 horas, se registró un incendio en una de las sucursales de Coppel, en Calle Miguel Hidalgo, centro. Murieron 2 cajeras calcinadas en la planta alta del inmueble. La causa del incendio fue un corto circuito en la priemra planta del edificio. Las víctimas se encontraban en el área de inventarios, como era costumbre los martes por la noche. </t>
  </si>
  <si>
    <t>Delegación Benito Juárez</t>
  </si>
  <si>
    <t>A las 17:13 horas, se registró un flamazo en las instalaciones de la Alberca Olímpica, en Av Río Churubusco, delegación Benito Juárez. La causa que originó el flamazo, fue el trabajo de las personas lesionadas en la gasificación, pintado y barnizado en la caldera de este inmueble, que indujo al moviemiento de válvulas de humo. Uno resultó con quemaduras y el otro intoxicado.</t>
  </si>
  <si>
    <t>Inicia por la tarde, una explosión en un taller clandestino de fuegos pirotécnicos, ubicado en la calle de oriente 12, esq. Con Chiltepec, barrio de Guadalupe. Donde resultaron 3 muertos, que fueron trasladados al un hospital en la ciudad de Puebla.</t>
  </si>
  <si>
    <t>Ocurrido a las 13:30 horas, el derrame de 10 litros de ácido muriático y 10 litros de ácido nítrico en la maquiladora ASP Lighting Products México, en cordillera de los andes 5443, colonia La Cuesta. Al realizar el proceso de limpieza de las lámparas, que se fabrican y al mezclar las porciones de los ácidos en el contenedor, el ácido nítrico originó que se perforara una válvula PVC, derramando el compuesto. Se usó agua para limpiar y un extintor de polvo químico para eliminar la torre de gas. Hubo evacuación de 100 personas y se suspendieron las labores.</t>
  </si>
  <si>
    <t>Valle de Chalco Solidaridad</t>
  </si>
  <si>
    <t>Ocurrido a las18:16 horas, en un área de  40 por 50 metros cuadrados. Incendio en una bodega, que almacenaba estopa y desperdicio industrial, se ubica en la colonia ampliación santa catarina.</t>
  </si>
  <si>
    <t>El día de ayer a las  12:23 horas, se registra un incendio en un local de un restaurante, el cual representó pérdida total. Como medida preventiva se evacuó una cuadra, para realizar control y extinción del siniestro. El incendio quemó unos cables de alta tensión, por lo que se realizó el corte al suministro eléctrico de la zona. El incendio quedó controlado a las 15:00 horas.</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</si>
  <si>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</si>
  <si>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Solidaridad</t>
  </si>
  <si>
    <t xml:space="preserve">Ocurrido a las 10:30 horas, del 14 de Noviembre. Con 18 lesionados (Son 8 Canadienses, 2 Estadunidenses y 8 Mexicanos). En el peritaje realizado en la zona afectada, se informa de una explosión de ags natural del subsuelo, afectando a una superficie de 120 metros cuadrados. De los 6 fallecidos, 4 son canadienses, los otros 2 mexicanos (trabajadores del hotel).  </t>
  </si>
  <si>
    <t>Afectada una tienda de la cadena Wal Mart. En el monitoreo a las notas R.S.S. se denoto el incendio de una tienda de la Cadena comercial WAL-MART en la Ciudad de Tuxtla Gutiérrez, Chiapas. Misma que la Unidad estatal de protección Civil confirmo  e informando que la citada tienda se encuentra ubicada en calle 17 poniente sin numero de la colonia Penipak, dicho incendio inicio en una bodega y se extendió a la totalidad de la tienda, hasta el momento de emisión de este reporte se encuentra controlado pero no extinguido en su totalidad ya que bomberos no han contado con el suficiente abastecimiento de agua para lograr su cometido, solamente se registro un apersona (femenina) intoxicada por la inhalación de humo que fue trasladada para su atención al hospital regional de la secretaria de salud del cual salió poco tiempo después por su propio pie ya dada de alta médica. Una presunta falla eléctrica provocó el accidente. El sistema contra incendios no pudo activarse.</t>
  </si>
  <si>
    <t>La Secretaria de protección civil informo  a este centro que hoy a las 04:20 Horas , se registro un incendio en una bodega que almacenaba plásticos, en la calle circunvalación N° 98 de la colonia Santa Maria Aztahuacan, Delegación Iztapalapa. En el lugar se encontraban  almacenadas botellas de plásticos, lo que genero la movilización de los cuerpos de emergencia para controlar el incendio, se dio por terminado a las 05:50 Horas   sin que se reporte personas lesionadas.</t>
  </si>
  <si>
    <t xml:space="preserve">Ocurrido a las 2:20 horas, se registra incendio en un tianguis navideño temporal, ubicado en la calle San Felipe y Reforma con cruce en 16 de septiembre, a 2 cuadras de la catedral, en la colonia centro. El fuego consumió la totalidad de los puestos, se desconocen las causas del suceso. No se reportan daños humanos. </t>
  </si>
  <si>
    <t>Ocurrido a las 10:20 horas, personas afectadas 2. Ubicado en avenida Corralejos 545 mz. 4 lt. 58, Colonia Hacienda de Santa Bárbara. En el momento que una pipa de 4 mil litros de gas LP, suministraba gas a un tanque estacionario de un domicilio de 2 pisos. Afectando el carrete de la pipa. Residentes fueron evacuados.</t>
  </si>
  <si>
    <t>Evacuación y movilización de cuerpos de emergencia, por una fuga de amoniaco, en una bodega de pollos, con razón social "Vidanrri", en An Adolfo Ruiz Cortines, colonia Victoria, debido a la ruptura de un empaque de una válvula de presión, se formó una nube baja, por la que se dio una evacuación preventiva de 150 personas (35 familias) aledañas a la zona.Se reportan 12 personas con molestias menores, siendo atendidas en el lugar por paramédicos. A las 22:18 hrs., se dan por terminados los trabajos de control de la fuga la cual fue mínima, por personal de la empresa, de Protección Civil y Bomberos.</t>
  </si>
  <si>
    <t>Delegación Cuahutémoc</t>
  </si>
  <si>
    <t>Ocurrido a las 7:54 horas, con un área afectada de 150 metros cuadrados. Se registra un incendio en una bodega de  juguetes y plásticos, ubicada en la calle de Torres Quintero no. 3, casi esquina con Peña y Peña, hasta el momento se desconocen las causas que no originaron, no hay daños humanos, sólo 2 personas con crisis nerviosa.</t>
  </si>
  <si>
    <t xml:space="preserve">A las 8:45 horas, se registró un incendio de un comercio (Dulcería Tepetapa), resultando daños materiales y una persona lesionada por crisis nerviosa. </t>
  </si>
  <si>
    <t>Se reporta  a las 9:10, una fuga de gas. Se suscita un flamazo, en el CENDI de San Mateo, de la calle 16 de septiembre, en las estufas de gas LP en e interior del inmueble, no hay daños materiales, ni lesionados. Se procedió a evacuar a menores, dejándolos fuera de riesgo. Por una válvula que se encontraba floja.</t>
  </si>
  <si>
    <t>Movilización de cuerpos de emergencia. Tramo cactus-guadalajara, venta de carpio-jorobas. En un gasoducto de 20". Se informó a este Centro sobre un flamazo e incendio durante los trabajos de eliminación y reparación de la toma clandestina localizada el 23 de Noviembre de 2010 en el km 715+404 del LPGducto de 20” Cactus-Guadalajara tramo Venta de Carpio-Jorobas ubicado en el ejido Tenopalco Mpio. de Nextlalpan, Edo. de México. Personal de SCADA LPG informó vía telefónica a este Centro que el incendio se encuentra controlado y que se efectúa la quema controlada del producto remanente en el ducto, observándose una flama de 3 m de altura. Además informa el Departamento de Fuerza de Reacción que derivado del flamazo, el trabajador Sergio Martínez González F.328786 de 51 años de edad, sufrió quemaduras leves en cara, brazos y piernas y que fue trasladado a bordo de una ambulancia del Pemex al Hospital Central Norte.</t>
  </si>
  <si>
    <t>Delegación Cuauhtémoc</t>
  </si>
  <si>
    <t xml:space="preserve">El día de hoy aproximadamente a las 06:55 hrs., se registró un incendio en una bodega con razón social, “Telas Princes” de 20 x 20 , ubicada en calle El Salvador y Republica de Uruguay, Colonia Centro, reportando solo daños materiales. Aproximadamente a las 10:15 hrs., se reporta controlado y extinguido realizando solo trabajos de remoción de escombros. </t>
  </si>
  <si>
    <t>Iguala de la Independencia</t>
  </si>
  <si>
    <t xml:space="preserve">El día de ayer aproximadamente a las 21:00 horas, se reportó un incendio en un lavado de autos  con razón social “Blanca Margarita”, ubicado en la calle Morelos y Altamirano a la altura del Centro Comercial Aurrera, donde se localizó un vehículo Tortón incendiándose en la parte trasera de la cabina, afectando una cabaña de palapa, 3 palmeras y un vehículo marca Volkswagen, no se reportan personas afectadas. </t>
  </si>
  <si>
    <t>Reoportado a las 14:00 horas. Fuga en la Refinería Miguel Hidalgo, donde resultaron 6 lesionados, por un incendio a consecuencia de una fuga en uno de los quemadores del sector 6.</t>
  </si>
  <si>
    <t>Se reporta un incendio a las 19:10 horas, un incendio en una vivienda en la población del Conchero, el fuego afectó enseres y un tanque de gas, que no causó explosión. NO se reportan lesioandos. Se desconocen las causas que provocaron el incendio.</t>
  </si>
  <si>
    <t>Huehueteca</t>
  </si>
  <si>
    <t>Ocurrido a las 18:50 horas, al interior de un corralón, resultando 100 vehículos afectados por el fuego en un área de 1000 metros cudrados.</t>
  </si>
  <si>
    <t>A las 11:40 horas, afectando 20 metros cuadrados, de sembradío de caña de azúcar.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sembradío  de caña de azúcar, asimismo se observó en el lugar rodadas de vehículos pesados por lo que se presume se trate de una toma clandestina no controlada. PEMEX informa que la toma clandestina descontrolada se encuentra ubicada en el km 284+899 del Oleoducto de 30”Ø Nuevo Teapa/Venta de Carpio, ubicada en el municipio de Omealca, Veracruz. Se bloqueó la válvula de acción rápida de la toma clandestina evitando con esto que continuara derramándose el producto. Se retiraron los accesorios del artefacto ilícito y se colocó tapón macho (reparación provisional). Se está a la espera de las condiciones operativas adecuadas para la eliminación de la toma clandestina en forma definitiva. El producto derramado escurrió hacia un cárcamo (2 x 1.5 m) del cual fue recuperado por unidades de presión y vacio, siendo un total de 2000 Litros.</t>
  </si>
  <si>
    <t>Cd Carmen</t>
  </si>
  <si>
    <t>Ocurrido a las 21:45 horas, En comunicación con el Director de Protección Civil del Municipio de Cd. Del Carmen, Campeche, C. Víctor Avila Granados, informó que alrededor de las 21:45 horas de ayer, se registró una serie de tres explosiones, en una casa habitación de dos niveles, utilizada para la fabricación y almacenamiento de fuegos pirotécnicos y pólvora, la explosión ocasionó el fallecimiento de 4 personas, de las cuales 1 de ellas se encuentra debajo de los escombros, así mismo se reporta 1 menor de aproximadamente 8 años como desaparecido.Al lugar del accidente se presentaron elementos de la Secretaria de la Defensa Nacional, de la Secretaría de Marina, así como Policia Municipal, Ministerio Público para el levantamiento de los fallecidos y Elementos de Protección Civil del Estado y del Municipio.Se presume que la explosión se registro debido al frixionamiento de unas mechas.</t>
  </si>
  <si>
    <t>Concepción del Oro</t>
  </si>
  <si>
    <t>Ocurrido a las 20:00 horas, se reportan 4 personas lesionadas y 2 desaparecidas, daños en una vivienda y en la iglesia de la comunidad. El día de hoy a las 20:00 horas, este Centro Nacional de Comunicaciones recibió una llamada de la Unidad Estatal de Protección Civil del estado de Coahuila, donde informaron preliminarmente que a las 17:26 horas, en el municipio de Concepción del Oro, Zacatecas, se presentó una explosión de pólvora, lo que ocasionó la muerte de 1 persona, 25 lesionados y varios desaparecidos, así como daños a varias viviendas. Personal de la Subsecretaría de Protección Civil de Coahuila, Protección Civil de los municipios de Saltillo y Arteaga, así como de elementos del H. C. de Bomberos se trasladaban al lugar para apoyar en los trabajos de la emergencia.</t>
  </si>
  <si>
    <t>A las 14:33 horas un incendio en le cerro detrás del Auditorio Municipal Deportivo, extinguió 2 hectáreas de pastizal.</t>
  </si>
  <si>
    <t>A las 10:30 horas, se registró un incendio en el Hospital Santa Elena, colonia Roma, en un montacargas en desuso que contenía basura, se presupone que un corto circuito originó un conato de incendio produciendo humo excesivo, por lo que se evacuaron de manera preventiva a 170 personas, 20 de ellos pacientes. No se reportan daños humanos.</t>
  </si>
  <si>
    <t>San Martín Texmelucan</t>
  </si>
  <si>
    <t>Inició a las 5:50 horas, no se reportan desaparecidos. Lesionados: 52. Daño en viviendas: 48 con pérdida total, 92 con daños parciales y 25 vehículos con afectación. Explosión de oleoducto de PEMEX. Se tiene aproximadamente 8 colonias afectadas con 115 viviendas afectadas (32 en pérdida total y 83 con daños parciales), siendo evacuadas 250 personas a albergues. No se cuenta con servicios de energía eléctrica, ni teléfono en la zona afectada.  Se confirma que han concluido los trabajos de búsqueda y rescate, teniendo hasta el momento un total de 29 personas fallecidas (12 menores y 16 adultos) y 52 heridos. Asimismo se registró un derrame del producto (crudo), que afecta al rio Atoyac que va 10 a 12 km, se han realizado recorridos para evaluar el porcentaje de contaminación  y tomar las acciones necesarias para disminuir el riesgo de explosividad debido al  incremento del calor ya que el producto se volatiliza.  se tienen 4 refugios temporales habilitados: San Felipe Ixtacuixtla, en Tlaxcala. San Diego Socoyucan, San Martín Texmelucan, Puebla. Complejo Cultural de San Martín Texmelucan, Puebla. Unidad Deportiva Ángeles Blancos, San Martín Texmelucan, Puebla. El Refugio Temporal  que se encuentra activo es el del  Complejo Cultural San Martin Texmelucan con 210 personas albergadas Se encuentra contaminado el rio Atoyac por el derrame del producto.  Se encuentran recuperando el producto en un cárcamo y que hasta el momento llevan un total recuperado de 50,000 L. El productor recuperado está siendo enviado a las Estaciones de Rebombeo 6 y 7 de San Martín Texmelucan.</t>
  </si>
  <si>
    <t>PEMEX y CENACOM</t>
  </si>
  <si>
    <t>Afectada la Colonia Chula Vista, a las 01:00 horas. se registro un incendio en una bodega de refacciones de electrodomesticos (sin razon social), ubicada en calle Serafin Peña y Juarez de la colonia Chula vista, Municipio de Guadalupe Nuevo León. Hasta el momento se desconocen las causas que lo originaron, se consumio cartón, plasticos y refacciones. No se reportaron personas lesionadas, como medida preventiva se acordono la zona, no se reportan personas evacuadas. Informan que concluyo a las 03:00 horas. se continuo con la remocion de escombros.</t>
  </si>
  <si>
    <t>Se reporta una explosión de 2 kilogramos de  pólvora en un taller con permiso No. 950 de la Secretaría de la Defensa Nacional con ubicación en la Comunidad Cerritos 3ra Sección perteneciente al municipio de Santiago de Anaya. Se desconocen las causas que originaron la explosión. Derivado del accidente se reporta una persona fallecida de nombre Juan Calvo Hernández de 49 años de edad y un lesionado más de nombre Andrés Calvo quien fue trasladado al Hospital General de Ixmiquilpan. A las 14:00 horas concluyeron con los trabajos de limpieza y remoción de escombros.</t>
  </si>
  <si>
    <t>Incendio ocurrido a las 13:26 horas, afectando a áreas con asentamientos irregulares en la colonia Magdalena de las Salinas. Resultaron afectadas 60 familias. Se reportan 10 viviendas con pérdida total. Como medida preventiva se evacuaron a 60 familias, las cuales se reubicaran con familiares y amigos. Asimismo fueron retirados del lugar 15 cilindros de Gas Lp. y  4 puestos ambulantes.</t>
  </si>
  <si>
    <t xml:space="preserve">A las 09:20, se registro una evacuación de 68 niños, en una guardería infantil  llamada Guardería Siglo  XXI Perteneciente al IMSS,  , ubicada en la Av. Márquez N° 40  COL, Parque Industrial,  la causa un incendio en un cuarto de maquinas de la empresa ITW  Polimer, donde se realizan productos derivados del petróleo, lo que origino el movimiento del cuerpo de emergencias, relizanzdose las tareas de evacuación y prevención, de la guardería así como también la evacuación de 20 personas de la empresa, y dando terminación a las 10:30 Horas sin reportar personas lesionas. </t>
  </si>
  <si>
    <t>A las 13:52 horas se registró un flamazo de una pipa que transportaba gas, al momento que estaba abasteciendo a una vivienda con domicilio ubicado en Calle Orquídea No. 423, Colonia Tres Caminos perteneciente al municipio de Guadalupe. Como consecuencia del accidente se reportan 3 personas lesionadas con quemaduras de 1er y 2do grado.</t>
  </si>
  <si>
    <t>Delegación Iztacalco</t>
  </si>
  <si>
    <t xml:space="preserve">Ocurrido a las 17:56 horas, la explosión de material pirotécnico. Afectando a 16 personas, 11 heridos y 5 muertos. Se reporta la explosión de una vivienda, donde se almacenaba material pirotécnico, sobre calle sur 155 y oriente 120 de la colonia Ramos Millán. Es esa casa se desplomó el techo y las 6 casas aledañas con daños incuantificados. </t>
  </si>
  <si>
    <t>Ayer a las 11:55 horas, se reporta una explosión por acumulación de gas L.P. al interior de vivienda  resultando 1 persona fallecida en el lugar (femenina de 30 años aproximadamente)  así como 2 personas lesionadas  mismas que fueron trasladadas por vehículos particulares al Hospital Ángeles y 10 personas atendidas en el lugar por crisis nerviosa. Nota: Se informa de 40 casas con daños en su estructura y herrería, así como 110 casas con daños menores en vidrios de puertas y ventanas tras evaluación realizada por Cruz Roja y Protección Civil Municipal.</t>
  </si>
  <si>
    <t xml:space="preserve">Se registró una fuga de Gas en el Km. 91+500 de la Autopista México-Querétaro, ubicada en el  Ejido Las Charcas, Poblado San Franciso de Soyaniquilpan, perteneciente al Municipio de Jilotepec, Estado de México. En el lugar se observaba una nube de gas de entre 10 y 25 metros de altura, por lo que elementos de Protección Civil Municipal y la Policía Federal procedieron a bloquear la vialidad en ambos sentidos. El ducto afectado fue el LPGducto de 14”Ø Cactus – Guadalajara, confirmó que se trató de una toma clandestina descontrolada y se iniciaron los movimientos operativos para depresionar el ducto y se seccionó el tramo de Santa Ana - Palmillas. Se envió al punto del evento, personal Contraincendio de Venta de Carpio. A las 04:03 horas quedó controlada la fuga de gas, debido al abatimiento de la presión en el ducto. </t>
  </si>
  <si>
    <t>Yauhqumehcan</t>
  </si>
  <si>
    <t>Incendio en el patio de la empresa Celulosa de Fibras Mexicanas (Celfimex) S.A. de C.V., ubicada en los límites  de los municipios de Apizaco y Yauhquemehcan. Personal de la factoría no permitió el apoyo de Protección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</si>
  <si>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Volcadura e incendio del equipo PR-1951 de la compañía tranposrtista "Transportes ROYAL SA de CV". Ocurrido a las 01:00 horas. Área afectada: Autopista Manzanillo-Colima a la altura de la Colonia El Colomo. Entre la Infraestructura dañada, se encuentra un autotanque, 50 viviendas y  10 vehículos (6 de ellos fueron pérdida total). De un total de 50 viviendas afectadas, 10 fueron quemadas en su totalidad (asentamientos irregulares). El resto registró daños menores. Se realizó la evacuación de 400 personas.</t>
  </si>
  <si>
    <t>Muerte de 3 elementos de la SEDENA, por desplome de avioneta y destrucción de la misma. A las 10:53 horas. Pérdida total de una avioneta militar. La nave fue localizada a 25 millas náuticas del sureste de Ensenada. La falla fue localizada en el motor de la nave.</t>
  </si>
  <si>
    <t>El accidente automovilístico fue registrado a las 18:20 horas. Se reportaron 21 personas lesionadas. De la línea "Auto Transportes Turísticos-Tierra del sol". Ocurrido en la autopista estatal km 44+300. Entre Tecate y Mexicali. Se registra su precipitación a un barranco de 40 a 60 metros de profundidad.</t>
  </si>
  <si>
    <t>Volcadura de un autobús de pasajeros. Sucedió por la noche en el km 145 a la altura del peunte de Chiapas. Se reportaron 26 heridos y destrucción de un autobús de pasajeros.</t>
  </si>
  <si>
    <t>Sucedido a  las 14:45 horas. Al desplomarse la aeronave comercial, hubo movilización de equipos de búsqueda y rescate. La avioneta peertenecía al servicio turístico tipo Cesna 185, com matrícula HB-HNP, en la comunidad Santa Lucía. Elementos de la policía resguardaron los restos, para determinar las causas del percance.</t>
  </si>
  <si>
    <t>Se reporta la caída de una aeronave CESSNA de la fuerza aérea, a las 9:00. Se reporta un lesionado.</t>
  </si>
  <si>
    <t>Se reportala volcadura de un autobus de pasajeros de la línea Chihuahense, en el km 165, a las 01:03 horas. Carretera Jiménez - Torreón. Con 2 muertos, 10 lesionados y movilización de cuepros de emergencia.</t>
  </si>
  <si>
    <t>Buena Ventura</t>
  </si>
  <si>
    <t>Volcadura de autobús de la línea Chihuahuense, a las 5:30 horas. Se registran 20 lesionados. Y pérdida de un autobús.</t>
  </si>
  <si>
    <t>Amenaza de bomba en la empresa maquiladora "Jabil". Registrado a las 10:42 horas. Se realizó la evacuaicón de 2,500 personas</t>
  </si>
  <si>
    <t>Choque  en la Carretera Federal Celaya-Querétaro km 33+500, a la altura de la comunidad San José Aguazul, entre un auto tanque del Servicio Público Federal, originaria de Querétaro y una camioneta que transportaba ladrillos y en su fuga atropelló a una persona en bicicleta. El auto tanque se encontraba vacío, sólo con remanente de anticongelante.</t>
  </si>
  <si>
    <t>Volcadura de un autobús de pasajeros. Registrado en el límite de Múzquiz y Sabinas, en la carrtera estatal 20, 7+20,  a las 21:30 horas. Hubo un total de 25 lesionados.</t>
  </si>
  <si>
    <t>Se reporta a las 22:00 horas, en el km 108 de la carretera Guadalajara-Colima, a la altura del Puente Atenquique. A causa del impacto de 5 vehículos compactos y 2 vehículos pesados. Uno de los camiones pesados transportaba, 2 tolvas con 35 toneladas de arena sílica.</t>
  </si>
  <si>
    <t>Se reporta accidente aéreo, ocurrido a las 10:20 aproximadamente. Una avioneta tipo CESSNA, modelo 172, matrícula XB SIC de 2 plazas, que cubrúa la ruta Uruapan - Apatzingán se desplomó en la comunidad Chimilpa.</t>
  </si>
  <si>
    <t>Se registra la movilización de equipos de emergencia, por amenaza de bomba, a las 15:32 horas. El 066 recibió una llamada anónima. Indicaba que en la banqueta del acceso 3 del Centro Internacional de Acapulco, se encontraba un explosivo. Se localizó el ciclindro de cartón de medio metro aproximadamente.</t>
  </si>
  <si>
    <t>Arrojan artefacto explosivo frente a TELEVISA Monterrey, poco después de las 01:00, dañando vehículo estacionado, pick up Toyota RB 58337. Los técnicos de urgencias médicas atendieron a los empleados por crisis nerviosa.</t>
  </si>
  <si>
    <t>Se reportan personas lesionadas a las 19:20 horas. Explosión de un departamento por acumulación de gas LP. Ubicado en Gabriel Mancera 838.</t>
  </si>
  <si>
    <t>Reportan que a las 15:51 horas, un automóvil y un camión de volteo, en la carretera federal Iguala - Chilpancingo, km 191+200, a la altura de la comunidad de Milpillas, se registra en choque de un vehículo tsuru, placas 1735 FFN del estado de Guerrero del servicio público, con un camión de volteo color blanco, placas 1H2C294 del Estado de Guerrero que transportaba material de construcción. El taxi que transportaba 6 personas, de las cuales 4 resultaron fallecidas y 2 lesionadas.</t>
  </si>
  <si>
    <t>Se reporta un accidente urbano, con 16 personas lesionadas y movilización de cuerpos de emergencia, a las 14:23 horas. Un autobús de la Red de Transportes Públicos (RTP). Color verde, con matrícula 5062X, No económico 5062 del módulo 23, chocó contra los pilares que sostienen el 2o piso del Periférico a la altura de Las Flores, Delegación Álvaro Obregón, circulaba sobre el carril lateral con dirección sur-norte.</t>
  </si>
  <si>
    <t>A las 12:02 horas se reporta una amenaza de bomba en los Juzgados Civiles, de Av Irapuato. Se realizó una evacuación preventiva de 120 personas. Se declara falsa alarma.</t>
  </si>
  <si>
    <t>A las 05:00 se reporta accidente en la carretera S XX Morelia-Lázaro Cárdenas, se desprende el remolque de un tractocamión, que impactó a un autobús, lesioanando a 8 personas.</t>
  </si>
  <si>
    <t>En los límites de los municipios de Naucalpan y Tlalnepantla, ocurrido a las 15:54 horas. Volcadura de un tráiler con placas 939-AL9 con razón social Servicios Públicos "J Rojas" en el km 15+600 de la autopista Lechería-Toluca, Col. Loma Linda, dirección Cuautitlán Izcali y 4 vehículos. Toyota con placas XSP-5058, Ikon con placas MEH-1159, Ford FOCUS y un Chevy Blanco 201-VGW. Se reporta la muerte del chofer del tráiler. Se desconocen las causas que provocaron el accidente. Con la volcadura los 4 cilindros del drenaje, de aproximadamente 2 metros de diámetro se proyectaron sobre 4 vehículos.</t>
  </si>
  <si>
    <t>Se reportan 5 personas lesionadas y 20 golpeadas, movilización de cuerpos de emergencia, a las 11:00 horas. Se registró un choque de un Autobus urbano, 694, ruta 83, Alimentadora de la línea Bellavista, contra un autobús 1188 de la ruta A 28 Alimentadora Las Américas, contra el  poste de un Boulevard Delta del Municipio de León, Colonia Valle de Jerez. Derivado del accidente 5 personas lesionadas. Los daños en ambos urbanos fueron severos.</t>
  </si>
  <si>
    <t>Ocurrido a las 13:59 horas, PEMEX reporta la volcadura de un tráiler, Tipo Full sobre la carretera federal, Matamoros-Puerto Juárez en el km 180 a la altura de Cerro Grande Escolín en el Municipio de Papantla.  Se desconoce la causa que originó el desastre, el tráiler de la compañía Jorge Santa Ana Vega, con placas 126DF6.</t>
  </si>
  <si>
    <t>En la Colonia del Valle, se registra una explosión en una tintorería de la Delegación Benito Juárez, ocasionando lesiones  a 3 personas y la muerte de una más.</t>
  </si>
  <si>
    <t>Cd Victoria</t>
  </si>
  <si>
    <t>Se registra la explosiónd e un coche bomba a las 00:18 horas, en las puertas de la empresa Televisa, en Ciudad Victoria. No hay  lesionados, sólo daños materiales.</t>
  </si>
  <si>
    <t>Ocurrido a las 19:49 horas, accidente que involucró a  8 personas. Y un camión urbano. Volcadura en un Paseo Elevado de la glorieta de Puerto Marquez, con dirección Escénica- Aeropuerto. Provocando que 8 personas resultaran lesionadas.</t>
  </si>
  <si>
    <t xml:space="preserve">Movilización de cuerpos de emergencia. En el cruce de López Mateos y Niños Héroes, Col. Chapalita, donde se cosntruye un edificio de 20 pisos (Hotel RIU), se desploman estructuras  de madera, del piso 18, cayendo con ellas un trabajador, provocando su muerte y lesiones en 4 trabajadores más. </t>
  </si>
  <si>
    <t>Movilización de cuerpos de emergencia a las 12:53 horas. Se colapsan 3 vigas de un puente en construcción de la carretra federal 45, tramo Celaya-Salamanca km79, a la altura de la comunidad, los mexicanos. Cae sobre un autobús de pasajeros de la línea Chihuahuense, placas 449H58. 5 lesionados.</t>
  </si>
  <si>
    <t>Santa Rosa Jauregui</t>
  </si>
  <si>
    <t>Ocurrido a las 2:45, en el libramiento Querétaro-San Miguel de Allende km 24. 10 lesionados y un autobus afectado. Con placas 276RL6 de SPF. Que impactó a un tráiler con placas 169DJ1 que transportaba rollos de lámina.</t>
  </si>
  <si>
    <t>Evacuación de 900 estudiantes. A  las 9:59, en la escuela preparatoria de la calle el Papillón con Paseo de Universidad. No hay lesionados.</t>
  </si>
  <si>
    <t>Zapotlán del Rey</t>
  </si>
  <si>
    <t>Lesionados, derrame y movilización de cuerpos de rescate. A las 03:15 horas. Se registra un choque sobre la autopista México - Guadalajara km 4.47 entre un autobús de pasajeros de la empresa "La línea", contra la parte trasera de un tracto camión de la marca Keenwood, perteneciente a la empresa "Lerma", con capacidad para 42,000 litros. Se informa que la pipa tranportaba combustóleo e iba a 80% de su capacidad, derivado del accidente se registró, derrame total del producto sobre la cinta asfáltica, quedando  cerrada la circulación vehicular por espacio de 3 horas. Se reportan 8 personas lesionadas.</t>
  </si>
  <si>
    <t xml:space="preserve">Ocurrido a las 14:50, resultando afectada 1 persona y una pipa dañada. Se registra la volcadura de una pipa, en la carretera federal 45 León-Silao a la altura del Pilitécnico. SE vio involucrado un autotanque con capacidad de 23,000 litros en el cual se transportaba ácido sulfúrico, un tracto camión Kenworth, con razón social "Orion Productos Industriales SA de CV" con placas 481-DC5 del servicio público federal, se originó derrame en el área del domo. Se desconocen las causas de la volcadura, no se reportan daños humanos. Área afectada, debajo del puente de la Maxi pista León - Aguascalientes. Se reporta un conductor afectado. Pipa que transportaba 23 mil litros de ácido sulfúrico, se derramaron 1,000 litros, neutralizados con cal. </t>
  </si>
  <si>
    <t>Daños materiales y movilización de cuerpos de emergencia. Cierre temporal de carretera. Una pipa dañada. A las 9:00 horas, se resgistra la volcadura de una pipa con capacidad para 31,500 litros de la empresa Autotanques Petroquímicos Nacionales SA de CV, con placas 541 DL9  y del autotanque 182 VW9, que transportaba diesel. El accidente se registra en la carretera Saltillo - Torreón, a la altura del km 11+100 en el municipio de Saltillo. No hay daños humanos o derrame del producto.</t>
  </si>
  <si>
    <t>Ocurrido a las 11:30, afectando a 6 personas. Dañada una avioneta tipo CESSNA de la empresa agroquímicos, con número de matrícula XB AMG. Por desplome en una montaña a 1.5 kilómetros del aeropuerto internacional de Bahías de Huatulco. Fallecieron los 6 tripulantes. Accidente debido a las condiciones climatológicas.</t>
  </si>
  <si>
    <t>Se registra un derrumbe y desgajamiento de un aobra de drenaje con una sepa de 3 metros de altura, 15 cm de espesor y 3 mts de largo en la comunidad de San José Contadero. Se derivan 3 personas fallecidas en el lugar, sepultadas por piedras y lodo, que se encontraban realizando labores de limpieza del drenaje. Debido a las intensas lluvias ocurridas días previos en el Valle de Toluca.</t>
  </si>
  <si>
    <t>Volcadura, derrame, evacuados y movilización de cuerpos de rescate. Se evacuaron a 132 personas, daños en la cinta asfáltica. Se registra la volcadura de una pipa con placas 405CZ1 del tractor y 659UB9, con razón social "Auto transportes químicos especializados", con capacidad de 41, 900 litros de ácido sulfúrico, que transpoartaba 98% del producto, con número MAT 1830 correspondiente al material químico. Registrado sobre la carretera federal 57 km, 96+800 en dirección San Luis Potosí-Querétaro a la altura de la comunidad Loma de San Juan. Debido a lluvias ligera en la zona del accidente, se realizó una evacuación de 103 personas, 29 de ellas a un RT y el resto con familiares.</t>
  </si>
  <si>
    <t>A las 21:30 se resgitra un choque en la carretera federal Acambaro-Jerecuaro a la altura de la desviación a la presa Solís, en el que se vio involucrado un autobús de la línea Herradura de placa H314, que impactó con una Voyaguer, gris con placas GMN 3307 de Guanajuato. Con un lesionado.</t>
  </si>
  <si>
    <t>A las 2:30 se registra accidente en la carretera federal 45, tramo Salamanca-Celaya, a la altura de la granja Churri. Entre un tráiler y un auto compacto. Con 4 lesionados.</t>
  </si>
  <si>
    <t>Cierre parcial de vías de comunicación. Cierre de 2 carriles. A las 23:54 se registra la volcadura de una pipa en el km 23 de la carretera San Miguel Xicalco, la pipa volcó sobre su costado izquierdo. Transportaba 12,500 litros de gas LP, provocando el cierre parcial a la circulación, el lugar fue acordonado por los bomberos. Al lugar llegó un auto tanque para realizar tareas de trsvase del producto. No se registra derrame y no se reportan personas lesionadas.</t>
  </si>
  <si>
    <t>Cerca de las 16:00 horas, se presenta una explosión, en una subestación (mufa). Propiedad de la CFE, en la colonia Acacias. Hubo 3 lesionados y 3 muertos.</t>
  </si>
  <si>
    <t>Reportado a las 10:45, la caída de una  aeronave tipo CESSNA con número de matrícula XB-IAJ perteneciente a la escuela de aviación de México, desplomada en el bulevar de las Naciones, cerca del conjunto habitacional Marina Diamante, con 2 lesionados, con golpes. No se reportan las causas del desplome.</t>
  </si>
  <si>
    <t>Movilización de cuerpos de emergencia,  a las 15:30 horas, por el deceso de una persona, por ahogamiento. Un joven de 19 años, con 2 personas más. Por problemas con una lancha, en actividades recreativas.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</si>
  <si>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</si>
  <si>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evacuó a la plantilla de trabajadores del inmueble, que se ubica al lado de las oficinas de la PGR. No se encontró el artefacto.</t>
  </si>
  <si>
    <t>Ocurrido a las 11:00 horas. Evacúan a 2,500 empleados del Palacio Federal, calles Alcalde  y Juan Álvarez, por amenaza de artefacto explosivo. Hubo impedimento de tránsito para peatones y autos por la zona.</t>
  </si>
  <si>
    <t>Aproximadamente  a las 13:10 horas, se reportó amenaza de bomba, en la calle Plan de Iguala, Colonia El Vergel, se encontraron 2 portafolios sobre la banqueta. Se evacuaron 11 domicilios aledaños. A las 18:30 se trasladan los portafolios para incinerarse, en el Eje Juan Pablo II.</t>
  </si>
  <si>
    <t>Ocurrido a las 6:45 horas, el colapso de una barda perimetral de un edificio de tres niveles, ubicado en la calle de Miguel Schultz, colonia San Rafael. Debido a la falta de mantenimiento de la estructura del edificio. 3 familias fueron desalojadas, no hubo lesionados.</t>
  </si>
  <si>
    <t>Fortín</t>
  </si>
  <si>
    <t>Reportado a las 14:40 horas. Volcadura, fallecidos y movilización de cuerpos de rescate. 26  afectados en total, de los cuales 6 fallecieron y 20  resultaron heridos. Se volcó un autobus de pasajeros de la línea "Triángulo rojo". Registrado en la carretera tramo federal Fortín-Ixtaczoquitlán. Se desconocen las causas del siniestro.</t>
  </si>
  <si>
    <t>Cuahutémoc</t>
  </si>
  <si>
    <t>Se registró un corto circuito a las 13:05 entre las calles de Corregidora y Alhóndiga en la instalaciones de la CFE. Como parte de los monitoreos  del "operativo Bicentenario", no se reportan daños humanos.</t>
  </si>
  <si>
    <t>Ocurrido a las 11:30 horas, afectando a 2 personas.  En la calle Leona Vicario, en el cruce con San Antonio en la colonia La Haciendita, se registró un colapso de una obra de introducción de tubería por parte de la empresa SIAPA, al interior de la zanja se encontraban 4 trabajadores. De los cuales se salvaron 2, logrando ponerse a salvo. El colapso del material al interior de la zanja provocó la ruptura de una tubería que inundó el lugar donde se encontraban atrapados 2. Lo que complicó las tareas de rescate.</t>
  </si>
  <si>
    <t>Ocurrido a las 9:00 horas. Llevándose a cabo el Maratón Acuático como parte de los festejos del Bicentenario. 2 personas acyeron de sus llantas, perdiéndose en la corriente del río.</t>
  </si>
  <si>
    <t>Fallecimiento por sumersión de un menor en una cisterna pública, en las calle San Antonio, sin número.</t>
  </si>
  <si>
    <t>Valles</t>
  </si>
  <si>
    <t>Ocurrido a las 8:25 horas en el área Carretera Estatal Valles - Río Verde. Se registra la volcadura de un auto tanque, cargado de 39 mil litros de Xilenos, que presenta una fuga en una de sus válvulas. Producto altamente inflamable donde se puede incendiar por calos, chispas, llamas. En el km 18 de la carretera, a la altura de la comunidad Otates que fue evacuada. Se reporta que la fuga, presentó derrame total del producto, siendo contenido con arena y tierra.</t>
  </si>
  <si>
    <t>Huejuquilla El Alto, Guadalajara, Poncitlán, Puerto Vallarta, La Huerta, Zapotitlán de Vadillo</t>
  </si>
  <si>
    <t xml:space="preserve">Diversas horas de Julio, Agosto y Septiembre. Huejuquilla El Alto:  en la comunidad de Haimatzie, muere una persona por impacto de rayo, lesionando a 4 más. El Salto: a la altura de la colonia Santa Rosa del Valle, una muerte por asfixia, debido a sumersión, viajaba en una pick up que se volcó sobre el Puente San Onofre, cayó en el Canal de las Pintas. Guadalajara: reporta una muerte por sumersión, en el Canal de Patria. Poncitlán: muerte de un sujeto que se encontraba realizando pesca en la orilla del arroyo Barranquilla, que desemboca en el Lago Chapala. Límites de Jalisco y Colima: 2 personas muertas por arrastre de caudal. Puerto Vallarta: se regsitra en el Río Cuale, la muerte de una persona que se encontraba bañándose. Debido al colapso del puente sobre el río Ameca, encontrado en el municipio Bahía de Banderas. La Huerta:  muerte ocurrida en el Río Purificación, debido a que una persona trató de cruzar  el cauce a caballo. Zapotitlán de Badillo: fallecimiento cuando realizaba labores de agricultura en una parcela, un rayo lo golpeó y causó su muerte. </t>
  </si>
  <si>
    <t>Trinchera</t>
  </si>
  <si>
    <t>El día de ayer  a las 18:20 horas, se registró el arrastre de un vehículo pick up, en el arroyo denominado "El Puerto" a 20 km rumbo a la carretera internacional, con 2 pasajeros.</t>
  </si>
  <si>
    <t xml:space="preserve">Ocurrido a las 17:00 horas, realizando actividades de pesca a bordo de una embarcación menor, tipo panga. </t>
  </si>
  <si>
    <t>Petatlan</t>
  </si>
  <si>
    <t>Reportado a las 9:36, una persona arrastrada por el Río Petatlán, a la altura del Barrio de la Hoja. 4 personas trataron de cruzar sobre un tubo de alcantarillado y por descuido la persona se cayó.</t>
  </si>
  <si>
    <t>Santuro, Nanacamilpa</t>
  </si>
  <si>
    <t>Ocurrido a las 8:30, la volcadura de una pipa con doble remolque, que transportaba gasolina magna, con capacidad de 27,000 litros, con razón social "Auto Tanque Nieto", en la carretera estatal entre los municipios Santuro y Nanacamilpa km 121. La pipa se dirigía hacia Toluca, Estado de México, pero se presentó la volcadura de uno de los tanques. Provocando que el líquido se derramara en el asfalto.</t>
  </si>
  <si>
    <t>Ocurrido a las 21:00 horas, la volcadura de una pipa, placas 310-DF-4, provenía de Salamanca, Guanajuato y se  dirigía a Baja California. Transportaba 38 mil litros de aceite. Accidente registrado sobre Av Periférico. Debido a la falta de precaución del operador. Hubo escurrimiento de 100 litros de diesel. Se realizó transvase del aceite.</t>
  </si>
  <si>
    <t>Movilización de cuerpos de emergencia a las 11 :20 horas, por una volcadura de una camioneta de 3 y media toneladas dañada. . 10 lesionados, resutaron del percance. Placas de circulación HA16637 del Estado de Guerrero. Sobre la carretera de terracería Tilixtlahuaca-Quechultenango a la altura de la comunidad Las Palmitas, a un barranco de aproximadamente 25 metros. Se desconocen las causas de la volcadura.</t>
  </si>
  <si>
    <t>Ocurrido a las 5:49 horas, en la carretera federal Acapulco-Zihuatanejo, km 50.  Afectados 50 personas, con 13 lesionados. Resultado de la volcadura de un autobús turístico, sobre la carretera. El autobus con la razón social "costa line" placas 746HS1 del servicio público federal y número económico 336. Con 50 pasajeros. Se desconocen las causas que originaron el accidente.</t>
  </si>
  <si>
    <t>Independencia</t>
  </si>
  <si>
    <t>Reportan que 2 personas perdieron la vida, en la comunidad de Ojahuey. Mientras nadaban en la laguna, se ahogaron.</t>
  </si>
  <si>
    <t>Xintalapa</t>
  </si>
  <si>
    <t>Ocurrido a las 12:00 horas. Arrastre de una camioneta Nissan, que intentó cruzar el río San Jacinto. Arrastrando a 7 personas, 4 de las cuales se salvaron.</t>
  </si>
  <si>
    <t>Reporta que a las 18:20 horas, se registra la muerte por sumersión de un sujeto, al interior de una represa de la comunidad Cerro Blanco.</t>
  </si>
  <si>
    <t>Mezquitic</t>
  </si>
  <si>
    <t>Ocurrido a las 21:00 horas. Con 9 lesionados. Y una camioneta dañada. Varias personas con heridas graves. Ocurrido mientras 15 personas viajaban a bordo de una pick up, volcaron a un barranco de 25 metros de profundidad. 7 de ellos se trasladaron en helicóptero para ser atendidos en Guadalajara.</t>
  </si>
  <si>
    <t>Ocurrido a las 16:30, accidente ferroviario. FERROMEX de la empresa IQUISA, realizaron maniobras de encarrilamiento del furgón volcado con cloro líquido y sin fuga del producto. Como medida preventiva, fueron evacuadas 2,300  personas de las colonias aledañas al lugra del siniestro. 221 fueron trasladadas la Centro de Usos múltiples de la Cd de Obregón, el resto fueron con familiares.</t>
  </si>
  <si>
    <t>Ocurrido a las 8:00 horas, afectando a 10 personas. Volacadura de microbús, de la ruta 17, que por exceso de velocidad en la Junta Auxiliar la Resurrección Puebla, a la altura del cerro El Marquez, con 16 personas lesionadas.</t>
  </si>
  <si>
    <t>San José del Cabo</t>
  </si>
  <si>
    <t>Reporta el desplome de un avioneta bimotor.</t>
  </si>
  <si>
    <t>Reportan un derrumbe en la mina de Dolores Villa de la Paz, a una profundidad de 350 metros. Donde se reporta a 2 personas atrapadas en un túnel a un aprofundidad de 350 metros. Por el desprendimiento de 2 bóvedas.</t>
  </si>
  <si>
    <t>La Piedad de Cabada</t>
  </si>
  <si>
    <t>Accidente carretero, ocurrido a la 1:50, se vuelca trailer blanco, placas  406-DY-5 con tanque cisterna para almacenamiento de 21 mil litros, cargado al 98% con ácido sulfúrico. Perteneciente a  la empresa SETRAMEX, con domicilio en Torreón Coahuila. El conductor reporta lesiones. Volcado en la curva del libramiento Martí Mercado, a 600 metros del crucero de la carretera La Piedad-Zamora.</t>
  </si>
  <si>
    <t>Huixquilican</t>
  </si>
  <si>
    <t>Ocurrido a las 7:15 horas, en las carreteras Chamapa-Lechería km 28+200. Choque entre vehículo particular y autobús de pasajeros de la línea Naucalpan-Toluca, a la altura de Bosque Real, con 35 personas lesionadas y 2 fallecidas. Se bloqueron carriles, dejando la circulación total en un solo carril.</t>
  </si>
  <si>
    <t>A las 10:30 ocurrió la caída al mar un avión del ejército, a la altura de pie de la cuesta, que era tripulado por miembros del ejército.</t>
  </si>
  <si>
    <t>Avioneta CESSNA modelo C - 501 con matrícula XA-TKY con destino a la ciudad de Veracruz, que despegó en Minatitlán y a los pocos minutos perdió contacto, cayó en la sierra de Santa Martha. Viajaban  6 personas de la empresa Coppel.</t>
  </si>
  <si>
    <t xml:space="preserve">Una persona ahogada en la presa de este municipio. Se encontraba nadando  a las 18:30 horas. </t>
  </si>
  <si>
    <t>A las 23:00 horas se reporta la volcadura de un auto en la carretera Iguala-Cuernavaca, km 55 a la altura de la comunidad Platanito. Un tráiler de doble remolque volcado, con placas 283 TE7, el primer remolque con placa 864 WH1, el segundo remolque con placa  914 WH1, con 63 toneladas de cemento. Se impactó en un muro de contención y se volcó sobre la cinta safáltica, resultando lesionadas 2 personas que caminaban por ahí, más el chofer del tráiler.</t>
  </si>
  <si>
    <t xml:space="preserve">Ocurrido por conducción con exceso de velocidad, camioneta impactada contra un camión pesado con doble remolque. Provocó 15 pasajeros lesionados. A las 7:00 horas en la avenida López Portillo, frente al 64 Batallón de Infantería. El conductor de la camioneta de la empresa Maya Caribe se dio a la fuga. Propiedad del Sindicato de taxistas Andrés Quinatana Roo. </t>
  </si>
  <si>
    <t xml:space="preserve">Evacuación preventiva a las 12:40 horas  del edificio de la PGR, en Paseo de la Reforma, debido a una fuga de gas, por mal funcionamiento en mangueras del camión, que despachaba producto estacionario. 1,236 trabajadores abandonaron las instalaciones. </t>
  </si>
  <si>
    <t xml:space="preserve">Ocurrido a las 23:00 horas, con 5 lesionados. Choque entre 3 tráilers  y 2 camionetas. En una viajaba una familia, el accidente ocurrió  en  el libramiento noroeste casi con Luis Donaldo Colosio. </t>
  </si>
  <si>
    <t>Minatitlán</t>
  </si>
  <si>
    <t xml:space="preserve">A las 17:30 horas en el Ejido  Ceiba Blanca, límites con Minatitlán, en los márgenes del río Uxpanapa, un helicóptero de la empresa Heliservicios Campeche PELL402,  con matrícula XALUR que prestaba servicios a PEMEX, se estrelló. Viajaban 8 personas, 2 pilotos y 6 mecánicos. Se desconocen las causas del accidente. </t>
  </si>
  <si>
    <t>Una avioneta que viajaba de California a San Quintín con un grupo de médicos humanitarios, para brindar servicio médico gratuito a las comunidades más pobres. Accidente debido al mal clima, ocurrido al norte de Santo Tomás.</t>
  </si>
  <si>
    <t>La Unión</t>
  </si>
  <si>
    <t>Ocurrido a las 18:30 afectando a 9 personas. Resultó dañada una camioneta Nissan, color blanco, placas de circulación MZ-26620 del estado de Michoacán, por la volcadura de la misma. El accidente se registró en la carretera federal Zihuatanejo-Lázaro Cárdenas,a  la altura del kilómetro 53.</t>
  </si>
  <si>
    <t>Reportado a las 1:40 horas, resultando afectados la carretera federal, en el libramiento noroeste km 7, dañados un autobús y un tráiler.  Choque entre un autobús de la empresa Omnibus de México, placas de circulación 810 HS1 de SPF y un tráiler con tolva, placas 519KPQ del SPF, sobre la carretera federal, libramiento norponiente km5+500. Debido al exceso  de velocidad y/o la falta de visibilidad. Al momento del impacto del autobús, estrellado en la parte trasera del tráiler que circulaba por la autopista. El autobús se incendió, alcanzando la tolva del tráiler. Los tripulantes quedaron calcinados. Tenía como destino la ciudad de Fresnillo Zacatecas.</t>
  </si>
  <si>
    <t>Ocurrido en el interior del circo con razón social CIRCO NACIONAL DE ÁFRICA, instalado en la comunidad de Valtierra, en el que resultaron 35 lesionados. Por colapso en la gradas.</t>
  </si>
  <si>
    <t>A las 7:00 se registra una volcadura en la autopista León-Aguascalientes, km 45. En el que se vio involucrado un tráiler, resultando 1 persona lesionada.</t>
  </si>
  <si>
    <t>Accidente carretero con derrame de producto diesel, ocurrido a las 17:00 horas, en la carretera federal Lázaro Cárdenas-Acapulco, a la altura de las comunidades Juluchuca y las Salinas, se registra la volcadura de un tráiler, de doble remolque que transportaba 35,500 litros de diesel cada remolque, como consecuencia del impacto se presentó la fuga de producto, en cantidad no cuantificada. Se realizó trasvase del producto restante. No fallecidos, ni lesionados.</t>
  </si>
  <si>
    <t>A  las 21:00 horas 2 avionetas se dirigían de California a San Quintín, con un grupo de médicos americanos humanitarios, para brindarles servicios médicos gratuitos a comunidades más pobres. Sólo una nave llegó a su destino, la otra encontrada al noroeste de Santo Tomás, con la tripulación fallecida. Se reporta que  la brisa y la neblina ocasionaron el accidente.</t>
  </si>
  <si>
    <t>Apaseo El Grande</t>
  </si>
  <si>
    <t xml:space="preserve">A las 13:50, se regsistró la volcadura en el km 15 de la autopista Querétaro-Celaya en donde se vio involucrada una Ford Explorer, color rojo, con placas de circulación G880NP del Estado de Florida. En el que resultaron 3 personas lesionadas. </t>
  </si>
  <si>
    <t>Techaluta de Montenegro</t>
  </si>
  <si>
    <t xml:space="preserve">Ocurrido a las 08:20 horas, en la carretera estatal Guadalajara-Cd Guzamán, km 38. Un camión tipo torton. Volcadura sobre la carretera, el camión transportaba, madera y contenerdores con 20 mil litros de DIESEL, en forma clandestina. Se presentó derrame del producto. Se desconocen las causas que lo originaron, no hay daños humanos. </t>
  </si>
  <si>
    <t>Accidente e incendio de un A/T tipo full PR 2280 de la empresa Transportes Especializados Antonio Garza Ruiz SA de CV, Un auto tanque,  en la carretra México-Oaxaca km 7+500, a la altura del municipio Cuautla. La unidad transportaba, px magna.Se reporta un incendio intenso en el tractor y primer tonel, quedando la carretera bloqueda en ambos sentidos. Se reportan daños a 20 viviendas y 15 locales comerciales El accidente ocurrió al km 5 de llegar a la terminal y al parecer se trata de un A/T PR que se volcó e incendió de inmediato. No se reporta el material, ni la cantidad que trnsportaba.</t>
  </si>
  <si>
    <t>Se registra un choque de varios vehículos, ocasionando lesiones a 55 personas. En la carretera a Chapala, altura de la curva del Tapatío, hacia el ingreso a Guadalajara. Un fuerte choque se produjo por la mañana, un tráiler impactó con una utobús foráneo, desplazándolo alrededor de 5 metros. El tráiler con exceso de velocidad, impactó con le camión de la ruta El Salto, con placas de circulación 712-346G y al mimos tiempo una carambola en la que se involucraron tres camiones de transporte público y 15 vehículos particulares. Se generó un fuerte congestionamiento vial.</t>
  </si>
  <si>
    <t>Villa Nueva</t>
  </si>
  <si>
    <t>Ocurrido   a las 22 horas, afectando 8 personas, impacto de una camioneta Ford, contra un  tráiler, sobre la carretera federal 54 km 28+100, a la altura de la comunidad Felipe Angeles, debido al impacto de la camioneta, lesionando a 5 personas de una peregrinación que se dirigía al templo de San Judas Tadeo.</t>
  </si>
  <si>
    <t>Derrame de gasolina y movilización de cuerpos de emergencia, a las 10:30. Volcadura de la Unidad PR-3412 de la compañía Translíquidos del Norte SA de CV, la cual había cargado 64,620 litros de magna en la TAR Cd Juárez y tenía como destino la TAR Parral. El accidente se sucitó en el km 70 de la carretera Ciudad Juárez-Chihuahua, en el Municipio de Juárez. Derivado del accidente se presentó un derrame menor. Se ejecutó el trasiego del producto a un auto-tanque.</t>
  </si>
  <si>
    <t>Personas fallecidas, lesioanadas y movilización de servicios de emergencia. A las 19:24 horas. Involucrados un camión y un vehículo compacto, en la carretera federal México-Acapulco, tramo Chilpancingo-Acapulco km 67+500 a escasos metros de Tierra Colorada, con un choque automovilístico, con personas fallecidas. El camión  marca Kodiak, color rojo, con placas 358-DJ-3 del DF. Se impactó contra un Wolkswagen, blanco con placas HER-24-43 de Guerrero.</t>
  </si>
  <si>
    <t>A las 19:00 horas, se reporta la detonación de una granada. Al circular una camioneta Van, sobre la calle Gómez farías ene l número 341, a un costado de la catedral, ocasionando la volcadura de la camioneta y lesiones de los ocupantes.</t>
  </si>
  <si>
    <t>Ocurrido a las 00:15 horas, la volcadura de una pipa en la autopista Iguala - Cuernavaca, km 33. La pipa de gas butano, con razón social Sistema de Transposrte para la Industria Química, placas de circulación 468-WH 1 del SPF, cubría la ruta Cuernavaca Morelos, con destino a la ciudad de Acapulco Guerrero. No se reportan lesionados. El auto transporte quedó recostado sobre su lado derecho, a la orilla de la cinta asfáltica.</t>
  </si>
  <si>
    <t xml:space="preserve">Resultaron 20 personas afectadas, 2 autobuses. En la carretera Chihuahua-Parral km 66, entre 2 autobuses de pasajeros.Un camión de la línea Durango Tours impactó en la parte trasera de un Chihuahense, ocasionando que este saliera de la cinta asfáltica. </t>
  </si>
  <si>
    <t>Ocurrido a las 07:00 horas, un choque entre un camión de transporte público de la ruta 117 y un microbús de transporte personal, el percance registrado en avenida Diego Díaz Berlanga y calle Cordillera de los Andes, en el municipio de San Nicolás, resultaron 10 lesionados por golpes leves. El exceso de velocidad fue la causa del accidente.</t>
  </si>
  <si>
    <t>Ocurrido a las 11:57 horas, 2 cortos circuitos ene l cabelado subterráneo "mufas", calles González Obregón, con un trabajador lesioando y la calle 5 de febrero en la Delegación Cuauhtémoc.</t>
  </si>
  <si>
    <t>Totolapa</t>
  </si>
  <si>
    <t>Ocurrido a las 5:40 horas, con 2 camionetas URVAN y Redilas de 3 toneladas. Resultando 4 personas muertas y 9 lesionadas, con accidente entre 2 camionetas, una de la SPF placas 383284-B tranposrte local y una camioneta de redilas de 3 toneladas que tranposrtaba material de construcción de la comercializadora de Avicultores Unidos, el conductor se dio a la fuga, por exceso de velocidad, en el tramo Carranza a Totolapa.</t>
  </si>
  <si>
    <t>En la Autopista Morelia-Salamanca, km 45, resultaron dañados un automóvil y un tráiler, a las 4:10 horas, con choque e frente, pasando la caseta de cobro en dirección Cuitzeo. El tráiler con placas de circulación placas 9888 FB8 del servicio público con razón social Muebles y Mudanzas Amando SA de Cv y un vehículo particular, aparentemente SENTRA o ALTIMA, calcinado en su totalidad, con placas GNW 3813 del estado de Guanajuato. El conductor del tráiler se dio a la fuga.</t>
  </si>
  <si>
    <t>A las 6:45 horas, en Periférico a la altura de la colonia Tamulte, la volcadura de un tráiler que colisionó con un remolque, pipa con razón social Tranportes Faldo, que transportaba material de asfalto (chapopote), 56 mil litros, que se derramó en la cinta safáltica, al día de hoy continúa cerrada la carretera en un solo sentido, el derrame afectó un tramo de 40 metros de largo, por 15 de ancho.</t>
  </si>
  <si>
    <t>A las 13:00 horas, se registra una falla mecánica, en un Boeing 737-200 de la aerolínea Global Air con ruta México-Puerto Vallarta, por falla mecánica en tren de aterrizaje. A las 13:10 horas se realiza un aterrizaje forzoso con los trenes traseros. Llevaba 46 pasajeros y 5 tripulantes, 2 capitanes y 3 sobrecargos, que resultaron ilesos. El aeropuesrto de Puerto vallarta quedó cerrado a las operaciones aéreas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</si>
  <si>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impactó de manera frontal contra una pipa de doble remolque.Y una utobus de la línea Seris de la empresa Estrella Blanca, placas 049HW-5, no eco. 4694. Se girigía a Guadalajara, con destino a Tijuana. Registrándose en el km 148+200. Impacto de manera frontal, la pipa Especilizados Robles SA de CV, transportaba 68 mil litros de combustible gasolina. Salió desprendido el segundo remolque, registrándose la fisura sobre la costura de la tapa frontal de 3 cm, originando un derrame de 30 mil litros del producto, que fue absorbido por la tierra. Resulatron 21 fallecidos (8 mujeres, 9 hombres, 2 niños y 2 adultos.. 2 más se desconoce el género). Y 2 lesionados.</t>
  </si>
  <si>
    <t>Ocurrido a las 17:00 horas, un desplome de avioneta CESNA, matrícula XB-1BF, que se trasladaba de norte a sur. Se desconoce la razón social o empresa a la que pertenecía. Se localizó atrás del Frraccionamiento Pradera Dorada, en una zona despoblada, sin causar daños a la población, no hubo lesionados.</t>
  </si>
  <si>
    <t>Tráiler derribó un poste con cables de 13 mil voltios, afectando gran parte de  la zona, quedando sin electricidad. Se registra caos vial, problemas en viviendas y negocios.</t>
  </si>
  <si>
    <t>Morelia, Pátzcuaro</t>
  </si>
  <si>
    <t>Se registran incendios y  bloqueos, en diversos puntos, ya controlados. En las salidas de Morelia. No hay lesionados. Además a las 18:30 horas se regsitran balaceras, ataques contra gasolineras y narcoblequeos en Pátzcuaro, posiblemente por la captura de un líde de "La Familia Michoacana". El primer incidente se suscitó a las 18:30 en la carretera Morelia - Pátzcuaro a la altura del hotel Chalamú, en el poblado de Tzurumutaro. En el que se detuvo a un sujeto luego de un enfrentamiento de agentes federales con un comando. A las 19:00 horas se reportaron detonaciones de armas de fuego en la carretera Morelia - Quiroga a la altura de la salida al poblado de Cuitzeo en la ranchería denominada El Correo. Se confirma que hasta estos momentos en esa zona se encuentra el cierre de circulación mediante la interposición de dos camiones de pasajeros baleados en ambos sentidos de circulación. A las 19:10 horas se reportó una pipa incendiada a la altura de la embotelladora Aga en la salida Salamanca, además de al menos dos camiones  baleados, también con reporte de detonaciones de armas de fuego. Otra pipa incendiada y camiones de pasajeros bloquearon la salida a Pátzcuaro en el poblado Uruapilla a las 20:00 horas. A las 20:45 en la salida Mil Cumbres, frente a las instalaciones del batallón del Ejercito, dos autobuses de pasajeros baleados cerrando el paso. A la misma hora se registraron dos explosiones, una en la gasolinera ubicada en la salida Pátzcuaro-Morelia y otra de una bomba molotov en el estacionamiento de la Mega Comercial Mexicana.</t>
  </si>
  <si>
    <t xml:space="preserve">Ocurrido a las 6:30 horas,resultando  lesioanda una persona. Volcadura y posteriormente incendio de tráiler de doble remolque de la empresa Coppel, en la autopista Guagalajara-Tepic en el km 80, perteneciente al municipio de Tequila. Se desconocen las causas que originaron el accidente. </t>
  </si>
  <si>
    <t>Ocurrido a las 9:50 horas, con 17 afectados. Involucrados 3 autobuses de pasajeros. Registrando un choque en la carretera federla Celaya-Querétaro, km 41+900 de la carretera Panamericana, a la altura del trébol Apaseo, autobús con placas 541 RC 7, 100 RK 2 y otro 507 KL 7. Se desconocen las causas del siniestro.</t>
  </si>
  <si>
    <t xml:space="preserve">A las 5:50 horas se registra un corto circuito en mufas del cableado eléctrico de la CFE, afectando Mesones y Bolívar, frente al 47, se encuentra una Subestación en el interior del ex convento de San Juan Neri, oficinas de la Secretaría de Relaciones Exteriores, donde se ubicaba la oficina de CFE. Se reportan 12 lesionados, en el 47 de República del Salvador,  En una subestación registra una explosión en el cableado, 6 bomberos resultaron lesionados, en República del Salvador 47. En el interior de las oficinas de Relaciones Exteriores.  </t>
  </si>
  <si>
    <t>A las 4:30 horas, se registró un accidente carretero en el km 201 de la autopista Morelia-México a la altura de la caseta Zinapécuaro, involucrando un tracto camión del servicio público que transportaba aserrín, contra un autobús de pasajeros  perteneciente a ls Empresa TiriStar, con 13 lesionados.</t>
  </si>
  <si>
    <t>Ocurrido a las 13:00 horas, afectando 2 personas y dañando una avioneta militar, se informa del extravío de una aeronave de la Fuerza Aérea Mexicana, tipo SA 37, con matrícula 5053, iniciando la búsqueda. Una vez que reportaron la falla se perdió el contacto con la tripulación, procediendo la Comandancia del Aeropuerto a llamar a las corporaciones de auxilio y de rescate que realizaron una extensa búsqueda en la zona. La aeronave, pertenece a  la inteligencia militar. A las 17:00 horas, se localizó e el municipio de Frontera, entre los ejidos 8 de enero y Pozuelos.</t>
  </si>
  <si>
    <t>Amenaza de bomba</t>
  </si>
  <si>
    <t>A las 16:25 se realiza una evacuación de 80 personas que se encontraban en el interior del Palacio Municipal, en la calle de Zaragoza. Por una amenaza de granada. El inmueble quedó bajo resguardo de la misma Secretaría. Se puso en alerta a la preparatoria 23, donde se evacuaron a 700 alumnos.</t>
  </si>
  <si>
    <t>Cerca de las 16:15 horas, se reporta una amenaza de bomba, en el hospital general de la zona 194 del IMSS, en avenida Gustavo Baz 26. Se evacuaron a 200 personas, no se encontró artefacto explosivo.</t>
  </si>
  <si>
    <t>Playa del Carmen</t>
  </si>
  <si>
    <t>Una explosión en el interior de un hotel, moviliza a los cuerpos de seguridad y de emergencia. El accidente ocurre a las 9 de la mañana y se desconocen más datos. Se reportan varios muertos y heridos. De acuerdo con reportes, el incidente se registra a las 9:00 horas. Según las primeras versiones estalló un gigantesco tanque estacionario y colapsó una se las áreas de la zona VIP, Se registran 6 lesionados y los muertos están en proceso de cuantificación.</t>
  </si>
  <si>
    <t>Se reporta que el día de hoy a las 05:45 hrs. se registro un accidente por alcance de un autobus de pasajeros  El cual se impacto con la segunda caja de un Trailer que transportaba rollos de papel, el accidente se registro en la carretera federal 57 Tramo San Luis Potosí – San Luís de La Paz km 119+300, en donde resultaron 13 personas lesionadas,  los cuales fueron atendidos  en el lugar  y posteriormente trasladados al Hospital General e IMSS San Luis de la Paz. Los lesionados, del estado de NL.</t>
  </si>
  <si>
    <t xml:space="preserve">Ocurrido a las 19:10 horas, se registro un accidente carretero, ubicado en la caretera Estatal Salamanca – a la Comunidad la Ordeña km 6, en el que se vio involucrado un autobús de pasajeros, el cual se impacto con una camioneta Pick-up con placas GL62306 del Estado de Guanajuato, resultando 7 personas lesionadas y 2 fallecidas.  los cuales fueron atendidos en el lugar y trasladados  posteriormente  al Hospital  General. </t>
  </si>
  <si>
    <t>Afectados: Un Microbús y un Tráiler. se registro un aparatoso accidente, en el que se vieron involucrados un microbús del transporte público y un tráiler, dejó como saldo 2 muertos y 7 lesionados, el incidente ocurrió en el bulevar Cadete Vicente Suárez de esta ciudad, justo frente al 70 batallón de la XXV Zona Militar, cuando el tráiler -tipo tracto camión- que transportaba alimento para animales se impactó contra el microbús de la ruta 45 A unidad 13, La Procuraduría General de Justicia (PGJ) del estado informó que alrededor del mediodía se hizo el levantamiento de dos cuerpos, el primero de ellos sin identificar aún, de sexo femenino y de aproximadamente 30 a 35 años de edad. Ahí también se halló el cadáver de un hombre de 29 años de edad; ambos murieron de manera inmediata tras el impacto. Presumiblemente el tráiler se dirigía a exceso de velocidad y al dar la vuelta por una curva del bulevar perdió el control y originó que el microbús volcara volteándose completamente.</t>
  </si>
  <si>
    <t>Iniciado a las 13:25 horas. Con 50 personas evacuadas. La Secretaría de Protección Civil del Gobierno del Distrito Federal, informa a este Centro de Comunicaciones que el día de hoy aproximadamente a las 08:45 hrs., se registró una amenaza de bomba en el Kínder “Margarita Isas Perea”  ubicada en Calle Dr. Velazco No. 150 y Dr. Jiménez, Colonia Doctores. Como medida preventiva se evacuaron a 50 menores. Se realizan trabajos de búsqueda del artefacto en las instalaciones por parte del agrupamiento Fuerza de Tarea.</t>
  </si>
  <si>
    <t xml:space="preserve">Accidente urbano </t>
  </si>
  <si>
    <t>Delegación Tlalpan</t>
  </si>
  <si>
    <t>Inicia a las 05:00 horas, aciidente de un autobús con un trçailer, 4 lesioandos.  En relación a la nota R-MX sobre accidente que resultaron 2 personas muertas, se llamo a la Subsecretaria de Protección Civil del Distrito Federal informan que el accidente se registro a las 05:00 hrs. de hoy entre un Autobús de pasajeros y un Trailer, en el Km 18 de la carretera Cuernavaca – México cerca de la incorporación con avenida Insurgentes Sur de la Deleg. Tlalpan, el Autobús de la línea Estrella Blanca con número económico 11397 y placas 369HB1 del SPF. Se impacto con la parte trasera de un trailer que transportaba cerveza con razón social Grupo Modelo, resultaron 2 personas muertas quedando prensadas ya rescatas y trasladadas al SEMEFO  y 4 lesionados trasladados para su atención medica a diversos hospitales de la zona, hasta el momento se desconocen los nombres de las personas muertas, así como de los lesionados ya que continúan laborando en el lugar.</t>
  </si>
  <si>
    <t>Ocurrido a las 18:00 horas. Cierre parcial del Boulevard Instituto Tecnológico (entrada al municipio de Minatitlán). El titular de Protección Civil del municipio de Minatitlán, informó a este Centro Nacional de Comunicaciones que el día de ayer cerca de las 18:00 horas, se registró la volcadura de un tanque propiedad de la empresa “Quimitransporte”, que transportaba 31,500 litros de tolueno. El accidente ocurrió en el boulevard Instituto Tecnológico, a la altura de la colonia Rosalinda.Derivado del impacto del autotanque se presentó una fisura, por lo cual personal de Protección Civil y Bomberos del municipio, se procedió a colocar 4 diques para contener el producto y a esparcir espuma para evitar una posible explosión. Como medida preventiva fue evacuado el hotel Madrid y fue cerrado el vuleverd, mientras se realizaban los trabajos de control de la fuga. A las 04:00 horas del día de hoy concluyeron los trabajos del trasvase del producto, sin que se presentaran daños humanos.Cabe señalar que de del producto derramado se pudieron recuperar 800 litros de tolueno.</t>
  </si>
  <si>
    <t>Tepeji</t>
  </si>
  <si>
    <t>Ocurrido a las 07:00 horas, en la carretera estatal Cruza Azul-Tepeji, afectando a 40 personas, con 14  lesionadas. Cierre de la carretera durante las labores de rescate. Involucrados un tráiler y un autobús.  La Unidad Estatal de Proteccion Civil informó, que hoy a las 07:00 horas se registró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impcto en la parte posterior de la plataforma. Se desconocen las causas que lo originaron.</t>
  </si>
  <si>
    <t>Se registra un choque entre un tráiler de doble remolque contra un tren, destino México-Irapuato, en el tramo carretero Tula-Tlahulilpan, ene l municipio de Tula. Transportaba 60 toneladas de cemento, de la "Cooperativa Cuauhtémoc", se incendió la cabina donde murió el chofer del tráiler. El chofer se quedó dormido y no vio las señalizaciones del paso del tren. La circulación se vio afectada por más de 2 horas.</t>
  </si>
  <si>
    <t>Daños humanos, cierre temporal de aeropuerto, ocurrido a las 14:40 horas, afcetando a 4 personas. Con el cierre parcial del aeropuerto. Se registra el desplome de una aeronave que se presume pertenece a la Fuerza Aérea Mexicana. Las primeras investigaciones indican que la nave al despegar de la pista se desplomó debido a una explosión. Continúan los trabajos de emergencia por parte de la Fuerza Aérea Mexicana, de la SEDENA y personal autorizado de Emergencias del aeropuerto, asimismo se indica que no hay acceso a ninguna otra dependencia. El Vocero del Gabinete de Seguridad  del Gobierno Mexicano Dr. Alejandro Poiré Romero señaló que en el accidente fallecieron 5 elementos de la Fuerza Aérea Mexicana la tarde de hoy en Monterrey.</t>
  </si>
  <si>
    <t>Juanacatlán</t>
  </si>
  <si>
    <t>Como seguimiento a la desaparición de la avioneta, el C-4 de Mazatlán informó a este Centro de que la avioneta es una tipo CESSNA, con número de matrícula NGI39R, color gris con blanco de Aerogrupos, en la cual viajaban dos personas, el piloto de nombre Manuel Villalta Mejía y el pasajero Carlos David Álvarez Orellana, esta avioneta salió de Mazatlán dirección a Zihuatanejo alrededor de las 15:30 horas. Por otro lado Protección Civil del estado de Michoacán indicó que posiblemente la aeronave aterrizó en el municipio de Juanacatlán, Jal. Aunque esta versión fue desmentida por parte del personal de Protección Civil Jalisco ya que en este municipio no hay aeropista y la torre de control de Guadalajara no tienen registro en sus radares.</t>
  </si>
  <si>
    <t xml:space="preserve">A las 07:00  horas, se registro la volcadura de una camioneta Dodge Ram color blanco con placas de circulación TN-43068 del Estado de San Luis Potosí, la cual cayó en un barranco sobre la carretera Estatal km 16+500 entre la comunidad Joya Frías y comunidad Puerto de Palmas, resultando fallecidas en el lugar 2 personas de nombres: Felipe de Jesús Méndez Lara de 21 años y 2) Reyes Octavio Gonzales Ramírez de 23 años. A las 13:44 horas se informa la recuperación de ambos cuerpos del barranco. </t>
  </si>
  <si>
    <t xml:space="preserve">Accidente Urbano </t>
  </si>
  <si>
    <t>Delegación Álvaro Obregón</t>
  </si>
  <si>
    <t>Ocurrido a las 15:50 horas, con 20 personas lesioandas, por la caída de un templete tubular y de triplay de 40 metros, donde se desarrollaba una boda, en la esquina de Altavista. Los lesionados reportaron quemaduras.</t>
  </si>
  <si>
    <t>Ocurrido a las 14:54 horas. Volcadura de una pipa con capacidad de 40,648 litros de gas LP, con razón social “Global Gas” con placas del tractor 546 DN6 del Servicio Público Federal y placas del tanque 803VX6. El accidente fue ubicado en la carretera Federal 90 km 28 a la altura del  puente de desviación Abasolo, no presento fuga ni se registran personas lesionadas. A las 19:00 horas se da inicio al trasvase del producto, y a las 01:30 hrs., concluyen con las labores de trasiego.</t>
  </si>
  <si>
    <t>Cruz Grande</t>
  </si>
  <si>
    <t>A las 4:30, se reporta una persona con crisis nerviosa, debido a  la volcadura de una pipa que trasportaba gasolina magna, con razón social “Trasporte Cantú”, placas de circulación 730-NE-6, con capacidad de 21500 lts., ubicado sobre la carretera federal Acapulco - Pinotepa, a la altura del km 85+500. La pipa procedía de Acapulco con destino al municipio de Ometepec. En el accidente la unidad motriz quedo recostada a un costado de la cinta asfáltica, sobre su lado derecho derramando combustible, se espera el arribe de la unidad de “Pemex” para realizar las labores de trasvase del producto.</t>
  </si>
  <si>
    <t>El día de hoy a las 08:00 Hrs. en la Autopista Tepic – Guadalajara en el Km. 10 se registró un choque por alcance, de un autobús de la línea TAP Confort que se estrelló contra un tráiler que transportaba láminas de asbesto, lo que originó que 18 personas resultaran lesionadas y a las cuales se les trasladó al hospital Arboledas para su atención. La autopista fue cerrada a la circulación por 30 minutos tiempo en que se realizaron las maniobras de atención de los lesionados. Se desconocen las causas que originaron el accidente.</t>
  </si>
  <si>
    <t>La unidad estatal de protección civil informo que el día de hoy a las 08:30 horas, se registro el choque entre dos trenes uno de la empresa ferrovalle y otro de kansas city lo que provocó la volcadura de un contenedor que transportaba acrilato de butilo y fenol fundido y una maquina. Como medida fue acordonado el lugar, así como la suspensión del tren suburbano. Alrededor de las 10:00 horas, la agencia de seguridad estatal (ASE) y protección civil del estado de México procedieron a la evacuación de unas 300 personas de las colonias la cuchilla y ferronales, como medida precautoria. El servició de trasporte de ferrocarril suburbano, informa que el servicio está confinado en una sola vía y representa un retraso de 20 minutos para los usuarios. Protección civil informa que se localizo líquido derramado en la zona, se determino que es diesel de una de las locomotoras, por lo que no representa mayor riesgo y se encuentra controlado.</t>
  </si>
  <si>
    <t>Perote</t>
  </si>
  <si>
    <t>A las 16:50 horas, con el esplome de 1 helicóptero. Propiedad de la PGR, con matrícula HC-HFJ color azul con blanco. Salió del reclusorio de Villaldama, en la comunidad de Cerro de León, viajaban 6 personas, de las cuales 3 resultaron lesionadas y 3 fallecidas, se desconoce la identidad de las personas, así como las causas del accidente.</t>
  </si>
  <si>
    <t>A las 15:00 se registra una menaza de bomba al interior de la empresa Grupo Industrial Mexicano de Aluminio sa de cv, se evacuaron 30 empleados.</t>
  </si>
  <si>
    <t>Uriangato</t>
  </si>
  <si>
    <t>A las 16:45 Hrs. se registró una volcadura en el libramiento Federal Uriangato- Yuriria en el que se vio involucrada una camioneta pick-up Nissan color blanca sin placas de circulación, en el que resultaron 2 personas lesionadas de nombre Cándida Pérez Ramírez de 71 años Xochilt Chávez Sánchez de 22 años, las cuales fueron atendidas  en el lugar y trasladadas  posteriormente al Hospital General, así como una persona fallecida en el lugar de nombre María Teresa Sánchez de 40 años. Protección Civil Municipal, Seguridad Pública Municipal, Cuerpo de Bomberos Policía Federal Preventiva y SEMEFO.</t>
  </si>
  <si>
    <t>A las 10:50 horas, en la carretera Jorobas-Tula, volcadura con derrame del primer tonel del equipo tipo Full PR-2135 de la compañía transportista Santa Fe S.A. de C.V. el cual transportaba 66,000 L de producto Turbosina. El accidente se presentó en el km 00 de la carretera Jorobas-Tula, en la incorporación a la autopista México-Querétaro, a la altura del puente (caseta) Jorobas. Hasta el momento se desconocen las causas que lo originaron. Cabe mencionar que no se han presentado personas lesionadas, de manera preventiva se realizó la evacuación de las personas que viven en las cercanías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</si>
  <si>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 xml:space="preserve">Por conducir con exceso de velocidad, un conductor de un camión de pasajeros con placas de circulación  611HR3 de la línea México-Coyotepec, perdió el control de la unidad y se impacto contra un puente vehicular resultando una persona fallecida y 10 lesionadas (7 de ellas de gravedad) las cuales fueron trasladadas para su atención al Hospital de traumatología de Lomas Verdes. El siniestro ocurrió en el Km. 39 de la autopista México-Querétaro. </t>
  </si>
  <si>
    <t>Ocurrido a las  6:30 horas. Con 17 lesionados y diversos daños en un autobús de pasajeros. se registró el impacto de un camión de pasajeros contra un tráiler (mismo que se dio a la fuga), en el kilómetro 198 de la carretera Guaymas-Hermosillo, en el municipio de Hermosillo. Debido a lo anterior se reportan 17 personas lesionadas, mismas que fueron trasladadas a hospitales cercanos para su atención médica.</t>
  </si>
  <si>
    <t>Juchitán</t>
  </si>
  <si>
    <t>Ocurrido a las 9:45 horas, en la carretera Acapulco-Pinotepa km 146. Con 2 lesionados, se registro la volcadura de una pipa de gas, placas de circulación RV1727, y con una capacidad de 30 000 litros, con razón social ”Gasera Servigas de Oaxaca”, sobre la carretera federal Acapulco – Pinotepa km 146, a la altura de la Comunidad de Agua Zarca, Municipio Juchitán, Saldo de 2 personas lesionadas: C. Félix Vázquez Herrera, de 28 años de edad, originario de la comunidad de Pinotepa Nacional, Oaxaca, con diagnostico policontundido y herida en región occipital y Gonzalo Rivera Cruz, de 21 años de edad, originario de la comunidad de Pinotepa Nacional, Oaxaca, con diagnostico policontundido y herida en hombro izquierdo y clavícula, fueron  trasladados a la Clínica Privada de la Familia en Marquelia, Gro. Informan que la unidad quedo recostada a un costado de la cinta asfáltica, cabe mencionar que no se registro ninguna fuga por lo que solo se espera el arribo de otra unidad de la misma empresa para realizar el trasvaceo del combustible. Como medida preventiva fue cerrado el tránsito vehicular sobre la carretera.</t>
  </si>
  <si>
    <t>Moroleón</t>
  </si>
  <si>
    <t>A las 10:20 Hrs. se registro un choque en el libramiento sur entronque a la comunidad Tama siro, en el que se vio involucrada una pipa que trasporta gasolina con capacidad de 35,000 litros razón social “Gasolinera Puruandiro” con placas de circulación 627EHS del servicio público Federal, la cual se impacta con una camioneta  blazer color negra con placas de circulación GPW7229 del Estado de Guanajuato, en el que resulto una persona lesionada de nombre 1)Rigoberto Carbajal Luna de 39 años, el cual fue atendido en el lugar y trasladado  posteriormente al Hospital Comunitario.</t>
  </si>
  <si>
    <t xml:space="preserve">El día de hoy a las 04:15 hrs. se recibió un reporte de parte de la Policía Municipal de Cihuatlán sobre un incendio en la comunidad de Jaluco, en la calle Palmitón, frente al numeral 13, se pudo constatar que desgraciadamente se trataba del cuerpo de una persona ya sin vida, que se quemaba debido al contacto con cables de mediana tensión de la Comisión Federal de Electricidad, se procedió a sofocar el incendio que afectaba al cuerpo y posteriormente se solicitó la intervención de personal de la CFE para cortar el suministro de energía y poder liberar los restos del infortunado, a un costado del primer cuerpo se encontró un segundo cadáver, también con huellas de afectación por corriente eléctrica. </t>
  </si>
  <si>
    <t xml:space="preserve">Ocurrido a la 1:54 horas. En la Autopista Mexico-Puebla Km. 33 (caseta de cobro San Marcos).  Con 13  lesionados y 12 muertos. Involucrados 1 tráiler y 7 vehículos. toneladas de varilla, contra siete vehiculos particulares en un punto de revision sobre la Autopista Mexico-Puebla Km. 33  a la altura de la caseta de cobro San Marcos en direccion a la Ciudad de México. Se desconocen las causas que origino el accidente. El trailer (del que se deconoce la razon social) no respeto los señalamientos en el punto de revisión implementado por personal de AFI, donde se encontraban detenidos 7 vehiculos particulares. Se reportan 13 personas lesionadas las cuales fueron trasladadas al Hospital de Polanco del D.F y la Clínica SAME de Chalco. Asi mismo se informa del fallecimiento de 12 personas las cuales fueron trasladadas al SEMEFO de la localidad. Como medida preventiva fue cerrado el transito vehicular en direccion a la CD. dec México, liberado a las 09:50 horas. </t>
  </si>
  <si>
    <t xml:space="preserve">Se registró un choque múltiple entre 3 autobuses de pasajeros y un tráiler en la carretera a Monclova a la altura del libramiento Cruz con Monclova, Colonia Ándres Caballero, perteneciente al municipio de Escobedo. Los vehículos involucrados es un autobús de la empresa “Peñaloza” con con placas 212-972R, un autobús de la empresa “SIR” con placas 638-RJ7, un segundo transporte de la misma empresa con placas 212-239R y un tráiler de “Transportes Remgra” con placas 725-V4. El tráiler se impacto con la unidad de “Peñaloza” resultando de este percance 14 personas lesionadas, mismo que se impactó con el 1er vehículo de la empresa “SIR”, el cual trasportaba empleados del “Grupo Senda”, derivando este un saldo de 5 personas lesionadas más. </t>
  </si>
  <si>
    <t>Ciudad Guzmán</t>
  </si>
  <si>
    <t>a las 12:20 hrs. se registró un accidente en el kilómetro 108 en la autopista Guadalajara-Colima de un vehículo tipo Torton, el cual transportaba linaza, el cual perdió el control, a la altura del Puente Atenquique 1 y terminó impactándose en un extremo de la vía. Derivado del impacto falleció una persona de nombre Raúl Esparza Esparza, de 55 años, quien viajaba como acompañante en el camión; el conductor de nombre Raúl Esparza Frías, de 32 años, hijo del ahora occiso, resultó únicamente con lesiones leves. La unidad invadió ambos sentidos de circulación, lo que provocó el cierre total de la vía durante 30 min. para realizar las labores de remoción del vehículo y limpieza de la carpeta asfáltica, posteriormente la vía fue reabierta parcialmente para el desahogo del tráfico vehicular, mientras continúa la remoción de los despojos.</t>
  </si>
  <si>
    <t>A las 19:05 horas, se registró el impacto de una pipa de gas Lp, contra un camión de volteo y tres vehículos compactos más, esto a la altura del fraccionamiento El Palomar, en el municipio de Guadalajara, las primeras investigaciones indican que la pipa se quedó sin frenos y se impacto contra los otros vehículos. Derivado del accidente se reporta que los dos ocupantes de la pipa fallecieron calcinados y 4 personas más con quemaduras de 2 y 3 grado, mismos que fueron trasladados a hospitales cercanos para su atención médica.</t>
  </si>
  <si>
    <t>Atitalaquia</t>
  </si>
  <si>
    <t>La Unidad Estatal de Protección Civil, informa que el día de ayer a aproximadamente a las  5:45 hrs., se registró un accidente entre un camión de carga contra un autobús perteneciente a la Empresa “Turi-Star”, a la altura de la autopista Arco Norte, cerca de la caseta de cobro de Atitalaquia, dirección Pachuca. Derivado del accidente se reportan 24 personas lesionadas, quienes fueron trasladadas al Hospital General y a la Clínica Particular “Santa Mónica” del Municipio y a la Clínica del IMSS en Tula.</t>
  </si>
  <si>
    <t>A las 07:05 Horas, se registró la volcadura de un autobús de pasajeros sobre la Autopista  México- Puebla, lo que originó el movimiento de los cuerpos de emergencia. En el accidente se reporta, la muerte de 1 pasajero y 15 personas lesionadas, realizándose el corte a la vialidad con dirección al D.F, se informó que al aparecer el autobús se quedo sin frenos y volcó quedando en carriles centrales.</t>
  </si>
  <si>
    <t>Teconoapa</t>
  </si>
  <si>
    <t xml:space="preserve">A las 06:00 hrs., se registro un choque automovilístico, sobre la carretera Federal Tierra Colorada- Cruz Grande, entre el poblado de Buena Vista y Cruz quemada, entre un camión de volteo que trasportaba arena el cual se  impacto contra un autobús de la Empresa “Futura” con procedencia del Estado de México, con destino a San Pedro Jicayan Oaxaca, con placas de circulación 921RKM4 de Servicio Público Federal, donde viajaban 41 pasajeros, de los cuales se reportan 9 personas lesionadas, (4 menores y 5 adultos), quienes fueron trasladadas al Hospital Comunitario del Municipio de Ayutla de los Libres, para su atención médica. </t>
  </si>
  <si>
    <t>Cinco personas afectadas y una avioneta. Desplome de avioneta CESSNA en el aeropuerto "Ponciano Arriaga", viajaban 4 personas y un tripulante.</t>
  </si>
  <si>
    <t>La Unidad Municipal de Protección Civil informó a este Centro que el día de hoy a las 05:45 horas, se registró una volcadura de un autobús de pasajeros en el Km. 34+700 de la carretera México – Tulancingo, perteneciente al municipio de Axapusco. Derivado del accidente resultaron 17 personas lesionadas de las cuales 2 fueron trasladados al Hospital Magdalena de las Salinas y las 15 personas resultantes a la Clínica Materno – Infantil Dr. Meraz, asimismo se informa sobre el deceso de 1 persona que era el operador del autobus.</t>
  </si>
  <si>
    <t>La Unidad Estatal de Protección Civil informó a este centro que el día de ayer a las 20:40 horas, se registró una volcadura de un autobús de pasajeros en la carretera Internacional México 15, entre los poblados Sexto y Séptimo pertenecientes al municipio de Ahome. El autobús de la línea “Tufesa”, con número económico 608, se encontraba saliendo de Culiacán mismo que tenía como destino Tijuana, donde resultaron 22 personas lesionadas.</t>
  </si>
  <si>
    <t>En el estado de Aguascalientes. Se reportan 16 hectáreas de pastizal. 5.5 hectáreas de arbolado adulto  y 23.5  de hectáreas de arbustos y matorrales  afectadas.</t>
  </si>
  <si>
    <t>En el estado de Baja California Se reportan 6218.35  hectáreas de pastizal. 276.25  hectáreas de arbolado adulto, 0.25 hectáreas de renuevo  y 7569.60  de hectáreas de arbustos y matorrales  afectadas.</t>
  </si>
  <si>
    <t>En el estado de Baja California Sur. Se reportan 790.5 hectáreas de pastizal. 116 hectáreas de arbolado adulto  y 258.5 de hectáreas de arbustos y matorrales  afectadas.</t>
  </si>
  <si>
    <t>En el estado de Campeche. Se reportan 182 hectáreas de pastizal. 213 hectáreas de arbolado adulto y 5 de hectáreas de arbustos y matorrales  afectadas.</t>
  </si>
  <si>
    <t>En el estado de Coahuila Se reportan 10.32.50 hectáreas de pastizal. 19 hectáreas de arbolado adulto  y 3559 de hectáreas de arbustos y matorrales  afectadas.</t>
  </si>
  <si>
    <t>En el estado de Colima. Se reportan 230 hectáreas de pastizal, 10  hectáreas de renuevo  y 397 de hectáreas de arbustos y matorrales  afectadas.</t>
  </si>
  <si>
    <t>Para el estado de Chiapas. Se reportan 5721.64 hectáreas de pastizal. 98 hectáreas de arbolado adulto, 629  hectáreas de renuevo  y 1249.75 de hectáreas de arbustos y matorrales  afectadas.</t>
  </si>
  <si>
    <t>Para el estado de Chihuahua reportan 5214.58 hectáreas de pastizal. 109 hectáreas de arbolado adulto, 733 hectáreas de renuevo  y 1632.40 de hectáreas de arbustos y matorrales  afectadas.</t>
  </si>
  <si>
    <t>Para la Ciudad de México. Se reportan 1007.91 hectáreas de pastizal, 25.43 hectáreas de renuevo  y 126.67 de hectáreas de arbustos y matorrales  afectadas.</t>
  </si>
  <si>
    <t>Para el estado de Durango Se reportan 2510 hectáreas de pastizal. 0 hectáreas de arbolado adulto  y 2574 de hectáreas de arbustos y matorrales  afectadas.</t>
  </si>
  <si>
    <t>Para el estado de Guanajuato. Se reportan 60 hectáreas de pastizal y 5 de hectáreas de arbustos y matorrales  afectadas.</t>
  </si>
  <si>
    <t>Para el estado de Guerrero Se reportan 4889.43 hectáreas de pastizal, 0.5 hectáreas de arbolado adulto, 1332  hectáreas de renuevo  y 4490  de hectáreas de arbustos y matorrales  afectadas.</t>
  </si>
  <si>
    <t>En el estado de Hidalgo. Se reportan 132.5 hectáreas de pastizal,0 hectáreas de arbolado adulto, 30.5  hectáreas de renuevo  y 147.8 de hectáreas de arbustos y matorrales  afectadas.</t>
  </si>
  <si>
    <t>En el estado de Jalisco. Se reportan 2985.50 hectáreas de pastizal. 371 hectáreas de arbolado adulto, 342 hectáreas de renuevo  y 2600.50  de hectáreas de arbustos y matorrales  afectadas.</t>
  </si>
  <si>
    <t>En el estado de México. Se reportan 780.39 hectáreas de pastizal. 17 hectáreas de arbolado adulto, 317.75 hectáreas de renuevo  y 2012.01 de hectáreas de arbustos y matorrales  afectadas.</t>
  </si>
  <si>
    <t>En el estado de Michoacán. Se reportan 790.5 hectáreas de pastizal. 116 hectáreas de arbolado adulto y 258.5 de hectáreas de arbustos y matorrales  afectadas.</t>
  </si>
  <si>
    <t>En el estado de Morelos Se reportan 92.25 hectáreas de pastizal. 1 hectáreas de arbolado adulto, 3.6 hectáreas de renuevo  y 179.78 de hectáreas de arbustos y matorrales  afectadas</t>
  </si>
  <si>
    <t>En el estado de Nayarit. Se reportan 88.5 hectáreas de pastizal, 40  hectáreas de renuevo  y 1496 de hectáreas de arbustos y matorrales  afectadas.</t>
  </si>
  <si>
    <t>En el estado de Nuevo león Se reportan 116.66 hectáreas de pastizal. 75.5 hectáreas de arbolado adulto, 15.75  hectáreas de renuevo  y 405.27 de hectáreas de arbustos y matorrales  afectadas.</t>
  </si>
  <si>
    <t>En el estado de Oaxaca. Se reportan 5159 hectáreas de pastizal. 1635 hectáreas de arbolado adulto, 1095  hectáreas de renuevo  y 5290.31 de hectáreas de arbustos y matorrales  afectadas.</t>
  </si>
  <si>
    <t>En el estado de Puebla Se reportan 2034.01 hectáreas de pastizal. 1013 hectáreas de arbolado adulto, 48.25  hectáreas de renuevo  y 2727.89 de hectáreas de arbustos y matorrales  afectadas.</t>
  </si>
  <si>
    <t>En el estado de Querétaro Se reportan 8 hectáreas de pastizal. 32 hectáreas de arbolado adulto. 188.5 de renuevo   y 528.5 de hectáreas de arbustos y matorrales  afectadas.</t>
  </si>
  <si>
    <t>En el estado de Quinta Roo. Se reportan 82 hectáreas de pastizal. 1400 hectáreas de arbolado adulto, 1 hectáreas de renuevo  y 4255.50  de hectáreas de arbustos y matorrales  afectadas.</t>
  </si>
  <si>
    <t>En el estado de San Luis Potosí Se reportan 142.5 hectáreas de pastizal. 10 hectáreas de arbolado adulto, 18  hectáreas de renuevo  y 328.5 de hectáreas de arbustos y matorrales  afectadas.</t>
  </si>
  <si>
    <t>En el estado de Sinaloa. Se reportan 859 hectáreas de pastizal. 123 hectáreas de arbolado adulto, 126  hectáreas de renuevo  y 712 de hectáreas de arbustos y matorrales  afectadas.</t>
  </si>
  <si>
    <t>En el estado de Sonora Se reportan 5136.20 hectáreas de pastizal y 170 de hectáreas de arbustos y matorrales  afectadas.</t>
  </si>
  <si>
    <t>En el estado de Tabasco. Se reportarón1230 de hectáreas de arbustos y matorrales  afectadas.</t>
  </si>
  <si>
    <t>En el estado de Tamaulipas Se reportan 368.5 hectáreas de pastizal. 2 hectáreas de arbolado adulto, 5  hectáreas de renuevo  y 169.5 de hectáreas de arbustos y matorrales  afectadas.</t>
  </si>
  <si>
    <t>En el estado de Tlaxcala Se reportan 342.5 hectáreas de pastizal, 7.75  hectáreas de renuevo  y 150 de hectáreas de arbustos y matorrales  afectadas.</t>
  </si>
  <si>
    <t>En el estado de Veracruz Se reportan 125.75 hectáreas de pastizal. 12 hectáreas de arbolado adulto, 79.62 hectáreas de renuevo  y 1016.08 de hectáreas de arbustos y matorrales  afectadas.</t>
  </si>
  <si>
    <t>En  el estado de Yucatán Se reportan 1225.10 hectáreas de pastizal. 373.2 hectáreas de arbolado adulto, 2  hectáreas de renuevo  y 1843.10 de hectáreas de arbustos y matorrales  afectadas.</t>
  </si>
  <si>
    <t>En  el estado de Zacatecas Se reportan 1044 hectáreas de pastizal, 49 hectáreas de renuevo  y 606.5 de hectáreas de arbustos y matorrales  afectadas.</t>
  </si>
  <si>
    <t>Se registró la volcadura de un tráiler que transportaba tierra. El accidente se presentó en el kilómetro 108 de la autopista Guadalajara-Colima, en el municipio de Tuxpan. Derivado de la volcadura el vehículo se desplomó unos 100 metros a una barranca que se encontraba a un costado de la carretera. El conductor del tráiler  falleció dentro de la unidad.</t>
  </si>
  <si>
    <t>Tehuacan de Guerrero</t>
  </si>
  <si>
    <t>La comunidad de Texcapa del municipio de Tepehuacan de Guerrero, al estar comiendo carne se intoxicaron 28 mujeres y 18 hombres de los cuales fallecio 1.</t>
  </si>
  <si>
    <t>Tlapa de Comonfort</t>
  </si>
  <si>
    <t>Debido a la fuerte lluvia, acompañada de granizo de tamaño de entre uno y 2 centímetros de diámetros, con una duración de tres horas se reporto un derrumbe en la Carretera Federal Tlapa-Chilpancingo km 162, obstruyendo un carril con dirección a Chilpancingo. Se registro una inundación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Sinaí del Municipio de Tlapa de Comonfort.</t>
  </si>
  <si>
    <t>San Marcos</t>
  </si>
  <si>
    <t>Se registro un accidente automovilístico sobre la carretera federal Acapulco – Pinotepa, en  el  kilómetro 40, municipio de San Marcos, un choque con 3 vehículos en los que se vieron involucrados, un tráiler, una camioneta  y un taxi , reportando 4 personas fallecidas las cuales viajaban en el Taxi quienes quedaron prensados y 5 personas más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</si>
  <si>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</si>
  <si>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Irapuato, Abasolo, Salvatierra</t>
  </si>
  <si>
    <t>Debido a las lluvias se han registrando las siguientes afectaciones. Irapuato; afectaciones por una lluvia Intensa e insuficiencia del drenaje, provocando  encharcamientos  a nivel de banqueta  en varias vialidades, asi como penetración de agua con  niveles de  hasta 40 cm., en las colonias, Plan Guanajuato - Calle Celaya con 12  viviendas, La Colonia los Hoyos con 12 viviendas, en la Colonia Prolongación la Moderna - Calle  Juan de Urbina con 3 viviendas y el Fraccionamiento  los Cobos sin datos de viviendas, alcanzando un tirante de 10  a 30 cm., se reporta la caída de 11 arboles en diferentes puntos de la ciudad. Abasolo. Se presentaron afectaciones por lluvias  fuertes e insuficiencia del drenaje en la calle Guanajuato, Colonia Guadalupe, con introduccion de agua de niveles de 40 a 50 cm, se desconoce el número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</si>
  <si>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</si>
  <si>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</si>
  <si>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Delegacion Gustavo A Madero</t>
  </si>
  <si>
    <t>Una colonia afectada, en 10 viviendas y varias fábricas. Por el desbordamiento del río de los Remedios, debido a la caída de un árbol que abrió un agujero. 10 calles presentaran inundaciones con diversos tirantes de agua (al momento los niveles alcanzan los 10 a 20 centímetros). A esta hora se trabaja en la colocación de costaleras en el lugar del boquete para controlar la fuga, la cual está disminuyendo considerablemente.</t>
  </si>
  <si>
    <t>Nuevo Casas Grandes</t>
  </si>
  <si>
    <t xml:space="preserve">Incendio en una bodega donde se almacenan químicos y fertilizantes para árboles y siembra. Debido a los gases que se pudieran haber generado, fue acordonada la zona y como medida preventiva se evacuaron dos cuadras aledañas a la zona afectada (aproximadamente 240 personas), para evitar algún tipo de intoxicación. </t>
  </si>
  <si>
    <t>Se registró la caída de una avioneta Tipo CESSNA. La nave se desplomo momentos  antes de aterrizar, cayendo en un terreno aledaño, cercano al panteón municipal. En el accidente resultaron 3 personas  fallecidas, así como un lesionado reportado como grave. Se desconocen las causas del siniestro, no se registraron daños a la población.</t>
  </si>
  <si>
    <t>Angel R Cabada</t>
  </si>
  <si>
    <t>Se registro la volcadura de una Pipa doble remolque, que transportaba 32,000 lts de Crudo, sobre la carretera de terracería entre al Tramo Brazo de La Palma - Al Tropico. La Pipa con razon social “Logistica y Liquidos S.A. de C.V.”, presento derrame de aproximadamente 20,000 litros de producto.</t>
  </si>
  <si>
    <t>El desplome del puente vehicular debido al peso de un tráiler que transportaba maquinaria pesada, ubicado en el municipio de Huimanguillo. Este puente atravesaba el rio Blasillo y comunicaba de Huimanguillo a la Comunidad Villa la Venta. No se reportaron daños humanos.</t>
  </si>
  <si>
    <t>Parte del edificio de la compañía Halliburton en Tabasco 2000 se desplomó sobre unos vehículos estacionados en la zona. Los trabajadores de la empresa que se hallaban dentro del edificio fueron evacuados al exterior. Al menos uno de los vehículos afectados, una camioneta de modelo reciente, se reporta hecha pedazos. Se reportaron 6 lesionados.</t>
  </si>
  <si>
    <t>17 municipios</t>
  </si>
  <si>
    <t>5to. año consecutivo de inundaciones. En este caso se consideraron desde noviembre a septiembre. Es el segundo año más costo después de 2007. El sector de carreteras  fue el más afectado.</t>
  </si>
  <si>
    <t>Se registro la caida de una avioneta tipo Cessna matricula XB-DKF,  en un lote baldío, a espaldas del “Aurrera Quiroga”. Informo la torre de control del Aeropuerto que esta avioneta despegó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</si>
  <si>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registró un accidente aéreo de una avioneta sesna con matricula XB-CXT cargada de fumigante, misma que al tratar de despegar de la pista de aterrizaje se volcó.</t>
  </si>
  <si>
    <t>Se desarrolló un sistema de tormenta local entre las sindicaturas de Higueras y RosarioSe presentaron inundaciones en las zonas bajas del municipio, mientras que el arroyo de los jabalines se desbordó en la mayor parte de su canal. Se contabilizaron un aproximado de 3,004 viviendas afectadas.</t>
  </si>
  <si>
    <t>Se registró un accidente carretero de una Pipa que trasportaba Diesel, con capacidad de 20,000 litros y la cual iba a un 85% de su capacidad. El accidente se registró a la altura de la comunidad Maxtaco, perteneciente al Barrio de Chingaulingo, se informa que el chofer al parecer perdió el control de la unidad en una pendiente cayendo a un barranco donde se ubicaba una construcción en obra negra, derivado del percance se produjo un derrame del producto lo que ocasionó explosión e incendio quedando la cabina fundida, falleciendo el chofer.</t>
  </si>
  <si>
    <t>Tehuantepec</t>
  </si>
  <si>
    <t>Una muerte, por la caida de un rayo a consecuencia de las lluvias.</t>
  </si>
  <si>
    <t>Se registro el derrumbe de una tienda COPPEL, ubicada en Av. Oaxaca, S/N, resultando 2 personas fallecidas y 1 lesionada. Las investigaciones realizadas indican que las causas se debieron a la saturacion del suelo por las lluvias registradas.</t>
  </si>
  <si>
    <t>San Miguel Huautepec</t>
  </si>
  <si>
    <t>Debido a las lluvias que se presentaron en el poblado el Camaron Huautepec, se registro la bajada de agua de un arroyo hacia la carretera lo que ocasiono el deslave del Cerro Yano de Ornicas, llevándose a su paso una vivienda de 3 x 5 mts construida de material endeble, encontrandose dentro de ella una familia integrada por 7 personas (dos adultos y 5 menores) , siendo arrastrados entre el agua y lodo, sobreviviendo sus padres y 4 hermanos.</t>
  </si>
  <si>
    <t>Santa Catarina, Garcia</t>
  </si>
  <si>
    <t>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</si>
  <si>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prendió fuego a las instalaciones del Casino Royale. Se registrarón afectaciones en el inmueble así como la muerte de al menos 53 personas así como varios lesionados. Los responsables de provocar el incendio estan relacionados con el crimen organizado.</t>
  </si>
  <si>
    <t>Se registro un incendio en edificio de venta de telas, se desconocen las causas que lo originaron, reportan a cinco personas con intoxicación y crisis nerviosa atendidas en el lugar por paramédicos de Cruz Roja. Se consumió el edificio de 2 niveles, materias primas y un bar que se localizaba en la planta baja.</t>
  </si>
  <si>
    <t>Se registró la volcadura e incendio de una pipa de doble remolque en la autopista Miguel Alemán Km 000+200 La Pera – Cuautla, un kilómetro antes de la caseta. Los remolques transportaban 34,000 Lts. de gasolina cada uno. Uno de ellos volcó y se incendió al igual que la cabina.</t>
  </si>
  <si>
    <t xml:space="preserve">Volcadura, del autobús de la empresa Primera Plus en la autopista Pazcuaro-Morelia. informando, que se trató de una falla en uno de los neumáticos, el cual provocó que saliera del acotamiento, una persona resulto lesionada, la cual fue trasladada a la clínica del  ISSSTE de Patzcuaro,  para su valoración. No  fue afectada la vialidad y La Unidad fue arrastrada por una grúa de la misma empresa, trasladando a  los pasajeros  hacia su destino en otra unidad. </t>
  </si>
  <si>
    <t>Se reporta autobús de pasajeros sobre la autopista Guadalajara-México, en el poblado el Porvenir, perteneciente al municipio de Cuitzeo, se desconocen las causas que originaron el accidente. El autobús pertenecía a la empresa “La Línea” y cubría la ruta de Manzanillo-Morelia. Como resultado del accidente se reportan 15 personas lesionadas y dos más fallecidas.</t>
  </si>
  <si>
    <t>Chalco, Valle de Chalco</t>
  </si>
  <si>
    <t>Se registró la ruptura de una de las paredes del canal de la “Compañía”, Chalco.- Se realizan trabajos de limpieza de las zonas afectadas y de algunas viviendas en las cuales se registró penetración de aguas negras y basura, personal del H. Ayuntamiento envía pipas con agua y cloro, para apoyar en los trabajos de limpieza. Se menciona que ya finalizaron los trabajos de reparación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trasladándolas a un lugar seguro del mismo municipio</t>
  </si>
  <si>
    <t xml:space="preserve">Un accidente múltiple en el que se vieron involucrados  9 vehículos,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t>
  </si>
  <si>
    <t>De la Barca</t>
  </si>
  <si>
    <t>Caída de una avioneta tipo Cesna, en el Municipio de la Barca, en un Poblado  llamado El Carrasqueño; se desconoce por el momento la Matricula y el destino de la aeronave, se confirma 4 personas Lesionadas y 2 Fallecidos.</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</si>
  <si>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</si>
  <si>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</si>
  <si>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Atoyac de Alvarez</t>
  </si>
  <si>
    <t>Derivado de las fuertes lluvias registradas, se presento un derrumbe de cerro en la comunidad del Paraiso, del municipio de Atoyac de Alvarez, sobre una vivienda, donde dormían 5 personas, mismas que fallecieron en el lugar.  Las constantes lluvias provocaron el reblandecimiento de tierra y cayo sobre cinco viviendas de madera y lamina de cartón, en la localidad de El Paraiso.</t>
  </si>
  <si>
    <t>Delegacion Alvaro Obregon, Benito Juarez, Coayoacan, Cuauhtemoc, Gustavo A. Madero, Iztacalco, Iztapalapa, Miguel Hidalgo, Tlahuac, Tlalpan y Venustiano Carranza.</t>
  </si>
  <si>
    <t>Se presentaron fuertes vientos en las delegaciones Álvaro Obregón, Benito Juárez, Coayoacán, Cuauhtémoc, Gustavo A. Madero, Iztacalco, Iztapalapa, Miguel Hidalgo, Tláhuac, Tlalpan y Venustiano Carranza, lo que provocó la caída de 37 árboles (dos de ellos cayeron sobre varios vehículos) y 8 anuncios espectaculares.</t>
  </si>
  <si>
    <t>Delegaciones, Gustavo A. Madero, Venustiano Carranza</t>
  </si>
  <si>
    <t>Se registraron fuertes lluvias ocasionando afectaciones a 867 viviendas de varias delegaciones con tirantes desde 30 cm. Hasta 80cm. Al interior de las viviendas, además se registraron afectaciones en la Tienda Departamental Chedraui y en diversas vialidades. Además se reporta la muerte de dos personas</t>
  </si>
  <si>
    <t>Se presentó el deslizamiento de tierra dentro de una zanja, cuando realizaban trabajos de cimentación para la Cooperativa Pascual Boing. Derivado de lo anterior se reporta la muerte de una persona, asimismo, otra persona resultó con diversas lesiones.</t>
  </si>
  <si>
    <t>Delegacion Beinito Juarez</t>
  </si>
  <si>
    <t>En Colonia San Pedro de los Pinos, se presentó una grieta de aproximadamente 12 metros de profundidad y 8 metros de ancho, afectando 2 edificios con dañados en su estructura, personal de protección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</si>
  <si>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víctima de que un arroyo socavó la carretera provocando un hundimiento al cual cayó el vehículo que conducía, murió de un infarto por la impresión.</t>
  </si>
  <si>
    <t>Fuga de gas natural  en el área de la Unidad Deportiva de dicho municipio. Como medida preventiva fueron evacuadas 1,500 personas del TEC de San Pedro, CONALEP, de las empresas Wrangler, La Tijera y del Centro Caprino y acordonaron 500 metros a la redonda. PEMEX informó que la fuga se presentó en un gaseoducto de 16”, que se ubica en el kilómetro 283+750, en el tramo Santa Catarina-Estación Chávez.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</si>
  <si>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</si>
  <si>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máquina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</si>
  <si>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Derivado de las fuertes lluvias registradas el día de hoy,  se presentaron escurrimientos del “Arroyo Seco”, que baja del cerro de la parte alta de San Cristóbal y pasa por debajo de la cinta asfáltica del tramo carretero Chiapas de Corzo a Villa de Alcalá, ocasionando encharcamientos en  la carretera y en varios domicilios del poblado la Esperanza. De manera precautoria se habilitó un refugio temporal en la Escuela Primaria Federal 21 de Octubre de 1863, donde fueron trasladadas 16 familias (57 personas, de las cuales son 36 adultos, 18 mujeres y 18 hombres y 21 menores de edad, 12 niñas y 9 niños), a quienes el DIF Municipal y Protección Civil del municipio proporcionaron colchonetas, cobertores, bebidas y kits de limpieza.</t>
  </si>
  <si>
    <t>Fallecimiento de un menor de 4 años de edad y 3 lesionados, por la madrugada, en la comunidad Altamirano, del Municipio de Mapastepec.  El accidente se produjo por el deslizamiento de un cerro reblandecido por las lluvias y llevándose entre los montículos de tierra la vivienda de dichas personas.</t>
  </si>
  <si>
    <t>Se registro la explosión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</si>
  <si>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</si>
  <si>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</si>
  <si>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Un incendio en una de las aulas del tercer piso del interior del jardín de niños “Amado Nervo” ubicada en Carretera Nacional a Acapulco- México S/N Colonia las Cruces. Los daños fueron en mobiliario escolar, se cree que incendio se provocó a causa de un corto circuito en el cuarto de instalación de enfriamiento, se realizó la evacuación de 180 personas entre niños y  personal del mismo jardín de niños.</t>
  </si>
  <si>
    <t>Se registró un choque entre un autobús de turismo de la “Línea Transportes Tlaxcala Huamantla” y un Torton que transportaba Ladrillos. Se informa que en el autobús viajaban 40 alumnos de la Escuela Secundaria “Coatextan”, procedentes de Puebla, quienes se dirigían a Veracruz. El accidente se registró sobre la carretera Xalapa Tamarindo a la altura de Cerro Gordo. Se reporta un fallecimiento  y 15 lesionados.</t>
  </si>
  <si>
    <t xml:space="preserve">Minatitlan </t>
  </si>
  <si>
    <t>Infraestructura Dañada: 3 autobuses (1 de Linea y 2 turisticos). Se registró un choque por alcance entre dos autobuses turisticos y un autobus de linea ADO, en la carretera Veracruz – Tabasco Tramo la Veronica-Otepan a la altura de Lazaro Cardenas.  Se reportan 16 personas lesionadas.</t>
  </si>
  <si>
    <t>Juan Rodriguez Clara</t>
  </si>
  <si>
    <t>Se presento un derrame de combustóleo, debido a una toma clandestina, de un ducto de 12”, controlado mediante el cierre de la válvula esférica de 2” y se colocó un tapón metálico en el lugar del derrame.</t>
  </si>
  <si>
    <t xml:space="preserve">Explosión en una bodega (clandestina) donde se almacenaba pólvora. Debido a  explosión se registra un fallecimiento. Se desconocen las causas de dicha explosión. </t>
  </si>
  <si>
    <t>En una fabrica de hielo y agua registro una fuga de Amoniaco, dentro de la planta al estar purgando una válvula de desfogue de la maquina que hace hielo la cual estaba cargada con Amoniaco .Se desconoce la cantidad de producto fugada. Como medida de seguridad se evacuaron a 38 trabajadores de la planta, aunque el químico se diluye de inmediato.</t>
  </si>
  <si>
    <t>Accidente de un Autobús de pasajeros, en la Carretera a Nogales km. 4, el cual se impactó contra un contenedor. Las aparentes causas se debieron a que el conductor se quedó dormido, quien quedó prensado dentro de la unidad y sin signos vitales, se reportan 11 personas lesionadas.</t>
  </si>
  <si>
    <t>Tormenta severa</t>
  </si>
  <si>
    <t>Una muerte por caida de rayo. En la atención participo  Protección Civil Municipal y elementos de SSP Municipal.</t>
  </si>
  <si>
    <t xml:space="preserve">Se registró la volcadura de una pipa con una capacidad de 20,000 litros, que transportaba 12,000 litros de diesel. El accidente se presentó en la colonia Bachihualato, en el municipio de Culiacán. Derivado del accidente se registró una fisura en la pipa provocando un derrame del producto, mismo que alcanzó a llegar a un canal de riego. </t>
  </si>
  <si>
    <t>Escuinapa y Rosario</t>
  </si>
  <si>
    <t xml:space="preserve">Se registraron intensas lluvias en los municipios mencionados ocasionando daños en infraestructura hidráulica, carretera y educativa.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</si>
  <si>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</si>
  <si>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Coyomeapan y San Gabriel Chilac</t>
  </si>
  <si>
    <t xml:space="preserve"> Debido a los fuertes vientos ocasionaron que en los municipios Coyomeapan resultaran afectadas 61 casas en sus techos y San Gabriel Chilac 41 casas en sus techos (material endeble). No reportan personas lesionadas, personal de protección civil estatal y municipal acudieron a la zona y después de contabilizar, se entregaron apoyos consistentes de laminas de cartón a las familias afectadas. Cabe mencionar No se implementaron refugios temporales.  </t>
  </si>
  <si>
    <t xml:space="preserve">Se registro un  accidente  carretero por alcance entre un tráiler y un camión Torton que transportaba peregrinos procedentes de Tepeaca, Puebla cuando se dirigian a la ciudad de México,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</si>
  <si>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</si>
  <si>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registró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trabajó con cal y agua para neutralizar los vapores del producto. </t>
  </si>
  <si>
    <t xml:space="preserve">Se registro un choque por alcance. Entre un autobus y un camión Tipo Torton. Sobre la autopista Puebla - Orizaba Km. 181+900. Se desconocen las causas que lo originaron, la posible causa se debió a la poca visibilidad en la zona y la falta de precaución.  Resultaron nueve personas lesionadas. Tres de gravedad y seis con lesiones leves.  </t>
  </si>
  <si>
    <t>Se registro un accidente en el que participaron un autobús de pasajeros de la linea Estrella Blanca, una pipa y un automovil particular, en el accidente resultaron 16 personas lesionadas.</t>
  </si>
  <si>
    <t>Volcadura del autobus de pasajeros, sobre el periférico ecologico, municipio de Puebla, resultando una persona fallecida  de sexo femenino  y 19 lesionados, reportaron que el autobus es de la  línea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</si>
  <si>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</si>
  <si>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</si>
  <si>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</si>
  <si>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Indígenas, en el resto de las familias se trasladaron con amigos y/o parientes. En el municipio de Tlachichuca, se reportó un deslave en el kilómetro 2+200 del tramo carretero Timiztlán-Analco, mismo que obstruyó en su totalidad la circulación. </t>
  </si>
  <si>
    <t>La explosión de un polvorín en 36 metros cuadrados de un taller de pirotecnia, debida al mal manejo de la pólvora utilizada para la elaboración de juegos pirotécnicos.</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</si>
  <si>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vehículo particular para que el autobus terminara volcandoce en una zanja.</t>
  </si>
  <si>
    <t>En el kilometro 42 de la carretera Lechería –Texcoco con dirección al Distrito Federal. se registró  la volcadura de una pipa que trasportaba gas LP. Esto se origino por un percance con dos vehículos.</t>
  </si>
  <si>
    <t>Se registró una volcadura sobre el kilómetro 23 de la Carretera a Nogales, de una Pipa cargada con 10,000 Lts., de Gas LP., la cual iba al 50% de su capacidad.  Derivado de este accidente se presentó una fuga mínima, siendo controlada por los especialistas en materiales peligrosos de la dependencia y evitar algún riesgo de mayores consecuencia, se procedió al trasvase del gas hacia otro contenedo.</t>
  </si>
  <si>
    <t>Se registró una explosión en una Bodega  de un  polvorín, el que contaba con los permisos correspondientes, ubicado en la calle Abasolo del Municipio de Zacoalco,  en el almacén se encontraba un recipiente con capacidad de 520 kilos el cual contenía pólvora, se desconoce la cantidad contenida en el recipiente, así como las causas que originaron la explosión. En el lugar se reportó una persona lesionada con quemaduras en un 45% de su cuerpo.</t>
  </si>
  <si>
    <t>Tlacotepec, San Miguel Totoloapan, Atoyac.</t>
  </si>
  <si>
    <t>Se registraron afectaciones en los techos  de carton de 145 viviendas,   debido a la fuerte lluvia que acompañada de granizo cayo por espacio de una hora en las Localidades de  El frío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población de Campamento de Vaca. Una persona  de 23 años resulto lesionada por la caida de un rayo sobre su vivienda.</t>
  </si>
  <si>
    <t>Se registró el incendio de 4 contenedores con capacidad de 45, 000 litros, así como 20 barriles con capacidad de 200 litros con combustóleo, los hechos se registraron al interior de un predio ubicado en el Libramiento Sur Valle de Santiago – Celaya, donde de manera ilícita se vendía el combustóleo. En este incidente un masculino de 18 años resultó  lesionado por quemaduras, siendo atendido en el lugar y posteriormente trasladado al Hospital de Emergencias Respiratorias.</t>
  </si>
  <si>
    <t>Gomez Palacios</t>
  </si>
  <si>
    <t>Se registro un accidente en la carretera Federal Gómez Palacio-Bermejillo a la altura del km 30 a la altura del Ejido 6 de Octubre, en donde fueron involucrados un taxi sentra color blanco del área local, contra un autobús de pasajeros de la línea Transportes Comarca, resultando 1 persona muerta y 40 personas lesionadas.</t>
  </si>
  <si>
    <t>Se registró una volcadura de un Microbús de la Ruta 17, en la calzada Ermita – Iztapalapa en la Col. La Hera; Debido a un alcance contra otro vehículo, resultando con lesiones 19 personas, las cuales fueron trasladadas a diversos hospitales para su valoración.</t>
  </si>
  <si>
    <t>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público para deterinar las causas del accidente.</t>
  </si>
  <si>
    <t>Delegacion Miguel Hidalgo</t>
  </si>
  <si>
    <t>Se registró una explosión dentro de las instalaciones de SEDENA, en la fábrica de armas ubicada en Industria Militar y Periférico. La explosión se registró en el área de cocina, debido a la acumulación de Gas LP, cuando se preparaban los alimentos. Derivado de este incidente se reporta una persona lesionada la cual fue trasladada al Hospital Militar para su atención inmediata.</t>
  </si>
  <si>
    <t>Delegacion Cuahutemoc</t>
  </si>
  <si>
    <t>Se registro  un accidente entre un camion torton y un camión escolar, en Calle Abedules y Chopo, Colonia Santa Maria la Ribera. Se informa que el autobús transportaba 38 alumnos del Colegio Justo Sierra, se reportan 25 alumnos con lesiones menores.</t>
  </si>
  <si>
    <t>Delegacion Iztacalco</t>
  </si>
  <si>
    <t>Se produjo un corto circuito entre las estaciones del metro  Santa Anita y La Viga de la línea 8, que corre de Garibaldi a Constitución de 1917,  provocando la ponchadora de una de las llantas de uno de los vagones del convoy. Como medida preventiva se evacuó un aproximado de 839 personas mismas que se trasladaron por las vías del tren. 32 personas presentaron crisis nerviosa, mismas que fueron atendidas en el lugar y 7 presentaron intoxicación por inhalación de humo, siendo trasladadas  al hospital de Durango en la colonia Roma.</t>
  </si>
  <si>
    <t>Delegacion Cuauhtemoc</t>
  </si>
  <si>
    <t>Explosion en una mufa,  entre las calles Revillagigedo e Independencia, Col Centro delegacion  Cuauhtemoc, señalando que 5 personas fueron atendidas en el lugar por crisis nerviosas,  por el momento se desconocen las causa que lo  originaron.</t>
  </si>
  <si>
    <t>Se presentó un flamazo en una casa habitación ubicada en la calle Acámbaro. A consecuencia del incidente se reporta una persona  con quemaduras de primer grado. Hasta el momento se desconocen las causas que originaron el incidente.</t>
  </si>
  <si>
    <t>Valle de Allende</t>
  </si>
  <si>
    <t xml:space="preserve">Desplome de una avioneta tipo cessna matricula XBTAP, la cual era tripulada por estudiantes del Centro Cultural Universitario, la aeronave no logró tomar altura, enredándose con cables de alta tensión, dando un giro de 360° y cayendo de punta, en el accidente fallecieron cuatro personas. </t>
  </si>
  <si>
    <t>Durante la calenda que hacia su paso en el centro, y donde se encontraba la mayor cantidad de personas una de las carretas que trasladaba cohetones, fue alcanzada por una chispa de un torito de luces, generando una fuerte explosión, ocasionando 18 personas, lesionadas  con quemaduras de primer grado, cortadas y golpes  ninguno de gravedad,. Asimismo resultaron daños  a las viviendas (vidrios rotos).</t>
  </si>
  <si>
    <t>Se registró un incendio en la Plaza Comercial “Las Américas”. El incendio inició en uno de los locales donde se vende comida rápida, originado por la acumulación de grasa en el establecimiento y que en el segundo nivel se encontraba un negocio donde se comercializaban plásticos y unicel, por lo que el incendio se propagó con mayor rapidez, de manera preventiva se evacuaron a los comensales y público en general que se encontraba en el área, dos personas fueron atendidas en el lugar por intoxicación, mismas que no ameritaron traslado para su atención.  Con 2 lesionados.</t>
  </si>
  <si>
    <t>Volcadura de un tráiler que transportaba 15 toneladas de acero en diferentes modalidades.  Dicho tráiler venía conducido a exceso de velocidad, mismo que no alcanzó a frenar debido a lo pesado de la carga, impactándose contra un montículo de arena, asimismo el conductor perdió el control provocando su volcadura.Debido al accidente los dos tripulantes perdieron la vida en el lugar.</t>
  </si>
  <si>
    <t>San Juan Evangelista</t>
  </si>
  <si>
    <t>Se registro un choque por alcance, entre un autobús de pasajeros de la Línea Sur contra una camioneta marca Nissan, tipo pick up, el accidente se registro en la carretera Transísmica, a la altura del poblado Quetzalapa, en el municipio de San Juan Evangelista, en el accidente resultaron 11 personas lesionadas.</t>
  </si>
  <si>
    <t>Se tuvo conocimiento de un accidente de una ambulacia de Protección Civil del Estado de Michoacan , en la carretera Cordoba – Veracruz en el km 30 + 200, resultando un paramedico muerto y el otro resulto lesionado.Se registro por volcadura de la ambulancia la cual se dirijia al Estado de Veracruz para el traslado de una persona para su atención medica en el estado de Michoacan.</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</si>
  <si>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</si>
  <si>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vehículos y 1 vivienda sin que se tenga reporte de personas lesionadas.</t>
  </si>
  <si>
    <t>62 Muncipios</t>
  </si>
  <si>
    <t>Se registraron intensas lluvias provocadas por los efectos de la entrada en la zona norte de la entidad de la tormenta tropical “Arlene”, que impactó en diversos sectores.</t>
  </si>
  <si>
    <t>CENAPRED/FONDEN</t>
  </si>
  <si>
    <t>Se reportó la volcadura de una Pipa con capacidad de 31,000 lts. La cual  trasportaba Hipoclorito de Sodio, con razón social “Itasa”, del Servicio Público Federal (se informa que le trasportaba a la Empresa “Erazo”), asimismo se informa que la pipa iba a su capacidad máxima. El accidente se registró en la Carretera federal Cuautempan, Puebla Km. 7+500 a la altura del Barrio de San Cosme.</t>
  </si>
  <si>
    <t>Tlaxcala, Totolac, Xaltocan, Panotla, Hueyotlipan, San Lucas Tecopilco, Atlangatepec, Tlaxco, Muñoz De Domingo Arenas</t>
  </si>
  <si>
    <t>Debido a las lluvias acompañadas de granizo,  se reportaron en Tlaxcala 9 municipios con afectaciones principalmente en sus techos de láminas de cartón y de asbesto, haciendo un total de 815 viviendas. Siendo un total de 680 viviendas con daños en techos de asbesto y cartón. Viviendas con registro de daños por encharcamiento: 135. Siendo un total de 11 personas hospitalizadas por heridas craneoencefálicas.</t>
  </si>
  <si>
    <t>Se presentaron fuertes vientos (algunas versiones indican que posiblemente fue un tornado), en la comunidad de Villa de las Flores, del municipio de Atlangatepec, donde se vieron afectados los techos de 6 viviendas, afectaciones en 3 bodegas, la caída de 2 anuncios espectaculares y afectaciones en señalamientos viales. No se reportan daños humanos.</t>
  </si>
  <si>
    <t>Panotla, Totolac, Tlaxcala, Chicotizinco</t>
  </si>
  <si>
    <t>Debido a las lluvias que se han generado en la mayor parte del estado, se reporta el desbordamiento del Rio Zahuapan; Afectando los municipios de Panotla, Totolac, Tlaxcala, Chicotizinco, siendo los siguientes daños; Reportan 40 viviendas afectadas las cuales presentaron anegación de agua en su interior con un tiraje de 15 a 20 cm. En el municipio de  Chicotizinco, 5 de las 40 viviendas, su afectación fue mayor debido a que el tiraje del agua alcanzó los 50 cm 5 familias fueron evacuadas de sus viviendas y permanecen con familiares, por lo que no fue necesaria la instalación de algún albergue.</t>
  </si>
  <si>
    <t>Isla</t>
  </si>
  <si>
    <t xml:space="preserve">Se registró una explosión de jugos pirotécnicos, los cuales eran trasportados en una Camioneta Estaquita,  la cual circulaba sobre el Km. 155 de la Carretera Villahermosa – Cárdenas, cuando sobrevino la explosión, desconociéndose las causas de esta. Se reporta el fallecimiento de las dos personas que viajaban en la camioneta la cual quedó con pérdida total. </t>
  </si>
  <si>
    <t>Se registró la volcadura una pipa de doble remolque que trasportaba diesel, sobre la Carretera estatal Agua-Prieta Jano, las causas se debieron a que  el segundo tanque se desprendió debido a la quebradura del gancho de agarre, sobreviniendo así la volcadura del tanque trasero derramando casi la totalidad de este de 17,000 litros.</t>
  </si>
  <si>
    <t>Derivado de la intensa lluvia registrada en la fecha señalada, se presentaron daños en 2 centros de salud, infraestructura carretera y urbana. Desafortunadamente dos menores perdieron la vida</t>
  </si>
  <si>
    <t>Mazatlan, Elota, San Ignacio, Rosario</t>
  </si>
  <si>
    <t xml:space="preserve">Se reportan 32 colonias afectadas por desbordamiento del arroyo Jabalíes, llegando a alcanzar una altura de inundación de 1.8 mts. Se realizó la evacuación preventiva de 42 personas, trasladándolas a los refugios temporales habilitados. Se reportó un incendio en una casa habitación, por efecto de un rayo, y el desgajamiento de un cerro.  Se reportaron 8 Escuelas con inundación.  Durante la madrugada, 4 familias (12 personas) fueron evacuadas, siendo llevadas al albergue municipal. Asimismo se reporta el derrumbe del Puente vehicular. “, el agua de la Presa Higueras comenzó a verter el agua, originando que el río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</si>
  <si>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Se registro el impacto de una pipa de gas Lp, de la empresa Gas Imperial, misma que transportaba 8,000 litros de producto, contra un trailer de refrescos de la empresa Coca-Cola, el accidente se presentó en las inmediaciones del periférico poniente en la capital del estado de San Luis Potosi.  El conductor de la pipa fallecio en al lugar debido al accidente.</t>
  </si>
  <si>
    <t>Reportan el accidente de una pipa que trasportaba 20,000 lts de diesel de la empresa “Enardiesel Puebla”, se fue a una barranca. Los hechos se presentaron en la carretera Cuetzalan-Zacapoaxtla paraje La Aurora.</t>
  </si>
  <si>
    <t>Nopalucan</t>
  </si>
  <si>
    <t>Debido a la lluvia fuerte en la comunidad de Rincón Zitlaltepetl, Municipio de Nopalucan. Afectado a 70 viviendas en sus techumbres y penetración de agua, se activo un RT, en La Biblioteca de la Junta auxiliar. Con 125 personas, se les proporciona el apoyo por parte del Estado y Municipio. 30 catres 40 cobertores 40 impermeables 5 paquetes de agua 15 galones de cloro 15 Kit de limpieza 40 kit de aseo personal.</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</si>
  <si>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</si>
  <si>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penetración de agua con tirantes de 50 cm de altura, las cuales fueron trasladadas al RT. Casa del Maestro en donde se brinda el apoyo correspondiente ubicado en la misma comunidad, asi mismo se evacuaro a 4 personas, 2 menores y 2 adultos.</t>
  </si>
  <si>
    <t>Colapso de un puente peatonal en el municipio de Tlalnepantla. Dicho puente cayó sobre una patrulla y un vehículo particular, provocando la muerte de 2 personas y lesiones de 3 más, estas fueron trasladadas por helicóptero al hospital de Traumatología de Lomas Verdes. Las primeras investigaciones señalan que las probables causas que provocaron la caída del puente son la antigüedad y el mal estado del mismo.</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</si>
  <si>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</si>
  <si>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 xml:space="preserve">Debido a las lluvias registradas en el municipio de Ecatepec, se reporto el deceso de una persona. La causa de la muerte fue electrocución, ya que mientras intentaba cruzar una anegacion en compañia de su abuelo , accidentalmente se sostuvieron de una reja metálica que se encontraba en contacto con un cable de alta tension desprendido de la red de distribución; estos hechos ocurrieron en la colonia Croc de Aragon. </t>
  </si>
  <si>
    <t>Ecatepec de Morelos</t>
  </si>
  <si>
    <t xml:space="preserve">Se reportan 50 Personas (Evacuadas), se registró el derrame de gasolina en un ducto de 14”  Tuxpan-Azcapotzalco a la altura del km 221+890,  ubicado entre las Colonias Jardines de Xalostoc y Villas de Guadalupe a la orilla de un canal. Debido a ello, se evacuaron a 50 personas, ya que se reportan varias viviendas afectadas, las cuales están construidas de material endeble, se informa que una de ellas se dedica al reciclaje y en la cual se realizó la excavación de un pozo de 3mts de profundidad, a esta altura se rompió la broca que se utilizaba produciéndose inmediatamente el derrame. El ducto se encuentra en una zona de asentamientos humanos irregular. </t>
  </si>
  <si>
    <t>Tlahuelilpan</t>
  </si>
  <si>
    <t>Debido a las lluvias en la Zona Sur del Estado, se reportaron afectaciones en los municipios de Tlahuelilpan; Desbordamiento del Río Salado, afectando 50 viviendas por penetración de agua a su interior alcanzando un tirante de 30cm a 1mt.</t>
  </si>
  <si>
    <t>En el Acatianguis Acapulco,  se cuantificaron un aproximado de 110 locales de los cuales fue pérdida total, quemándose diferente mercancía, los locales estaban construidos de techo de lámina galvanizada. En la Tienda Comercial Mexicana, se cuantifica una pérdida del 100% en la mercancía que se encontraba en el interior, así como daños considerables en la estructura del inmueble, otros locales contiguos que se localizan en el interior de la tienda como son  “Radio Shack” , “Pizza Hut, resultaron con daños parciales en un 50 por ciento.</t>
  </si>
  <si>
    <t>San Miguel Totolapan</t>
  </si>
  <si>
    <t xml:space="preserve">Areas Afectadas: Localidad de Ventanas y Patlacala.  Personas Afectadas: 24 familias. Lluvia acompañada de granizo, en el municipio de San Miguel Totolapan, en la localidad de Ventanas se registraron 16 viviendas afectadas en sus techos de laminas de carton y en la localidad de Patlacala 8 viviendas mas resultaron con daños parciales. </t>
  </si>
  <si>
    <t>Se reporto que en la comunidad Crucero de Jaguey cerca de la comunidad de Atzacualoya, cayo un rayo provocando el fallecimiento dos personas, las cuales se encontraban cultivando su parcela.</t>
  </si>
  <si>
    <t xml:space="preserve">Daños en 1 cisterna con capacidad de 40,000 mil lts, 1 tanque de 1,000 mil lts y el recubrimiento de un tanque de 100,000 mil lts  Se registró incendio al interior de la empresa “Petrodiesel del Centro”, ubicada en la carretera Estatal San Francisco-León km. 7. En la cual se consumió 1 cisterna con capacidad de 40,000 mil litros de combustóleo, 1 tanque de gas LP con capacidad de 1,000 mil litros y el recubrimiento de un tanque de 100,000 mil litros de combustóleo, se desconocen las causas que ocasionaron el incendio.  Sin daños humanos.   </t>
  </si>
  <si>
    <t>Explosión por deflagración por acumulación de gas LP al interior de un domicilio ubicado en la calle Arteaga #304 zona centro, Municipio de Salvatierra, Guanajuato. El incidente ocurrió por concentración de gas derivada de una fuga al interior, resultando 5 personas lesionadas con quemaduras de 1°, 2° y hasta 3°.</t>
  </si>
  <si>
    <t>Dañado Taller de juegos pirotecnicos.Se registró una explosión dentro de un taller de pólvora (polvorín), resultando lesionado un hombre de 70 años (propietario), con quemaduras de 3er grado, atendido en el lugar y posteriormente trasladado al Hospital Comunitario.</t>
  </si>
  <si>
    <t>Se presentó la fuga de gas Lp, de un ducto que abastecía a un tanque estacionario de 1,000 kilos. Dicho ducto se ubica en la plaza comercial Súper Centro. Como medida preventiva fue cerrado y evacuadas las personas a 50 metros a la redonda. No se reportan daños humanos o afectaciones mayores.</t>
  </si>
  <si>
    <t>Se registro una fuga de amoniaco en Hielera, se informa que dicha fuga se debió a la corrosión en la tubería galvanizada de 2”,  debido a ello se produjo una nube de aproximadamente 30 metro de radio. En el lugar se encontraban trabajando 7 personas. Como medida preventiva se evacuaron 100 metros a la redonda. Se reporta un menor  con intoxicación leve.</t>
  </si>
  <si>
    <t xml:space="preserve"> Volcadura de un autobus de pasajeros,  Debido al accidente fallecieron dos personas, 13 personas resultaron lesionadas. El resto de los pasajeros (27 personas) fueron llevadas a un albergue del  DIF Municipal.</t>
  </si>
  <si>
    <t>Tila</t>
  </si>
  <si>
    <t xml:space="preserve">Se registró la volcadura de un autobús de pasajeros a un barranco en las inmediaciones de la zona selva, municipio de Tila, resultando 3 fallecidos y 30 lesionados. El autobús siniestrado provenía del estado de tabasco y realizaban un viaje turístico hacia el estado de Chiapas. </t>
  </si>
  <si>
    <t>Debido a las fuertes lluvias registradas  en el municipio de Mapastepec, se registró un desgajamiento de cerro  en la comunidad de Altamira primera sección, el cual afecto una vivienda, resultando el fallecimiento de un menor de 4 años y medio, así como 4 personas lesionadas.</t>
  </si>
  <si>
    <t>Personas Afectadas: 3,000 personas aproximadamente evacuadas. Lesionados: 7 personas intoxicadas.  El trascurso de la madrugada concluyeron los trabajos de remoción de escombros. En estos momentos se encuentran haciendo el peritaje las autoridades correspondientes para saber las causas del incendio. Las siete personas intoxicadas fueron atendidas en lugar de los hechos.</t>
  </si>
  <si>
    <t>Se registraron intensas lluvias en el estado de Chiapas resultando afectado el municipio de Tuxtla Gutierrez en su infraestructura carretera, hidráulica, educativa, urbana y en algunas viviendas</t>
  </si>
  <si>
    <t>Escuintla</t>
  </si>
  <si>
    <t>Por una tormenta electrica que se registro el dia 29 de junio en el municipio de Escuintla, en “La Finca La Permuta” un fallecimiento, por haber sido alcanzado por un rayo.</t>
  </si>
  <si>
    <t>Fuertes lluvias ocasionaron daños en Tapachula afectando 5 viviendas y la infraestructura hidráulica y carretera del municipio.</t>
  </si>
  <si>
    <t xml:space="preserve">Se registró el estallido en una caldera de la Clínica 20 del IMSS, ubicada en el Cruce 5 y 10, de Colonia La Mesa. La posible causa de la explosión se debió a la presión de vapor que se originó en una válvula, la que a su vez ocasionó la ruptura de la tubería. Como medida preventiva se evacuaron aproximadamente a  150 personas entre pacientes, personal médico y administrativo. </t>
  </si>
  <si>
    <t>Inundaciones momentaneas de hasta 1 metro en zonas bajas de la zona sureste de Mexicali, donde se presento penetración de agua en aproximadamente 30 viviendas, donde el agua alcanzó hasta 30 centímetros. Asimismo, se presentó la caída de un anuncio espectacular sobre 2 vehículos particulares y un taller mecánico, ocasionando daños parciales en este local. Por otro lado se reporta la caída de algunos árboles y postes de energía eléctrica, ocasionando cortes de energía eléctrica.</t>
  </si>
  <si>
    <t>Tenosique</t>
  </si>
  <si>
    <t>Se registró una fuga en una Pipa que transportaba 1000 lts. de Gas Butano, perteneciente a la Empresa Ramagas.  Se informa que la unidad presentó la ruptura de una de las válvulas, al percatarse el chofer de ello, se dirigió a un taller mecánico, donde al tratar de reparar la válvula ocasionaron la ruptura de un tornillo lo que provocó que la fuga fuera mayor. Personal de Protección Civil y Seguridad Publica lograr controlar la fuga. Como medida de seguridad se acordonó un kilómetro a la redonda, evacuándose aproximadamente 300 casas ubicadas en la Colonia Luis Donaldo Colosio.</t>
  </si>
  <si>
    <t>Se registró un accidente  en el tramo carretero Nogales  Imuris-Magdalena km  202 del municipio de Magdalena, entre un autobús de pasajeros  la cual trasportaba 8 pasajeros, un tracto camión de doble remolque  el cual transportaba 80.000 litros de gas L.P procedente de Cd.. Juárez Chihuahua con destino a la Cd. de Hermosillo, Sonora, y un  Automóvil particular de la marca Nissan Tsuru, señalando que el producto que transportaba la pipa se incendió, hasta el momento se encuentra controlado el incendio y esperan que se consuma en su totalidad el producto. No hubo víctimas fatales pero si 5 personas lesionadas.</t>
  </si>
  <si>
    <t>10 municipios</t>
  </si>
  <si>
    <t xml:space="preserve">El ciclón tropical Jova en el km 8 al Sur de la población de La Fortuna, Jalisco como huracán de categoría II.Debido a la magnitud del fenómeno y a sus efectos sobre la población y sus bienes, así como en la infraestructura pública y los sectores productivos, se declararon en desastre  a los 10  municipios del estado de Colima. </t>
  </si>
  <si>
    <t>Tlaltetela, Coscomatepec, Ixtaczoquitlán, Totutla, Zongolica, Fortín de las Flores, Ixhuatlancillo</t>
  </si>
  <si>
    <t>Se registró una granizada en los municipios de Tlaltetela, Coscomatepec, Ixtaczoquitlán, Totutla, Zongolica, Fortín de las Flores, Ixhuatlancillo, Atzacan. Los municipios que se tienen contabilizados con daños en techumbres con un total de 2,048 techumbres. No hubo necesidad de implementar refugios temporales.</t>
  </si>
  <si>
    <t>Se registro un accidente multiple (carambola), ubicado en la autopista México - Veracruz km 262, en el que se vieron involucrados 8 vehículos y 2 traileres, resultando 4 fallecidos de una camioneta Voyager, se desconocen los nombres  y 3 lesionados  que fueron trasladados al hospital de Orizaba. Cabe mencionar que el accidente fue debido a un deslave de tierra y a falta del abanderamiento o señalización  del tramo afectado, ocurrio  el siniestro.</t>
  </si>
  <si>
    <t xml:space="preserve">Un incendio en el techo de una nave vacia de la empresa Telas y Mezclillas S. A. de C.V., el incendio inicio despues de que se presentara un corto circuito en dicho lugar. La empresa se ubica en el kilómetro 105.5 de la carretera Tlaxcala-San Martín Texmelucan, en el municipio de Ixtacuixtla. Como medida preventiva fueron evacuados 25 empleados de una nave aledaña de la misma empresa. </t>
  </si>
  <si>
    <t xml:space="preserve">Conflicto social </t>
  </si>
  <si>
    <t>Se registro una explosión en el Chedraui de Plaza Cristal en Cárdenas, debido a la explosión una señora resultó herida con esquirlas, además un vehículo que estaba estacionado sufrió daños. La mujer con lesiones leves en el brazo por las esquirlas, es empleada de dicho centro comercial. El artefacto explosivo fue lanzado por unos sujetos a bordo de un vehículo en movimiento. Debido a la hora, ya se encontraba cerrada y no hubo más personas afectadas.</t>
  </si>
  <si>
    <t xml:space="preserve">Se reportó como desaparecida una persona de 37 años de edad, misma que fue arrastrada por la corriente del río Puxcatán (esto por las fuertes lluvias), a la altura de la Ranchería Allende Alto 2ª Sección Paredón. </t>
  </si>
  <si>
    <t xml:space="preserve">Volcadura de un camión tipo torton, registrándose el accidente en el kilómetro 176 de la carretera federal no. 15, en el tramo de Guaymas-Hermosillo, muy cercano al entronque  de la vía de San Carlos. Dicho transporte salió de la Ciudad de México, con destino a la Ciudad de Hermosillo, Sonora. El camión transportaba diversos materiales peligrosos, entre ellos ácido acético glacial, citrato de sodio, glicerina deodorizante, ácido clorhídrico, ácido nítrico, hidróxido de amonio, sosa ash ligera, sulfato de sodio anhídrido, y al volcarse se presentó el derrame del producto líquido identificado como Nitrógeno Líquido,  el cual  era transportado en contenedores pequeños, algunos de ellos se dañaron al momento de caer y produjeron dicho derrame, mismo que fue neutralizado de inmediato con arena. </t>
  </si>
  <si>
    <t xml:space="preserve">Volcadura de una pipa de doble remolque  que transportaba acido sulfúrico,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</si>
  <si>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registró una volcadura de un autobús de pasajeros en la carretera Internacional México 15, entre los poblados Sexto y Séptimo pertenecientes al municipio de Ahome. Resultaron 22 personas lesionadas.</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</si>
  <si>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</si>
  <si>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están albergadas en un Refugio Temporal de la Parroquia Francisco de Asís,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registró el desgajamiento de cerro  de la Maxi Pista Mazatlán  Tepic, en el lugar personal de obras públicas trabajan con maquinaria, no hubo la necesidad de cerrar la carretera.        </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</si>
  <si>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</si>
  <si>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continúa incomunicada y presenta una lámina de agua de aprox. 100 cm. de profundidad. </t>
  </si>
  <si>
    <t>Se presento el desplome de un helicoptero tipo S-44 con numero matricula XA-DFE, en la laguna “Nichupte”, ubicada en el mismo municipio. Como resultado del accidente se reportan 3 personas lesionadas. Se desconocen las causas del accidente.</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</si>
  <si>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</si>
  <si>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</si>
  <si>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</si>
  <si>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registró un choque entre un camion torton y dos autobuses urbanos de la empresa Mayorasco, sobre la lateral de Periférico Ecológico al atravesar la Avenida 11 Sur. La imprudencia de camión torton, quien al circular sobre la lateral del Periférico Ecológico y atravesar la Avenida 11 Sur, ocasionó que dos urbanos se impactaran. Lo que ocasión que 11 personas resultaran lesionadas.</t>
  </si>
  <si>
    <t xml:space="preserve">Atlixco y Huejotzingo </t>
  </si>
  <si>
    <t>Se reportó granizada en los municipios de Atlixco y Huejotzingo donde resultaron dañadas 2 viviendas en sus techos de láminas de cartón, hasta el momento no se reportan daños humanos, un taller mecánico fue afectado, donde 11 autos que se encontraban en reparación.</t>
  </si>
  <si>
    <t>Chilchota</t>
  </si>
  <si>
    <t>Daño en viviendas ocasionado por lluvias, apoyo a las personas afectadas con láminas de cartón, despensas y ropa para bebe.</t>
  </si>
  <si>
    <t>Derrame de ácido muriático. se registró un derrame de Ácido Muriático, en la Fabrica con Razón Social “Distribuidora de químicos Poblanos”  Ubicada en la avenida 10 Norte y 16 Oriente, en la Colonia Cristóbal Colon, debido a una fisura de 6 centímetros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</si>
  <si>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</si>
  <si>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</si>
  <si>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</si>
  <si>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Río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</si>
  <si>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</si>
  <si>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penetración de agua en su interior con un tirante de 10 cm, informando que debido a las circunstancias de las viviendas se instaló 2 albergues temporales, ubicados en la Colonia Bicentenario y Renacimiento, ubicados , uno en el Templo Cristiano, y el otro en una sala de usos múltiples. Señalando que hasta el momento elementos del cuerpo de Bomberos, Personal de Protección Civil Estatal y Municipal,  trabajan en las labores de limpieza, en calles y viviendas, incluso personal de la CFE,  realiza trabajos de restablecimiento de energía eléctrica, las cuales también presentaron afectaciones en su cableado. Se notifica que el número de personas albergadas son de 60 a 80 personas aproximadamente en cada alberge. No se reportan personas lesionadas. Municipio San Francisco, reporta 5 viviendas las cuales  presentaron  afectaciones  mínimas, estas por penetración de agua con un tirante de 5 cm. De acuerdo con información señalada, el día de hoy las viviendas se encuentran en situación normal. No se reportan personas lesionadas.               </t>
  </si>
  <si>
    <t>San Lucas Zoquiapam</t>
  </si>
  <si>
    <t>Informa que debido a las lluvias fuertes registradas en la Región de la Cañada, en la Comunidad de los Frailes municipio de San Lucas Zoquiapam, se registro el desgajamiento de un cerro sobre sobre una vivienda, reportandose 3 fallecimientos, asi como resultaron lesionados 2 personas mas.</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</si>
  <si>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</si>
  <si>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</si>
  <si>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registró un derrumbe  afectando 2 Casas, sin embargo 11 casas mas y un y total de 45 personas se encuentran en riesgo ante la inestabilidad del suelo en el que se encuentran ubicadas las viviendas, razón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</si>
  <si>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</si>
  <si>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penetración de agua y lodo alcanzando un tirante entre 50 cm y 1 mt., daños en enseres domésticos, se realizan los trabajos de limpieza y desazolve dela zona afectada por parte de las autoridades Estatales y Municipales. Se activó un refugio temporal en las instalaciones del IMSS, ubicado en el centro del Municipio al cual llegaron 10 familias. Asimismo, en el Municipio de Tepoztlan reportan 2 colonias con encharcamientos.</t>
  </si>
  <si>
    <t>Aquila</t>
  </si>
  <si>
    <t>Debido al paso de la TT Arlene, se registraron las siguientes afectaciones en el municipio de Aquila.  El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</si>
  <si>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registró la volcadura de una pipa, que trasportaba 10,000 litros de Diesel en secciones, al registrar la volcadura se presntó la fuga del producto de una de las secciones y se vertieron 2,000 litros a la via publica personal de H. Cuerpos de Bomberos  procedio a bloquer alcantarillados y formar un dique para contener el producto. </t>
  </si>
  <si>
    <t xml:space="preserve">Se reporta 36 casas (33 en cristales y 3 en estructura), así como cables caídos. Se registro una explosión en una vivienda, debido a la acumulación de gas de un laboratorio. Se reporta tres personas que pasaban a bordo de una combi del transporte público resultaron afectadas. Se informo de 36 casas afectadas (33 en cristales y 3 en estructura). Como medida preventiva fue cerrada la circulación en calle afectadas, se reportaron fallas de energía eléctrica en la zona. </t>
  </si>
  <si>
    <t>Choque de frente entre un autobus de pasajeros de la línea flecha amarilla y una camioneta en el kilómetro 71 de la carretera Lagos de Moreno-Encarnación de Díaz; resultando 3 personas fallecidas (tripulantes de la camioneta) y 22 lesionadas, 11 atendidas en el lugar y los demás trasladados al hospital regional e Lagos de moreno, hasta el momento no se tiene conocimiento del origen del percance.</t>
  </si>
  <si>
    <t>Ameca</t>
  </si>
  <si>
    <t>Se registró una explosión en un taller donde se trabaja  con pólvora,  ubicado en el Municipio de Ameca, en el poblado San Antonio de Matute, reportando 2 personas fallecidas  y 3 personas más, lesionadas y con pronóstico reservado (2 de ellas con quemaduras en el 100% del cuerpo y otra con estallamiento de víseras) , las cuales fueron trasladadas al hospital  regional de Ameca   para su atención, se desconocen las causas que originaron esta explosión.</t>
  </si>
  <si>
    <t>Tlajomulco</t>
  </si>
  <si>
    <t>Se registro un incendio en una empresa con Razón Social “Metal Mecánica”  en el poblado de Santa Anita,  en la cual fue necesario como medida precautoria  la evacuación de 12 trabajadores,  para la realización de los trabajos de sofocacion, autoridades Municipales, señalaron que el incendio se debió a un corto en una de las máquinas, maquinaria que se encuentran en área libre.</t>
  </si>
  <si>
    <t>Afectando principalmente al Municipio de Zapopan, donde se registró el desbordamiento de un canal, provocando la afectación en 55 viviendas,  reporta que los niveles del agua fueron de 80 a 2.30 metros, en el que se informa que el nivel del agua ha descendido. Reportaron 11 casas con daños  parcial y 44 con daño total por penetración de agua del canal de aguas negras, entre ellas  3 con daño estructural,  también se vieron afectados 2 comercios de abarrotes y 10 vehículos. Se evacuaron 380 personas, las cuales se refugiaron con familiares, se instaló un albergue.</t>
  </si>
  <si>
    <t xml:space="preserve">Pachuca </t>
  </si>
  <si>
    <t>Se registró el accidente de una Avioneta , perteneciente a la “Escuela de Aviación con Prácticas de Vuelo en la Ciudad, dentro del Aeropuerto Guillermo Villasana de Pachuca. La posible causa del accidente se debió que al tratar de aterrizar una de las alas pego en el piso, lo que ocasionó que se estrellara contra una bodega de la 18° Zona Militar (donde se guardan los perros que son adiestrados por esta corporación) sucintándose inmediatamente la explosión del aparato. Se reporta el fallecimiento de sus dos tripulantes.</t>
  </si>
  <si>
    <t>San Felipe Orizatlan</t>
  </si>
  <si>
    <t>Desbordamiento de los rios Tultitlan y El Llano, a la altura de la cabecera municipal de Orizatlán.  Las colonias afectadas fueron: Hidalgo Unido, La Peña, El Llano, La Ribera, Las Pilas, Totonicapa, Bella vista, Zacayahual, El Limonar, La vega y Campanas; reportándose un total de 450 casas afectadas, en el momento sus habitantes fueron evacuados, pero como son ríos de respuesta rápida (el nivel sube y baja varios metros en pocas horas), ya el nivel está de nuevo abajo de la escala de desbordamiento y se encuentran en sus viviendas realizando labores de limpieza.</t>
  </si>
  <si>
    <t>Marquelia</t>
  </si>
  <si>
    <t>Incendio en el mercado principal de Marquelia, quemándose en su totalidad un aproximado de 13 locales comerciales que se encontraban en el interior del inmueble en mención, se desconoce la causa que origino el incendio, cabe mencionar que el mercado contaba con un aproximado de 50 locales comerciales.</t>
  </si>
  <si>
    <t>Acapulco, Zihuatanejo, Cruz Grande</t>
  </si>
  <si>
    <t>Tormenta Tropical Beatriz. En el municipio de Acapulco,  Se reportan 217 viviendas afectadas; 12 bardas caidas; 21 derrumbes y deslizamientos de rocas; 32 árboles caídos; 4 vehículos arrastrados; 5 daños en carretera dentro de la zona urbana y 1 daño en carretera federal. En la Costa Grande.-  se reporta un árbol caído. En la Costa Chica.- 1 árbol caído en la vía pública. En la Región Centro.- 1 derrumbe en la carretera y 1 árbol caído sobre la carretera, mismo que afectó un solo carril.</t>
  </si>
  <si>
    <t>Se reporto el fallecimiento de una persona, por caida de rayo.</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</si>
  <si>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</si>
  <si>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Ajuchitlan del Progreso</t>
  </si>
  <si>
    <t>Un menor y sus padres, intentaron cruzar a bordo de una cuatrimoto, la crecida del río Platanillo, para llegar a su domicilio, en la localidad de la Lajita, ubicada en la parte alta del municipio, cuando dichas personas fueron arrastradas por la fuerte corriente del río, quedando como desaparecido el menor. Elementos de diversas dependencias de emergencias iniciaron la búsqueda del menor.</t>
  </si>
  <si>
    <t>Se reporto el fallecimiento de 3 mineros que perdieron la vida por inhalacion de gases,  quienes trabajaban en la mina de nombre “Santa Rita de Otaez” ubicada en la comunidad de Velardenía, perteneciente al Municipio de Otaez.</t>
  </si>
  <si>
    <t>Se registra un alcance entre un microbús, pipa de gas  y un vehículo particular, los hechos se registraron en el km. 17 de la autopista México-Puebla a la altura del puente “La Concordia” dirección del Distrito Federal a Puebla. No se presento fuga de gas lp que trasportaba la pipa. Las Personas lesionadas 7 de ellas del micro y 1 del carro particular.</t>
  </si>
  <si>
    <t>Delegacion Venustiano Carranza</t>
  </si>
  <si>
    <t>La Secretaria de Proteccion Civil del DF informo que se registró un incendio en una bodega de desperdicios sin razón social. Se desconocen las causas que originaron el incendio, se reportan 2 personas atendidas en el lugar por crisis nerviosas, así como a 30 personas evacuadas cómo medida de seguridad de las viviendas aledañas. Reportan 4 vehículos dañados y material de reciclaje. Y 2 lesionados.</t>
  </si>
  <si>
    <t>Delegacion Benito Juarez</t>
  </si>
  <si>
    <t>Acumulación de gas provoca fuerte explosión en negocio en Mixcoac, se registró la explosión en el interior de un restaurante, por acumulación de gas. Resultando 2 personas con crisis nerviosa,  20 casas  y un Banco BANAMEX con afectación parcial, como medida preventiva fue acordonada la zona afectada y  evacuadas las personas de las viviendas aledañas, se desconocen las causas que provoco el siniestro y el total de daños al inmueble.</t>
  </si>
  <si>
    <t>Delegacion Cuajimalpa</t>
  </si>
  <si>
    <t xml:space="preserve">Se registro un deslave,  en un área aproximada de 6 mts. de ancho por 15 mts, de largo, lo que provoco el arrastre de un árbol y dejó uno más de 15 mts de alto en riesgo de caer, asimismo se reporta afectado un domicilio particular. Se informa que al romperse el techo de lámina de asbesto de la vivienda, penetró el agua pluvial y material de arrastre, se alcanzó un nivel de 10 cm al interior. La familia afectada, fue evacuada siendo traslada con familiares. </t>
  </si>
  <si>
    <t>Catazaja</t>
  </si>
  <si>
    <t>Se registraron intensas lluvias en el municipio ocasionando daños severos en 7 viviendas así como en la infraestructura hidráulica y carretera. Además 1,600 viviendas sufrieron inundaciones.</t>
  </si>
  <si>
    <t xml:space="preserve">Se registraron lluvias intensas en el municipio de Arriaga, en dónde 21 viviendas sufrieron afectaciones, así como la infraestructura carretera e hidráulica. </t>
  </si>
  <si>
    <t xml:space="preserve">Debido a las lluvias moderadas a fuertes por la tarde y acompañadas de tormentas eléctricas. Se registro una muerte. Luego de que le cayó un rayo cuando realizaba un recorrido a caballo en el Centro turístico "Grutas de Rancho Nuevo", a unos ocho kilómetros al oriente de la ciudad. Municipio de San Cristóbal. Así mismo, reportan con lesiones las hermanas  que se encontraban cerca del lugar. </t>
  </si>
  <si>
    <t>Guadalupe, Apodaca</t>
  </si>
  <si>
    <t xml:space="preserve">Se registraron lluvias fuertes en la mayor parte del estado, lo que originó afectaciones en vialidades por encharcamientos e inundación en los desniveles de las principales avenidas, así mismo el arroyo Talaverna (que atraviesa por los municipios mencionados) al incrementar su nivel, arrastró dos vehículos en los cuales se transportaban seis personas. </t>
  </si>
  <si>
    <t xml:space="preserve">Personas lesionadas debido a una intoxicación, cuando se encontraban realizando trabajos de mantenimiento en el interior de un tanque elevado de SMAPAM (Sistema Municipal de Agua Potable y Alcantarillado de Moroleón), resultando lesionadas 3 personas de la empresa “Marai Construcciones”, los cuales tenían intoxicación leve a moderada presentando mareo. </t>
  </si>
  <si>
    <t>Se registro el impacto de 2 avionetas que realizaban labores de fumigación, en el poblado Pujal-Coy, en el municipio de Ébano. Como resultado del accidente se reportan a los dos pilotos lesionados, mismos que fueron trasladados al hospital General de Ciudad Valles, para su atención médica. Al momento se tienen dos versiones del accidente, la primera que los fuertes vientos que se presentaban ocasionaron la colisión y la segunda que la falta de pericia de ambos pilotos. Al lugar acudió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</si>
  <si>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evacuación de 120 personas como medida preventiva, las cuales pasaron la noche en el Refugio Temporal ubicado en la cabecera municipal.  Se realiza la entrega de despensas y kit de limpieza no se reportan daños humanos. </t>
  </si>
  <si>
    <t>Volcadura y posterior derrame de combustible de una pipa en la carretera a Villahermosa, por el choque con un vehículo que trajo la muerte del conductor del auto y un peatón.</t>
  </si>
  <si>
    <t>Se presento la fuga de gas Lp, de un tanque, que se encontraba dentro de la vivienda ubicada, en la calle de Obreros Textiles, No. 23, en la zona del parque Miguel Hidalgo, el accidente ocurrio cuando dicho tanque se ladeo y empezo a fugar el energético. Como medida preventivamente a cerca de 500 personas, entre alumnos y personal docente de la escuela Morelos.</t>
  </si>
  <si>
    <t>Rafael Lucio</t>
  </si>
  <si>
    <t xml:space="preserve">En el municipio de Rafael Lucio a la altura de la carretera Xalapa - Perote en el km 140 carretera federal, se registro un accidente de un camion de pasajeros , contra un camion torton de marca kenworth cargado con varias toneladas de maíz se quedó sin frenos, resultando 1 muerto  y 20 lesionados los cuales fueron trasladados al hospital general de Xalapa y Perote para su atencion medica. </t>
  </si>
  <si>
    <t>Se registró una volcadura de una pipa de gas (LP) en el municipio de Santa Ana, perteneciente a la compañía de Trasportes Presurizados Grupo Simsa, con una capacidad de 36,000 Litros de (gas LP).  no  se registra fuga.</t>
  </si>
  <si>
    <t xml:space="preserve">Se registro una fuga de gas Lp en el área de la cocina de la Guardería Centro de Desarrollo Infantil No. 5,Hasta el momento, se desconocen las causas que lo originaron. Se reporta una persona lesionada con quemaduras de primer grado, en brazos y cara,   trasladada para su atención medica al ISSSTE Federal. Así mismo  se fueron evacuados 103 menores de edad y 38 adultos, trasladados a una zona de seguridad. </t>
  </si>
  <si>
    <t>Ureque</t>
  </si>
  <si>
    <t xml:space="preserve">Se registró una volcadura en la carretera Hermosillo , Urique en el Km. 51+ 200, de un carro tanque, con capacidad de 40,000 litros de Diesel,  se volcó hacia su lado derecho, derramando una cantidad de 5000 Litros, como medida precautoria se realizó cierre a la circulación.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</si>
  <si>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</si>
  <si>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Un derrame de diesel, en una toma clandestina, la pipa involucrada registró una avería, por atorarse con un contenedor.</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</si>
  <si>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más susceptible de inundación. No hubo necesidad de habilitar albergues ya que las personas se trasladaron a casas de  familiares y amigos.</t>
  </si>
  <si>
    <t>Amenaza de bomba dentro de las instalaciones del Hospital General del municipio de Mazatlán. Como medida preventiva se realizó una evacuación de  100 personas (8 personas del área de urgencias, mismas que estaban en camillas) y trasladas a un lugar seguro a una calle del nosocomio. Al lugar acudieron varios elementos de diversas dependencias de atención de emergencias, para realizar las labores de búsqueda de algún artefacto explosivo, siendo el director del sanatorio quien localizó en el área de urgencias una posible bomba, en el interior de una mochila.</t>
  </si>
  <si>
    <t>Reportan que se registro la volcadura de una pipa en la carretera 80 kilometro 27+200, transportaba 41.750 kilos de acido sulfúrico. Salió  con destino a la Ciudad de León Guanajuato. Perdiendo el control del vehículo e impactándose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</si>
  <si>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</si>
  <si>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Tanquián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</si>
  <si>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Se reporta una persona lesionada por volcadura de una pipa de gas, en la carretera Chichimequilla y el  Libramiento Junípero cerra, dentro del perímetro del Municipio de Querétaro, la pipa perteneciente a   la empresa Ciba gas, con  capacidad de 5,000 litros, y la cual trasportaba solo 2,000m litros, y que al volcar origino  una fisura , por lo que se presentó una fuga de un 5% del producto, la cual fue controlada por personal de Bomberos.</t>
  </si>
  <si>
    <t>Santa María Chilchotla</t>
  </si>
  <si>
    <t xml:space="preserve">Infraestructura Dañada: 50 Viviendas, Escuelas, Comercios y  Casas de Salud . Debido a las fuertes lluvias y al desbordamiento del Río Sapo, del cual toma su nombre la comunidad afecto 50 viviendas con aproximadamente 150 personas  las cuales perdieron todo. En la comunidad de Cuauhtémoc se desgajo parte del cerro afectando la estructura de la escuela de educación Preescolar de nombre “ Luz y Saber”  En la población de rio sapo, en la Escuela Primaria Benito Juarez afecto 3 aulas en su totalidad así como muebles y libros de las diferentes aulas. En el Paraje Loma Mango afecto la barda de la escuela así como muebles y libros. Caminos afectados:   Se encuentra  en malas condiciones la carretera para llegar a  la población de Rio Sapo, del municipio de Santa Maria Chilchotla, ya que presenta cuatro partes con deslaves. Asimismo, reportan que existe una tienda de LICONSA y que debido a las condiciones del camino de acceso a la comunidad y en virtud de la posibilidad  de que continúen las lluvias, hace difícil el acceso. La casa de Salud del Barrio Loma se vio afectada por lo que todos los medicamentos están inservibles. </t>
  </si>
  <si>
    <t>Se registró el desplome de una avioneta tipo Piper, cuando realizaba un sobre vuelo de prueba. La avioneta cayó dentro de las instalaciones del aeropuerto Mariano Escobedo (aeropuerto del Norte), sin afectar a las pistas aéreas, esto debido a una falla mecánica. Como resultado del accidente se reportan 2 personas fallecidas (calcinadas).</t>
  </si>
  <si>
    <t>Incendio en 2 locales, uno de ellos era una tienda de abarrotes y el otro era una tienda de veladoras.  Derivado del incidente se declaró que los locales son perdida total, como medida preventiva se acordonó el área y se presume que la causa que originó el siniestro fue por un corto circuito.</t>
  </si>
  <si>
    <t>Se registró un accidente de una pipa con tres mil litros  de gas LP perteneciente a la empresa “PLUS GAS” el cual se impacto contra el muro de contención del paso a desnivel, sobre el libramiento Poniente a la altura de la Colonia 23 de Marzo, en la Ciudad de Morelia. Informan que dos transeúntes fueron lesionados. Hasta el momento se desconocen las causas que lo originaron, se reporta que la pipa quedo en la parte arriba del muro de contención, no se presento fuga.</t>
  </si>
  <si>
    <t>Atlacomulco</t>
  </si>
  <si>
    <t xml:space="preserve">Se registró la volcadura de un autobús militar en la carretera Atlacomulco -  Querétaro en el km. 101, cerca del entronque a Morelia. Derivado de este accidente se reportan 5 personas fallecidas y 22 mas lesionadas aún por confirmar. Se presume que la causa que originó la volcadura fue por fallas mecánicas del autobús. La información de las personas fallecidas y de los lesionados es muy reservada puesto que la maneja SEDENA. </t>
  </si>
  <si>
    <t>Se registró la explosión de un cuarto de aproximadamente 16 metros2, mismo que funcionaba como taller de artificios pirotécnicos. Como resultado de lo anterior se reportan 2 personas muertas en el lugar debido a la explosión.</t>
  </si>
  <si>
    <t xml:space="preserve">El robo de combustible a dos tomas clandestinas, una de gasolina y otra de gas natural, de un poliducto de 14 pulgadas de Petróleos Mexicanos, proveniente de Tuxpan-Azcapotzalco, en el tramo ubicado en la colonia Valle de Ecatepec, provocó la fuga y derrame de gas, por lo que más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línea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</si>
  <si>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</si>
  <si>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consideración.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Cuauhtémoc (carretera federal México-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</si>
  <si>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Atizapan de Zaragoza, Cuautitlan Izcalli, Cuautitlán México y Teoloyucan</t>
  </si>
  <si>
    <t xml:space="preserve">Se confirma la muerte de tres personas: 1.-Una persona de 19 años, al intentar cruzar el río en la zona Esmeralda del municipio de Villa Nicolás Romero   2.- Una persona de 60 años, al encontrarse en el interior de su vehículo el cual fue arrastrado por la corriente del río, en el municipio de Villa Nicolás Romero.Una persona de 17 años, al intentar cruzar un canal de aguas negras fue arrastrado por la corriente.  líneales. Dicho boquete se genero 1.2 kms antes de la unión del rio Cuautitlan (Emisor Poniente) y el Interceptor Poniente, punto en el cual se forma el Gran Canal. Actualmente la Presa Guadalupe registra un almacenamiento del 95% y le está vertiendo al rio Cuautitlan 60m. En Cuautitlan Izcali se instalo un RT y se afectaron 200 viviendas (Fraccionamiento Fresnos, Los Olivos, Valle de Loto, Colonia San José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hidráulica que presentaba el interceptor poniente, el río San Javier también se desbordo a la altura de la colonia Valle Dorado, perteneciente al municipio de Tlalnepantla, afectando un aproximado de 40 viviendas con tirantes de 20 – 30 cms en jardines y calles. CUAUTITLÁN IZCALLI: Por saturación del sistema no permitió el desagüe, viéndose afectada por inundación la Colonia Ejidal San Isidro (junto a Perinorte), se maneja un dato preliminar de 60 viviendas afectadas por penetración de agua y lodo, con tirantes de 60 – 80 cms. Actualmente hay un Rt en operación con 40 personas albergadas en un jardín de niños de la colonia Niños Héroes. </t>
  </si>
  <si>
    <t>Se registró la explosión de un polvorín con permiso, para la elaboración de juegos pirotécnicos, ubicado en Paraje la Saucera. Se reporta una persona quien presentó quemaduras de primer y segundo grado en diversas partes de su cuerpo.</t>
  </si>
  <si>
    <t>Atotonilco el Grande</t>
  </si>
  <si>
    <t xml:space="preserve">Se registró la volcadura de una pipa de una empresa particular que trasportaba 20 mil litros de DIESEL, sobre la carretera  México- Tampico a la altura del Libramiento Atotonilco- Zacualtipán, Municipio de Atotonilco El Grande.  Se presentó derrame de producto en su totalidad sobre un terreno baldío. No generó riesgo en la zona debido al estar en zona despoblada. El conductor, se dio a la fuga  por lo que se desconoce a que empresa pertenece el producto y el vehículo. Hasta el momento se desconocen las causas que originaron el accidente. Como medida preventiva se formó un dique,  acordonando la zona y se espera se realice una extracción del producto derramado. </t>
  </si>
  <si>
    <t>Accidente de un autobús  en la Carretera Federal Acapulco – Zihuatanejo, a la altura de la Curva del Calvario perteneciente al municipio de Petatlán. Informando que el autobús por causas desconocidas salió de la cinta asfáltica, precipitándose a un barranco de 30 metros de profundidad, resultando 21 personas lesionadas (2 con lesiones graves trasladadas al puerto de Zihuatanejo, 4 trasladadas al Hospital Básico de Petatlán y 1 requirió collarín) y 1 persona fallecida.</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</si>
  <si>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</si>
  <si>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</si>
  <si>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</si>
  <si>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</si>
  <si>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 xml:space="preserve">Se presento la fuga de gas metano, cuando personal del SIMAS (Sistema Municipal de Aguas y Saneamiento) realizaban trabajos de reparación del drenaje, accidentalmente perforaron una tubería con dicho gas. Como resultado de lo anterior se reportan 3 personas fallecidas, 2 en el lugar por intoxicacion. </t>
  </si>
  <si>
    <t>Pantelho, Chalchihuitan, Tuxtla Gutierrez, Jiquipilas, Tila</t>
  </si>
  <si>
    <t xml:space="preserve">Las lluvias , han generado afectaciones en los municipios como en Chiapa de Corzo, Huixtla, Unión Juárez, Frontera Comalapa e Ixtapa, en donde se han presentado diversos problemas, como árboles caídos, daños a techos de vivienda, deslaves y encharcamientos menores. Pantelho; se registró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Gutiérrez; se registró una lluvia ocasionando encharcamientos en el Libramiento Norte y en 4 viviendas de la Colonia Plan de Ayala, así como dos árboles fueron derribados por el viento. Jiquipilas; se reportan 6 viviendas con encharcamientos de 5 a 10 cm en sus patios, Tila; se registraron fuertes lluvias,  afectando 39 viviendas en sus techos de material endeble, así mismo se suspendió el suministro de energía eléctrica. </t>
  </si>
  <si>
    <t>Por taponamiento de puentes con troncos de árboles de gran tamaño, esto en dos puntos diferentes; el primero en la carretera costera en donde resultó afectada una ambulancia del IMSS la cual transitaba sobre esta carretera después de haber dejado un paciente en el hospital del IMSS y al pasar por el puente fue arrastrada por una fuerte corriente dejándola en malas condiciones y los ocupantes lograron salir salvos de dicha unidad, de igual forma dicho río afectó a una empresa llantera ya que este río se desbordo por la parte trasera de dicho negocio, arrastrando la corriente con varias llantas de ese negocio. en el Ejido  viva México se reportaron  38 viviendas, en la colonia de colon del porvenir 13 viviendas,  en la colonia campestre 26 viviendas, en la colonia 13 de febrero 9 viviendas  y en el ejido Álvaro obregón 186 viviendas. Un alberge  en la Localidad de Álvaro obregón en la casa ejidal del Municipio de Tapachula con 109  personas. Desgajamientos de 3 cerros en distintos puntos, estos en los tramos  Huixtla km 45,  en el km 63 y  km 89.</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</si>
  <si>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activó un Refugio Temporal en “Casa Digna” del ayuntamiento ubicada en Colonia Centro, con 15 personas (10 menores y 5 adultos), retornando a sus domicilios en el trascurso del dia domingo.  </t>
  </si>
  <si>
    <t>Salto del Agua</t>
  </si>
  <si>
    <t>Se registró una volcadura de un camión de pasajeros el cual salió de palenque  con  destino hacia Tuxtla Gutiérrez, el percance ocurrió en la zona conocida como Chamil, perteneciente al Municipio de Salto del Agua y  reportando a 19 personas lesionadas .</t>
  </si>
  <si>
    <t>Cd del Carmen</t>
  </si>
  <si>
    <t>Fueron evacuados 638 trabajadores de la Plataforma Habitacional Semi sumergible (PSS) Flotel Júpiter, misma que registró una  inclinación por la entrada de agua al pontón de babor a popa.Buzos especializados efectuaron el sellado y achique del pontón, en tanto se están normalizando los niveles de agua en ambos lados de la plataforma a fin de estabilizarla, lo que se estima suceda hoy mismo por la tarde.</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</si>
  <si>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</si>
  <si>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</si>
  <si>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</si>
  <si>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Desplome de una aeronave tipo Cesna, de la comunidad El Cardenal, desplomandose a una altura de 600 metros aproximadamente cayendo sobre el mar. En la avioneta viajaban 2 personas originarias del estado de Sinaloa,  los cuales perdieron la vida en el accidente.</t>
  </si>
  <si>
    <t>Bochil</t>
  </si>
  <si>
    <t>Se registró el  desbordamiento del rio Santo domingo, perteneciente al municipio de Bochil, afectando107 viviendas, por lo que se realizó una evacuación preventiva de 75 personas, la cuales fueron trasladadas a dos Refugios Temporal, ubicados en La Escuela Primaria Ávila Camacho y La Secundaria Técnica N° 27, no se reportan personas lesionadas.</t>
  </si>
  <si>
    <t xml:space="preserve">Se registró una explosión dentro de las instalaciones del bar “Kukiaio”, ubicado en el callejón de González Aparicio, en la colonia Centro del municipio de Xalapa. La onda expansiva provocó que se rompieran los cristales del bar, ocasionando cortaduras en cara y cuello de una persona de 40 años de edad que transitaba frente al comercio al momento de la explosión, misma que fue atendido por personal de la Cruz Roja en el lugar. </t>
  </si>
  <si>
    <t>Tempoal</t>
  </si>
  <si>
    <t>Una tienda de abarrotes dañada en su totalidad,  del municipio de Tempoal. Se desconocen las causas que origino el siniestro. Al lugar acudió personal del H. C. de Bomberos y voluntarios. sin reporte de daños humanos.</t>
  </si>
  <si>
    <t>Se registró un Accidente Carretero, debido a una imprudencia de Tráiler, el cual trasportaba embutidos y al rebasar en zona de curvas. Se impactó de frente con  un VW Sedan  en el cual viajaban 3 personas,  una de ellas Falleció en el lugar, y las otras dos resultaron lesionadas. Asimismo 2 pasajeros  de un Autobús de la línea AU que fue alcanzado por el impacto resultaron con lesiones leves.</t>
  </si>
  <si>
    <t>Banderillas</t>
  </si>
  <si>
    <t>Se informó que se registró la volcadura de un autobús, se dirigía de Xalapa a Teziutlán Puebla. En el siniestro de los 30 pasajeros que iban a bordo únicamente resultaron 15 lesionados, los cuales fueron atendidos en el lugar por los cuerpos de emergencia. Informaron que el accidente  se debió a que el conductor al quedarse dormido se subió a la banqueta provocando la volcadura, el cual se dio a la fuga.</t>
  </si>
  <si>
    <t>Chiautempan, Panotla, San Damián Texoloc, Santa Isabel Xiloxoxtla, Tlaxcala, Totolac</t>
  </si>
  <si>
    <t>Debido a la granizada atípica que azotó al estado, emitió declaratoria de Emergencia debido a las afectaciones que sufrieron viviendas en 33 Municipios de la Entidad, los más afectados son: Chiautempan, Panotla, San Damián Texoloc, Santa Isabel Xiloxoxtla, Tlaxcala, Totolac. Asimismo el director del  Instituto Estatal de Protección Civil, Mateo Morales Báez, menciono que hasta el momento se han registrado 10,150 viviendas afectadas en sus techos de lamina de cartón  o asbesto que fueron dañadas por el granizo. Así mismo afirmo que se presentaron afectaciones a mas de 850 domos en viviendas de interés social, debido al granizo que presento un diámetro de 4 cm. Refirió que el día de la emergencia, se instalaron 3 refugios temporales en el municipio de Tlaxcala. En el cual permanecieron 41 personas . Se reportan 11 personas lesionadas.</t>
  </si>
  <si>
    <t>Tampico, Ciudad Madero, Altamira, Gonzalez y Aldama</t>
  </si>
  <si>
    <r>
      <t>Ciclon tropical “Arlene”, se registro la muerte de una persona en la colonia Morelos, del municipio de Tampico. Debido a los fuertes vientos se cayo un cable de alta tensión sobre un charco, lo que ocasiono que esta persona se electrocutara. De los 6 RT, 2 en Tampico, 1 en Cd Madero, 2 en Altamira y 1 en Aldama. Personas Afectadas: 44,500 personas (en riesgo). Se presentó un incendio en casa habitación en el fraccionamiento Petroleros, solo se reportan daños materiales</t>
    </r>
    <r>
      <rPr>
        <i/>
        <sz val="9"/>
        <rFont val="Arial"/>
        <family val="2"/>
      </rPr>
      <t xml:space="preserve">. </t>
    </r>
    <r>
      <rPr>
        <sz val="9"/>
        <rFont val="Arial"/>
        <family val="2"/>
      </rPr>
      <t xml:space="preserve">Municipio de Hidalgo.- Colapso de puente, por lo cual todos los ejidos incomunicados. </t>
    </r>
  </si>
  <si>
    <t>Tampico, Gonzalez</t>
  </si>
  <si>
    <t xml:space="preserve">Se registraron  2 fallecimientos, en los siguientes municipios. Tampico; El dia 30 de junio se reporto un deceso. Debido a los fuertes vientos un cable de alta tension cayo sobre un encharcamiento, el ahora occiso se encontraba caminando por la calle cunado piso el encharcamiento lo que ocasiono su electrocucion. Un falleciminto mas de  quien fue arrastrado por el cauce de Rio “Cojo”. </t>
  </si>
  <si>
    <t>Comalcalco</t>
  </si>
  <si>
    <t>Volcadura deja 2 marinos muertos y 19 lesionados,  indicaron que el camion se impactó en el muro de contención provocando la volcadura, en el que resultaron 2 fallecidos y 14 lesionados.  Se desconocen las causas del siniestro, al lugar acudieron diversos cuerpos de emergencia y rescate.</t>
  </si>
  <si>
    <t>Se registró un incendio en la planta de Bimbo, en el área de Barcel, ubicada en la carretera Sahuaripa y de la Plata en el parque industrial del municipio de Hermosillo Sonora. Se desconocen las causas que provocaron el siniestro. El área afectada se estima en un tercio de la planta de Bimbo, aproximadamente 7 mil metros cuadrados  de los 20 mil que tiene el inmueble. Un bombero resultó lesionado.</t>
  </si>
  <si>
    <t>La explosion se registro en una bodega vacia, que pertenece a la empresa Congeladora Meraz, S. A. de C. V. La causa que origino la explosion fue que al realizar actividades de desmantelamiento de tuberías y equipos de los cuartos frios, utilizaban equipo de corte y soldadura, provocando que una chispa incendiara rapidamente y de gran magnitud el material aislante de las instalaciones, alcanzando también a un vehículo  tipo pick-up, donde cargaban dos pequeños tanques de acetileno y oxígeno, utilizados para las actividades de corte y soldadura, dichas sustancias también se incendiaron.</t>
  </si>
  <si>
    <t>Cruz de Elota</t>
  </si>
  <si>
    <t>La Unidad Estatal de Protección Civil, reportó que se registró un accidente carretero en el que un autobús de pasajeros  se salió de la pista impactándose en la malla de contención y a varios árboles, km 105 de la Maxipista  Culiacán – Mazatlán, de sur a norte. Se desconocen las causas que originó el siniestro. En el percance fallecieron dos personas el chofer del autobús  y un pasajero, así como 9 lesionados (5 de ellos graves), que fueron trasladados al Hospital General del municipio de Elota.</t>
  </si>
  <si>
    <t>Daños al subsuelo en un área de 2X7 metros. Fueron notificados de una toma clandestina de combustóleo en un ducto de 20”, ubicado en el kilómetro 7+500 del DDV, Muelle Mazatlán-CFE Mazatlán. Al lugar acudieron personal de PEMEX, Protección Civil Municipal y H. C. de Bomberos, donde encontraron un tráiler con dos cisternas con capacidad de 31,000 litros de las cuales una al estar siendo cargada de forma ilícita, derramó 20,000 litros de combustible, afectando un área de 2 X 7 metros en el interior de un predio baldío. Personal de PEMEX y H. C. de Bomberos cerró la válvula principal, realizó trabajos de clausura de la toma clandestina e inició los trabajos de recuperación del producto derramado. No se reportan daños humanos, ya que la toma se encuentra en un área despoblada.</t>
  </si>
  <si>
    <t>“Explosión de toma clandestina deja un muerto en Mazatlán”, en un ducto propiedad de PEMEX. Dicha explosión se presentó debió al mal manejo en una toma clandestina. Derivado de la explosión se reporta una persona muerta.</t>
  </si>
  <si>
    <t>Novolato</t>
  </si>
  <si>
    <t>Fallecimiento por la caída de un rayo, en la comunidad de El Castillo perteneciente al municipio de Navolato.</t>
  </si>
  <si>
    <t>Se registró la evacuación total del inmueble  llamado la lonja, donde 700 personas tuvieron que ser evacuadas por un incendio que se registró en un Café Sushi, ubicado en el 3er piso. 5 personas las cuales fueron atendidas por crisis nerviosa.</t>
  </si>
  <si>
    <t>Explosión de dos pipas en la carretera a Reynosa en el municipio de Benito Juárez que transportaban combustóleo, las cuales se calcinaron en su totalidad, se desconoce la razón social  y la cantidad transportada, así como la causa que originó el accidente.</t>
  </si>
  <si>
    <t>Axochiapan</t>
  </si>
  <si>
    <t>El área afectada es de 300 metros a la redonda, explosión en una vivienda que era utilizada como taller clandestino de pirotécnia. Derivado de la explosión, se reportan 3 personas lesionadas con quemaduras. Asimismo, resultaron afectadas la Cabecera Municipal, un banco y varias viviendas con daños parciales. Se desconoce la causa que originó la explosión.</t>
  </si>
  <si>
    <t>Debido a las fuertes lluvias registradas por la  madrugada se generaron escurrimientos, azolve de drenaje y alcantarillado, resultando 49 casas dañadas con un tirante de 60 cm de agua en el interior de cada inmueble.</t>
  </si>
  <si>
    <t>Choque en Michoacán deja 2 muertos y 20 heridos Dos muertos y 20 lesionados dejó un accidente registrado en la Autopista Siglo 21, al chocar un autobús de pasajeros y un tráiler que se quedó sin frenos.  La Unidad Estatal de Protección Civil dio a conocer que los hechos se registraron en el kilómetro 115 de esa autopista, muy cerca de la caseta de peaje de Taretan, cuando se quedó sin frenos un tráiler que circulaba de Lázaro Cárdenas hacia Morelia. El hecho ocasionó que la unidad, que transportaba chatarra, embistiera a por lo menos dos vehículos, entre ellos un autobús. El reporte señala que dos ocupantes de una camioneta perdieron la vida, mientras que una veintena de pasajeros del autobús resultaron lesionados.</t>
  </si>
  <si>
    <t>Infraestructura Dañada:  57 viviendas afectadas,se registro una fuerte lluvia en el Mpio de Ocampo afectando las Comunidad las Trojes y Ejido Asoleadero, 7 casas de madera con daño total y 50 con daños parciales, por desborde del Rio Rosario, provocado por obstrucción de ramas y follaje de árboles caídos originando el taponamiento del cauce de Río El Rosario.  Se evacuaron 100 personas por penetración de agua en sus domicilios con tirantes de hasta un metro. Las personas evacuadas fueron trasladados un dos RT, a cargo de Seguridad Pública Municipal y DIF, uno en la Presidencia Municipal con 50 personas y el otro RT, en el Auditorio Municipal con 40 personas. Se tiene reporte de una persona muerta encontrada entre el lodo de nombre Gumaro Sánchez Ramirez de 35 años, originario del mismo municipio de la comunidad La Troje. Se brindo el apoyo de 120 cobertores y 20 colchonetas, se trabaja en el lugar por parte del municipio con 3 excavadoras y 3 retro de CONAGUA al momento el cauce del río ya corre normal.</t>
  </si>
  <si>
    <t>Un predio de 1,200 metros cuadrados, se consumió un aproximado de 500 vehículos y mil 200 metros cuadrados de predio donde se ubica el corralón de Tránsito Municipal. Como medida preventiva se evacuó a 300 personas de unas 60 viviendas que se localizan en las inmediaciones del depósito de vehicular.  Se desconocen las causas que originaron el incendio.</t>
  </si>
  <si>
    <t>Se registró la volcadura de una pipa con un remolque que trasportaba 16,000 litros de gasolina. Sobre la autopista Toluca-Zitacuaro o Bicentenario Km. 7, del Municipio Almoloya de Juárez.  Asimismo, en el siniestro se derramaron 12,000 litros de gasolina sin poder recuperarlos, mismos que cayeron al drenaje. La gasolina restante fue llevada a la gasolinera más cercana.</t>
  </si>
  <si>
    <t>Mexico</t>
  </si>
  <si>
    <t>Se registró un accidente Automovilístico en la autopista México- Querétaro a la altura del Km 451 con dirección al Df, debido a un alcance entre un Autobús de pasajeros de la Línea Autotransportes de México y un Tracto camión el cual trasportaba varilla ( sin Razón Social) , resultando 10 personas lesionadas , las cuales fueron trasladadas al Hospital de Lomas Verdes.</t>
  </si>
  <si>
    <t>Explosion de un polvorin. Resultando una persona fallecida, asi como 6 lesionados.</t>
  </si>
  <si>
    <t xml:space="preserve">Se presentó la volcadura de una pipa, que transportaba formol, esto en el kilómetro 115 de la carretera Atlacomulco-Acambay. Derivado del accidente se presentó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</si>
  <si>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</si>
  <si>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</si>
  <si>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Río de los Remedios a la altura del dren General del Valle se registró un desbordamiento afectando 7 calles de la Colonia del Prisco I.Se activo 1 RT. Ubicado en el Centro Cívico de Santa Clara mismo que no fue ocupado. La Colonia del Sol se han registrado afectaciones en varias viviendas sin cuantificar con penetración de agua de hasta 50 cm de altura y continúa lloviendo en la zona se habilitaron 2 RT.  de los cuales solo uno se encuentra activo sin cuantificar el número de personas.</t>
  </si>
  <si>
    <t>Tenancingo</t>
  </si>
  <si>
    <t xml:space="preserve"> Debido a las fuertes lluvias que se registraron se incrementó el nivel del río Atotonilco, lo que provoco que este desbordara sobre las colonias San Mateo, Cienega, Valle de Guadalupe, San Pedro Ejido de Tecoman, El Salitre y los Chiperes (o Chifon), esto ocasiono anegaciones. Asimismo, se presento un deslave ocasionando la caída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</si>
  <si>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</si>
  <si>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Cuautitlán Izcalli. Debido a las fuertes lluvias, se registraron escurrimientos del río Hondo en la comunidad de Axolotlán, lo que provocó que se anegaran cerca 60 metros de cultivos y la penetración de agua principalmente en los patios de 60 viviendas. Tepozotlán.- a consecuencia de las lluvias fuertes que se presentaron en el municipio, resultaron afectadas un aproximado de 20 viviendas, estas de los márgenes del rio Hondo. Asimismo, alrededor de 50 personas afectadas. Cabe mencionar que el tirante alcanzó un aproximado de  metro y medio. Estas zonas son federales y no cuentan con servicios de drenaje y de desazolve, por tal motivo se tuvo que trabajar con una bomba de achique para desazolvar la zona.</t>
  </si>
  <si>
    <t>Ecatepec de Morelos y Nezahulacoyotl</t>
  </si>
  <si>
    <t xml:space="preserve">Se registró una fuerte lluvia, misma que esta afectando principalmente a las Colonias de Valle de Aragón de la 1ra, 2da y 3ra Sección así como a la Colonia del Sol, presentando encharcamientos a nivel de banqueta, principales vialidades como el Circuito Mexiquense y Calle 40. Por las fuertes lluvias se registraron afectaciones en vialidades y anegamientos en algunos domicilios ubicados en: Colonias Ampliación Valle de Aragón 3ra Sección, Calle de Atenas esquina con Calle de Guadiana, Fuentes de Aragón, Arboledas de Aragón y Los Álamos. Reportan tirantes de agua de hasta 60 cm dentro de los domicilios.  </t>
  </si>
  <si>
    <t>Accidente en la Carretera Federal 80, a la altura del libramiento sur en el municipio de Lagos de Moreno. Al arribar al lugar, se encontró con la volcadura de una pipa, misma que transportaba 45,000 litros de Alquibenceno, sustancia química sulfatante utilizada para la fabricación de detergentes. El automotor, un trailer originario del estado de Nuevo León, volcó sobre la citada vía, y a causa del impacto comenzó un derrame de la sustancia.</t>
  </si>
  <si>
    <t>Explosión de una planta eléctrica portatil de motor de gasolina, perteneciente al Municipio de Atotonilco el Alto. Derivado de la explosión resultaron 5 personas lesionadas con quemaduras al 100% de su cuerpo reportadas como graves.</t>
  </si>
  <si>
    <t xml:space="preserve">Se reportaron 2 cañonistas expertos fueron victimas de una creciente en el Rio Mismaloya, en el municipio de Puerto Vallarta y se convirtieron en las primeras victimas del temporal de lluvias 2011 en Jalisco, iniciaron una ruta de escalada siguiendo la línea del Rio Mismaloya, misma que dominaban plenamente puesto que se trataba de 2 espeleologos certificados que habian recorrido la ruta con anterioridad y que contaban con el equipo para hacerlo. </t>
  </si>
  <si>
    <t xml:space="preserve">En el municipio de Pachuca, se registró una fuga de gas natural en un ducto, esto debido a que accidentalmente una retroexcavadora particular golpeó dicha línea de conducción. Como medida preventiva se evacuaron aproximadamente 6,000 personas, entre las cuales se incluyen a 100 alumnos de primaria y secundaria , esto debido a que se registra un 100% de explosividad en la zona.Se habilitó un refugio temporal en el municipio Mineral de la Reforma. </t>
  </si>
  <si>
    <t>Huejutla de Reyes</t>
  </si>
  <si>
    <t xml:space="preserve">Se registro el arrastre de una Señora de 70 años de edad, misma que intentó cruzar el rio Santa Catarina, a la altura de la comunidad “El Chote”, mismo que presentaba una fuerte corriente. </t>
  </si>
  <si>
    <t>En el incendio se presentó en una zona reducida muy localizada, los procesos de producción de la refinería no resultaron afectados, por lo que la operación continúo desarrollándose sin ningún contratiempo. Derivado del incidente se reportan fallecidos los trabajadores . De acuerdo a los procesos operativos establecidos por la paraestatal, se realizará un análisis de las causas que originaron el accidente.</t>
  </si>
  <si>
    <t>Se registró un incendio en un asentamiento irregular de 10 viviendas de material endeble. Se reportan 8 casas con pérdida total, 1 con pérdida parcial y 1 más se reporta sin daños. La causa probable del incendio se debió a un corto circuito.</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</si>
  <si>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</si>
  <si>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</si>
  <si>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Debido a las lluvias registradas, ocurrio el desgajamiento de un cerro que sepulta dos personas quienes fallecieron, los hechos se registraron en Calle Pedro Sáenz Baranda del Fraccionamiento Costa Azul donde las precipitaciones provocaron el reblandecimiento del terreno y el deslave del cerro. Quedaron sepultados bajo cuatro toneladas de tierra.  Las lluvias también provocaron encharcamientos y socavamientos en diversas calles del puerto, entre ellas la avenida Costera, donde un camión urbano se hundió aproximadamente un metro de profundidad a la altura del Centro Internacional Acapulco.</t>
  </si>
  <si>
    <t>Tlapa de Comonfort, Acapulco, Alcozauca, Tlapehuala, Ajuchitlan del Progreso, Tlalchapa y Apaxtla de Castrejón</t>
  </si>
  <si>
    <t>Se reporta un desaparecido en el municipio de Tlapa de Comonfort. En el municipio de Acapulco, el plantel de bachilleres 29, se afectó en patios y salones. Municipio de Alcozauca, se reporta 2 viviendas por arrastre de material sólido, debido a la crecida de un río. Municipio de Tlapehuala.En la localidad de San José Poliutla; 118 viviendas resultaron afectadas por inundación de aproximadamente 1.5 metros de altura, con afectación en muebles y enseres domésticos, mientras que 4 viviendas colapsaron en su totalidad.  Municipio de Ajuchitlan del Progreso.- Santana del Águila: 38 viviendas inundadas, con daños en enseres domésticos, 5 viviendas y 2 templos de construcción de adobe colapsados en su totalidad. Municipio de Tlalchapa.- San Miguel Tecomatlan: 20 viviendas resultaron afectadas por inundación de aproximadamente un metro de altura, con afectación a enseres domésticos, mientras que 2 viviendas de construcción de adobe,  colapsaron en su totalidad.</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</si>
  <si>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realizó los trabajos de absorción del material sobre la cinta asfáltica, el conductor del tracto camión fue trasladado a revisión médica. </t>
  </si>
  <si>
    <t>Se registró un choque en Calle Albino García e Hidalgo, en el que se vio involucrado un camión urbano de la Línea Salmantino, el cual se impactó contra el local comercial “Tienda Elektra”. Se reportan 8 personas lesionadas.</t>
  </si>
  <si>
    <t>Se reportan 7 viviendas como pérdida total. Se registró un incendio en un predio irregular,  Colonia Santa María La Rivera. Este predio irregular de 200 mts. cuadrados, se encuentra ubicado sobre las vía del antiguo ferrocarril, resultando afectadas 7 viviendas construidas de material endeble, con pérdida total. Se reporta el fallecimiento de una persona de 45 años, así como 26 personas fueron atendidas en el lugar por  intoxicación y crisis nerviosas, ninguna ameritó traslado. Aproximadamente 50 familias habitan ese predio irregular.</t>
  </si>
  <si>
    <t>Delegacion Milpa Alta</t>
  </si>
  <si>
    <t>Se registró una fuga de gas, cuando una pipa cisterna que abastecía de combustible a un cilindro de 20 kg., perteneciente a la Recaudería “Frutas y Legumbres Cristal”. Debido a esta fuga se produjo un incendio, alcanzando las llamas a 7 adultos y 3 menores (de 3, 10 y 12 años), siendo todos trasladados al Hospital regional .</t>
  </si>
  <si>
    <t xml:space="preserve">Fuga de Gas Natural de un tubo de 1 pulgada en calle Michoacana esquina Ayuntamiento edificio 14 de la Unidad Habitacional Fuentes Brotantes, en la Delegación Tlalpan. La causa probable, robo de tubería de gas (COBRE), en la toma domiciliaria.  Como medida preventiva fue acordonada la zona, no se reportan personas afectadas y no hubo la necesidad de evacuar a los habitantes de la unidad. </t>
  </si>
  <si>
    <t>El incendio estaba próximo a 3 viviendas ubicadas a un lado de dicho terreno y estas estuvieron a punto de ser Incendiadas. Así mismo, comento que la gente se pudo evacuar con tiempo para evitar algún otro percance. No se reportaron lesionados ni personas intoxicadas.</t>
  </si>
  <si>
    <t xml:space="preserve">Se registró la caída de la carpa del circo, en plena función,  afectando de entre 60 a 70 personas, de los cuales 20 personas aproximadamente resultaron lesionadas,  localizado en  la plaza del centro comercial Sendero, las causas que originaron el siniestro se debieron a las fuertes ráfagas de viento (tipo remolino). </t>
  </si>
  <si>
    <t>Se registro una explosión por acumulacion de gas en un cilindro con capacidad de 20 Kilos, del Municipio de Frontera, donde se reportaron 2 personas lesionadas, de las cuales una presenta quemaduras de 2° grado.</t>
  </si>
  <si>
    <t xml:space="preserve">Se registró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</si>
  <si>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registró un incendio en una maderería con razon social “INFOSPA”. Como medida preventiva, se evacuaron viviendas aledañas. </t>
  </si>
  <si>
    <t xml:space="preserve">En relacion al deslizamiento de suelo sobre el margen del Rio Sabinal, fueron aproximadamente cerca de 60 metros lineales de tierra los que se derrumbaron dejando a los tres trabajadores bajo el alud. </t>
  </si>
  <si>
    <r>
      <t>Motozintla, San Cristóbal de las Casas; Chiapa de Corzo, Yajalon, Tuxtla Gutiérrez</t>
    </r>
    <r>
      <rPr>
        <b/>
        <sz val="9"/>
        <rFont val="Arial"/>
        <family val="2"/>
      </rPr>
      <t xml:space="preserve"> </t>
    </r>
  </si>
  <si>
    <t>Se registraron lluvias de moderadas a fuertes en la Cabecera Municipal, presentándose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</si>
  <si>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registró una precipitación de granizo sobre la parte de la Zona Altos del Estado, afectando los techos de láminas de cartón de las comunidades Taza de Agua y Yaljof del municipio de San Cristóbal de Las Casas y de la comunidad de Chimojoltik del municipio de San Juan Chamula. De forma preliminar se reportan 100 viviendas afectadas y cultivos de maíz. Por lo que se proporcionó la ayuda necesaria a las familias que resultaron afectadas por la presencia de este fenómeno perturbador, las cual consiste en mil láminas de asbesto, 100 despensas, 100 kits de limpieza y 400 cobertores. Cabe destacar que hasta el momento no se abrieron albergues, debido a que las familias afectadas decidieron trasladarse a casa de familiares y amigos por mayor comodidad. </t>
  </si>
  <si>
    <t>Se presentó un incendio dentro de una vivienda construida de material endeble, ubicada en la comunidad de Betania, en el municipio de San Cristóbal de las Casas, misma que funcionaba como expendio clandestino de gasolina. El incendio se presentó cuando una menor se disponía a preparar los alimentos de la familia y accidentalmente acercó un anafre a uno de los contenedores de gasolina.</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</si>
  <si>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</si>
  <si>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Sección; Huapaque 1ra. Sección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lámina de zinc, (una con afectacion total y tres con afectacion parcial). </t>
  </si>
  <si>
    <t>Se reporta el desplome de un helicóptero en el municipio de Calakmul,  de Secretaría de la Defensa Nacional en el poblado de Xpujil (Cabecera Municipal de Calakmul), lo que provocó que los 3 tripulantes resultaran con lesiones menores. La aeronave al momento de caer con su hélice ocasionó daños en la viga de una vivienda y afectaciones a unos tinacos que se encontraban en el lugar del accidente.</t>
  </si>
  <si>
    <t>Se registró un volcamiento  en el km. 85 en la carretera Hermosillo-Moctezuma, de una pipa que, se volcó cayendo 15 metros hacia abajo del lado izquierdo hacia la vertiente del “Rio Sonora”, por  lo que ocasionó que  todo el contenido se derramara hacia el río.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</si>
  <si>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</si>
  <si>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Salón Mutualista. El resto de las personas se trasladaron con familiares. Se reportan fallas en el suministro de energía eléctrica y en  los pozos de abastecimiento de agua potable, por lo que ésta se encuentra escasa, CFE trabaja en las reparaciones de la red de electricidad.   Los arroyos se encuentran al 100% de su capacidad, algunos presentan desbordamiento. Puerto Vallarta: Hay 7 RT, 120 evacuados.</t>
  </si>
  <si>
    <t xml:space="preserve">Se registro una explosión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explosión, resultando un fallecido, 6 lesionados uno de ellos de gravedad, mismos que fueron trasladados al centro médico de Tuxpan. </t>
  </si>
  <si>
    <t>Quinchi</t>
  </si>
  <si>
    <t>Al dirigirse a controlar un incendio forestal en el Municipio de Chungchungmil, el conductor de la pipa, al maniobrar para evitar un choque  de frente contra un vehículo particular que venia rebasando  en una calle de doble sentido, perdio el control de la misma y se volco en el tramo carretero Quinchí-Celestúm, causando la muerte a 2 personas de proteccion civil y un bombero, además de 4 bomberos lesionados.</t>
  </si>
  <si>
    <t>Misantla</t>
  </si>
  <si>
    <t>Se colapsó el puente –vado Santa Cruz, a consecuencia de las lluvias que ha dejado el frente frio 33 y de  la fuerte corriente de agua, ubicado en la carretera de Martínez de la Torres  que va hacia puente Vado, comunidad de Santa Clara Misantla y Martínez de la Torre.Cabe mencionar que este puente estaba construido con tubos y se utilizaba de manera provisional.</t>
  </si>
  <si>
    <t>Tlilapan</t>
  </si>
  <si>
    <t>Se registran 600 evacuados, 10 desaparecidos y 10 muertos. Explosión  en la Fábrica Alcoholera con razón social “Monterrosa”,  km 271. Asimismo las personas que fueron evacuadas, 300 personas se alojaron en el refugio temporal “Fernando Gutiérrez Barrios”, las otras 300 personas se fueron con familiares y amigos ubicados en los municipios de Hixhuatlancillo, Iztazoquitlán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</si>
  <si>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</si>
  <si>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láminas, asi  mismo se realizan recorridos de valoracion de daños.   </t>
  </si>
  <si>
    <t>Coatepec, Nautla, Tenochtitlan, Tlatetela, Angel R Cabada, Saltabarranca, Tlacotalpan, Carlos A. Carrillo, Acula, Otatitlan, Cosamaloapan de Carpio, Tuxtilla, Amatitlan, Vega de Alatorre y Ixmatlahuacan</t>
  </si>
  <si>
    <t xml:space="preserve">Tlacotalpan:Se trasladaron a las personas a lugares secos en las localidades y en la cabecera, se procedió a realizar los desazolves de caños y rellenos de espacios bajos y de respuesta rápida. Carlos A Carrillo:  Como consecuencia de las lluvias, 5 municipios del Centro: Coatepec, Nautla, Tenochtitlan, Tlatetela, Angel R Cabada, Saltabarranca, obtuvieron 334 viviendas dañadas, 4 deslaves, 1 tramo carretero afectado, 3 personas lesioandas, 30 personas en 1 RT en Tenochtitlán. Cosamaloapan de Carpio: Se monitorea cada 2 horas el Río Papaloapan, mantener informada a la población mediante la radiodifusora local e indicar la ubicación de los RT. Amatitlan: Medicamento, Alimentación, Vestimenta, Láminas de Zinc y Despensas, Artículos De Higiene Personal, Ropa, Botas de Hule, Unidades de Rescate Vía Terrestre, comida para bebe, Palas, Carretillas, etc.  Ixmatlauacan: Debido a la falta de empleo, por las condiciones con las que se encuentran los cultivos y el campo en general las familias del municipio tienen muchos problemas para conseguir alimentos. </t>
  </si>
  <si>
    <t>Socavacion de los diferentes caminos vecinales por la fuerte corriente. Servicios estrategicos afectados: en primera instancia la energia electrica, los caminos vecinales por socavacion, el sistema de alcantarillado de la cabecera municipal se saturó. Cultivos afectados: caña de azúcar (por las fuertes rachas de viento), maíz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</si>
  <si>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Río Blanco, Zongolica, Acayucan.</t>
  </si>
  <si>
    <t>Afectadas 80 viviendas, 6 comunidades y 15 Colonias afectadas en total, asimismo se informa que 4 ríos se desbordaros (Río Chiquito, Carbonera, Metlac, El Bordo); Se tienen activados 11 Refugios temporales con 537 personas.</t>
  </si>
  <si>
    <t>Sanctorum de Lazaro Cardenas</t>
  </si>
  <si>
    <t>La explosión se registró en el almacén de juegos pirotécnicos, afectando por la onda expansiva algunos techos de lámina de otros talleres, se desconocen las causas que originaron el siniestro, por la lejanía en que se encuentran estos polvorines, no se registraron daños a viviendas. 5 fallecidos y 2 lesionados más.</t>
  </si>
  <si>
    <t>Se suscitó una explosión al interior de una vivienda,se reporto el fallecimiento de un hombre de 42 años y de una mujer de 75 años (quien falleció en el hospital), así mismo resultó lesionado el menor de 1 y Ma. del una mujer de 37 años, siendo trasladados la Hospital Civil del municipio, para su atención inmediata.Las posibles causas, se debieron a que el Sr. recolectaba cobre y fierro viejo, al estar en el patio de su casa limpiando las piezas recolectadas, entre  las que se encontraba algún artefacto explosivo (no identificado) que explotó cuando realizaba la limpieza de estos.</t>
  </si>
  <si>
    <t xml:space="preserve">Tlacotepec, Tlachixchuca, Xicotlán,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</si>
  <si>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</si>
  <si>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Atlixco, Cholula</t>
  </si>
  <si>
    <t xml:space="preserve">El Río Rabanillo presentó desbordamiento ocasionando la penetración de agua al interior de 28 viviendas a nivel patio. No fue necesario realizar evacuación, ni habilitar RT. Atlixco;  se registraron lluvias fuertes en la entidad, debido a ello el Río Cantarranas presentó una crecida, lo que ocasionó el arrastre de un vehículo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</si>
  <si>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</si>
  <si>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árbol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</si>
  <si>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</si>
  <si>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utilizó maquinaria para realizar el retiro de material y limpieza de la carretera. </t>
  </si>
  <si>
    <t>San Juan Bautista, Valle Nacional</t>
  </si>
  <si>
    <t>Comunidad Cerro Marín 34 viviendas con 122 personas afectadas por desbordamiento del río penetrando el agua a los domicilios. Comunidad Paso del Jobo viviendas incomunicadas por el desbordamiento del rio dañando el acceso a la población  Desgajamiento de la Carretera de Terracería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maíz y ganado.</t>
  </si>
  <si>
    <t>Linares</t>
  </si>
  <si>
    <t>Volcadura con derrame de turbosina de un autotanque , en la carretera Linares – Monterrey en el Tramo Linares – Hualahuises. Así mismo se informa que el derrame alcanzó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</si>
  <si>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pollería.Se registró un incendio en un predio baldío (pastizal y basura). Dicho incendio se propagó hacia un restaurante de razón social “la Isla”, a un lote de autos y una pollería, los daños principalmente se presentaron en el restaurante donde el fuego consumió el local en su totalidad ya que estaba construido de madera y lámina de metal. No se reportan daños humanos y se desconoce las causas que originaron el incendio.</t>
  </si>
  <si>
    <t>Amenaza de bomba colocada en las afueras del plantel escolar, Primaria Luis Donaldo Colosio. Se evacuó el plantel de modo preventivo.</t>
  </si>
  <si>
    <t>Se registró un choque por alcance en la carretera México - Laredo entre  un autobús de la empresa Senda y uno de Trasportes del Norte, a la altura del Puente de San Ignacio, donde resultaron 8 personas con contusiones ligeras.</t>
  </si>
  <si>
    <t>Se registró un incendio en el interior de una bodega de alimentos (para animales) y una casa habitación del mismo propietario, ubicado en la Carretera Federal México – Cuautla Km. 64 a la altura de la colonia Santa Bárbara, Municipio de Cuautla. Hasta el momento se desconocen las causas que lo originaron, área que afecto el incendio es de 156 m2. Como medida preventiva fue evacuadas las viviendas aledañas, sin reporte de  daños humanos, solo materiales sin cuantificar.</t>
  </si>
  <si>
    <t>Teoloyucan</t>
  </si>
  <si>
    <t xml:space="preserve">Se registró una explosión de una bodega en donde elaboraban perfumes, misma con razón social “Global Fragancy”, S. A. de C. V., la cual se ubicaba en Rancho Las Brujas, Barrio Santiaguito, perteneciente al municipio de Teoloyucan. Derivado de la explosión se reportan 3 personas afectadas, una con crisis nerviosa que fue atendida en el lugar y 2 mas la cuales resultaron con quemaduras de 1er y 2do grado, quienes fueron trasladadas al Hospital de Traumatología de Lomas Verdes. Se tiene un área afectada de 600 m², la bodega almacenaba productos como resina, hipoclorito y diferentes tipos de acetona, se desconocen las causas que originaron la explosion. </t>
  </si>
  <si>
    <t xml:space="preserve">Se registro una explosión (carta bomba) dentro de las Instalaciones del  Tec de Monterrey Campus Estado de México. Hasta el momento se desconocen los motivos que lo originaron. Se desconoce el tipo de explosivo y a quien era dirigido. Como medida de seguridad fue evacuado el Tec. de Monterrey, en su totalidad, para verificar si no hubiera otro artefacto explosivo, así como para indagar que tipo de explosivo se registro. </t>
  </si>
  <si>
    <t>Zacualco de Torres</t>
  </si>
  <si>
    <t>Se presentaron fuertes vientos ocasionando tolvaneras sobre la Autopista Guadalajara – Colima en el Km. 24, lo que ocasionó el accidente por alcance entre varios vehículos debido a la poca visibilidad que se registraba en esos momentos. Se reportan dos personas lesionadas y el fallecimiento de una persona cuando intentó cruzar la carretera en esos momentos.</t>
  </si>
  <si>
    <t>Amatitan</t>
  </si>
  <si>
    <t xml:space="preserve">Afectaciones en vía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algún material peligroso.  </t>
  </si>
  <si>
    <t>Dañado Hotel Riu en construccion. La Unidad Estatal de Proteccion Civil informó que el dia de hoy a las 08:00 horas se registró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intoxicación.Se reporta una persona fallecida en el lugar, por quemaduras en la mayor parte del cuerpo.</t>
  </si>
  <si>
    <t xml:space="preserve">Volcadura de una pipa que trasportaba Diesel, con una capacidad de 40.000 Litros, la volcadura se registró en el   Acceso al Proyecto Urbano,(LA YESCA),  se desconoce la Razón Social y la cantidad derramada, al momento se tiene conocimiento de afectaciones en las tierras de cultivo, el acceso al lugar ha sido dificil, hasta el momento no reportan personas lesionadas. </t>
  </si>
  <si>
    <t>Se registró un accidente en el km 69 de la autopista Guadalajara – Tepic, en la caseta Plan de Barrancas, límites con Jalisco y Nayarit, el accidente se debió a que un tráiler se quedó sin frenos e impacto a 10 vehículos que acto seguido se incendiaron, como información preliminar se reportan 6 personas calcinadas (solo se han rescatado 2 cuerpos) y 7 personas con lesiones graves.</t>
  </si>
  <si>
    <t>Se reportó la desaparición de 3 personas, después de que volcara la embarcación en la que navegaban dentro de la Laguna de Chapala, cerca de la comunidad de Cuitzeo, siendo confirmada la muerte de los mismos.</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</si>
  <si>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</si>
  <si>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Tomatlán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</si>
  <si>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</si>
  <si>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</si>
  <si>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registró una lluvia acompañada de granizo, en 8 comunidades, como son Hueyapan, Sta. María Nativitas, Texcaltepec, Almoloya, Venturriones, San José Lula Hermosa y Francisco I. Madero, donde se presentaron afectaciones por encharcamientos, así como en techos de láminas de asbesto y cartón, siendo un total de 180 viviendas las afectadas. Debido a la granizada se reporta un menor de 11 años con lesiones en el cráneo.  Se les proporciono apoyo a las personas afectadas, consistente en láminas.</t>
  </si>
  <si>
    <t>54 municipios</t>
  </si>
  <si>
    <t>Arlene se ha convertido en el desastre más costoso en la historia de la entidad, provocó la muerte de 5 personas. El sector que resintió el mayor impacto fue la infraestructura económica principalmente las carreteras.</t>
  </si>
  <si>
    <t>Se registró la volcadura  de un autobús de turismo particular , que se dirigía de San Luis de La Paz a León, con razón social “Aguilar”, el accidente fue ubicado en la carretera Dolores Hidalgo km 29+400, entronque con la comunidad Xoconostle, resultando 37 lesionados.</t>
  </si>
  <si>
    <t>Se registró un accidente entre una camioneta pick up color negro y  un tráiler, en la carretera Federal 90 Pénjamo – Santa Ana Pacueco a la altura de la comunidad Churipitzeo. Derivado del accidente se reportan 13 personas lesionadas.</t>
  </si>
  <si>
    <t>Se registró un Choque en la Autopista Federal Salamanca-Celaya km 62, en el que se involucran un camión de carga Kenworth, se informa un resultando de 8 personas lesionadas, (4 del autobús, 1 del camión de carga y 3 del vehículo Ford Focus) quienes fueron atendidas en el lugar y posteriormente trasladadas al Centro Médico Quirúrgico y al Hospital San José de Celaya. Cabe mencionar que hasta el momento se desconoce las causas que originaron el accidente.</t>
  </si>
  <si>
    <t>Se registro una volcadura sobre la carretera Federal 90 Irapuato – Abasolo a la altura del entronque a Pueblo Nuevo, en el que se vio involucrado un autobús de pasajeros, proveniente del Distrito Federal con destino a Guadalajara,  se reporta a una persona fallecida en el lugar, así como 8 personas más se resultaron lesionadas.</t>
  </si>
  <si>
    <t>Se registro una explosión de pirotecnia de la Zona Centro, resultando un lesionado, se reportan daños materiales por vidrios rotos en 1 vivienda y afectación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</si>
  <si>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rápida que ofrecia recorridos por la costera de la laguna contra una embarcación-lancha donde viajaban 12 personas</t>
  </si>
  <si>
    <t xml:space="preserve">Debido a las fuertes lluvias acompañadas de, granizo y fuertes vientos en la Capital: En la Colonia Constitución, 120 viviendas, En la Colonia el Rosario, 80 viviendas.  Ambas colonias, presentaron afectaciones en viviendas con techumbres de lámina. </t>
  </si>
  <si>
    <t>Una fuga de ácido clorhídrico, dedicada a la fabricación de frenos, se procedió a la evacuación de personal de la empresa. El ácido y el agua provocaron una nube tóxica.</t>
  </si>
  <si>
    <t>Se registró la volcadura de un autobús de pasajeros, este accidente ocurrió a la altura del kilómetro 28 de la autopista Toluca-México, entre las colonias Las Maromas y la Pila, en la delegación Cuajimalpa. Se reportan 17 personas lesionadas.</t>
  </si>
  <si>
    <t>Se presentó un choque por alcance entre  un trailer, un microbus y 6 vehículos particulares, dejando como consecuencia 8 personas lesionadas. El choque fue ocasionado por el Trailer el cual venia con carga y no fue posible que frenara de inmediato, ganándole el peso.</t>
  </si>
  <si>
    <t>Delegacion Cuahutémoc</t>
  </si>
  <si>
    <t xml:space="preserve">Sin daños humanos. Daños materiales en un lote en obra negra (láminas de fibra de vidrio, madera y basura). A las 14:20 horas, se registró un incendio dentro de un lote en obra negra, ubicado en el número 40 de la calle Sonora, en la colonia Roma, delegación Cuauhtémoc. En el lugar se consumieron láminas de fibra de vidrio, madera y basura, lo que ocasionó una densa fumarola de humo, provocando la evacuación de unas 2,000 personas, que se encontraban en viviendas y locales comerciales cercanos al lugar del incendio. </t>
  </si>
  <si>
    <t>Se registraron enfrentamientos entre cuerpos de granaderos  e integrantes del Sindicato Mexicano de Electricistas (SME) los cuales han dejado hasta el momento 4 vehículos incendiados en el cruce Circuito Interior y Marina,  44 personas lesionadas, (42 civiles afectados y atendidos en las afueras del metro Zócalo) debido a que durante el enfrentamiento se arrojó gas lacrimógeno, y este  fue esparcido en las escaleras del sistema de trasporte metropolitano afectando a civiles que se encontraban saliendo de la estación del metro Zócalo.</t>
  </si>
  <si>
    <t>Se registró la explosión de un polvorín en un inmueble. El material que explotó fueron 8.5 Kgs., de pólvora  convertida en cohetes, lo que originó ruptura de vidrios y crisis nerviosa a las personas que se encontraban en el lugar. Se desconocen las causas que originaron la explosión.</t>
  </si>
  <si>
    <t>Se registró el impacto de un camión tipo vactor de la empresa Servidren S. A. contra un microbús de la ruta 37, 2 taxis y 4 vehículos particulares, ocasionando 12 personas lesionadas. Las primeras investigaciones indican que el camión tipo vactor se quedó sin frenos e impactó contra los otros vehículos.</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</si>
  <si>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</si>
  <si>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suscitándose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</si>
  <si>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hidráulica.</t>
  </si>
  <si>
    <t xml:space="preserve">Se registró una volcadura de costado de una pipa.  Trasportaba 22 mil litros de Acido Sulfurico sobre la autopista Monterrey-Torreon Km.33. Municipio de Ramos Arizpe. Se desconocen las causas que lo originaron, se presentó derrame del producto (mas de la mitad) quedando en un dique de tierra. Se reporta el chofer con lesiones menores atendido en el lugar. </t>
  </si>
  <si>
    <t>Se reportan dañadas 77 viviendas y 2 bardas. En 11 colonias. Desbordamiento de ríos: Texcuyapan, Pumpuapa. Se habilitó 1 RT.</t>
  </si>
  <si>
    <r>
      <t xml:space="preserve">Tuxtla Gutierrez, </t>
    </r>
    <r>
      <rPr>
        <sz val="9"/>
        <color indexed="8"/>
        <rFont val="Arial"/>
        <family val="2"/>
      </rPr>
      <t xml:space="preserve">Ocozocoautla de Espinoza, Cintalapa, Chiapa de Corzo, Villa Comaltitlan, </t>
    </r>
    <r>
      <rPr>
        <sz val="9"/>
        <rFont val="Arial"/>
        <family val="2"/>
      </rPr>
      <t>Huitiupan</t>
    </r>
  </si>
  <si>
    <t>Tuxtla Gutierrez; se reporto  el arrastre por agua de un arroyo que se encontraba crecido, de un vehiculo  en el que viajaba una familia integrada por  4 personas. Asimismo ayer por la noche, y debido a las lluvias fuertes acompañadas de actividad eléctrica,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más presentaron penetración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centímetros, debido a la insuficiencia de desfogue de un dren pluvial, provocando saturación o cuello de botella; 05 árboles derribados. Villa Comaltitlan;  Barrio San Isidro, 17 casas afectas (encharcadas 30 cm ), por mal desfogue de las alcantarillas, debido a la mala construcción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requirió evacuación alguna.  Huitiupan; Reporta que el día sábado por la tarde, se informó que una persona, al intentar cruzar el rio en el tramo de la comunidad ramos cubilete, el cual se le conoce como arroyo ramos, fue arrastrado sin que hasta el momento sea localizado, este arroyo es afluente del Rio Catarina.</t>
  </si>
  <si>
    <t>Se registro la volcadura de una pipa de PEMEX que transportaba 20 mil litros de Gasolina Magna, sobre la carretera Mexicali - San Felipe Km. 20. Se desconocen las causas que lo originaron, se reporta el conductor con lesiones. Como medida de seguridad fue cerrada la circulación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</si>
  <si>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</si>
  <si>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En “La isla”  de Ixtapa Zihuatanejo, fue localizado el cuerpo sin vida de un pescador,  quien falleció a causa de asfixia por sumersión al volcar la lancha en la cual realizaban actividades de pesca. Reportan que 2 restaurantes y 3 enramadas de Barra de Potosí, se vieron afectados por el alto oleaje. Se entregaron 30 despensas, 60 cobertores y 60 colchonetas, a 30 familias de trabajadores de los 5 restaurantes, mismos que suspendieron labores, en espera de que dichas marejadas regresen a su normalidad.</t>
  </si>
  <si>
    <t>Afectados 800 metros cudrados. Afectados 120 locales semifijos. se incendiaron alrededor de 120 locales semifijos dedicados a la venta de ropa usada y nueva , muebles , electrodomésticos, calzado, herramientas , comida, etc., con pérdidas en su totalidad fincados dentro del predio de 800 mts2.No se reportan víctimas, durante el control del incendio,  4 elementos de bomberos tuvieron que ser atendidos.</t>
  </si>
  <si>
    <t>Desaparición de una embarcación  sardinera “King”, del puerto de Guaymas.Hasta el momento, se desconocen las causas del siniestro. El día de ayer por la mañana, se encontró la embarcación hundida a 50 millas al N-NW de Loreto BCS (85 Km. Frente a Loreto BCS).  Se tiene conocimiento que trasportaba a 10 personas, se localizó 2 personas fallecidas ayer, dando un total de 4 cuerpos encontrados hasta el momento. Con 6 desaparecidos.</t>
  </si>
  <si>
    <t>Nopalucan de la Granja</t>
  </si>
  <si>
    <t xml:space="preserve">Se registro lluvia fuerte a en el municipio de Nopalucan de La Granja.- En la comunidad de Rincón Zitlaltepetl se reportan afectadas 35 viviendas en sus techumbres y penetración de agua, se activo un RT, en La Esc. Emiliano Zapata con 100 personas, se les proporciona el apoyo por parte del Estado y Municipio. </t>
  </si>
  <si>
    <t xml:space="preserve">Se registró una explosión en un taller donde fabricaban Juegos pirotécnicos.Reportan que en el lugar se encontraba  clorato de potasio, clorato de aluminio y 2 kilos de pólvora, se desconocen las causas de la explosión. Los daños únicamente se registraron en domicilios aledaños con cristales rotos y en el taller que  hasta el momento están sin cuantificar.  </t>
  </si>
  <si>
    <t>Huautepec</t>
  </si>
  <si>
    <t xml:space="preserve">Se registró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</si>
  <si>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</si>
  <si>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</si>
  <si>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</si>
  <si>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centímetros en su punto mas alto. Informa además que la autoridad municipal ha dispuesto ya de 4 lugares para ser utilizados como albergues temporales: Escuela Primaria Revolucion, el Palacio Municipal, La Iglesia Santa Maria y la Escuela Primaria Jose Vasco, con una capacidad para atender a 600 personas.</t>
  </si>
  <si>
    <t>China</t>
  </si>
  <si>
    <t>Protección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</si>
  <si>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registró el choque de un camión de pasajeros, perteneciente a la Ruta “Alamo”, el cual se encontraba fuera de control, impactándose contra un Poste , cayendo el trasformador sobre el camión.Derivado del accidente se reportan 25 personas lesionadas. Así como un negocio de “Sellos de Goma” resulto con daño total en su estructura.  
</t>
  </si>
  <si>
    <t>Ocuituco</t>
  </si>
  <si>
    <t>Se registró una explosión en un polvorín utilizado para la fabricación de todo tipo de juegos pirotécnicos, en el municipio de Ocuituco, en el accidente se registro el fallecimiento de 2 personas.</t>
  </si>
  <si>
    <t>Se registro un incendio en la fabrica de cosmeticos con razon social “LIVCO” S.A. de C.V. Como medida preventiva se acordono la zona, cuando el fuego se extinguió,  se localizó un artefacto explosivo (tipo misil – una especie de mortero grande), por lo que SSP estatal acordono la zona.</t>
  </si>
  <si>
    <t>Incendio dentro de las instalaciones de la Escuela Primaria mariano Escobedo, ubicada en Calle Mariano Escobedo, Colonia Esteban Bravo. Se informa que el incendio inicio en una bodega donde se almacena papelería y un refrigerador, se desconocen las causas que originaron el incendio. Como medida preventiva se evacuaron a 470 personas entre alumnado y docentes.</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</si>
  <si>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</si>
  <si>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en el Mercado del Campesino, afectando 8 locales comerciales en su totalidad.</t>
  </si>
  <si>
    <t>Colapso del puente en proceso de construcción se debió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</si>
  <si>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días pasados en la entidad, se esta presentando el reblandecimiento de tierra, lo que provoco un deceso,  por un alud de tierra.</t>
  </si>
  <si>
    <t>Reportan la explosión y posteriormente incendio en la planta de reducción de hidrocarburos en las instalaciones de la Refinería “Miguel Hidalgo”, ubicada en el municipio de Tula de Allende. Se desconocen las causas que originaron la explosión, asimismo el número de trabajadores lesionados. Hasta el momento de este reporte el incendio está controlado pero no extinguido.</t>
  </si>
  <si>
    <t>Tlalixtaquilla de Maldonado</t>
  </si>
  <si>
    <t>Ocurrido en la región de la montaña, fuerte lluvia acompañada de viento,  provocada por una tormenta local, registrada la tarde del día de ayer y transcurso de la noche  en la región Montaña del Estado,  41 viviendas y una comisaria resultaron con daños en sus techos de lamina de cartón, en la localidad de Canan Municipio de Tlalixtaquilla de Maldonado. Apoyos destinados: 48 láminas de cartón, 24 cobertores, 24 colchonetas. De las 42 viviendas dañadas: 37 con daño ligero y 5 con daño alto.</t>
  </si>
  <si>
    <t>Zitlala</t>
  </si>
  <si>
    <t xml:space="preserve">Se registró una lluvia fuerte, afectando a 9 viviendas y un jardín de niños, por penetración de agua, en el poblado de Mazatepec, se informa que la inundación sólo se mantuvo el tiempo que tardo la lluvia, por lo que una vez finalizada la precipitación, las familias realizaron labores de limpieza, reportando afectaciones en muebles y electrodomésticos. Siendo un total de 37 personas las afectadas. Se entregaron 11 despensas, 22 colchonetas, 11 kit de limpieza y 44 cobertores, a las personas afectadas. </t>
  </si>
  <si>
    <t xml:space="preserve">La madruga se presentaron lluvias muy fuertes en el municipio de Marquelia, lo que provocó la crecida del río Marquelia, afectando por inundación a 2 viviendas de la colonia la Noria, 7 de la colonia Periférico Norte y 26 de la colonia Plan de Ayala. Con beneficio de 35 cobertores, 35 colchonetas,70 placas de lamina. </t>
  </si>
  <si>
    <t>Ahuacotzingo</t>
  </si>
  <si>
    <t>A consecuencia de las lluvias registradas en la temporada,  se suscitó un deslizamiento de tierra, causando daño estructural a 4 viviendas construidas de adobe y madera, en la localidad de Ostoyahualco. Personal del departamento de geología se trasladó al lugar para realizar los estudios  correspondientes, para posteriormente emitir un dictamen técnico de la situación. Fueron entregadas 12 pacas de lámina de cartón, 16 cobertores, 12 colchonetas, 8 despensas y 4 kits de limpieza, a las 4 familias que se vieron afectadas en sus viviendas, quienes por medida preventiva fueron evacuadas, trasladándose con familiares.</t>
  </si>
  <si>
    <t>Volcadura de un autobús de pasajeros carretera Federal 45 tramo Silao - León km 148+200. Se desconocen las causas del accidente, el autobús cubría la ruta Toluca – León. Se reportan lesionadas 13 personas.</t>
  </si>
  <si>
    <t>Delegacion Alvaro Obregon</t>
  </si>
  <si>
    <t xml:space="preserve">Se registró un incendio en una Agencia Automotriz ubicada en el No. 4080 de Periférico Sur, Colonia jardines de Pedregal. Derivado del incendio se reportan daños al inmueble y 4 vehículos. </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</si>
  <si>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semáforo y choco contra una combi de transporte publico y posteriormente con un taxi. Se reporta tres personas lesionadas (pasajeros del transporte público).</t>
  </si>
  <si>
    <t>Debido a las fuertes lluvias registradas en la delegacion de Tlalpan, por acumulacion de agua provoco el Talud de la parte de un cerro, afectando un domicilio, ubicado en  la calle Yobain esquina con Ciclo Vía en la Col. Cultura Maya. El deslave, colapso el techo de lamina de la vivienda, resultando una persona fallecida.</t>
  </si>
  <si>
    <t>Ciudad Acuña</t>
  </si>
  <si>
    <t>Se registro un accidente en el Puente ubicado en el Ejido el Morales, aproximadamente a 25 km de Piedras Negras a Cd. Acuña, de 3 personas de sexo masculino cuando hacian labores de demolición del puente al estar trabajando en el mismo una maquina de trascavo conocida como mano de chango, se volco afectando a los 3 trabajadores con lesiones no de gravedad.</t>
  </si>
  <si>
    <t xml:space="preserve"> 25 evacuados preventivamente. Por el registró de un incendio de 4 viviendas construidas de madera y cartón, ubicadas en la calle San Salvador, en la colonia Salvador Allende, en el municipio de Torreón; al lugar acudió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debió a un corto circuito.</t>
  </si>
  <si>
    <t>Se registró una volcadura  de una pipa, la cual trasportaba  30 mil Litros de nitrato de amonio, resultando  el tanque con una Fisura en la parte trasera derramando producto sin cuantificar la cantidad, por lo que de inmediato se trasladó el equipo de emergencia de la minera, quienes colocaron un tapón a la fisura, no se realizó trasvase y trasladaron el contenedor a la empresa, la  cual se encuentra cerca del lugar donde fue el percance. No se realizó evacuación de las familias de la Comunidad Belem. Se reportó que el conductor de la pipa falleció  y una persona más resultó lesionada.</t>
  </si>
  <si>
    <t xml:space="preserve">Chihuahua </t>
  </si>
  <si>
    <t xml:space="preserve">Por acumulación de gas se registro una Explosión de gas por acumulación de gas butano , en el interior de un Domicilio, donde resultaron lesionadas 5 personas, 3 de gravedad, , las cuales fueron trasladadas de emergencia al hospital central para su atención. </t>
  </si>
  <si>
    <t>Se accidento una avioneta que procedía de Sonora, la cual cayó en la comunidad el Palmarito. Se informa que debido al accidente la avioneta se incendio, explotando inmediatamente, falleciendo sus dos tripulantes, los cuales quedaron calcinados. Se desconocen los motivos del accidente, así como los datos de la avioneta. Los cuerpos fueron trasladados al hospital más cercano para su identificación y entrega a familiares.</t>
  </si>
  <si>
    <t>Personal de la Compañía (DOWN) realizaba  trabajos de limpieza en un pozo de  la Rancheria San Miguel Segunda Sección,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</si>
  <si>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reportan 52 viviendas, ubicadas en diferentes colonias y fraccionamientos de la cabecera municipal, donde se registraron encharcamientos que alcanzaron un nivel de entre los 15cm y 50 cm, no se reportan afectaciones mayores.</t>
  </si>
  <si>
    <t>Tuzantan</t>
  </si>
  <si>
    <t>Debido a las lluvias registradas el dia 19 de septiembre,  resultaron afectadas 40 viviendas con encharcamientos de 10, 15 y 20 centímetros de altura en patios y dentro de las viviendas. DIF Estatal entregará 40 kits de limpieza a las familias afectadas de la colonia Islamapita.</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</si>
  <si>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</si>
  <si>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láminas de cartón, por lo que autoridades del municipio realiza el apoyo, de entrega de láminas nuevas  a las viviendas afectadas, no se reportan personas lesionadas. En el Municipio de Frontera Comalapa, a consecuencia de las fuertes lluvias  acompañadas de fuertes vientos, 3 ejidos resultaron afectados con desprendimiento de láminas: En el Ejido de Sinaloa: 43 viviendas. En el Ejido de Laureles: 39 viviendas. En el Ejido de Linda vista: 15 viviendas. </t>
  </si>
  <si>
    <t>Se realizo una verificacion en la Colonia Coquelexquitzan a 12 viviendas, debido a un deslizamiento, encontrando afectaciones parciales por fisuras en piso, deslizamiento en el terreno, a causa de una edificación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</si>
  <si>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</si>
  <si>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registró la caída de un rayo sobre 4 personas, una mujer adulta que sufrió pequeñas lesiones y 3 menores de 14, 6 y 3 años que fallecieron en el lugar. Estas 3 menores se encontraban jugando cerca de una cueva al momento de la caída del rayo. Debido a los usos y costumbres de la región, se roció a los cuerpos de las fallecidas con aguardiente y se envolvieron en plástico durante 24 horas, para intentar revivirlas. </t>
  </si>
  <si>
    <t>Puerto Vallarta, Mascota, Cabo Corrientes, Tomatlan, La Huerta, Casimiro Castillo, Cuautitlan de los Garcia Barragan, Villa Purificacion, Cihuatlan, Toliman, Autlan de Navarro, Talpa de Allende y San Gabriel.</t>
  </si>
  <si>
    <t>Emisión de  la declaratoria de emergencia y de desastre para 13 municipios de la Entidad a causa de Jova que afectó a varios sectores.</t>
  </si>
  <si>
    <t>Se presentó el impacto de una pipa que transportaba 38,000 litros de gas Lp, de la empresa SIMSA,  contra una camioneta pick-up. Debido al accidente se presentó una persona lesionada de 60 años.  Además, se registró la fuga del producto, esto ocasionado por que al momento del accidente se degollaron 3 válvulas de la pipa, por lo cual no fue posible realizar el trasvase del producto y se efectuó la liberación del mismo al medio ambiente en un lugar despoblado.</t>
  </si>
  <si>
    <t>Noria de Angeles, Miguel Auza, Pinos,Valparaiso</t>
  </si>
  <si>
    <t>Noria de Ángeles: Se reportan 75 viviendas inundadas con aproximadamente 1 metro de agua, afectando enseres domésticos. El Centro de Salud también se inundó, no reportaron daños a equipos, ni medicamentos. Como medida preventiva varias personas fueron evacuadas de sus domicilios. 
Asimismo se reportan viviendas afectadas en; Cabecera Municipal de Río Grande, 3 viviendas encharcadas; Cabecera municipal de Valparaíso 4 viviendas.
Miguel Auza: Una persona del sexo masculino perdió la vida al tratar de cruzar un arroyo en su vehículo.  Refugios Activados: En el municipio de Noria de ángeles se encuentra instalado un RT en el salón de la Ganadera, ninguna persona ha acudido, ya que los damnificados se albergaron con familiares y vecinos.</t>
  </si>
  <si>
    <t>Tekom</t>
  </si>
  <si>
    <t>Se registró la volcadura de un tráiler con doble semirremolque tipo pipa que trasportaban 32 mil litros de turbosina, el cual se volcó en la carretera estatal carretera  Merida – Tekom Km. 21. La causa del accidente, se debió a que el chofer se quedo dormido,  se reporta con lesiones.</t>
  </si>
  <si>
    <t>Se registro la volcadura de una pipa  que tansportaba aceite-agua, en la esquina de Boulevard Lázaro Cárdenas y la calle Central Norte en la colonia Obrera. Las causas se debió al exceso de velocidad que era conducida la unidad y al intentar ganarle a la luz roja del semáforo. Se reporta lesionado el conductor de la Unidad trasladado al hospital regional  y falleció su acompañante.  Cabe mencionar que no se registró fuga del producto.</t>
  </si>
  <si>
    <t>Ixcatepec, Nautla, Pánuco,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</si>
  <si>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Úrsulo Galván).</t>
  </si>
  <si>
    <t>Se registró un accidente por contacto de dos pipas que transportaban producto químico identificado con el Rombo 1268 (Producto de Petróleo). El incidente se registró en el Puente Aduanal de Reynosa – Pharr, cuando ambas unidades esperaban cruzar y sobrevino el contacto, afectándose la línea de conducción y llenado de una de las pipas, registrándose una pequeña fuga en un tramo lineal de 10 metros, misma que fue controlada con producto absorbente (americano). No se reportan personas lesionadas.</t>
  </si>
  <si>
    <t xml:space="preserve">Un total de 23 colonias inundadas, 42 personas rescatadas de vehiculos arrastrados, vialidades afectadas, cortes de energia electrica y suspension de agua potable es el saldo que dejo una tormenta que azotó esta tarde en Reynosa,  la corriente arrastro a 35 vehiculos y de donde se logro rescatar a un total de 42 personas. </t>
  </si>
  <si>
    <t>Incendio de basura dentro de una alcantarilla contigua a la guardería del IMSS, “El Caminito Feliz”, en el municipio de Hermosillo. Debido a que el incendio se presentó a un costado de la cocina (con dos cilindros de gas Lp) de dicha guardería y al intenso humo que se presentaba se realizó la evacuación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</si>
  <si>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búsqueda por parte de la Policía Municipal y de Cd. Obregón, 60 batallón de infantería y apoyo de un helicóptero por parte del gobierno del Estado.</t>
  </si>
  <si>
    <t xml:space="preserve">Se registró el desplome de una avioneta tipo Cessna. En la aeronave se transportaban 2 personas, que realizaban un viaje de prueba, cuando se presentó una falla mecánica en el motor de la nave, misma que originó el desplome de la misma. Como resultado del accidente se reporta un muerto y una persona lesionada. </t>
  </si>
  <si>
    <t>Salvador Alvarado</t>
  </si>
  <si>
    <t>Se registró una Explosión en  una toma clandestina.Se reporta una persona Fallecida, al parecer es el chofer del auto tanque, que se encontraba en el poliducto de 10”Ø Topolobampo-Culiacán de gasolina, donde se localiza la toma clandestina conectada a el  autotanque que se incendio. De forma extraoficial se informa que la toma clandestina se incendió al momento de que los presuntos delincuentes se encontraban ordeñando la línea. Como medida precautoria se realizó la evacuación de 2 familias, cercanas al lugar del incendio y se bloqueó la válvula de seccionamiento.</t>
  </si>
  <si>
    <t>Derivado de las fuertes lluvias presentadas desde ayer en el Valle de San Fernando, Municipio de Culiacan, se presento el incremento el nivel del río local, mismo que arrastró a varias personas de una familia que intentaban cruzar; al lugar acudió un helicoptero propiedad de Seguridad Pública del Estado, mismo que se desplomó en el lugar cuando intentaban rescatar a las personas. En el accidente se reporta la muerte de Miguel Pérez Angulo, Coordinador de Emergencias de Protección Civil del municipio de Culiacán, además se reportan 5 personas más con diversos tipos de lesiones. Hasta el momento se desconoce las causas que originaron el accidente.</t>
  </si>
  <si>
    <t>15 personas trasladadas a un Refugio Temporal.Se presentó una fuerte lluvia acompañada de vientos en el municipio de Mazatlán, lo que provocó que el arroyo Jabalíes se desbordara y ocasionara inundaciones en 54 colonias de la zona urbana y 1 colonia más de la zona rural. Se presentó el colapso de un muro de contención lo que ocasionó la muerte de 2 menores y lesiones en 5 personas.</t>
  </si>
  <si>
    <t>Tancanhuitz, Ciudad Valles</t>
  </si>
  <si>
    <t>Dos personas fallecen por golpe de calor y una por agotamiento  por el calor.</t>
  </si>
  <si>
    <t>Se registró un incendio en una Bodegas de la empresa “Waldos”. Esta bodega se reporta como pérdida total, ya que contenía material altamente flamable, como cartón y plástico, por lo que las llamas alcanzaron no solo a este establecimiento, sino a un comercio  del ramo mueblero, ubicado a un lado con razón social “Almacenes del Hogar, se reporta con daños parciales.</t>
  </si>
  <si>
    <t>San Andres Cholula</t>
  </si>
  <si>
    <t>Se registro la volcadura de una pipa, que trasportaba 32 mil litros de combustoleo sobre la Autopista México-Puebla Km. 121+500 (dirección a México). Las causas del accidente, se debió a que se perdió el control de la unidad en una cuneta debido al exceso de velocidad y se fue a impactar con el patio de una casa habitación. Se reportan 2 personas lesionadas y fallecido.</t>
  </si>
  <si>
    <t>Arramberri</t>
  </si>
  <si>
    <t>Un trailer que transportaba cemento, se impactó en las instalaciones de una guardería , ubicada en la carretera Arramberi – Lampacitos en el lugar conocido como “El Piquete”, lo que originó que tres menores y tres adultos fallecieran en el lugar, se encuentran elementos de diversas dependencias realizando trabajos de remoción de escombros, ya que hay una persona desaparecida, así mismo una persona lesionada.</t>
  </si>
  <si>
    <t>Derivado de las fuertes lluvias registradas el pasado 30 de agosto y de la acumulación de basura y escombro, se presentó la penetración de agua en 17 viviendas, de las cuales solo 2 presentaron afectaciones, ya que las otras 15 solo presentaron ligeros encharcamientos. No fue necesario la activación de algún refugio temporal. . Se entregaron 51 sobres de Vida Suero Oral, 20 tratamientos de Miconazol.</t>
  </si>
  <si>
    <t>Fuga de monóxico de carbono, de un bóiler en un departamento de la Colonia Periodistas, como resultado un hombre murió por inhalación del producto acumulado.</t>
  </si>
  <si>
    <t>Dañados de 50 a 60 vehículos. en un incendio en un deshuesadero, ubicado en la avenida Morelos Norte, de la Colonia La Soledad. Calcinando un aproximado de 50 a 60 vehículos.Cabe mencionar que el incendio inició por la quema de pasto en los lotes baldíos que se encuentran alrededor del inmueble, mismo que se propagó al interior del deshuesadero.</t>
  </si>
  <si>
    <t>Se registro la volcadura de un autobús,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autobús provenía del municipio de Lazaro Cardenas con destino a Morelia.</t>
  </si>
  <si>
    <t>Acolman</t>
  </si>
  <si>
    <t>Un taller para la elaboración de juegos artificiales explotó en las mediaciones del  ejido de San Jose, en el límite del municipio de Teotihuacán. Al parecer la explosión se debió al mal manejo  de la pólvora, la cual es materia prima para la  fabricación de cohetes. El taller contaba con permiso y se encontraba en una zona donde operan otros talleres con el mismo fin, en una área exclusiva donde no se localizan viviendas cercanas.</t>
  </si>
  <si>
    <t xml:space="preserve">Se registro la explosión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</si>
  <si>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extendió a varios locales en la Central de Abastos de Ecatepec, la más grande del Estado de México y la segunda a nivel nacional. La conflagración empezó en el local 20, ubicado en el Pasillo C, en el que se venden materias primas. Los primeros reportes establecen que el siniestro pudo originarse por un corto circuito o por la caída de una veladora que se encontraba en el interior del negocio.</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</si>
  <si>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</si>
  <si>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 xml:space="preserve">Afectada la colonia Majahua. Se registró un incendio en una carpintería sin razón social, en el Municipio de Zihuatanejo.Hasta el momento se desconocen las causas que lo originaron. La maderería estaba construida de madera y lamina de cartón, la cual resulto con pérdida total en un área de 225 metros cuadrados. </t>
  </si>
  <si>
    <t>Se reportó un incendio en la Comunidad de Apipilulco, de una vivienda construida de mampostería y teja, la cual era utilizada para la venta de gasolina. Se reporta pérdida total del inmueble, dentro del cual se encontraban 8 garrafas de 20 litros y un tambo de 200 litros los cuales  almacenaban gasolina, se desconoce la posible causa que originó el incendio. Se reportan con quemaduras leves el propietario del inmueble y su esposa.</t>
  </si>
  <si>
    <t>Se registró la  volcadura de un tráiler  y un remolque tipo góndola que transporta 30 toneladas  de fertilizante, del Distrito Federal, sobre la carretera federal Tierra Colorada – Acapulco a la altura de la localidad el Salitre.La causa probable se debió a una falla mecánica, al volcar sobre la cinta asfáltica provocó que se incendiará la cabina y origino el cierre de la vialidad. Se reporta el conductor con lesiones menores.</t>
  </si>
  <si>
    <t>Se registró un Choque Automovilístico en la Colonia Daniel Murayama Quezada sobre el periférico, un Camión Urbano de Pasajeros del servicio Público Federal de la ruta Cocula – Iguala, del Estado de Guerrero, el cual se impactó por alcance con dos vehículos particulares y dos motonetas marca itálica que se encontraban estacionados sobre el periférico y dañando el portón de una vivienda, se reportan 12 personas lesionadas que viajaban en el Autobús de Pasajeros.</t>
  </si>
  <si>
    <t>La Union</t>
  </si>
  <si>
    <t>Se reporta la  volcadura de un autobús, hecho suscitado sobre la carretera Zihuatanejo – Lázaro Cardes a la altura de la comunidad de la piedra, un autobús de la marca Dina, Color Blanco, el cual transportaba estudiantes de la preparatoria numero 42, ubicado en el municipio de la Unión. Resultaron lesionados 24 estudiantes lesionados.</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</si>
  <si>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</si>
  <si>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Acapulco, Buenavista de Cuellar, Chilpancingo de los Bravos, Juan R. Escobedo, Acapulco, Tlalixtaquilla de Maldonado, Tixtla de Guerrero</t>
  </si>
  <si>
    <t>Se reporto a una persona desaparecida en el Rio Papagayo que pasa en las inmediaciones del poblado de Cacahuatepec,  se procedió a realizar la búsqueda de la persona desaparecida. Col.  Ampliación las Calaveras, Deslizamiento de tierra de un cerro, sobre una vivienda de construcción de madera y lamina de asbesto, siendo evacuado y  trasladando las pertenencias con familiares. Col. San Rafael Oriente, Deslizamiento de tierra e inundación de una vivienda, se evacuó a la familia y pertenencias, trasladándose con familiares. Juan R. Escudero. Poblado de Papagayo, Deslizamiento de tierra e inundación de 20 viviendas, se evacuaron a las familias,  utilizado como Refugio Temporal La Iglesia de la Localidad, sumando un Total de 109 Personas, 47 Adultos Y 62 Niños. Chilpancingo: 50 personas afectadas, trasladadas a un RT, por 10 viviendas de material endeble.</t>
  </si>
  <si>
    <t>Se registro una explosión en un polvorín en cohetería ubicada en el kilometro 6+200, carretera Lerdo-Nazareno, Municipio de Lerdo. Las causas se debieron a un incendio de maleza provocado por una chispa en el motor de un compresor, mismo que inicialmente trataron de sofocar con extintores. Produciéndose una primera explosión seguida de otra, estas explosiones no alcanzaron a provocar una reacción en cadena tanto del área de almacenamiento del producto terminado ni del polvorín. Se reportan 3 lesionados.</t>
  </si>
  <si>
    <t>Delegacion Cuauhtémoc</t>
  </si>
  <si>
    <t>Se registró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presentó en la parte posterior del edificio delegacional, personal que labora en la Delegación (450 personas) fueron trasladados a la explanada. Cerrando la circulacion en la zona. Los cuerpos de emergencia procedieron al cierre de una válvula de seguridad junto con personal de la empresa gasera.</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</si>
  <si>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</si>
  <si>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Delegacion Xochimilco</t>
  </si>
  <si>
    <t xml:space="preserve">Choque entre dos convoy del Tren Ligero en la Av. 20 de Noviembre y México Col. Huichapan, el accidente se debió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</si>
  <si>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Estallido de gas metano en una mina de carbón en el municipio de Músquiz también provocó a lesiones a cinco personas; brigadas de restace se encargan de atender la contingencia  Un minero muerto y cinco mas lesionados provocó una explosión de gas metano en una mina de carbón en el municipio de Músquiz, en la región carbonífera, a 300 kilómetros de Saltillo.</t>
  </si>
  <si>
    <t>Sabinas</t>
  </si>
  <si>
    <t xml:space="preserve">Se registró una explosión por acumulación de gas en un Pozo minero perteneciente a la empresa BINSA, ubicado a espaldas de la CFE de Sabinas Coahuila, así mismo informa que en el lugar se encuentran tres pozos, dos de ellos se conectan y el tercero que es el afectado (Pozo “3”) quedó incomunicado, mismo que en su interior se encontraban los trabajadores atrapados. 13 personas atrapadas y una 1 persona lesionada. </t>
  </si>
  <si>
    <t>Ciudad Juarez</t>
  </si>
  <si>
    <t>La Unidad Municipal de Protección Civil informó que se registró un accidente de un autobús que transportaba a 45 personas de una maquiladora esto en el camino real, en el Fraccionamiento Los Ojitos perteneciente al municipio de Ciudad Juárez.Derivado del accidente resultaron 7 personas lesionadas, la causa que origino el accidente fue por que un neumático se encontraba ponchado.</t>
  </si>
  <si>
    <t>Se registraron lluvias fuertes, en el municipio de Casas Grandes, provocando el desbordamiento del “Rio Verde”. Como medida preventiva se evacuaron a 12 personas que se ubicaban en las márgenes del Río, siendo llevadas a un Refugio Temporal,  habilitado en el Auditorio Municipal.</t>
  </si>
  <si>
    <t>Ixhuatan, Ostuacan</t>
  </si>
  <si>
    <t>Debido al paso del frente Frio No. 32, el día de ayer se registraron lluvias de ligeras a moderadas en la Región Norte y Selva, provocando las siguientes afectaciones. Mpio. Ixhuatán; Por la mañana del día de ayer, se registró un derrumbe sobre la carretera Federal Km. 122,  quedando obstaculizada, la cual permaneció  cerrada mientras se realizaron trabajo de limpieza y remoción de material rocoso. No se reportan daños humanos ni materiales. Mpio. Ostuacán; Debido a las lluvias se registró una bajada de agua penetrando ésta a 11 viviendas,  se reportan afectaciones leves, por lo que no fue necesario realizar evacuación, se realizaron trabajos de limpieza. No se reportan daños humanos ni materiales.</t>
  </si>
  <si>
    <t xml:space="preserve">Se registraron 16 personas intoxicadas por un plaguicida denominado “Malation” por lo que de inmediato fueron atendidos en diferentes centros de salud , de la clínica 5 y 30 del IMSS. Los hechos se registraron en la empacadora de ajo ubicada en el ejido Chiapas del municipio de Mexicali, reportan que las causas se debieron al estar fumigando dentro de la empacadora para prevención de insectos. 110 personas estuvieron expuestas al producto, sin embargo unicamente resultaron 16 personas con síntomas de intoxicacion.  </t>
  </si>
  <si>
    <t>Palizada</t>
  </si>
  <si>
    <t>Se registró una inundación fluvial a consecuencia de las intensas lluvias registradas en la región, que provocaron que el Río Palizada se saliera de su cauce provocando daños en la infraestructura carretera e hidráulica principalemnte. Se declaro en desastre y emergencia al municipio. Tambien la infraestructura de residuós sólidos registro daños, así como algunas unidades de salud. Además se reportaron 794 viviendas inundadas, auqnue estas no fueron atendidas vía FONDEN</t>
  </si>
  <si>
    <t>Suchiapa, Yajalon</t>
  </si>
  <si>
    <t xml:space="preserve">Suchiapa; se reportaron once viviendas afectadas por encharcamiento, debido a una barda que se construyo a lado de una casa obstruyendo el cauce de un arroyo el cual con las lluvias se formó como una represa. </t>
  </si>
  <si>
    <t>Villa Comaltitlan</t>
  </si>
  <si>
    <t>Se verificó en el Ejido Teziutlán, sobre el bordo camino, que conduce a la Comunidad Cantón Sacualpa al Ejido Teziutlán. En la Colonia  Xochicalco fueron afectados 11 viviendas (11 familias) por la rotura de una ventana del Rio Despoblado que se apertura alrededor de 300 metros, registrando un tirante de 35 cm al interior de la viviendas, por lo que se realizó una evacuación preventiva, siendo trasladados al Refugio Temporal ubicado en la Escuela Emiliano Zapata, el DIF Regional proporcionó los apoyos consistentes en Kits de limpieza. Por parte de CONAGUA se apoyara con maquinaria excavadora.</t>
  </si>
  <si>
    <t xml:space="preserve">Se reporto que el Rio Huixtla en su margen izquierdo se desbordo a la altura de la Comunidad Lechugas 1, reportándose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</si>
  <si>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Atizapan de Zaragoza, Tlalnepantla de Baz, Tultitlan y Cuautitlán Izcalli</t>
  </si>
  <si>
    <t>Se registró una intensa lluvia en los municipios mencionados, ocasionando daños en la infraestructura hidráulica y urbana de los mismos. Los daños en vivienda no se captaron ya que fueron atendidos por otro programa distinto al FONDEN</t>
  </si>
  <si>
    <t>Cuautitlan y Teoloyucan</t>
  </si>
  <si>
    <t>Debido a las fuertes lluvias registradas en ambos municipios el gobierno del estado solicitó las declaratorias de emergencia y desastre para atender a la población afectada y realizar las labores de reconstrucción.</t>
  </si>
  <si>
    <t>Se registro una fuerte lluvia en el municipio ocasionando daños en la infraestructura urbana e hidráulica</t>
  </si>
  <si>
    <t>Salina Cruz, San Blas Atempa, San Pedro Huamelula, San Pedro Huilotepec, Santiago Astata y Santo Domingo Tehuantepec</t>
  </si>
  <si>
    <t xml:space="preserve">Se registraron intensas lluvias en los municipios afectados, causando daños en la infraestructura carretera e hidráulica, así como en 73 viviendas. </t>
  </si>
  <si>
    <t>Huautepec, Huautla de Jimenez, San Lucas Zoquiapam y Santa Maria Tepoxco</t>
  </si>
  <si>
    <t>Derivado de las intensas lluvias registradas en los municipios mencionados se reportaron daños en la infraestructura hidráulica y carretera, así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</si>
  <si>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</si>
  <si>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</si>
  <si>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Putla Villa de Guerrero, Heroica Ciudad de Tlaxiaco, San Juan Diuxi y Asunción Nochixtan</t>
  </si>
  <si>
    <t>Se registraron deslizamiento de laderas en los municipios mencionados, mismos que afectaron 303 viviendas e infraestructura carretera e hidráulica</t>
  </si>
  <si>
    <t>Yutanduchi de Guerrero, San Juan Bautista Cuicatlan, Santa Ines Yatzeche, San Andres Zabache y San Martin Lachila</t>
  </si>
  <si>
    <t>Se registraron lluvias intensas en los municipios afectados, se reportan afectaciones en la infraestructura carretera e hidraulica, así como en 12 viviendas</t>
  </si>
  <si>
    <t>Se reportaron lluvias severas en 32 municipios del estado, por lo que se delcaro en desastre la zona. Los daños se concentraron en la infraestructura hidráulica y carretera</t>
  </si>
  <si>
    <t>Santa Maria Tataltepec, Santa Maria Yucuhiti y Magdalena Jaltepec</t>
  </si>
  <si>
    <t>Se registraron movimientos de laderas por lo que fueron declarados en desastre tres municipios. Se reportan afectaciones en vivienda e infraestructura carretera</t>
  </si>
  <si>
    <t>29 Municipios</t>
  </si>
  <si>
    <t>Derivado de las intensas lluvias se reporto el deceso de un joven de 17 años, así como daños en 19 viviendas y en la infraestructura carretera de 29 municipios</t>
  </si>
  <si>
    <t>Se registró una lluvia severa que afectaó a dos centros de salud y la infraestructura carretera del estado. Se evacuó a 200 personas de zonas de riesgo</t>
  </si>
  <si>
    <t>19 municipios</t>
  </si>
  <si>
    <t>Se registraron intensas lluvias en 19 municipios del estado, ocasionando severos daños en la infraestructura carretera de la Región Huasteca. Dos personas perdieron la vida por arrastre. La inundación fue pluvial y fluvial</t>
  </si>
  <si>
    <t>Debido a las lluvias fuertes que se presentaron en la region, una camioneta fue arrastrada cuando intentaba cruzar el arroyo conocido como Sabino Walano, ubicado en la sindicatura de San Benito, el cual había incrementado su nivel. En el vehículo viajaba un adulto y tres menores (dos niñas y un niño), se informa que el señor logro poner a salvo a  dos menores, se reporta una desaparecida.</t>
  </si>
  <si>
    <t>Muerte por la caída de un rayo,  al momento del hecho se encontraba en un campo de futbol.</t>
  </si>
  <si>
    <t>Altamira, Ciudad Madero, Gonzalez, Tampico y El Mante</t>
  </si>
  <si>
    <t>Derivado de las intensas lluvias se reportaron daños en 5 municipios del estado, sobretodo en el sector carretero e hidráulico, así mismo se registraron daños de diferente magnitud en 259 viviendas</t>
  </si>
  <si>
    <t>Cazones Herrera, Poza Rica de Hidalgo y Tihuatlan</t>
  </si>
  <si>
    <t>Se registro el desbordamiento del Río Cazones ocasionando daños en 101 viviendas y en la infraestructura hidráulica, carretera y urbana de los municipios afectados. Se evacuó a 1,600 personas de zonas de riesgo</t>
  </si>
  <si>
    <t>26 municipios</t>
  </si>
  <si>
    <t>Angel R Cabada, Lerdo de Tejada y Saltabarranca fueron los únicos declarados en desastre, el resto fueron declarados en emergencia. Los daños se presentaron en Infraestructura hidráulica, urbana, educativa y en 57 viviendas</t>
  </si>
  <si>
    <t>17 Municipios</t>
  </si>
  <si>
    <t>Se registraron intensas lluvias por lo que se declaro a 15 municipios en desastre por este concepto, y otros dos por deslizamiento de laderas. Desafortunadamente no se obtuvo la suficiente información para desagregar el impacto del deslizamiento por lo que se conjuntaron los efectos. Se reportaron 427 viviendas afectadas, así como daños en infraestructura carretera, hidráulica  y urbana</t>
  </si>
  <si>
    <t>Jaltipan, Mecayapan, Minatitlan, Pajapan y Zaragoza</t>
  </si>
  <si>
    <t xml:space="preserve">Se registraron intensas lluvias en los municipios mencionados , se reportaron daños en la infraestructura hidráulica, carretera, urbana educativa y 48 viviendas. </t>
  </si>
  <si>
    <t>Agua Dulce, Chinameca, Cosoleacaque, Ixhuatlan del Sureste, Las Choapas, Moloacan, Nanchital de Lazaro Cardenas del Rio y Uxpanapa</t>
  </si>
  <si>
    <t>Se registraron intensas lluvias que ocasionaron afectaciones en 101 viviendas y en infraestructura carretera e hidrúalica.</t>
  </si>
  <si>
    <t>Aguascalientes, Calvillo, Cosio, Jesus Maria, El Llano, Pabellon de Arteaga, Rincon de Romos, San Francisco de los Romo, San Jose de Gracia y Tepezala</t>
  </si>
  <si>
    <t>Derivado de la intensa sequia, se declaro en desastre a 10 municipios del estado con el fin de garantizar el abasto de agua potable en la zona.</t>
  </si>
  <si>
    <t>Amatan</t>
  </si>
  <si>
    <t>Derivado de los deslizamientos de laderas registrados el en el municipio mencionado se registraron afectaciones en 9 viviendas, infraestructura carretera e hidrúalica.</t>
  </si>
  <si>
    <t>Se reportó el colapso de una  barda de aproximadamente 3 metros de altura y 6 metros de largo, la cual al caer arrastró una barda de una casa aledaña,  fallecen dos personas del sexo femenino.</t>
  </si>
  <si>
    <t>37 municipios</t>
  </si>
  <si>
    <t>Derivado de la intensa sequia registrada, se declaro en desastre a 37 municipios del estado con el fin de garantizar el abasto de agua potable en la zona.</t>
  </si>
  <si>
    <t>Derivado de la intensa sequia registrada, se declaro en desastre a 29 municipios del estado con el fin de garantizar el abasto de agua potable en la zona.</t>
  </si>
  <si>
    <t>34 municipios</t>
  </si>
  <si>
    <t>Derivado de la intensa sequia registrada, se declaro en desastre a 34 municipios del estado con el fin de garantizar el abasto de agua potable en la zona.</t>
  </si>
  <si>
    <t>22 municipios</t>
  </si>
  <si>
    <t>Se registro un sismo de 6.5° en la escala de Richter, causando afectaciones en la infraestructura social del estado principalmente.</t>
  </si>
  <si>
    <t>Derivado de la intensa sequia registrada, se declaro en desastre a 26 municipios del estado con el fin de garantizar el abasto de agua potable en la zona.</t>
  </si>
  <si>
    <t>Arizpe, Bacoachi, Caborca, Cananes, Imuris, Magdalena, Nogales, Pitiquito y Santa Cruz</t>
  </si>
  <si>
    <t>Derivado de la intensa sequia registrada,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</si>
  <si>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</si>
  <si>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</si>
  <si>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</si>
  <si>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</si>
  <si>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Se registraron heladas severas en el municipio mencionado por lo que se declaro en emergencia para atender a la población vulnerable.</t>
  </si>
  <si>
    <t>16 Municipios</t>
  </si>
  <si>
    <t>Chiautempan, Panotla, San Damian Texoloc, Santa Isabel Xiloxoxtla, Tlaxcala y Totolac</t>
  </si>
  <si>
    <t>Se registro una granizada intensa en el estado de Tlaxcala por lo que se declaro en emergencia a los municipios mencionados con el fin de atender a la población afectada</t>
  </si>
  <si>
    <t>Santa Maria Mixtequilla</t>
  </si>
  <si>
    <t>Se declaro en emergencia al municipio por la presencia de intensas lluvias el día mencionado.</t>
  </si>
  <si>
    <t>Eloxochitlan de Flores Magon, Huautla de Jimenez, San Jose Tenango, Santa Cruz Acatepec y Santa Maria Chichotla</t>
  </si>
  <si>
    <t>Se declaro en emergencia al municipio por la presencia de intensas lluvias con elv fin de atender a la población afectada</t>
  </si>
  <si>
    <t>Se declaro en emergencia al municipio por la presencia de lluvias intensas con el fin de atender a la población afectada</t>
  </si>
  <si>
    <t>Cosoleacaque, Hidalgotitlan, Jaltipan, Jesus Carranza, San Juan Evangelista, Sayula de Aleman y Texistepec</t>
  </si>
  <si>
    <t>Derivado de las intensas lluvias se registraron afectaciones en la actividad agrícola de los municipios mencionados. Los cultivos afectados fueron chile, frijol, arroz, sandia, melon y papaya.</t>
  </si>
  <si>
    <t>Comondu, La Paz y Loreto</t>
  </si>
  <si>
    <t>Se registró una prolongada sequía desde finales del 2010 y hasta el 28 de febrero de 2011 ocasionando escasez de alimento para el ganado. Derivado de lo anterior SAGARPA apoyo a los productores afectados a través del programa CADENA.</t>
  </si>
  <si>
    <t>Se registró una prolongada sequía ocasionando escasez de alimento para el ganado. Derivado de lo anterior SAGARPA apoyo a los productores afectados a través del programa CADENA.</t>
  </si>
  <si>
    <t>Derivado de la sequía que azotó la Sagarpa puso en marcha el Componente de Atención a Desastres Naturales (CADENA) para la reactivación de la actividad pecuaria.</t>
  </si>
  <si>
    <t>35 municipios</t>
  </si>
  <si>
    <t>Derivado de la sequía que azotó al estado, la Sagarpa puso en marcha el Componente de Atención a Desastres Naturales (CADENA) para la reactivación de la actividad agrícola y pecuaria.</t>
  </si>
  <si>
    <t>Huhuetlan</t>
  </si>
  <si>
    <t>Se registraron altas temperaturas y falta de precipitación, lo que provocó que el cultivo de Litchie se viera afectado considerablemente.</t>
  </si>
  <si>
    <t>Acateno, Ayotoxco de Guerrero, Caxhuacan, Cuetzalan Del Progreso, Huehuetla, Hueytamalco, Jonotla, Olintla,Tenampulco, Tuzamapan de Galeana y Zoquiapan</t>
  </si>
  <si>
    <t>Se registraron severas afectaciones por la sequía en los municipios mencionados, el cultivo afectado fue principalmente Maíz. Sagarpa aplicó el programa CADENA para reactivar la actividad de la zona afectada</t>
  </si>
  <si>
    <t>Pantepec y Venustiano Carranza</t>
  </si>
  <si>
    <t>Derivado de la falta de precipitación en los municipios mencionados, se registraron afectaciones en el follaje para mantener al ganado, por lo que la SAGARPA activo el programa CADENA para reactivar la actividad en la zona afectada</t>
  </si>
  <si>
    <t>Sagarpa</t>
  </si>
  <si>
    <t>14 municipios</t>
  </si>
  <si>
    <t>52 municipios</t>
  </si>
  <si>
    <t>Perote y Villa Aldama</t>
  </si>
  <si>
    <t>Se registraron daños severos en los cultivos de maíz, frijol. Haba y papa derivado d la intensa helada que afecto a los municipios mencionados</t>
  </si>
  <si>
    <t>Aljojuca y San Juan Atenco</t>
  </si>
  <si>
    <t>Se registraron daños en el cultivo de maíz a consecuencia de la helada severa. La SAGARPA apoyo a los productores afectados a través del programa CADENA</t>
  </si>
  <si>
    <t>Se registraron daños en el cultivo de maíz y durazno a consecuencia de las heladas severas. La SAGARPA apoyo a los productores afectados a través del programa CADENA</t>
  </si>
  <si>
    <t>Actopan, Banderilla, Coahuitlan, Filomeno Mata, Lerdo de Tejada, Otatiltan, Panuco, Paso de Ovejas. Playa Vicente y Zongolica</t>
  </si>
  <si>
    <t>Como consecuencia de la intensa sequía sufrida durante el mes de mayo se registraron afectaciones en cultivos de maíz, caña, sorgo, café, chile y papaya, así como afectaciones en ganado por falta de forraje. Sagarpa apoyó a los productores afectados a través del programa CADENA</t>
  </si>
  <si>
    <t>Chignahuapan e Ixtacamaxtitlan</t>
  </si>
  <si>
    <t>Se registró una intensa helada en los municipios mencionados afectando principalmente cultivos de maíz. Sagarpa apoyó a través del programa CADENA</t>
  </si>
  <si>
    <t>Temapache</t>
  </si>
  <si>
    <t>Derivado de la sequía se registraron afectaciones en cultivos de naranja, limon y mandarina, por lo que SAGARPA apoyó a los productores afectados a través del programa CADENA</t>
  </si>
  <si>
    <t>Se registraron afectaciones en cultivos de papaya, tamarindo, Platano, naranja, mango, limon, coco, cacahuate y maíz a consecuencia de la lluvia torrencial. Además se registró la muerte de ganado y daños en 4 embarcaciones Sagarpa apoyo a los productores afectados a través del programa CADENA</t>
  </si>
  <si>
    <t>Encarnacion de Diaz, Lagos de Moreno, Ojuelos de Jalisco y Teocaltiche</t>
  </si>
  <si>
    <t>Derivado de la intensa sequia se registraron afectaciones en el forraje por lo que Sagarpa apoyó a través del programa CADENA con suplementación alimenticia a los productores afectados. 19,990 fueron afectadas</t>
  </si>
  <si>
    <t>Atlequizayan, Tlacuilotepec y Xicotepec</t>
  </si>
  <si>
    <t>Como producto de la intensa sequia se registraron afectaciones en cultivos y ganado, por lo que Sagarpa apoyo a los productores afectados mediante el programa CADENA.</t>
  </si>
  <si>
    <t>Arteaga, Contepec, Lázaro Cárdenas, Tumbiscatio y Zinapecuaro</t>
  </si>
  <si>
    <t>Derivado de la prolonga sequia se registro mortandad de ganado bovino y daños en cultivos. Sagarpa apoyo a los rpoductores afectados mediante el programa CADENA</t>
  </si>
  <si>
    <t>Aquila, Chumatlan, Espinal, Puente Nacional, Tantima y Tuxpam</t>
  </si>
  <si>
    <t>La sequia registrada ocasiono afectaciones en cultivos de maíz, papaya y mango, por lo que Sagarpa apoyo a los productores afectados a través del programa CADENA.</t>
  </si>
  <si>
    <t>Tampico Alto</t>
  </si>
  <si>
    <t>Se registro una lluvia torrencial en el municipio mencionado ocasionando daños en cultivos de maiz y sorgo así como en pastizales, por lo que Sagarpa apoyo a los productores afectados para reactivar la actividad agricola y pecuaria</t>
  </si>
  <si>
    <t>Ciudad Valles, El Naranjo, Tamasopo y Tanlajas</t>
  </si>
  <si>
    <t>Se registro una lluvia torrencial en los municipios mencionados ocasionado daños en la actividad agricola, sobretodo en el cultivo de la caña. Sagarpa apoyo a través del programa CADENA.</t>
  </si>
  <si>
    <t>Bolaños, Chimaltitlan, Huejucar, Huejuquilla el Alto, Mexquitic, San Martin de Bolaños y Villa Guerrero</t>
  </si>
  <si>
    <t>Derivado de la sequía se registraron daños en pastizales por lo que Sagarpa apoyó a tra ves del programa CADENA con suplementación alimentaria</t>
  </si>
  <si>
    <t>Mexticacan, Union de San Antonio y Villa Hidalgo</t>
  </si>
  <si>
    <t>66 municipios</t>
  </si>
  <si>
    <t>Jalostotitlan y San Juan de los Lagos</t>
  </si>
  <si>
    <t>Aguascalientes, Calvillo, El Llano, Pabellon de Arteaga, San Francisco de los Romo, San Jose de Gracia y Tepezala</t>
  </si>
  <si>
    <t>La prolongada sequia ocasiono daños en cultivos, principalmente de maiz y frijol, así como afectaciones en pastizales, por lo que Sagarpa apoyó a los productores afectados mediante el programa CADENA</t>
  </si>
  <si>
    <t>Como producto de la intensa sequia registrada, se registraron afectaciones en cultivos y ganado, por lo que Sagarpa apoyo a los productores afectados mediante el programa CADENA.</t>
  </si>
  <si>
    <t>31 municipios</t>
  </si>
  <si>
    <t>La intensa sequia registraron afectaciones en cultivos y ganado, por lo que Sagarpa apoyo a los productores afectados mediante el programa CADENA.</t>
  </si>
  <si>
    <t>Colotlan y  Totatiche</t>
  </si>
  <si>
    <t>La prolongada sequía sigue afectando al estado en esta ocasión se requirió apoyo alimentario para 2,829 unidades animal, mismo que se proporcionó a través del programa CADENA de Sagarpa</t>
  </si>
  <si>
    <t>Del Nayar</t>
  </si>
  <si>
    <t>La prolongada sequía ha provocado serios daños en la actividad agrícola del municipio mencionado, por lo que Sagarpa apoyo a los productores afectados a través del programa CADENA</t>
  </si>
  <si>
    <t>Se registró una severa afectando la actividad agrícola del estado significativamente la formación de cristales de hielo intracelulares provoco la ruptura de la pared celular, deshidratación, clorosis, desvanecimiento del porte normal y muerte de las plantas, toda vez que las etapas fenológicas fueron las más suceptibles. Además se registraron severos daños en más de 18 mil colmenas. Por tal motivo Sagarpa apoyo a los productores afectados a través del programa CADENA</t>
  </si>
  <si>
    <t>36 municipios</t>
  </si>
  <si>
    <t>La prolongada sequía ha tenido efectos devastadores en el la actividad agropecuaria del estado, por lo que la Sagarpa a través del programa CADENA ha apoyado a los productores afectados con el fin de reactivar su economía</t>
  </si>
  <si>
    <t>Jalacingo, Perote y Villa Aldama</t>
  </si>
  <si>
    <t>Se registraron dos eventos significativos, ocasionando daños severos en el cultivo del maíz. Sagarpa apoyo a los productores afectados a través de CADENA</t>
  </si>
  <si>
    <t>Nahuatzen y Paracho</t>
  </si>
  <si>
    <t>Se registró una intensa helada, ocasionando daños severos en el cultivo del maíz. Sagarpa apoyo a los productores afectados a través de CADENA</t>
  </si>
  <si>
    <t>Se registraron afectaciones a consecuencia de la intensa helada en diferentes cultivos. Sagarpa apoyo a los productores afectados a través del programa CADENA</t>
  </si>
  <si>
    <t>Almoloya, Apan, Emiliano Zapata, Huasca de Ocampo, Mineral de la Reforma, Nopala de Villagran, Tepeapulco, Tepeji del Rio de Ocampo, Tlanalapa, Tolcayuca, Villa de Tezontepec, Zapotlan de Juarez</t>
  </si>
  <si>
    <t>Como consecuencia de la intensa helada que afectó a los municipios mencionados, se registraron severos daños en la actividad agrícola, principalmente el cultivo del maíz resultó perjudicado. Sagarpa apoyo a los productores a través del programa CADENA</t>
  </si>
  <si>
    <t>Canelas, Otaez, Santiago Papasquiaro, Tamazula, Topia</t>
  </si>
  <si>
    <t>La producción de cultivos como frijol, maíz y avena fueron casi nulas en los municipios mencionados a consecuencia de la prolongada sequía, así mismo la actividad pecuaria también resintió los efectos del fenómeno. Sagarpa apoyó a través del programa CADENA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</si>
  <si>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</si>
  <si>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sequía que ha afectado al estado. Además las afectaciones también se presentaron en la actividad pecuaria por falta de forraje para alimentar a las cabezas de ganado. Sagarpa apotyo a los productores afectados mediante el programa CADENA</t>
  </si>
  <si>
    <t>Alvaro Obregon, Arteaga, Cojumatlan de Regules, Contepec, Cuitzeo, Chilchota, Chucandiro, Churumuco, Epitacio Huerta, Huandacareo, Huaniqueo, Morelia, Numaran, Penjamillo, Puruándiro, Santa Ana Maya, Tangancícuaro, Tanhuato, Tarimbaro, Tlazazalca, Yurecuaro, Zinaparo, Zinapecuaro</t>
  </si>
  <si>
    <t>El cultivo del maíz y sorgo han resultado seriamente afectados a consecuencia de la intensa sequía. Sagarpa apoyo a los productores afectados mediante el programa CADENA</t>
  </si>
  <si>
    <t>Tanlajas</t>
  </si>
  <si>
    <t>Se registraron afectaciones en la actividad agrícola a consecuencia de la sequía prolongada en el municipio mencionado. Sagarpa apoyo a través del programa CADENA</t>
  </si>
  <si>
    <t>Angamacutiro, Charapan, Ixtlan, Jacona, La Piedad, Maravatio, Senguio, Tiquicheo de Nicolas Romero, Turicato, Zacapu</t>
  </si>
  <si>
    <t>Se registraron afectaciones en la actividad agrícola a consecuencia de la sequía prolongada en los municipios mencionados. Sagarpa apoyo a través del programa CADENA</t>
  </si>
  <si>
    <t>Arteaga, Candela, Escobedo, General Cepeda, Parras, Saltillo, Sierra Mojada</t>
  </si>
  <si>
    <t>Castaños, Francisco I. Madero, General Cepeda, Ocampo, Ramos Arizpe, San Pedro, Sierra Mojada, Torreón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</si>
  <si>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</si>
  <si>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Incendios forestales que afectaron a varios municicipios del estado en el 2011</t>
  </si>
  <si>
    <t>CENAPRED/CONAFOR</t>
  </si>
  <si>
    <t>Sonora, Sinaloa, Chihuahua, Durango, Zacatecas, Veracruz</t>
  </si>
  <si>
    <t>Heladas severas provocadas por el Frente Frío número 26.</t>
  </si>
  <si>
    <t>A causa de las bajas temperaturas una persona perdió la vida por intoxicación ene le municipio de Tijuana.</t>
  </si>
  <si>
    <t>Saltillo, Ramos Arizpe</t>
  </si>
  <si>
    <t>A causa de las bajas temperaturas dos personas perdieron la vida por intoxicación en los municipios de Saltillo y Ramos Arizpe.</t>
  </si>
  <si>
    <t>Juarez, Ojinaga, Huachochi, Chihuahua, Camargo, Buenaventura, Urique, Guerrero, Delicias, Matachí</t>
  </si>
  <si>
    <t>A causa de las bajas temperaturas 20 personas perdieron la vida: 8 por hipotermia, 2 por quemaduras, y 10 por intoxicación en varios municipios.</t>
  </si>
  <si>
    <t>El Salto, Durango, Nombre de Dios, Santiago Papasquiaro, Panuco de Coronado</t>
  </si>
  <si>
    <t>A causa de las bajas temperaturas 7 personas perdieron la vida: 1 por hipotermia y 6 por intoxicación en varios municipios.</t>
  </si>
  <si>
    <t>A causa de las bajas temperaturas una persona perdió la vida por hipotermia.</t>
  </si>
  <si>
    <t>San Antonio</t>
  </si>
  <si>
    <t>A causa de las bajas temperaturas una persona perdió la vida por intoxicación.</t>
  </si>
  <si>
    <t>Nogales, Agua Prieta, San Luis, Coajeme, Bacum, Benjamin Hill</t>
  </si>
  <si>
    <t>A causa de las bajas temperaturas 12 personas perdieron la vida: 4 por hipotermia, 1 por quemaduras y 7 por intoxicación en varios municipios.</t>
  </si>
  <si>
    <t>Derivado de las intensas lluvias se reportaron afectaciones en 325 hectáreas de diferentes cultivos. SAGARPA apoyó a los 325 productores con 618 mil pesos.</t>
  </si>
  <si>
    <t>San Felipe Jalapa de Diaz, San Felipe Usila, San Jose Chiltepec, San Juan Bautista Valle Nacional y Santa Maria Jacatepec</t>
  </si>
  <si>
    <t>A consecuencias de las intensas lluvias se registraron afectaciones en 438 hectáreas de maíz pertenecientes a 449 productores. CADENA apoyó a los productores con 585 mil pesos aproximadamente.</t>
  </si>
  <si>
    <t>Candela, Muzquiz, Progreso, Ramos Arizpe y Sierra Mojada</t>
  </si>
  <si>
    <t xml:space="preserve">Derivado de la sequia registrada durante el mes de enero se reportaron afectaciones en 804.72 hectáreas de diversos cultibvos, así como escasez de alimento para 18,036 cabezas de ganado bovino y 9,324 de caprino, por los que la SAGARPA apoyo con el programa CADENA a los productores con un monto de 13.3 millones de pesos. </t>
  </si>
  <si>
    <t>Lazaro Cardenas y Ziracuaretiro</t>
  </si>
  <si>
    <t>Derivado de las intensas lluvias registradas en los municipios mencionados se presentaron afectaciones en 436.6 hectáreas de aguacate, mango y zarzamora, siendo este último el más afectado. Sagarpa apoyó a través de CADENA a 208 productores afectados con un monto de 987 mil pesos aproximadamente.</t>
  </si>
  <si>
    <t>Como resultado de las intensas lluvias se reportaron afectaciones en 16 hectáreas de mango pertenecientes a 12 productores.</t>
  </si>
  <si>
    <t>Copandaro</t>
  </si>
  <si>
    <t>Se registró una granizada que afectó cerca de 250 hectáreas de diversos cultivos pertenencientes a 103 productores. CADENA apoyó con 563 mil pesos aproximadamente con el fin de reactivar la economía en el sector.</t>
  </si>
  <si>
    <t>Casas Grandes y Nuevo Casas Grandes</t>
  </si>
  <si>
    <t>Como resultado de las heladas registradas en los municipios mencionados se reportaron afectaciones en cultivos de cereza, durazno y manzana. Pertenecientes a 38 productores. CADENA apoyó con 487 mil pesos aproximadamente</t>
  </si>
  <si>
    <t>Se registraron intensas lluvias en varios municipios del estado ocasionando daños en 466 hectáreas de maíz. CADENA apoyó a los afectados con 622 mil pesos aproximadamente</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</si>
  <si>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</si>
  <si>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través del programa de suplemento alimenticio.</t>
  </si>
  <si>
    <t>Derivado de las intensas lluvias se registraron afectaciones en 915 hectáreas de diversos cultivos pertenecientes a 334 productores. CADENA apoyó con 1.4 millones de pesos aproximadamente.</t>
  </si>
  <si>
    <t>Ixtaczoquitlan, Orizaba y Rafael Delgado</t>
  </si>
  <si>
    <t>Se registró una granizada que afectó alrededor de 541 hectáreas de diferentes cultivos pertenecientes a 405 productores. CADENA apoyó con 830 mil pesos aproximadamente.</t>
  </si>
  <si>
    <t>Matachi y Temosachi</t>
  </si>
  <si>
    <t>Derivado de las intensas heladas se registraron daños en el cultivo de la manzana, por lo que CADENA apoyo con 584 mil pesos aproximadamente.</t>
  </si>
  <si>
    <t>Ayahualulco y Perote</t>
  </si>
  <si>
    <t>Se registró una intensa helada en la cual se vieron afectadas 7,437 hectáreas de maiz, frjol, haba y papa. Estas pertenecian a 2,139 productores, mismos que fueron apoyados a través de CADENA con 9.9 millones de pesos.</t>
  </si>
  <si>
    <t>Se registraron intensas lluvias en el municipio mencionado que afectaron 546 hectáreas de maiz. Estas pertenecian a 387 productores.</t>
  </si>
  <si>
    <t>Villa Aldama</t>
  </si>
  <si>
    <t>Se registro una helada severa que afectó 263.5 hectáreas pertenecientes a 110 productores. Cadena apoyo con 352 mil pesos aproximadamente.</t>
  </si>
  <si>
    <t>Derivado de las intensas lluvias se registraron daños en 30 hectareas de Mango pertenecientes a 8 productores. CADENA apoyo con 67 mil pesos aproximadaemente.</t>
  </si>
  <si>
    <t>Allende</t>
  </si>
  <si>
    <t>Como consecuencia de una intensa granizada se reportaron afectaciones en 1520 hectáreas de nogal, pertenecientes a 387 productores. CADENA apoyó con 3.4 millones de pesos aproximadamente.</t>
  </si>
  <si>
    <t>Contepec e Irimbo</t>
  </si>
  <si>
    <t>Se registro sequia durante los meses de abril y mayo, misma que afectó 154.55 hectareas de maizs, pertenencientes a 55 productores. CADENA apoyó con 206 mil pesos aproximadamente.</t>
  </si>
  <si>
    <t>15 municipios</t>
  </si>
  <si>
    <t>Como resultado de las intensas lluvias se registraron daños en 4,627 hectareas de diversos cultivos siendo el platano el más afectado, así mismo se reportaron 379 Unidades animal afectadas, entre equinos, ovinos, caprinos, bovinos, porcinos, aves y colmenas y 12 embarcaciones. CADENA apoyó con 10 millones de pesos aproximadamente.</t>
  </si>
  <si>
    <t>Jose Azueta, Playa Vicente, Santiago Sochiapan y Tlacojalpan</t>
  </si>
  <si>
    <t xml:space="preserve">Como consecuencia de las intensas lluvias se registraron daños en 948 hectareas de maiz, hule y caña de azucar pertenecientes a 303 productores. CADENA apoyó con 1.3 millones de pesos aproximadamente. </t>
  </si>
  <si>
    <t>Bachiniva y Namiquipa</t>
  </si>
  <si>
    <t>Como consecuencia de la intensa helada registrada se presentaron afectaciones en 4,649.74 hectáreas de manzana pertenecientes a 926 productores. CADENA apoyó con 10.5 millones de pesos.</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</si>
  <si>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</si>
  <si>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apoyó con el programa de suplemento con 8.8 millones de pesos.</t>
  </si>
  <si>
    <t>Gomez Palacio, Lerdo, San Juan Guadalupe y Tlahualilo</t>
  </si>
  <si>
    <t>Derivado de la intensa sequía hay una falta de capacidad de producción por la poca disponibilidad de agua en el ciclo vegetativo. Por tal motivo se registraron afectaciones en 6,010 hectáreas y falta de alimento para 15,796.95 Unidades animales entre Bovinos, Equinos, Ovinos, Caprinos, Porcinos y Aves. CADENA apoyó con 19.4 millones de pesos.</t>
  </si>
  <si>
    <t>47 municipios</t>
  </si>
  <si>
    <t>Derivado de las intensas lluvias se registraron afectaciones en diferentes cultivos de varios municipios, así como en la actividad ganadera y acuicola. En total se reportaron 2406 productores afectados, 5517 hectareas, 118 unidades animales y 12 unidades acuicolas.</t>
  </si>
  <si>
    <t>Derivado de una intensa granizada se presentaron daños en 416.52 hectáreas de cultivos de avena, maiz y zarzamora pertenecientes a 111 productores. CADENA apoyó con 558 mil pesos aproxomadamente.</t>
  </si>
  <si>
    <t>Derivado de la prolongada sequía se registraron afectaciones en 12,601 hectáreas de maiz, ajonjoli y sorgo. Por tal motivo CADENA apoyó a los 4133 productores afectados con 16.8 millones de pesos.</t>
  </si>
  <si>
    <t>Cojumatlan de Regules, Churumuco, Jiquilpan, La Huacana, La Piedad, Morelia, Sahuayo, Tlazazalca y Zinapecuaro</t>
  </si>
  <si>
    <t>Derivado de la prolongada sequía se registraron afectaciones en 7,209.03 hectáreas de maiz, sorgo, frijol y cebada. Por tal motivo CADENA apoyó a los 2,526 productores afectados con 9.6 millones de pesos.</t>
  </si>
  <si>
    <t>La Huacana</t>
  </si>
  <si>
    <t>Como consecuencia de las lluvias se registraron daños en cultivos de jamaica y ajonjoli pertenecientes a 125 productores. CADENA apoyo con 528 mil pesos.</t>
  </si>
  <si>
    <t>11 municipios</t>
  </si>
  <si>
    <t>Debido a la fuerte lluvia, fue necesario dotar de insumos a 11 municipios del estado de Veracruz.</t>
  </si>
  <si>
    <t>29 municipios por el sismo y 9 mas por las replicas</t>
  </si>
  <si>
    <t>En el estado de Guerrero, el sismo se presentaron afectaciones principalmente en los sectores sociales, de los que las viviendas sufrieron los mayores efectos, presentando fisuras menores.</t>
  </si>
  <si>
    <t>28 municipios por el sismo y 48 mas por replicas</t>
  </si>
  <si>
    <t xml:space="preserve">El sismo del 20 de marzo, ha sido uno de los fenómenos más importantes que han ocurrido en la entidad, por los perjuicios que ocasionó principalmente en el de la vivienda que significó el 57.6% de los daños y pérdidas totales . </t>
  </si>
  <si>
    <t>Se presentó una nevada que afectó al municipio de Madera, por lo que se activaron recursos del FONDEN para proporcionar insumos a la población.</t>
  </si>
  <si>
    <t>Emiliano Zapata, Banderilla y Xalapa</t>
  </si>
  <si>
    <t>Debido a la lluvia y granizo en tres municipios se proporcionó apoyo a la población.</t>
  </si>
  <si>
    <t>Martinez de la Torre y Tlapacoyan</t>
  </si>
  <si>
    <t xml:space="preserve">Las lluvias ocasionaron inundación en el municipio que afectó a varios sectores. </t>
  </si>
  <si>
    <t>Acajete y Nogales</t>
  </si>
  <si>
    <t>La granizada severa el día 30 de marzo afectó a dos municipios, por lo que fue necesario apoyar a la población con diversos insumos.</t>
  </si>
  <si>
    <t>Colipa, Juchique de Ferrer, Misantla, Tenochtitlan, 
Tonayan y Yecuatla</t>
  </si>
  <si>
    <t>Las lluvias ocasionaron afectaciones en viviendas, residuos sólidos  y el sector hidráulico.</t>
  </si>
  <si>
    <t>Temapache, Las Choapas y Tlaltetela</t>
  </si>
  <si>
    <t>La lluvia afectó a tres municipios por lo que se dotó de recursos para atender las necesidades alimenticias, de abrigo y de salud de la población afectada</t>
  </si>
  <si>
    <t>Debido a los vientos característicos de tormenta tropical el municipio de Allende sufrió afectaciones.</t>
  </si>
  <si>
    <t>Acapulco de Juarez, Atoyac de Alvarez, 
Coyuca de Benitez, Ometepec y Tecpan de Galeana</t>
  </si>
  <si>
    <t>El huracán Carlotta ocasionó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Huracán “Carlotta”.</t>
  </si>
  <si>
    <t>103 municipios</t>
  </si>
  <si>
    <t>El huracán Carlotta provocó severos daños en varios sectores del estado, por lo que el cenapred organizó una misión de evaluación para estimar el impacto socioeconómico que provocó el fenómeno.</t>
  </si>
  <si>
    <t>San Martin Texmelucan</t>
  </si>
  <si>
    <t xml:space="preserve">Las lluvias ocasionaron inundación en el municipio que afectó a los sectores educativo e hidráulico. </t>
  </si>
  <si>
    <t>Santiago Choapam</t>
  </si>
  <si>
    <t>El 22 de junio  ocurrió  un movimiento de ladera ocasionado por lluvias severa, en el municipio de Santiago Choápam que afectó viviendas e infraestructura hidráulica y carretera.</t>
  </si>
  <si>
    <t>Ixtacuitla de Mariano Matamoros</t>
  </si>
  <si>
    <t>Debido a la lluvia severa sufrió afectación el municipio de Ixtacuixtla de Mariano Matamoros.</t>
  </si>
  <si>
    <t>General Panfilo Natera, Luis Moya, Panuco y Vetagrande</t>
  </si>
  <si>
    <t>LA lluvia del 20 de julio a fectó a los municipios de General Pánfilo Natera y Luis moya y la lluvia del 26 de julio a ñps de Pánuco y Vetagrande.</t>
  </si>
  <si>
    <t>Cardenas y Huimanguillo</t>
  </si>
  <si>
    <t>La lluvia afectó a dos municipios del estado por lo que se apoyo con insumos.</t>
  </si>
  <si>
    <t xml:space="preserve">Azoyu, Marquelia,  San Luis Acatlan, Copala, Cuajinicuilapa, Igualapa y Ometepec </t>
  </si>
  <si>
    <t>En el estado de Guerrero el ciclón tropical Ernesto afectó a viviendas, escuelas, centros de salud y carreteras del estado.</t>
  </si>
  <si>
    <t>71 municipios</t>
  </si>
  <si>
    <t>Ciclón tropical Ernesto</t>
  </si>
  <si>
    <t>Los Cabos, Comondu y Loreto</t>
  </si>
  <si>
    <t>Debido a la ocurrencia de lluvia los días 16 y 17 de agosto fueron afectados tres municipios.</t>
  </si>
  <si>
    <t>La lluvia del 21 de agostó afectó a la población del municipio de La Paz.</t>
  </si>
  <si>
    <t>Cerro Azul, Chinampa de Gorostiza y Naranjos Amatlan</t>
  </si>
  <si>
    <t>La lluvia afecto a la población de tres municipios.</t>
  </si>
  <si>
    <t>Oaxaca de Juarez, Santa Cruz Amilpas y Santa Lucia del Camino</t>
  </si>
  <si>
    <t>La lluvia severa y los fuertes vientos remanentes del ciclón tropical Isaac ocasionaron afectaciones en el sector hidráulico.</t>
  </si>
  <si>
    <t>Lerdo y Gomez Palacio</t>
  </si>
  <si>
    <t>El 13 de septiembre ocurrió una inundación que afectó a dos municipios del estado.</t>
  </si>
  <si>
    <t>Acajete, Banderilla, Tlalnehuayocan y Rafael Lucio.</t>
  </si>
  <si>
    <t>La lluvia ocasionó afectaciones sobre el sector hidráulico. Y fue necesario solicitar recursos para atender a la población de 4 municipios más.</t>
  </si>
  <si>
    <t>La Paz y Comondu</t>
  </si>
  <si>
    <t>El huracán Miriam ocasionó afectaciones sobre dos municipios del estado.</t>
  </si>
  <si>
    <t>Comondu, La Paz, Loreto, Los Cabos y Mulege</t>
  </si>
  <si>
    <t>A causa del huracán Paul fueron afectados varios sectores de la población entre los que destacan Vivienda, sector Hidráulico, Urbano, Carreteras, Deportivo, Cultural, Turismo y agropecuario.</t>
  </si>
  <si>
    <t>Ajuchitlan del Progreso y Tlalchapa</t>
  </si>
  <si>
    <t>Un sismo de magnitud 6.1 en la escala de Richter afectó dos municipios del estado.</t>
  </si>
  <si>
    <t>Angel R. Cabada, Catemaco, Minatitlan, 
Saltabarranca, San Andres Tuxtla y Santiago Tuxtla</t>
  </si>
  <si>
    <t>Debido a la lluvia ocurrida el 29 de enero fue necesario apoyar a 6 municipios con diversos insumos.</t>
  </si>
  <si>
    <t>Acajete, Banderilla, Jilotepec, Rafael Lucio y 
Tlacolulan</t>
  </si>
  <si>
    <t>Se presentó una lluvia severa que afectó a la población de cinco municipios.</t>
  </si>
  <si>
    <t>Bocoyna, Maguarichi, Moris y Ocampo</t>
  </si>
  <si>
    <t>Se presentó neveada que afectó a cuatro municipios del estado, por lo que se dotó de insumos a la población afectadas.</t>
  </si>
  <si>
    <t>Un hombre de 27 años de edad perdió la vida cuando cayó de una lancha en las aguas gélidas de la presa Madín.</t>
  </si>
  <si>
    <t>Incendio en una bodega de plasticos, en la Col. San Isidro, consumiendose 50 ton. de carton.</t>
  </si>
  <si>
    <t>Se registraron lluvias de moderadas a fuertes, afectando a 9 municipios, hasta el momento se reportan 399 viviendas esto por el desbordamiento del río Bobos, se informa que se mantienen 2 refugios temporales, uno en el municipio de Amatitlán con 15 personas y en Carlos A. Carrillo con 26 personas</t>
  </si>
  <si>
    <t xml:space="preserve">Se registró un incendio en una bodega de la empresa de Famsa, en el centro de la ciudad, como dato preliminar se informa de 5 personas  fallecidas, 35 personas fueron atendidas en el lugar por intoxicación, y por lesiones leves . Como medida preventiva se evacuaron 400 personas aproximadamente.    </t>
  </si>
  <si>
    <t>Incendio en las instalaciones de la empresa LALA en un área aproximada de 50 metros cuadrados, un contenedor de amoniaco presentpi fuga en poca cantidad. Un bombero sufrió quemaduras leves. Se evacuó momentaneamente a la población y de locales contiguos.</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</si>
  <si>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</si>
  <si>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</si>
  <si>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Se registro una fuga de amoniaco debido a una congeladora, ubicada en el Poblado Los Ojitos, perteneciente al municipio de Rosario. Como medida preventiva se realizó la evacuación total del poblado siendo aproximadamente entre 200 y 250 personas, de los cuales resultaron 5 personas (3 adultos y 2 menores) por una intoxicación.</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</si>
  <si>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</si>
  <si>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</si>
  <si>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registró el desplome de una avioneta tipo Cessna con capacidad para cinco personas, con destino al Valle, Parral, Chihuahua con tres pasajeros. El accidente se registró cerca de la pista de Camaguey, en el municipio de Guasave, Sinaloa, dejando un saldo de dos muertos y un herido con quemaduras de tercer grado y diversas fracturas.</t>
  </si>
  <si>
    <t>Volcamiento en el km 262 de la Carr. a Mazatlan, en el tramo carretero Yecora-San Nicolas, de una pipa la cual pertenece a la Cia. Grupo Piazza Roma, que transporta diesel, presentandose un derrame de 31,500 l. aprox., cerrandose la circulacion.</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</si>
  <si>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</si>
  <si>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</si>
  <si>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presentó una detonación  en un taller de artículos pirotécnicos, instalada en un predio conocido como El Tulillo, en la periferia de la cabecera municipal, a un costado de dos bodegas con pólvora y materias primas.En el lugar falleció un joven de 22 años y un hombre de 58 años perdió la vida cuando era atendido por paramédicos.
Uno de los heridos de 35 años, con quemaduras de segundo y tercer grado en al menos 30 por ciento de su cuerpo, fue trasladado en el helicóptero de protección civil del estado a un hospital de Guadalajara. 
</t>
  </si>
  <si>
    <t>Xiutetelco</t>
  </si>
  <si>
    <t xml:space="preserve">Se registro la explosión de un polvorín, ubicado en la calle de Javier Mina no. 301 del municipio San juan Xyutetelco, Sierra Norte de Puebla,  en el lugar falleció la señora Juana del Carmen Aburto de 30 años de edad y resulto herido el señor Jesus Martinez Bruno quien fue trasladado al Hospital regional de Teziutlán, Pue. La explosión se debió al mal manejo de sustancias químicas que se trabajaban en donde se almacenaba la pólvora. </t>
  </si>
  <si>
    <t>Se presentó un choque entre una pipa que trasportaba azúfre líquido y un trailes en la carretera Salamanca - Villagrán a la altura de la granja Chury. Se incendiaron ambos vehículos sin que se registrara la fuga de azufre. El conductor del tráiler falleció.</t>
  </si>
  <si>
    <t>La Embotelladora Lagunera S.A de C.V. (Coca Cola), ubicada en Boulevard Revolución entre las calles sicomoros y calle Villanueva (29), colonia Torreón Jardín, se suscito una fuerte explosión, en el área de cisternas de agua tratada, ya que en el lugar por información de personal de la misma empresa, se encontraban 4 trabajadores de una empresa externa realizando trabajos de mantenimiento y recubrimiento de una de las cisternas al momento de la explosión.</t>
  </si>
  <si>
    <t>A las 10:20 horas, se registro un flamazo por gas LP, entre  las calles Flamencos y Lienzo, en el Residencial “El Cortijo”, resultando una persona lesionada con quemaduras de primer grado y daños parciales en 8 viviendas y  2 vehículos, la persona lesionada fue trasladada al hospital de la localidad. El incidente se debió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</si>
  <si>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</si>
  <si>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</si>
  <si>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 xml:space="preserve">Se registró una volcadura en la Carretera Internacional 15 México-Nogales, debió a un alcance por un trailer, el cual impacto al camión de Pasajeros, se informa que trasportaba a un máximo de 50 personas, la mayoría estudiantes cuyas edades van de los 16 a los 21 años de edad, al momento reportan 43 personas lesionadas, tres de ellas en estado grave, así mismo se reporta  una persona  fallecida del sexo Femenino  de 60 años, originaria de la Comunidad Agua Blanca. </t>
  </si>
  <si>
    <t>PEMEX a través de un comunicado de prensa, informó que a las 18:15 horas se registró un incendio en un turbocompresor, en el tercer nivel de la plataforma KU-S del Centro de Proceso KU en el campo Ku Maloob Zaap. De manera inmediata, se activaron los sistemas de paro por emergencia en la plataforma, cerrándose los pozos de producción conectados a la misma. Fueron eveacuados 213 trabajadores, y trasladados a la plataforma habitacional anexa, así como otros 69 empleados de la plataforma aledaña de perforación Mase 803, quienes fueron conducidos a la embarcación Key Lobos.</t>
  </si>
  <si>
    <t>El 16 de enero a las 14:00 horas, se registró el aterrizaje forzoso de una avioneta, utilizada para la práctica aérea, propiedad de la Escuela de Aviación de la Fuerza Aérea Mexicana, misma que aterrizó en las instalaciones del aeropuerto internacional Manuel Márquez de León (de la Paz). Como consecuencia del aterrizaje los 2 elementos de la Fuerza Aérea, que tripulaban la nave resultaron con lesiones menores. Después del aterrizaje se presentó un incendio en la aeronave, mismo que fue extinguido por personal de Bomberos del aeropuerto.</t>
  </si>
  <si>
    <t>Janos</t>
  </si>
  <si>
    <t>A las 03:30 horas, se registró la volcadura de un tracto camión  que transportaba aproximadamente 27 toneladas de ácido sulfúrico, mismo que se derramó en su totalidad. El accidente ocurrió en el kilómetro 73 de la carretera Interestatal Janos-Agua Prieta, a altura del ejido San Francisco, Municipio de Janos. Al conductor del vehículo presentó diferentes lesiones menores, por lo cual fue atendido en el lugar, por personal de la Cruz Roja Mexicana.</t>
  </si>
  <si>
    <t>Atzacan</t>
  </si>
  <si>
    <r>
      <t>Se detectó una fuga, ubicada en la localidad de Santa Ana Atzacán, municipio de Atzacán, por lo cual se procedió a la suspensión de Oleoductos de 30 y 24 pulgadas, Nuevo Teapa-Tula-Salamanca. La fuga se debió a una nueva violación a la reparación de una toma clandestina reparada en el oleoducto de 24” Nuevo Teapa-Venta de Carpio, en el kilómetro 334+335, en el ejido Santa Ana Atzacán, municipio de Atzacán. El volumen aproximado del derrame de hidrocarburo son 300 litros en un área de 500 metros</t>
    </r>
    <r>
      <rPr>
        <vertAlign val="superscript"/>
        <sz val="9"/>
        <rFont val="Arial"/>
        <family val="2"/>
      </rPr>
      <t xml:space="preserve">2 </t>
    </r>
    <r>
      <rPr>
        <sz val="9"/>
        <rFont val="Arial"/>
        <family val="2"/>
      </rPr>
      <t>(1 metro de ancho por 500 metros de largo en un terreno agrícola).</t>
    </r>
  </si>
  <si>
    <t>Se reportó el choque de un camión de pasajeros, perteneciente a la empresa Flecha Amarilla, que cubría la ruta León–Lagos de Moreno, el cual se impactó contra un muro y un poste en el kilometro 27, del poblado “El Jaramillo” de la carretera Lagos de Moreno-León Guanajuato, resultando 11 personas lesionadas, 3 de las cuales fueron trasladadas a la clínica Poniente de León, 8 más fueron atendidas en el lugar. Además de la muerte de un hombre de entre 55 y 60 años de edad (chofer del camión).</t>
  </si>
  <si>
    <t>Tlalnepantla de Baz</t>
  </si>
  <si>
    <t>Se registró el derrumbe de una mina de donde se extrae piedra para mampostería, denominada “El Tenayo”, ubicada en la calle Puente de León, Ejido La Cantera, municipio de Tlalnepantla. Al momento del incidente se encontraban cargando 2 camiones de volteo, lo cual provocó la muerte de 2 personas las cuales se encontraban dentro de uno de los vehículos, dos hombres unode  50 años y otro de 35 años. Asimismo, fueron lesionadas dos personas, que se encontraban en el otro camión de volteo, estas personas fueron trasladadas a hospitales cercanos, para su atención médica. Se desconocen las causas que originaron el accidente.</t>
  </si>
  <si>
    <t>Nochistlan de Mejia</t>
  </si>
  <si>
    <t>Se registró la explosión de una camioneta particular. Se informa que el vehículo trasportaba juegos  pirotécnicos, hacia el Templo de San Sebastián, derivado de la explosión se reportan 5 menores y 10 adultos lesionados</t>
  </si>
  <si>
    <t>Se registró el descarrilamiento de dos furgones de los cuales uno transportaba granos y el segundo transportaba  líquidos inflamables, no se reporta fuga o incendio. El accidente se registró en la Estación Cañedo, ubicada entre las comunidades de Jahuara del municipio del Fuerte y el Carrizo del municipio de Ahome. Derivado del accidente se reportaron 4 trabajadores lesionados.</t>
  </si>
  <si>
    <t>Se registró la explosión de un polvorín con permiso No. 1545 de SEDENA, en la Colonia La Saucera, se informó que se presentaron tres explosiones simultaneas. Debido a ello se reportó el fallecimiento de un hombre de 48 años, así como resultaron lesionados,  tres hombres de 38 años,  25 años y 21 años respectivamente.</t>
  </si>
  <si>
    <t xml:space="preserve">Medellin </t>
  </si>
  <si>
    <t>Se registró la volcadura de un autobús urbano, el cual cayo en el fondo del río Jampa, el siniestro se registro en el puente Jamapa, ubicado en el municipio de Medellín. Resultando 2 fallecidos</t>
  </si>
  <si>
    <t>Se registró el desplome de una avioneta  tipo Cessna de cuatro plazas, se desplomó cuando iniciaba el ascenso de la nave para efectuar un vuelo de reconocimiento, presumiblemente a causa de una falla en el motor de la aeronave, resultando como saldo tres personas lesionadas de gravedad;  un hombre de 32 años, un hombre de 58 añosy un hombre de 71 años.</t>
  </si>
  <si>
    <t>Panopla</t>
  </si>
  <si>
    <t>Se registró una explosión de pirotecnia en una fiesta, en el Municipio San Francisco Temezontla. Se reporta una persona lesionada.</t>
  </si>
  <si>
    <t>Se reportó un incendio, aparentemente fue ocasionado por un corto circuito en la Iglesia de San Cristóbal, ubicada entre las calles 69 y 71 de la Colonia Centro, perteneciente al  Municipio de Mérida, en el cual resultó una persona intoxicada</t>
  </si>
  <si>
    <t>Villa del Carbon</t>
  </si>
  <si>
    <t xml:space="preserve">Se registró una fuerte granizada en la comunidad de Taxhima y del municipio de Villa del Carbón, resultando 25 viviendas afectadas en sus techos por acumulación de granizo y desplome parcial de algunos. 170 personas fueron alojadas en el auditorio municipal a quienes se lesa poyó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</si>
  <si>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</si>
  <si>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</si>
  <si>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Tlaltetela</t>
  </si>
  <si>
    <t>Se registró una explosión por juegos pirotécnicos, lesionando a 5 personas, De 16, 14 , 13, 24 Y 45 años, cuatro mujeres y un hombre, las cuales fueron trasladadas al Hospital Centro Médico.</t>
  </si>
  <si>
    <t>Cosolapa</t>
  </si>
  <si>
    <t>La ruptura del ducto de Pemex, de Gas LP,  ubicado en el Paraje El Canutillo, se informa que sucedió mientras una retro excavadora realizaba trabajos en la zona, en un predio particular, desconociendo los dueños que en ese lugar se localizaba un ducto de Pemex. Como medida preventiva se evacuaron a 300 personas de las Colonias El Canutillo, Chema Martínez, La Coyotera y Almolongas (siendo un 1Km. a la redonda de la zona afectada), las personas fueron llevadas a una zona segura.</t>
  </si>
  <si>
    <t xml:space="preserve">Cuautitlan </t>
  </si>
  <si>
    <t>En un departamento en la colonia Niños Héroes una familia sufripo intoxiación por acumulación de gas Lp. Un menor de  15 años de edad y un hombre de 42años perdieron la vida. Y otras 6 personas resultaron intoxicadas cuatro de sexo femenino y dos de sexo masculino.</t>
  </si>
  <si>
    <t>Se registró una explosión por acumulamiento de gas Lp. de un tanque de 30kg, en una vivienda de dos niveles en el municipio del mismo nombre,  de la Col. Benito Juárez,  en donde resultaron 3 personas con quemaduras de 1 y 2° de nombres, una mujer de 38 años, una menor de 8 años y otra de de 13 años. Asimismo una menor de 13 años fue atendida en el lugar por crisis nerviosa La vivienda en donde se registró la explosión resulto con perdida total y otras 3 con daños parciales asi como dos vehículos particulares.</t>
  </si>
  <si>
    <t xml:space="preserve">Se registró un incendio dentro de la Fábrica con razón social “CCR Mexicana”, en la Colonia Tijerina. Debido a que se registró una nube color naranja, como medida preventiva, se evacuaron a 50 familias de las viviendas aledañas a la zona. Al parecer los hechos se suscitaron cuando se genero una reacción química, al realizaba una prueba para productos de cerámica, se reportan dos personas lesionadas, siendo trasladas a l Hospital de Zona para su atención inmediata.
</t>
  </si>
  <si>
    <t>Chilapa de Alvarez</t>
  </si>
  <si>
    <t>Se informó de personas intoxicadas que habían asistido a un evento proselitista, donde se distribuyeron los alimentos contaminados, por lo que se trasladaron  paramédicos y personal de Protección Civil Estatal en Coordinación con Protección Civil, Transito, Policía Preventiva Municipal y Cruz Roja Mexicana para atender a personas por intoxicación por alimentos. Por ser un gran número, habilitaron el Auditorio Municipal para brindarles atención medica, siendo aproximadamente 880 personas, las cuales provenían de las  comunidades de Amate Amarillo, Amates, Zizicazapa, Los Tepetates, Teomatatlan, Coetzingo, Atzacoaloya, Colonia Nuevo Amanecer de Chilapa de Álvarez. Se proporcionaron los siguientes apoyos: 152 cobertores y 100 colchonetas.</t>
  </si>
  <si>
    <t>Se reportó la volcadura de un autobús de pasajeros en la carretera Querétaro-México, a la altura del puente de Santa Cecilia, en la Av. San Rafael, en el municipio de Tlalnepantla. El accidente se debió a que un trailer de doble remolque se le cerró al autobús y éste cayera del puente en el que circulaba, originando que 20 personas salieran lesionadas, de las cuales 8 fueron atendidas en el lugar y 12 mas fueron trasladas a la Cruz Roja de Lomas Verdes, Polanco y Tlalnepantla.</t>
  </si>
  <si>
    <t>Se registró un accidente múltiple entre 1 Autobús de Pasajeros de una empresa particular Aguileras, 2 autos compactos y 1 camión repartidor de gas lp, en la Carretera Federal 45 Salamanca – Celaya en el entronque de la comunidad de Val tierrilla, en donde resultaron 30 personas lesionadas trasladadas para su atención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</si>
  <si>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evacuación de 350 personas, resultando afectadas solo 23 personas, trasladadas para su atencion. Se calcula una perdida de 200 mil pesos aprox.</t>
  </si>
  <si>
    <t>Chalchihuites</t>
  </si>
  <si>
    <t>Se registró un accidente de un autobús de pasajeros del servicio público en el tramo carretero de Sombrerete - Chalchihuites, el cual volcó sobre su costado derecho saliendo del asfalto, dicho autobús trasportaba a 40 pasajeros, 20 de ellos se reportaron en estado grave  fueron trasladados a diferentes centros hospitalarios de los municipios  de Vicente Guerrero perteneciente al estado de Durango, 10 más con lesiones leves fueron trasladados a hospitales de Sombrerete.</t>
  </si>
  <si>
    <t xml:space="preserve">Se registró una volcadura de  un camión de personal, perteneciente a la empresa Senda,  sobre el Km. 7.8 de la carretera Monterrey-Garcia, Municipio de García.
La causa se debió a que el operador del camión, dormitó y perdió el control de la unidad. De acuerdo con información del propio chofer de 26 años que también resultó lesionado y trasladado al hospital. Resultaron 16 personas más lesionadas, trabajadores de la Empresa Johnson Controls, donde iniciarían sus actividades. </t>
  </si>
  <si>
    <t>Se registró la explosión de un local destinado para la elaboración de artificios pirotécnicos (polvorín), con número de permiso de la SEDENA 1748. Derivado de la explosión se reportó la muerte de un hombre de 48 años de edad. Así como un hombre lesionado de 23 años de edad.</t>
  </si>
  <si>
    <t>En el municipio de Apaseo el Grande, se registro una volcadura de un autobús de la línea Turipaquetes, que viajaba del Distrito Federal a Aguascalientes  a la altura de la carretera Querétaro – Irapuato en el km 39, en donde resultaron 8 personas afectadas 4 muertos (una mujer de 29 años, un hombre de 41 años, un hombre de 29 años  y un hombre de 22 años) y 4 lesionados los cuales fueron trasladados para su atención medica a la Clínica Mac y Hospital de San Jose de Celaya.</t>
  </si>
  <si>
    <t>Se presentó el impacto entre un tráiler con un remolque del Servicio Público Federal y un autobús de pasajeros de la línea Autotransportes Unidos del Servicio Público Federal, en el cual eran transportadas 18 personas, mismas que pudieron salir a tiempo del vehículo ya que presentó incendio, calcinándose en su totalidad. El accidente se presentó en la carretera federal Perote-Teziutlán, en el municipio de Perote. Como resultado del accidente se reportan 6 personas lesionadas, mimas que fueron trasladadas a hospitales cercanos, para su atención médica.</t>
  </si>
  <si>
    <t>Se registró el choque de un autobús local contra una parte del cerro, sobre la carretera  Barra de Navidad-Guadalajara, a la altura del kilómetro 48. Registrando 9 personas lesionadas y un hombre fallecido de 32 años  conductor de la unidad.</t>
  </si>
  <si>
    <t>Se registro un incendio en una pipa que transportaba Disel con capacidad de 30 mil litros al ir circulando a la altura del Eje 120 de la Av. Promoción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</si>
  <si>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presentó el impacto de una camioneta tipo Pick-up y un autobús de pasajeros de la línea Flecha Amarilla, esto en el kilómetro 177 de la carretera Zapotlanejo-La Piedad, a la altura del poblado conocido como San Antonio de Fernández, en el municipio de Atotonilco. Como resultado del accidente se reportan 2 personas muertas y 31 lesionadas, de las cuales 25 fueron atendidas en el lugar y después fueron llevadas al IMSS de Ocotlán, las otras 6 personas resultaron con lesiones importantes, por lo cual fueron trasladadas al Centro de Salud de Atotonilco.
</t>
  </si>
  <si>
    <t>Acatic</t>
  </si>
  <si>
    <t>Se registró el desplome de una avioneta tipo Rockwell 695 bimotor,  propiedad de la Policía Federal Preventiva, el accidente se registró a la altura de la delegación de El Refugio en el municipio de Acatic, en la calle de Prolongación Morelos a un costado de la calle San Francisco como a 100 o 200 metros de la última línea de viviendas. Dos personas perdieron la vida.</t>
  </si>
  <si>
    <t>derrumbe</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</si>
  <si>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</si>
  <si>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Se registró un accidente carretero en el km 16 de la carretera Silao - Sn. Felipe al desprenderse el segundo remolque cargado con 33 mil litros de gasolina de un tractocamión, al quedar a la deriva, un camión de transporte de personal (vacío) y un automóvil particular, se impactaron contra el remolque  produciendo la muerte de ambos conductores. El remolque presentó fuga del producto.</t>
  </si>
  <si>
    <t>Delegacion Tlahuac</t>
  </si>
  <si>
    <t>Se registró la caída de un brazo  de una grúa que realizaba obras en la línea 12 del metro que cayó sobre un microbús en el que se realizaban brigadas de vacunación de Poliomelitis perteneciente a la Secretaría de Salud. Tres personas resultaron lesionadas (un hombre y dos mujeres).</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</si>
  <si>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</si>
  <si>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</si>
  <si>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Químicos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</si>
  <si>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Se registro un derrumbe de tierra, ubicado cerca del fraccionamiento las palmas atrás del COBACHI no.13, donde realizaban trabajos de drenaje, resultando 5 personas afectadas, las cuales fueron rescatadas 2 fallecidos y 3 lesionados.</t>
  </si>
  <si>
    <t>Explosion en la empresa “Tractebel”, en el km 9.5 de la Carr. Garcia, en una de las tuberías del area de vapores, resultando 1 persona fallecida y otra lesionada, preventivamente se acordono la zona.</t>
  </si>
  <si>
    <t>Se registró el accidente carretero por alcance y posteriormente la volcadura del autobús de pasajeros, arrojando 4 personas fallecidas y 20 lesionados, el siniestro fue localizado en la carretera 57 en el tramo San Luis Potosí – Querétaro. La unidades involucradas fueron un autobús de la línea futura que se dirigía de Querétaro hacia la ciudad de San Luis Potosí, el cual por alcance choco contra un tráiler detenido que estaba esperando pasar un reten militar, ubicado cerca del entronque hacia Villa de Reyes</t>
  </si>
  <si>
    <t>Cutzamala de Pinzon</t>
  </si>
  <si>
    <t>Se reportó una volcadura de un autobús de la línea empresas “Zinacantepec” con ruta México-Toluca-Zinacantepec,  de la ruta Ciudad Altamirano – México, con 23 pasajeros a bordo aproximadamente, resultando 8 lesionados, mismos que fueron trasladados a la clínica de urgencias y fracturas del Dr. Millán, en Ciudad Altamirano, para su atención médicaLos hechos se suscitaron sobre la carretera federal Altamirano – Toluca, en el km 169, a la altura de la comunidad de Zacapuato, municipio de Cutzamala de Pinzón.</t>
  </si>
  <si>
    <t>Se registró un incendio en la fábrica de calcetines con razón social “AMORE S.A.de.C.V.” en el municipio de Valle de Santiago. Se desconoce las causas que lo originaron, se reporta con perdida total, debido al colapso de toda la barda perimetral así como de toda la estructura del techo, 1 camioneta, 1 tolva y 2 vehículos.Como medida de seguridad se evacuaron, aproximadamente a 150 personas de casas y comercios circundantes a la zona. Asimismo resultaron lesionados 2 Bomberos atendidos por deshidratación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</si>
  <si>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</si>
  <si>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</si>
  <si>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</si>
  <si>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</si>
  <si>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</si>
  <si>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</si>
  <si>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</si>
  <si>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</si>
  <si>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Se registró a las 16:30 hrs., una granizada, debido a ello se realizó una evaluación de daños, informando que en la cabecera municipal, se registraron 18 viviendas y en la comunidad de Santa Bárbara, se registraron 22 viviendas, con afectaciones parciales.Asimismo se informa que se tiene un aproximado de 130 personas damnificadas.En la cabecera municipal,fueron albergadas a 4 personas integrantes de una familia, en un refugio temporal, ubicado en el Salón Parroquial.</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</si>
  <si>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</si>
  <si>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así como el paro de labores por la suspension en el suministro de gas.</t>
  </si>
  <si>
    <t>Se registró una explosión cuando realizaban trabajos de soldadura en un contenedor de aceite quemado y con capacidad de 34 mil litros, afuera de un taller dedicado a la soldadura. Se reportan 3 personas lesionadas, daños en dos viviendas y un motel.</t>
  </si>
  <si>
    <t>Acapulco de Juarez</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</si>
  <si>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</si>
  <si>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Incendio urbano en 1 fabrica  recicladora de Plasticos de la Cia. “Eduardo Garcia”  en Av. Camino a Mazatlan, frente al Fracc. Urdiquinta, resultando a 3  personas de Proteccion Civil Estatal al caerles una barda durante la sofocación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</si>
  <si>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</si>
  <si>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compañía pesquera “Kukapac”, faltando únicamente 3 personas </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</si>
  <si>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</si>
  <si>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</si>
  <si>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Playas de Rosarito</t>
  </si>
  <si>
    <t>Incendio que termino con 1 bodega de la fabrica de muebles Baja Wood en la Col. Benito Juarez, resultando 47 personas lesionadas y rescatadas (sexo desconocido).</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</si>
  <si>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</si>
  <si>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</si>
  <si>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</si>
  <si>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Derrame de petroleo crudo de un ducto de 20”, en el km 174 de la Carr. Mexico-Qro., a la altura de la comunidad “Las Palomas”, afectando a 400 ha. de tierras de cultivo (trigo, sorgo, alfalfa y rosales).</t>
  </si>
  <si>
    <t xml:space="preserve">Se presentó la explosión de juegos pirotécnicos en vía publica, cuando se realizaban las festividades patronales, en la zona centro, de la localidad de Tres Marías. Por falta de precaución al realizar la quema de los castillos cayó un disparador en una caja que contenía juegos pirotécnicos los cuales se prendieron ocasionando lesiones por quemaduras a tres personas que se encontraban resguardando el lugar. Los 3 lesionados, presentaron quemaduras de primero, segundo y tercer grado, trasladados al Hospital General, por ambulancias del ERUM.
</t>
  </si>
  <si>
    <t>Incendio en 1 bodega de (20x40m) que almacenaba y fabricaba tarimas de madera, en la cabecera municipal. Preventivamente se evacuaron cerca de 15 personas que se encontraban laborando en dicha bodega (sexo desconocido).</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</si>
  <si>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</si>
  <si>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</si>
  <si>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Se reportó una explosión en una bodega clandestina, ubicada en la colonia Estela Ortiz, autoridades Estatales detallaron que al llegar al lugar, se encontró con un flamazo en un auto tanque con capacidad de 50.000 Litros, el cual fue ocasionado al realizar cortes en la estructura del vehículo para otros fines, cabe señalar que el auto tanque se encontraba Totalmente vacío, en el lugar falleció una persona el cual se mantiene como  desconocido.</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</si>
  <si>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</si>
  <si>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</si>
  <si>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</si>
  <si>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Derrumbe de tierra 200m3 aprox. en Calz. las Aguilas esq. Halcones Col. Lomas de Guadalupe, resultando 1 persona sepultada (sexo masculino de 61 años), que trabajaba en obras de la autopista urbana poniente de la Supervia.</t>
  </si>
  <si>
    <t>Flamazo</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</si>
  <si>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</si>
  <si>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r>
      <t>Incendio en 1 bodega “Centro Comercial Textil”, en Plaza San Ciprian, entre las Calles de Corregidora y San Lazaro Col. Centro, resultando 4 personas lesionadas (sexo desconocido): 1 persona que vigilaba y 3 del personal de bomberos, trasladados al Hospital Mocel, afectando 2 mil m</t>
    </r>
    <r>
      <rPr>
        <vertAlign val="superscript"/>
        <sz val="9"/>
        <rFont val="Arial"/>
        <family val="2"/>
      </rPr>
      <t>2</t>
    </r>
    <r>
      <rPr>
        <sz val="9"/>
        <rFont val="Arial"/>
        <family val="2"/>
      </rPr>
      <t xml:space="preserve"> y evacuadas aprox. 700 personas de la Col. Candelaria de los Patos y de la Unidad Habitacional Emiliano Zapata.</t>
    </r>
  </si>
  <si>
    <t>Explosion de 1 registro subterraneo de alta tension, propiedad de CFE en la Calle Ernesto Dominguez, esq. Vasco de Quiroga Col. Pueblo de Santa Fe, resultado 1 persona policia bancaria industrial lesionada (sexo masculino), trasladada a  a un hospital privado.</t>
  </si>
  <si>
    <t xml:space="preserve">Fuertes lluvias acompañadas de granizo provocaron en 17 colonias encharcamientos que alcanzaron un tirante de 70 cm, desplome de 9 techos de lamina y 1 barda. Solo 8 familias fueron apoyadas con laminas, madera, cobertores, colchonetas y despensas. </t>
  </si>
  <si>
    <t>Se registró el accidente de un vehículo blindado tipo Rino, donde viajaban elementos de la Policía Federal Preventiva, la unidad de aproximadamente 12 toneladas, transitaba por el Boulevard Ejercito Mexicano, a la altura del Puente Jabonoso, el vehículo se trasladaba de Torreón a Gómez Palacios. Se informó que cuando dio la vuelta en U sobre las vías, paso el ferrocarril envistiéndolo por la lateral izquierda, lo que provocó que diera varias vueltas, abriéndose con el impacto la puerta trasera, debido a ello uno de los elementos del sexo masculino de aproximadamente 32 años perdió la vida siendo expulsado de la unidad y arrastrado 20 metros, así como 7 elementos (6 hombres y 1 mujer) resultaron lesionados</t>
  </si>
  <si>
    <t>Cosamaloapan de Carpio</t>
  </si>
  <si>
    <t>Un tracto camión de doble semirremolque que transportaba 33 mil litros de amoniaco (en cada contenedor),  perteneciente a la compañía SLENZA con Razón Social en Villagrán, Guanajuato, sufrió un accidente en este tramo carretero. En la unidad se encontraba un hombre del cual se desconoce su origen y una persona del Sexo Femenino sin conocimiento de sus generales, los cuales murieron calcinados dentro de la unidad tras haber sufrido dicho accidente. Se realizó el trasvase de amoniaco.</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</si>
  <si>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</si>
  <si>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</si>
  <si>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</si>
  <si>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</si>
  <si>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</si>
  <si>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</si>
  <si>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Cocotitlan y Temamatla</t>
  </si>
  <si>
    <t xml:space="preserve">Se registró un accidente carretero entre los Municipios de Cocotitlán y Temamatla, en la carretera 115 km 4, hacia Juchitepec, en el que se vieron involucrados una Combi del Servicio Público y un vehículo militar de la 37ª zona. En el choque de frente, resultaron: 13 lesionados y 4 personas fallecidas (3 civiles y un militar). </t>
  </si>
  <si>
    <t>Lluvia con fuerte granizada, afectando 2 colonias, siendo la Col. Barrio de Pajaritos la mas afectada: 42 familias (210 personas) en sus techos de lamina de carton y galvanizada,  cristales rotos y abolladuras en automoviles; apoyadas con alimentos y laminas.</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</si>
  <si>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</si>
  <si>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Santa Maria Tlahuitoltepec</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</si>
  <si>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</si>
  <si>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</si>
  <si>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</si>
  <si>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</si>
  <si>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</si>
  <si>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</si>
  <si>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</si>
  <si>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</si>
  <si>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</si>
  <si>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</si>
  <si>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</si>
  <si>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</si>
  <si>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</si>
  <si>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</si>
  <si>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Xalapa, Martinez de la Torre y Tlapacoyan</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</si>
  <si>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</si>
  <si>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</si>
  <si>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</si>
  <si>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</si>
  <si>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</si>
  <si>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</si>
  <si>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</si>
  <si>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</si>
  <si>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</si>
  <si>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</si>
  <si>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 xml:space="preserve">Incendio en el basureo municipal que ocasiono contaminacion ambiental, evacuandose viviendas cercanas y 12 personas (sexo desconocido) fueron trasladadas a un refugio temporal habilitado en la Localidad “Indi ll”. </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</si>
  <si>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</si>
  <si>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</si>
  <si>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</si>
  <si>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</si>
  <si>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Colipa, Martinez de la Torre, Misantla Texistepec, Tonayan, Tlapacoyan y Yecuatla</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</si>
  <si>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</si>
  <si>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</si>
  <si>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</si>
  <si>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</si>
  <si>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</si>
  <si>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atención)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</si>
  <si>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</si>
  <si>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</si>
  <si>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</si>
  <si>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</si>
  <si>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Descarrilamiento de 1 tren en km A-1936+800 de la Cia. Cementos de Chihuahua, entre Samalayuca y Desierto, resultando 4 personas lesionadas (sexo masculino): conductor, maquinista y 2 garroteros; otras 3 personas ajenas a la tripulación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</si>
  <si>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</si>
  <si>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</si>
  <si>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</si>
  <si>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</si>
  <si>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Explosion por acumulación de gas en una tortilleria ubicada en Calle Benito Quintana, entre Blvd. Morelos y Gómez Farías,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</si>
  <si>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Pinos</t>
  </si>
  <si>
    <t>Explosion en un taller de elaboracion de artefactos pirotecnicos, ubicado en Calle Jesus Gonzalez Ortega, falleciendo una persona del sexo masculino de 52 años, que presento desprendimiento de extremidades.</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</si>
  <si>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</si>
  <si>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Volcadura de 1 camion de pasajeros en km 200 de la Carr. Chihuahua-Cd. Juarez, Comunidad Villa Ahumada, resultando 18 personas lesionadas (sexo desconocido): 8 trasladadas a hospitales de Ahumada y las otras 10 a hospitales de Cd. Juarez.</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</si>
  <si>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</si>
  <si>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</si>
  <si>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</si>
  <si>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r>
      <t>Derrame de gasolina en el sector Rosarito-Mexicali km 9+941, por 1 toma clandestina  en ducto de PEMEX de 8", afectando 12m</t>
    </r>
    <r>
      <rPr>
        <vertAlign val="superscript"/>
        <sz val="9"/>
        <rFont val="Arial"/>
        <family val="2"/>
      </rPr>
      <t xml:space="preserve">2 </t>
    </r>
    <r>
      <rPr>
        <sz val="9"/>
        <rFont val="Arial"/>
        <family val="2"/>
      </rPr>
      <t>por el escurrimiento del combustible.</t>
    </r>
  </si>
  <si>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</si>
  <si>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</si>
  <si>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</si>
  <si>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</si>
  <si>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</si>
  <si>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Explosion en las instalaciones de la planta Vimifos, (Industria dedicada a la elaboración de nutrición animal), ubicada en la Carr. Internacional No. 209, resultando 3 personas lesionadas (del sexo masculino), trasladadas para su atencion, debido a que una chispa alcanzo el rescoldo o residuos de polvo de semilla organico que se encontraba dentro de unas tolvas.</t>
  </si>
  <si>
    <t>Fuga en la recicladora MET PLAS, en las calles Reforma Agraria entre 24 y 25, al quebrarse una valvula de un cilindro de gas cloro se genero la fuga, resultando 7 Personas intoxicadas (3 del sexo femenino de 40 años prom. y 4 del sexo masculino de 49 años prom.)</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</si>
  <si>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</si>
  <si>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</si>
  <si>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</si>
  <si>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</si>
  <si>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</si>
  <si>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</si>
  <si>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</si>
  <si>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</si>
  <si>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</si>
  <si>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</si>
  <si>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</si>
  <si>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 xml:space="preserve"> Se registro un accidente carretero por alcance de un autobús de pasajeros en la parte trasera de un camión de carga a la altura de la carretera San Luis Río Colorado a Sonoyta en el km 106 a 108, reportan hasta el momento 2 personas muertas prensadas en el autobús, 3 mas inconscientes y 15 lesionados en el autobús.</t>
  </si>
  <si>
    <t>Debido a la fuerte lluvia registrada acompañada de granizo en el municipio de Cadereyta, afecto las comunidades de Bollesito, resultaron 60 viviendas afectadas y del municipio de Chilar 2 viviendas en sus techos de material endeble y penetración de agua resultando un total de 100 familias afectadas.</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</si>
  <si>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</si>
  <si>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 xml:space="preserve">Desplome de 1 avioneta tipo Cessna propiedad de la “Escuela de Aviación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</si>
  <si>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</si>
  <si>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</si>
  <si>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</si>
  <si>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</si>
  <si>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</si>
  <si>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</si>
  <si>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</si>
  <si>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</si>
  <si>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registró un choque frontal entre un Tráiler y una Camioneta. Los hechos se registraron a la altura de los Ejidos el Carrizo y Ejido 5 de Mayo, por la Carretera México 15 – Los Mochis. Derivado del accidente se reportó el fallecimiento de 6 personas  y 3 más resultaron lesionadas, siendo trasladadas al Hospital General de los Mochis</t>
  </si>
  <si>
    <t>Se registró una fuga de ácido muriático en una empresa. Por tal motivo se evacuó a los 26 trabajadores de la misma y se realizaron los trabajos de neutralización. La cantidad derramada fue de 3 mil litros y se afectó un área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</si>
  <si>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</si>
  <si>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Moloacan</t>
  </si>
  <si>
    <t xml:space="preserve">Volcadura de una pipa que transportaba 45 mil lts de gasolina Premium en la autopista Villahermosa-Cosoleacaque a la altura del poblado Nuevo Teapa en el Municipio de Moloacán. Resultando fallecido el conductor y derrame del producto.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</si>
  <si>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</si>
  <si>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</si>
  <si>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</si>
  <si>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San Martin Texmelucan y Acatzingo</t>
  </si>
  <si>
    <t xml:space="preserve">Debido a las constantes lluvias en el municipio de San Martín Texmelucan se presento el desbordamiento del Río Atoyac, afectando 30 viviendas con penetración de agua y lodo, así mismo en el municipio de Acatzingo reportan 20 viviendas con penetración de agua. Cabe mencionar que en los dos casos solamente se presentaron afectaciones en enseres domésticos y no se implementaron refugios temporales. Las autoridades locales apoyaron a las familias afectadas. </t>
  </si>
  <si>
    <t>Eduardo Neri</t>
  </si>
  <si>
    <t xml:space="preserve">En la localidad de Huitziltepec se colapso una barda de aprox. 2 m. de altura, cayendo sobre 2 personas (sexo masculino): 1 de 7 años y otro de 8 años, mismas que fallecieron </t>
  </si>
  <si>
    <t xml:space="preserve">Tormenta electrica en la comunidad de Sn. Juan Puerto Montaña, ocasionando que 3 elementos (sexo masculino) del 93° Batallon de Infanteria resultaran lesionados al caer un  rayo cerca de su base de operaciones: 2 de 25 años y 1 de 28 años. </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</si>
  <si>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</si>
  <si>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Las lluvias fuertes que se registraron ocasionaron que 20 viviendas fueran afectadas con penetración de agua y lodo. Así como una caída de barda de 10 metros de largo y dos de altura  a un costado de la Escuela Primaria Leonardo Da Vinci. Debido a esta situación las personas afectadas 49 (adultos y menores) fueron evacuados y trasladados a un Refugio Temporal. El Gobierno Estatal ha proporcionado alimentos, cobijas cobertores, catres y agua, a las personas afectadas.</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</si>
  <si>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</si>
  <si>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atención)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</si>
  <si>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</si>
  <si>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Se registró un deslizamiento de tierra, en la poblacion de “San Juan del Río Choapam”, perteneciente a la región de la Cuenca de Papaloapan, debido a las intensas lluvias que se presentaron desde el día de ayer.Se estima que generó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</si>
  <si>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</si>
  <si>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</si>
  <si>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</si>
  <si>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penetración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</si>
  <si>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</si>
  <si>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</si>
  <si>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</si>
  <si>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mayoría menores de edad: 12 el sexo masculino y 14 del sexo femenino, y 32 personas lesionadas: 15 del sexo femenino y 17 del sexo masculino), debido al exceso de velocidad y a las malas condiciones climatologicas.</t>
  </si>
  <si>
    <t>Santo Domingo Tonala</t>
  </si>
  <si>
    <t xml:space="preserve">Se reportó una persona fallecida de sexo femenino de 42 años ( por el momento se desconoce el nombre) en donde Autoridades Estatales informaron que se encontraba realizando labores de terreno, cuando fue impactada por el rayo. </t>
  </si>
  <si>
    <t>Peñamiller</t>
  </si>
  <si>
    <t xml:space="preserve">Derrumbe de mina de Mercurio, en la comunidad de Plazuela, falelciendo 3 personas (sexo masculino). </t>
  </si>
  <si>
    <t>En la Carr. Saltillo-Torreon km 17, se registro la volcadura de 1 pipa de la Cia. “Sanchez Valdez”, que transportaba gasolina al 100% de su capacidad (20 mil lt), incendiandose en su totalidad, resltando facelida la persona que conducia (sexo desconocido), se cerro la circulación mas de 2 h.</t>
  </si>
  <si>
    <t>Volcadura de un Camion de Trabajadores de Campo, en un barranco, resultando 8 personas fallecidas 5 adultos (3 hombres y 2 mujeres) y 3 menores (2 hombres y 1 mujer) y 25 personas lesionadas.</t>
  </si>
  <si>
    <t>Zapotlan de Juarez</t>
  </si>
  <si>
    <t>Debido a picaduras de abejas, fallecieron 2 personas (1 del sexo masculino de 36 años y otra de 70 años), 2 personas lesionadas (sexo masculino de 15 y 18 años), trasladadas para su atencion.</t>
  </si>
  <si>
    <t>Se registro la volcadura de un autobús en el km. 139.0 de la carretera Hermosillo – Santa Ana, al parecer el accidente ocurrió por exceso de velocidad. Los lesionados fueron trasladados a diversos Hospitales del Municipio de Santa Ana.</t>
  </si>
  <si>
    <t>Romita</t>
  </si>
  <si>
    <t xml:space="preserve">Debido la caida de 1 rayo en el Rancho Los Barroso, resulto lesionado 1 persona (sexo masculino de 14 años), trasladado para su atencion. </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</si>
  <si>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</si>
  <si>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Zacatelco y Cuapiaxtla</t>
  </si>
  <si>
    <t>Derivado de las intensas lluvias se reportan daños en 35 viviendas con daño menor. Así mismo se instaló un refugio temporal, mismo que tuvo una afluencia de 7 personas.</t>
  </si>
  <si>
    <t>Desplome de 1 helicoptero en mar abierto en la Comunidad de San Quintin), propiedad de la Cia. “Baja Aqua Front” (dedicada a la pesca de atun), debido a una falla mecanica, resultando 2 personas fallecidas de sexo masculino (el piloto y el de mantenimiento).</t>
  </si>
  <si>
    <t>Se registró el desplome de un helicóptero de la empresa ACSESA, con 3 personas (2 tripulantes y 1 pasajero), los cuales fueron rescatados con vida, por una embarcación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</si>
  <si>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</si>
  <si>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Fuerte lluvia registrada genero afectaciones en la Col. Loma Bonita: en la calle de Churubusco, resultaron 10 casas con penetracion de agua. En el Fracc. Begoña: 12 casas. En la Comunidad San Jose: 1 casa.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</si>
  <si>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</si>
  <si>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</si>
  <si>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</si>
  <si>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</si>
  <si>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Culiacán, se presento anegación en las siguientes colonias: Gabriel Leyva, Los malacates, Salamita, Lomas de Viqueras, Las cuacas, Los lirios y Mirador; debido a que se encuentran al margen de un arroyo y en zona baja. 18 casas reportan afectación debido a que el tirante de agua alcanzo hasta un metro de altura.</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</si>
  <si>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</si>
  <si>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</si>
  <si>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</si>
  <si>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Explosion en 1 departamento en la Col. Polanco Calle Horacio num. 219, por acumulamiento de gas LP, resultando 3 personas lesionadas (sexo desconocido): 2 adultas y 1 menor, con quemaduras en un 80% de su cuerpo, trasladadas al hospital Español.</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</si>
  <si>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</si>
  <si>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</si>
  <si>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</si>
  <si>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</si>
  <si>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Se registró el impacto de un camión de pasajeros contra un camión de carga tipo torton. El accidente ocurrió en la carretera Libre, a la altura de la salida al Norte de Mazatlán, en la comunidad el “Chilillo”, perteneciente al municipio de Mazatlán.Como resultado del accidente se reporta una persona muerta y 4 lesionados, de los cuales  fue trasladado a la clínica del Seguro Social, en Culiacán; los otros 3 a una clínica privada de nombre “Del Mar”, en el municipio de Mazatlán.</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</si>
  <si>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</si>
  <si>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Las lluvias de 51 mm, acompañadas de fuertes vientos en el pasado afecto 12 viviendas: 5 fueron por inundacióon y las otras por daños en los techos,
debido a los fuertes vientos. Ademas, de quedar sin energia electrica. 8 arboles caidos. 4 transformadores de energía eléctrica. 3 postes de energia electrica. 2 anuncios luminosos derribados.</t>
  </si>
  <si>
    <t>Explosion por acumulacion de gas lp, en el hotel “Secret”, que se encontraba en construccion, en boulevard Cuculcan km. 14.5, al abrir una llave de paso a una caldera, resultando 11 personas lesionadas (7 fueron trasladadas para su atencion)</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</si>
  <si>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</si>
  <si>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</si>
  <si>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</si>
  <si>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</si>
  <si>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</si>
  <si>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</si>
  <si>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circulación a las 11:30 hr.</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</si>
  <si>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</si>
  <si>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Chinipas</t>
  </si>
  <si>
    <t>Lluvia acompañada de una tormenta electrica en la Comunidad La Reforma, provocando la caida de 1 rayo a unos 6 m del domicilio de 1 persona (sexo femenino de 24 años), que fallecio instantaneamente al ser alcanzada por el este.</t>
  </si>
  <si>
    <t>Se registró un incendio en una bodega perteneciente a la comercializadora de productos agroquímicos, AGRI STAR DE MEXICO, S. DE R.L. DE C.V., ubicada en Olivo #204 en la Zona Centro de la ciudad de Papantla. Por seguridad, se evacuaron a 150 personas de sus viviendas y comercios de varias calles aledañas</t>
  </si>
  <si>
    <t>Ixtaczoquitlan</t>
  </si>
  <si>
    <t>Fallecieron 6 personas a causa de envenenamiento por gases de ácido sulfhídrico, debido a que no se les otorgó el equipo adecuado para lavar una fosa que contenía residuos de dicha sustancia química</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</si>
  <si>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</si>
  <si>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</si>
  <si>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</si>
  <si>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</si>
  <si>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</si>
  <si>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</si>
  <si>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</si>
  <si>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</si>
  <si>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</si>
  <si>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 xml:space="preserve">Sinaloa </t>
  </si>
  <si>
    <t>Derivado de las lluvias que se registraron en el poblado de Curimi de Portales perteneciente al municipio de Sinaloa de Leyva, resultaron afectadas entre 70 a 80 viviendas por inundación, con un tirante de entre 60 y 70 cm, resultando sólo con daños materiales</t>
  </si>
  <si>
    <t>Ocoyucan</t>
  </si>
  <si>
    <t xml:space="preserve">Se registro una volcadura de una pipa que transportaba 21,000 litros de gasolina, en el kilómetro 18 de la Carretera Estatal Santa Clara-Molcaxac, ubicado en el municipio de Santa Clara. Derivado del accidente, murió el chofer de la unidad y se desconocen sus datos. No se reporta derrame del producto. </t>
  </si>
  <si>
    <t xml:space="preserve">Se registró una explosión de un cilindro de gas Lp. de 20 kg, en una vivienda de la Col. Oriente, Resultando una persona lesionada de 62 años de edad, con quemaduras de 2 y 3° y un  6% de quemaduras del lado izquierdo de su cuerpo. </t>
  </si>
  <si>
    <t>Cuautlancingo</t>
  </si>
  <si>
    <t xml:space="preserve">Se registró la Volcadura de una Pipa con razón social “Trans Delta”  que trasportaba Tolueno, con capacidad de 25,000 Lts, sobre la autopista México – Puebla, Km. 119 .Derivado del accidente se registró derrame de producto </t>
  </si>
  <si>
    <t>Se registró un choque en el que se vieron involucrados, un Autobús de Pasajeros de Turismo y una Unidad de los denominados “Nodriza”. Derivado del accidente, el autobús de pasajeros volcó, reportándose 6 personas lesionadas, las cuales fueron trasladadas a la Clínica Liver de San Martín Texmelucan, para su atención inmediata. </t>
  </si>
  <si>
    <r>
      <t>Las lluvias registradas ocasionaron anegaciones con un tirante de hasta 50 cm, Col. la Virgen, provocando penetracion</t>
    </r>
    <r>
      <rPr>
        <b/>
        <sz val="9"/>
        <rFont val="Arial"/>
        <family val="2"/>
      </rPr>
      <t xml:space="preserve"> </t>
    </r>
    <r>
      <rPr>
        <sz val="9"/>
        <rFont val="Arial"/>
        <family val="2"/>
      </rPr>
      <t xml:space="preserve">de agua a 25 viviendas, preventivamente se evacuo a las personas de dichas viviendas y se les proporciono despensas y cobijas. La avenida de agua arrastro a 2 menores de edad (Sexo desconocido) que jugaban en la calle y 1 taxi. </t>
    </r>
  </si>
  <si>
    <t>Villa Etla</t>
  </si>
  <si>
    <t>Se registraron lluvias moderadas acompañadas de una tormenta eléctrica, asimismo, se informa del fallecimiento del C. Marcelino Ramírez Garcia de 38 años por caída de rayo además provocando lesiones a Victoria Ramírez Garcia de 36 años y Rosalía Rojas Chavez de 38 años, las cuales fueron trasladadas al Hospital Civil de la Ciudad de Oaxaca para su valoración y atención medica.</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</si>
  <si>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</si>
  <si>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Lluvias que presentaron afectaciones en 40 carros arrastrados por el agua, 35 casas y 40 negocios con penetracion de agua y lodo. Apoyados por gobiernos estatales y municipales.</t>
  </si>
  <si>
    <t>Se registró el impacto de una camioneta contra un autobús de pasajeros, esto en el kilómetro 162+500, de la carretera Panamericana, en el tramo Zacatecas-Durango. Derivado del accidente, se reportan 3 personas muertas y 19 lesionados</t>
  </si>
  <si>
    <t xml:space="preserve">Fuertes lluvias incremento el arroyo Jalpilla, saliendose de su cause a la altura del puente CECYTEG, provocando en la Comunidad de Jalpilla la evacuacion de 11 personas de 3 viviendas, trasladads con sus familiares. </t>
  </si>
  <si>
    <t xml:space="preserve">Explosion  de 1 polvorin en el Barrio de San Pedro, resultando 1 persona lesionada (sexo masculino de 18 años), trasladada al Hospital de especialidades del municipio. </t>
  </si>
  <si>
    <t>Se presentó una fuerte lluvia, provocando tirantes de 30 a 40 cm, en diversas zonas de la colonia Fuentesuelas, además de penetración de agua en 3 domicilios, ubicados entre las calles Josefa Ortiz de Dominguez, Melchor Ocampo e Hidalgo en el municipio de Tequisquiapan. El H. Ayuntamiento a poyo a las personas afectadas con kits de limpieza, colchonetas y cobertores</t>
  </si>
  <si>
    <t>Debido a las lluvias se registró el llenado del  bordo “La Fuente” el cual se encuentra a un 100 % de su capacidad, debido a esto la calle Miguel Hidalgo presentó inundación con una tirante de hasta 40 cm. Debido a ello fue necesario evacuar a 30 familias de las cuales 5 familias fueron llevadas aun RT y 25 mas se refugiaron con familiares.</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</si>
  <si>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</si>
  <si>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</si>
  <si>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</si>
  <si>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</si>
  <si>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Acatepec</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</si>
  <si>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</si>
  <si>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Tlacoapa, Ometepec</t>
  </si>
  <si>
    <r>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t>
    </r>
    <r>
      <rPr>
        <b/>
        <sz val="9"/>
        <rFont val="Arial"/>
        <family val="2"/>
      </rPr>
      <t xml:space="preserve"> </t>
    </r>
    <r>
      <rPr>
        <sz val="9"/>
        <rFont val="Arial"/>
        <family val="2"/>
      </rPr>
      <t>Ometepec, techos de lamina de carton de 11 viviendas y 1 iglesia de nombre Virgen de Guadalupe en la localidad el Mango Norte, brindandose apoyo a familias afectadas y entrega de 26 pacas de laminas, 11 cobertores, 11 colchonetas, 11 Kits de Limpieza y 11 despensas.</t>
    </r>
  </si>
  <si>
    <t>Fuertes lluvias con vientos fuertes provocaron acumulamiento de agua del arroyo Tecolotero, al tratar de cruzar 1 persona (sexo femenino), fue arrastrada y se ahogo, ademas de resultar 18 arboles caidos.</t>
  </si>
  <si>
    <t>Derrumbe en el tramo de la Carr. libre Durango-Mazatlan. Km 194 que provoco el cierre de la circulacion vehicular en ambos sentidos, provocando 230 vehiculos a quienes se les proporciono cobijas, agua potable y liquidos calientes, así como 1 persona fallecida al caer el material desprendido en el trailer que conducia.</t>
  </si>
  <si>
    <t>Se registró una lluvia acompañada de actividad eléctrica, derivado de ello se registró el fallecimiento de una mujer de 69 años por caída de rayo,</t>
  </si>
  <si>
    <t xml:space="preserve">Choque frontal sobre la  Carr. Villagran Celaya km. 5.8, entre 1 tracto camion y 1 camion de pasajeros, perteneciente a la Cia. Saeta, resultando 12 personas lesionadas, trasladadas para su atencion. </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</si>
  <si>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</si>
  <si>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</si>
  <si>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Derivado de las lluvias fuertes se afectaron 9 viviendas y se afectaron a 52 personas (27 adultos y 25
menores), 12 de ellos se trasladaron al RT del Centro Gerontologico. Se proporciono a las familias afectadas, 30 Colchones, 106 Cobertores y 9 Parrillas.</t>
  </si>
  <si>
    <t>Nacozari de Garcia</t>
  </si>
  <si>
    <t>Se registró una fuerte lluvia acompañada de vientos fuertes y tormenta eléctrica. Un rayo derribó el tendido eléctrico (trozando el cableado), además ocasionando daño en 3 mufas y provocando el colapso total de un techo de una casa habitación.</t>
  </si>
  <si>
    <t>Calpulalpan, Tepetitla de Lardizabal, Nativitas, Nanacamilpa de Mariano Arista e Ixtacuixtla de Mariano de Matamoros</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</si>
  <si>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</si>
  <si>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Se registró la volcadura de un camión de la Secretaría de la Defensa Nacional, esto en el kilómetro 75 de la carretera 45, en el tramo Fresnillo-Durango, a la altura de la comunidad Sainaldo, municipio de Fresnillo. Derivado del accidente se reporta 1 soldado muerto y 24 lesionados.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</si>
  <si>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</si>
  <si>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</si>
  <si>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tención que pasan por el lugar.</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</si>
  <si>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</si>
  <si>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</si>
  <si>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 xml:space="preserve">Volcadura de 1 pipa de doble remolque que transportaba 29 mil l de combustoleo cada uno, en el entronque de la autopista Arco Norte San Martin Texmelucan-Calpulalpan, un contenedor resulto con derrame total. Preventivamente se cerro la vialidad. </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</si>
  <si>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</si>
  <si>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así como 1 persona lesionada (sexo desconocido), trasladada para su atencion. </t>
  </si>
  <si>
    <t>Huachinango</t>
  </si>
  <si>
    <t>Se registró un deslizamiento en un camino rural de la comunidad de Coacuila, mismo que ocasiono la muerte de un hombre de 55 años de edad.</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</si>
  <si>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</si>
  <si>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</si>
  <si>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 xml:space="preserve">Las lluvias acompañadas de actividad electrica, en la Comunidad Pila de los Arboles, se registro la caida de un rayo, falleciendo 1 persona (sexo masculino de 60 años) y 1 lesionada (sexo femenino de 58 años), trasladada para su atencion. </t>
  </si>
  <si>
    <t>Explosion en 1 recinto Cultural “Casa Teran” ubicado en el Centro historico, atribuible a la concentracion de gas LP, resultando lesionada la persona que velaba el lugar (sexo masculino) y trasladada a la clinica 1 del IMSS, así como afectaciones en negocios aledaños.</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</si>
  <si>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</si>
  <si>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</si>
  <si>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La precipitación registrada el día de ayer, misma que fue de 46 mm. en Hermosillo, ocasionó que el cauce del arroyo de las víboras se incrementara y con ello el arrastre de tres menores, dos de ellos fallecieron y uno mas resulto lesionado. Así mismo se reportan 14 viviendas con daño menor.</t>
  </si>
  <si>
    <t>San Jose de Gracia</t>
  </si>
  <si>
    <t xml:space="preserve">Las fuertes  lluvias ocasionaron la crecida del rio Potrero de los Lopez en la Comunidad de Paredes, resultando 1 persona fallecida (sexo masculino de 15 años), arrastrada por la corriente cuando intentaba cruzar al otro lado del rio. </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</si>
  <si>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</si>
  <si>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</si>
  <si>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</si>
  <si>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afecto solo cultivo. En Dolores Hidalgo: 23 casas por acumulación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</si>
  <si>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Jiquipilco</t>
  </si>
  <si>
    <t>Caida de 1 helicoptero marca Angusta-109, en el Cerro de la Bola, detras del Centro Ceremonial Otomi, Paraje de Villa Alpina, resultando 3 personas fallecidas (2 del sexo masculino).</t>
  </si>
  <si>
    <t>Se registro el Choque entre un auto particular de marca Chevrolet Aveo y un tren de carga, en el cual perdieron la vida dos personas de 23 años y 21 años) una persona mas resulto lesionada de 22 años y fue trasladada al Hospital del IMSS en Culiacán.</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</si>
  <si>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</si>
  <si>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Accidente entre 1 autobus de pasajeros de la linea ETN, impactandose en la parte trasera del trailer, a la altura de la autopista Queretaro-Celaya km. 19,  resultando 22 personas lesionadas (sexo desconocido), trasladadas para su atencion. .</t>
  </si>
  <si>
    <t>Se registró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</si>
  <si>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</si>
  <si>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</si>
  <si>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</si>
  <si>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</si>
  <si>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Accidente de 1 autobus de pasajeros de la linea teotihuacanos, a la altura del km 219 de la Carr. Chilpancingo-Cuernavaca de la autopista del Sol, resultando 1 persona fallecida y 29 lesionadas (sexo desconocido), trasladadas para su atencion.</t>
  </si>
  <si>
    <t>Se registró un incendio por corte circuito en una tienda de pinturas ubicada en la cabecera municipal resultando una persona lesionada con quemaduras de 1 grado el cual fue trasladado para su atención medica al hospital de la Cruz Roja Mexicana</t>
  </si>
  <si>
    <t>Se registro un accidente carretero al impactarse un autobús turístico proveniente de la Ciudad de México –Villahermosa, contra un camión carguero tipo góndola que transportaba el producto denominado “Lodo maravilloso”, que a su vez se impacto en contra de un autobús de la línea ADO, en el siniestro los mas afectados fueron los del autobús turístico, resultaron 4 muertos y 16 lesionados</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</si>
  <si>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</si>
  <si>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</si>
  <si>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 xml:space="preserve">Choque entre un tráiler y una camioneta, dejando a  16 personas muertas y cuatro más lesionados, esto en la carretera federal Caborca-Sonoyta, en el kilómetro 173+950 en la autopista número 2. </t>
  </si>
  <si>
    <t>En el Poblado El Ocotito debido a las lluvias fuertes acompañada de tormenta electrica, fallecio el cabo de infanteria perteneciente a la 25 ZM (sexo masculino de 21 años), al momento de resguardarse cuando un rayo cayo.</t>
  </si>
  <si>
    <t>Debido a la fuerte lluvia registradas el día lunes 6 de agosto Una señora de 35 años sus dos hijos de 17 y 6 años, quienes al intentar cruzar por la Avenida Orizaba y Calle 5 de mayo, fueron arrastrados por la corriente  hacia un canal de aguas negras que desemboca en la Barranca San Isidro y la cual tiene una caída de 70 mts. aproximadamente en el Rio Orizaba, los cuerpos de los menores fueron encontrados sobre el río Orizaba.</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</si>
  <si>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</si>
  <si>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mínimos. Se habilito 1 RT en la Escuela Primaria Bilingúe Nazahualcoyotl. Se implemento el Plam DNIII</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</si>
  <si>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</si>
  <si>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</si>
  <si>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Se registro un accidente ferroviario el día de ayer,en el cruce de las vías del ferrocarril y la carretera estatal Escuinapa–Teacapán. En el que un tren carguero que se dirigía de Tepic a Culiacán, impacto a una camioneta tipo Ford Lobo, resultando 10 personas afectadas: 5 fallecidas (2 en el lugar al impactarse el tren contra la camioneta, 1 en el H. General de Escuinapa y 2 mas en el Hospital Charp de Mazatlán), así como 5 personas lesionadas, que fueron trasladadas a los hospitales de Escuinapa y Mazatlán.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</si>
  <si>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</si>
  <si>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</si>
  <si>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Se registro una volcadura de un autobús de pasajeros, en la Carretera Federal Escarrega-Macuspana en el km. 52, ubicada en el municipio de Macuspana. El autobús iba a exceso de velocidad, por lo que salió de la cinta asfáltica, originándose así la volcadura. Como resultado del accidente se registraron 2 personas fallecidas, mismas que eran madre e hija, de 25 y 2 años respectivamente. Así mismo se reportan dos personas lesionadas.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</si>
  <si>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</si>
  <si>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 xml:space="preserve">Incremento del Rio Chalma, debido a las fuertes lluvias que se registraron en el Edo. de México, reportandose 21 viviendas con penetracion de agua. </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</si>
  <si>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</si>
  <si>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</si>
  <si>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</si>
  <si>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</si>
  <si>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</si>
  <si>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</si>
  <si>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</si>
  <si>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</si>
  <si>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</si>
  <si>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 xml:space="preserve">Se registró la explosión de una caldera, dentro de las instalaciones de una fábrica de yeso,La explosión se originó debido a la presión con que se operaba la caldera, aunado al mal estado de la válvula, esta situación ocasionó la expulsión de la tapa de la caldera, misma que causo daños a una vivienda aledaña. </t>
  </si>
  <si>
    <t>Se registró la muerte de 1 menor de edad de 8 años, mismo que fue atacado por abejas, falleciendo por las picaduras. Así mismo, otras tres menores de 14, 6 y 3 años resultaron lesionadas, así como  un señor de 24 años.</t>
  </si>
  <si>
    <t xml:space="preserve">Jaltipan </t>
  </si>
  <si>
    <t>Se registro el desbordamiento de un dique que almacenaba agua para lavado de arena silica (para fabricación de vidrios y lijas), las causa del desbordamiento fue el reblandecimiento de una pared del dique, los hechos se presentaron en la Colonia Rafael Murillo Vidal, afectando 32 viviendas con penetración de agua con arena alcanzando un tirante de 1.20 metros (daño menor y enseres).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</si>
  <si>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penetración de agua.</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</si>
  <si>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</si>
  <si>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</si>
  <si>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</si>
  <si>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</si>
  <si>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Guasave, Angostura, Sinaloa  y Mazatlan</t>
  </si>
  <si>
    <t>Derivado de las intensas lluvias se presentaron encharcamientos en diversas zonas de los municipios mencionados. Fue necesaria la evacuación preventiva de 1,150 personas, así mismo se intalaron dos refugios temporales en los que se albergaron 250 personas.</t>
  </si>
  <si>
    <t>San Miguel de Horcasitas y Hermosillo</t>
  </si>
  <si>
    <t xml:space="preserve">Se reportan 2 viviendas afectadas, dejando a 7 personas atrapadas en un árbol, bajando ellas por su propio pie, en cuanto bajo el nivel del rio, las personas quedaron a salvo, sin alguna otra complicación. En Hermosillo se evacuaron a 4 familias cercanas el arroyo Pesqueira, debido a que la crecida de estos ponía en peligro a esas familias, las cuales se negaron a ir a un alberge. </t>
  </si>
  <si>
    <t>Volcadura de una pipa de la Cia. Fletes “OSCAR”, en la Carr. Patzcuaro-Santa Clara, en la comunidad Ocopeo, que transportaba 12,500 litros de gasolina, derramandose un 80% sobre un terreno de aprox. 20x 80 m.</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</si>
  <si>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</si>
  <si>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</si>
  <si>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</si>
  <si>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tráiler de doble semirremolque que transportaba 20 mil litros de Aceite de Petróleo, se reporta derrame total del producto.</t>
  </si>
  <si>
    <t>Se registró un accidente carretero, a la altura del Km. 19 Autopista Cd. Victoria – San Luis Potosí, donde se vieron involucrados una pipa doble remolque que transportaba 43,000 Lts. de Diesel y un Tráiler que trasportaba vigas de acero. Se reporta derrame total y dos personas lesionadas.</t>
  </si>
  <si>
    <t>Arrastre de 1 camioneta tipo pickup Toyota, por creciente de un arroyo, por las fuertes lluvias registradas, en el punto conocido la “Piedra Parada”, localidad de Sto. Domingo, resultando 1 persona fallecida (sexo masculino de 3 años) al ser arrastrada por la corriente.</t>
  </si>
  <si>
    <t>Alcance entre un trailer y un camión torton, los cuales al colisionar entre sí arroyaron a un ciclista que pasaba por el lugar quien perdió la vida en este accidente, para posteriormente chocar con el ferrocarril que pasaba por el lugar y que descarriló en 2 vagones ante el impacto con los vehículos.</t>
  </si>
  <si>
    <t xml:space="preserve">Volcadura de una pipa que transportaba 33 mil litros de Gasolina Magna, sobre la Carr. 15 Nacional Libre, derramandose el producto (se desconoce la cantidad), resultando la persona que conducia lesionada (sexo desconocido). </t>
  </si>
  <si>
    <t>Se registró un accidente ferroviario, impactándose dos trenes de frente. El accidente se registró en la zona montañosa central de Veracruz, a la altura de la comunidad de Vaquería, los cuales transportaban diversos productos. Se reportan  3 personas lesionadas, siendo trasladadas al Hospital de Orizaba, para  su atención inmediata.</t>
  </si>
  <si>
    <t>Volcadura de una pipa que transportaba 20 mil litros de Gasolina Magna de la Cia.  “Lorenzo Araiza”, resultando 1 persona lesionada (sexo desconocido).</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</si>
  <si>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</si>
  <si>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</si>
  <si>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</si>
  <si>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</si>
  <si>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Se registró una fuga de Gas cloro de un tampo de 68 kilos. Como medida preventiva se evacuó a 300 personas. El tanque se encontraba en una planta purificadora.</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</si>
  <si>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</si>
  <si>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</si>
  <si>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Se registró un accidente en el tramo Carretero Piedras Negras – Ignacio de Las Llaves, a la altura del lugar conocido como El Remolino, donde se vieron involucrados un camión tortón y un vehículo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</si>
  <si>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explosión, resultando 3 trabajadores fallecidos (sexo desconcodio).</t>
  </si>
  <si>
    <t>Se registro un ataque de abejas a seis personas, mismas que fueron trasladadas al Hospital Infantil y al Hospital General del Estado  para su atención. Los hechos ocurrieron en la población de El Tronconal, sección Los Álamos, sobre la carretera Hermosillo – Ures del municipio de Hermosillo.</t>
  </si>
  <si>
    <t>Chinicuila</t>
  </si>
  <si>
    <t>Debido a las lluvias registradas, desbordandose el Rio que atraviesa el pueblo, resultando 1 persona arrastrada (sexo masculino de 13 años), cuando caminaba con su padre; ademas de 10 casas afectadas y la caida de 1 puente.</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</si>
  <si>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</si>
  <si>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</si>
  <si>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así como en una secundaria, primaria y kinder con penetracion de agua (suspendiendo las clases), y 5 viviendas mas presentaron inundaciones.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</si>
  <si>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</si>
  <si>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</si>
  <si>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y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</si>
  <si>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</si>
  <si>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</si>
  <si>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</si>
  <si>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explosión por acumulamiento de gas Lp. en un restaurant con razón social El gallo Grill Argentino, ubicados en La Plaza Comercial City a la altura del Km 20+50 del anillo periférico de la Ciudad, afectando 3 locales mas aledaños, resultando una persona con quemaduras de 1 y 2 grado la cual fue trasladada para su atención medica al hospital Ignacio García Téllez.</t>
  </si>
  <si>
    <t>Calakmul, Champoton, Escarcega, Candelaria, Carmen, Palizada y Campeche</t>
  </si>
  <si>
    <t>A causa del huracán Ernesto en el estado fueron aefctados los sectores educativo, hidráulico y carretero.</t>
  </si>
  <si>
    <t>Montemorelos</t>
  </si>
  <si>
    <t>Volcadura de 1 autobus, en el km 219 de la Carr. Nacional a la altura del “Blanquillo”, de la Cia. "Tamaulipas Sentur”, que se dirigia de Monterrey a Matehuala, con 39 personas lesionadas, trasladadas para su atencion.</t>
  </si>
  <si>
    <t>San Ignacio</t>
  </si>
  <si>
    <t xml:space="preserve"> Se registró el accidente de una avioneta tipo Cessna Debido a las lluvias de los últimos días y al mal estado de la pista, al tratar de aterrizar la aeronave sufrió un accidente. Resultando lesionadas 5 personas. El piloto en estadio de gravedad. </t>
  </si>
  <si>
    <t>Candelaria de los Loxicha</t>
  </si>
  <si>
    <t>Una vivienda quedo sepultada debido a un derrumbe del talud. Falleciendo una familia la cual quedo bajo los escombros, integrada por Silvia Juárez de 40 años, Gonzalo Martínez de 20 años, Ailin N de 6 meses y Francisco NN de 5 años. Así como se reportan lesionados a Domingo Martínez, Adaneli  y Domingo Martínez Juárez de 15 y 14 años respectivamente.</t>
  </si>
  <si>
    <t>Se registró un volcadura de un autotanque con 30,880 litros de metanol, a la altura del km. 9 de la carretera Altamira-Victoria en el municipio de Tampico, Tamaulipas. Se reportó 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</si>
  <si>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</si>
  <si>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 xml:space="preserve">Derivado de las lluvias registradas del pasado domingo, se presentó un desgajamiento de cerro en el municipio Candelaria de los Loxicha, el cual afecto 10 viviendas con perdida total, así mismo se reporta una persona fallecida de nombre Noé Garcia Hernandez de 24 años, autoridades Estatales y Municipales realizan diversos recorridos en las zonas afectadas,  las familias damnificadas se refugiaron, algunas con familiares otras en el Palacio Municipal. </t>
  </si>
  <si>
    <t>Derivado de la caida de 1 bardas en una construccion en la tienda departamental COPPEL , en Alvaro Obregon se registra 1 persona fallecida (sexo masculino de 38 años) y otra lesionada (sexo masculino de 33 años)-</t>
  </si>
  <si>
    <t>Coahuitlan</t>
  </si>
  <si>
    <t>Un cerro se desgajo afectando una vivienda resultando sepultadas dos menores de 8 Y 6 años, las cuales sus cuerpos ya fueron recuperados</t>
  </si>
  <si>
    <t>Se registró un incendio en una base de autobuses. El incendio  afectó 8 camiones de transporte urbano, 1 Pick Up de un particular (mecánico de la empresa),  1 Cisterna abastecedora de combustible (Diesel) con una capacidad de  1,000 Lts</t>
  </si>
  <si>
    <t>El Fuerte y Guasave</t>
  </si>
  <si>
    <t>se registró la muerte de 2 personas por caída de rayo, una en el municipio de El Fuerte y otra en Guasave. Los dos fallecidos eran de sexo masculino de 77 y 54 años.</t>
  </si>
  <si>
    <t xml:space="preserve">Accidente carretero, a la altura de la Autopista Federal Salamanca-Morelia km 58, involucrada una Pipa doble tanque de la Cia. “Petro Bajio”, que transportaba 60 mil litros de combustoleo que se derramo. </t>
  </si>
  <si>
    <t>Volcadura de un camion de pasajeros al quedarse sin frenos, de la Cia. AMSA, S. A. de C. V., en km 113 de la Carr. J. Guadalupe Aguilera, a la altura del poblado Cuevecillas, resultando 21 personas lesionadas (sexo desconocido), dos de ellas trasladadas para su atencion, así como 1 vehiculo dañado.</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</si>
  <si>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</si>
  <si>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</si>
  <si>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</si>
  <si>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</si>
  <si>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eléctricas, lo que ocasionó la caída de un rayo en un domicilio causando la muerte de 2 hombres que tomaban café en el interior de su vivienda construida de palma.</t>
  </si>
  <si>
    <t xml:space="preserve">En la Autopista Leon-Aguascalientes a la altura del km 20, se registro un choque y posterior volcadura de un auto tanque de la Cia. “Especializada Transportes Combustibles del Bajío”,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</si>
  <si>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</si>
  <si>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</si>
  <si>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</si>
  <si>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 xml:space="preserve">Desplome de 1 helicoptero  modelo BELL407,  el cual se atoro con el cable de una tirolesa sobre el Lago Zirahuen, resultando 4 personas lesionadas (sexo masculino, trasladadas para su atencion y 1 persona fallecida (sexo masculino). </t>
  </si>
  <si>
    <t>Volcadura en la Carr. Federal Irapuato-Abasolo, km 28+500, involucrada 1 pipa de gas LP, de la Cia. Transportes de Liquidos y Combustibles S.A. de C.V., resultando 1 persona fallecida (conductor de sexo masculino de 45 años).</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</si>
  <si>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así como 47 lesionadas: 22 trabajadadores de pemex y 25 de otras compañias: como Quimica Apolo e INCORSA, cerrandose la circulacion. El accidente ocasiono daños al patin de medicion, 1 ducto y algunas valvulas de control. Preventivamente se cerro la circulacion.</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</si>
  <si>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</si>
  <si>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</si>
  <si>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comunicación, 2 servicios estrategicos y 2 corrientes desbordadas . Se activaron 4 RT (en Banderilla, El Naranjal, San Andres y Xalapa).</t>
  </si>
  <si>
    <t>Se registro un accidente de carretero en la carretera federal México-Tuxpan a la altura de la comunidad La Morena, entre un autobús de pasajeros, un carro particular y un camión torton, resultando 15 lesionados del autobús y resultando dos personas muertas de nombre Fernando Sánchez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</si>
  <si>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</si>
  <si>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</si>
  <si>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</si>
  <si>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</si>
  <si>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atención.</t>
  </si>
  <si>
    <t>Se registró el desplome de una Avioneta tipo CESSNA. se presume una falla mecánica o condiciones climáticas. La avioneta se desplomo en 2 viviendas las cuales se incendiaron debido al tipo de materia de construcción  (lámina de cartón) en un asentamiento irregular. Los dos tripulantes de sexo masculino perdieron la vida.</t>
  </si>
  <si>
    <t>Debido a las fuertes lluvias  registradas ayer se reportaron encharcamientos y en zonas bajas penetración de agua en 51 viviendas en la comunidad Xicotencatl, mismas que se cuantificaron como daño menor y en enseres domésticos.</t>
  </si>
  <si>
    <t>Se registro fuga de amoniaco, en una planta Congeladora  denominada “las Brisas”, ubicada en Ejido El Venadillo, Municipio de Mazatlán.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</si>
  <si>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</si>
  <si>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Explosión de una pipa de dos toneladas que trasportaba Amoniaco, los hechos se registraron al estar haciendo maniobras en una planta de fertilizantes ubicada en la comunidad Potrero de Los Sánchez, Municipio de Mocorito. Resultando 3 personas de sexo masculino muertas de 17, 25 y 45 años, así 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</si>
  <si>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</si>
  <si>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</si>
  <si>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</si>
  <si>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</si>
  <si>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</si>
  <si>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</si>
  <si>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registró la volcadura de una pipa con capacidad de  31.000 litros, misma que al volcarse derramó 20,000 litros de DIESEL. El producto se esparció sobre el asfalto y las coladeras, como medida preventiva se evacuó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</si>
  <si>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</si>
  <si>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En la autopista de occidente en el km 357 a la altura de la caseta de Ecuandureo que va hacia la salida de Churintzio, volco una pipa que transportaba 40 mil l de acido sulfurico, el cual se derramo en una parcela.</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</si>
  <si>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</si>
  <si>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así como el cierre de la circulacion en un radio de 2 Km. </t>
  </si>
  <si>
    <t xml:space="preserve">Flamazo por acumulacion de gas e incendio en la Planta Catalitica I de la refineria de PEMEX de Salina Cruz, resultando 6 personas lesionadas (sexo masculino), de la Cia. Procesos Industriales de Coatzacoalcos S.A., trasladas para su atencion. </t>
  </si>
  <si>
    <t>Se reportó una fuga de amoniaco, en una planta congeladora de productos pesqueros, con razón social “Ignacio Comonfort”, ubicada en avenida Parque Industrial Alfredo V. Bonfil, de la colonia Parque Industrial, municipio de Mazatlán. Personal del H. Cuerpo de Bomberos se encargó del control de la fuga, misma que fue originada por el mal manejo de una  válvula de compresión ubicada en el cuarto de máquinas, como medida preventiva se evacuó a 20 personas de la misma empresa.</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</si>
  <si>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</si>
  <si>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</si>
  <si>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</si>
  <si>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</si>
  <si>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</si>
  <si>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 xml:space="preserve">Se registró un accidente en la autopista Puebla- Orizaba en el Km 168  a la altura del  municipio Acatzingo, en donde se informo la volcadura de un tracto camión  de gas L P con capacidad de 44 mil litros, dicha unidad circulaba con el contenedor vacío. En el accidente resultaron 2 personas lesionados, que debido a su gravedad fueron trasladados al Hospital La Paz. </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</si>
  <si>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</si>
  <si>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</si>
  <si>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San Juan del Rio</t>
  </si>
  <si>
    <t>Se registró el incendio de un Camión Kenwood, placas 935 EF2, del servicio Público Federal, a la altura del Km. 156 de la Carretera México – Querétaro, a las altura de la Cd. de San Juan del Río. Se informa que la unidad transportaba abarrotes y papelería, la cual se reporta como perdida total.</t>
  </si>
  <si>
    <t xml:space="preserve">Incendio en 1 vivienda utilizada  como polvorin clandestino, en la calle 10 Col. Cuauhtemoc, resultando 3 personas fallecidas (2 del sexo masculino de 21 y 4 años, y 1 del sexo femenino de 38 años), </t>
  </si>
  <si>
    <t xml:space="preserve">Explosion de polvorin, en calle 16 de Septiembre Num. 1, poblado de Santa Maria, resultando 2 personas fallecidas y 5 lesionadas, trasladadas para su atencion.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</si>
  <si>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</si>
  <si>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registró un choque frontal entre una camioneta Chevrolet Blazer y  un Autobús de pasajeros de la línea Transporte Unidos de Sinaloa. Los hechos ocurrieron en la Maxi pista de Culiacán-Las Brisas en el Kilometro 42 a la altura del poblado Taimanero. Derivado del accidente se reportó el fallecimiento de 4 personas y 19 más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</si>
  <si>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</si>
  <si>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autobús de pasajeros con razón social “Estrellas de California”, resultando 16 personas lesionadas, los hechos se presentaron en la Maxi pista Culiacán-Mazatlán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</si>
  <si>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</si>
  <si>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</si>
  <si>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</si>
  <si>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</si>
  <si>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 xml:space="preserve"> Se registro un accidente carretero por alcance, entre un tráiler y un autobús de pasajeros. En el  siniestro, resultaron 30 personas lesionadas, de las cuales 9 fueron trasladadas al Hospital del IMSS y 21 al Hospital de San Jose, quienes sólo tuvieron lesiones leves y requirieron ser llevadas para  su revisión medica.</t>
  </si>
  <si>
    <t>Se registró una fuga de amoniaco en la empresa hielera con razón social “La Cuenca”, ubicada en la Avenida Juárez y Francisco Pavón Amador, en la Cabecera Municipal. Derivado del siniestro se registraron 4 personas intoxicadas ligeramente con vómito y mareo siendo atendidas en el lugar, asímismo,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</si>
  <si>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</si>
  <si>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</si>
  <si>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</si>
  <si>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atención,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</si>
  <si>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</si>
  <si>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Sismo de 6.1° en la escala de Richter, registrado el pasado 15 de noviembre genero 10 escuelas, 1 Centro de Salud, 50 viviendas dañadas, 1 iglesia y 1 oficina de Gobierno, asi como 2 personas lesionadas en el municipios de Ciudad Altamirano (1 del sexo femenino 56 años y otro del sexo masculino de 47 años).</t>
  </si>
  <si>
    <t>La Antigua</t>
  </si>
  <si>
    <t>Se registró un accidente en la Carretera Veracruz – Jalapa a la altura de la Comunidad de Chichicaxtle, entre un autobús de pasajeros que transportaba a  20 personas incluyendo al chofer, el cual se impactó por la parte trasera de una tolva de un trailer que se encontraba abandonada en el acotamiento de la carretera sin alguna señalización, no hubo cierre a la circulación.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</si>
  <si>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</si>
  <si>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</si>
  <si>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Incendio en la Fabrica de Chocolates “Ibarra”, en Mariano Otero # 1420, entre Topacio y Las Rosas, Col. Verde Valle, en una maquina tostadora de cacao, resultando 10 personas intoxicadas (sexo desconocido),</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</si>
  <si>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</si>
  <si>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</si>
  <si>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</si>
  <si>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Explosion en la mina “TIZAPA, en la Carr. Zacazonapan-Temascaltepec, resultando 3 personas lesionadas (sexo masculino), trasladadas via aerea y 3 personas fallecidas (sexo masculino). 
</t>
  </si>
  <si>
    <t>Explosión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</si>
  <si>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</si>
  <si>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Se registró un accidente aéreo en el Ejido Florida, municipio de Ahome, se reporta una persona lesionada y una avioneta calcinada.</t>
  </si>
  <si>
    <t xml:space="preserve">Caida de una avioneta tipo Cesna, propiedad de la Secretaria de Marina, a 38 Km al norte del Ejido de Conquista Agraria, falleciendo 2 personas. </t>
  </si>
  <si>
    <t>Se registró un accidente automovilístico, entre una pipa de doble semirremolque que trasportaba diesel (se desconoce la cantidad), un tráiler de la empresa  “leche Lala”, una camioneta  pick up, un vehículo marca gol y una camioneta casa rodante, en donde viajaban 12 personas, de las cuales 5 perdieron la vida y 7 resultaron lesionados</t>
  </si>
  <si>
    <t>San Pedro Mixtepec Dto. 26</t>
  </si>
  <si>
    <t xml:space="preserve">Se reporta la desaparición de dos pescadores que iban a bordo de una embarcación tiburonera, denominada “Lupita”, con matricula 2001168110, la cual zarpó de la Playa “Marinero”. Los pescadores responden a los nombres de Armando Reyes García de 42 años (Oriundo del Estado de Guerrero) y Giovanni Peralta García de 20 años (Oriundo de Puerto Escondido). </t>
  </si>
  <si>
    <t>Iturbide</t>
  </si>
  <si>
    <t>Aeronave Lear-Jet 25 de la Cia "Starwood Management", en el Ejido El Tejocote Paraje La Colorada, a 15 km. hacia el norte del municipio en un estado irreconocible, resultando 7 personas fallecidas (6 del sexo masculino y 1 del sexo femenino).</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</si>
  <si>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</si>
  <si>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</si>
  <si>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</si>
  <si>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Una persona fallecida y 5 lesionadas con quemaduras de  diversos grados fue el resultado de una electrocucion en una feria (juegos mecanicos) instalados en via publica en el municipio de cocula</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</si>
  <si>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</si>
  <si>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Se registró un incidente de una avioneta particular. Al parecer, el suceso ocurrió al momento de aterrizar en la pista Juan Salgado Roldán, la cual sufrió una avería en el tren de aterrizaje, derivando que se desplazara sobre su fuselaje. Se reportan 3 personas lesionadas.</t>
  </si>
  <si>
    <t>Volcadura de una pipa con 2 remolques de la Cia. “SIMSA” que trasportaba 44 mil l de gas cada uno, en la Carr. Agua Prieta-Janos km.152+500, resultando 1 persona falelcida (sexo desconocido). Preventivamente se cerro la circulacion.</t>
  </si>
  <si>
    <t>Valladolid</t>
  </si>
  <si>
    <t>Volcadura de 1 pipa con dos remolques, de la Cia "CAREL” que trasportaba Turbosina, en la Carr. Valladolid-Cancun  km.192, los 2 contenedores presentaron fuga (9 mil l).</t>
  </si>
  <si>
    <t>Oaxaca de Juarez</t>
  </si>
  <si>
    <t>Incendio en 1 clinica del IMSS, en Boulevard Benito Juarez esq. Reforma, debido a un corto circuito en un cuarto abandonado dentro de sus instalaciones. Preventivamente se evacuaron 57 personas (pacientes, trabajadores y visitantes).</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</si>
  <si>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</si>
  <si>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</si>
  <si>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</si>
  <si>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</si>
  <si>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más lesionadas (sexo desconocido), que fueron trasladadas para su atención.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</si>
  <si>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</si>
  <si>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registró una explosión que se presentó en una vivienda. La explosión ocasionada por acumulación de gas LP,  se presentó cuando prendieron una estufa de leña y en ese momento, se presentó el flamazo, ocasionando rotura de ventanas, techos, cuarteadura de paredes y destrozo total de recamara y comedor con los muebles incluidos. Dos personas resultaron lesionadas.</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</si>
  <si>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</si>
  <si>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Temascalcingo</t>
  </si>
  <si>
    <t xml:space="preserve">Explosion de 1 camioneta que transportaba juegos pirotecnicos en el poblado de San Juan, resultaron 2 personas fallecidas (1 del sexo masculino de 64 años y otra del sexo femenino de 3 años). </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</si>
  <si>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</si>
  <si>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</si>
  <si>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</si>
  <si>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Derivado de las bajas temperaturas se registraron 5 muertes en el estado, 4 por intoxicación y una por hipotermia</t>
  </si>
  <si>
    <t>Derivado de las bajas temperaturas se registraron 30 muertes en el estado, 16 por intoxicación, 9 por hipotermia y 5 por quemaduras</t>
  </si>
  <si>
    <t>Derivado de las bajas temperaturas se registraron 3 muertes en el estado, 2 por intoxicación y una por hipotermia</t>
  </si>
  <si>
    <t>Derivado de las bajas temperaturas se registro una muerte en el estado por hipotermia</t>
  </si>
  <si>
    <t>Derivado de las bajas temperaturas se registraron 2 muertes en el estado, una por intoxicación y una por hipotermia</t>
  </si>
  <si>
    <t>Derivado de las bajas temperaturas se registraron 7 muertes en el estado, 6 por intoxicación y una por hipotermia</t>
  </si>
  <si>
    <t>Como consecuencia de las altas temperaturas se reportaron tres muertes por golpe de calor</t>
  </si>
  <si>
    <t>Como consecuencia de las altas temperaturas se reporto una muerte por golpe de calor</t>
  </si>
  <si>
    <t>Como consecuencia de las altas temperaturas se reporto una muerte por Agotamiento y 9 por golpe de calor.</t>
  </si>
  <si>
    <t>Se registraron 14 incendios forestales en la entidad, mismos que consumieron 266 hectáreas de pastizales, renuevo, arbolado adulto, arbustos y matorrales.</t>
  </si>
  <si>
    <t>Se registraropn 230 en la entidad, mismos que afectaron 27,222.3 hectáreas de pastizales, renuevo, arbolado adulto, arbustos y matorrales.</t>
  </si>
  <si>
    <t>Se registraron 8 incendios en la entidad mismos que consumieron 73 hectáreas de pastizales, renuevo, arbolado adulto, arbustos y matorrales.</t>
  </si>
  <si>
    <t>Se registraron 6 incendios forestales en la entidad, mismos que consumieron 407.7 hectáreas de pastizales, renuevo, arbolado adulto, arbustos y matorrales.</t>
  </si>
  <si>
    <t>Se registraron 90 incendios forestales en la entidad, mismos que afectaron 32,182 hectáreas de pastizales, renuevo, arbolado adulto, arbustos y matorrales.</t>
  </si>
  <si>
    <t>Se registraron 34 incendios forestales en la entidad, mismos que consumieron 611 hectáreas de pastizales, renuevo, arbolado adulto, arbustos y matorrales.</t>
  </si>
  <si>
    <t>Se registraron 250 incendios forestales en la entidad, mismos que afectaron 8,968.8 hectáreas de pastizales, arbolado adulto, renuevo, arbustos y matorrales.</t>
  </si>
  <si>
    <t>Se reportaron 1479 incendios forestales en la entidad, mismos que consumieron 51,902.6 hectáreas de pastizales, renuevo, arbolado adulto, arbustos y matorrales.</t>
  </si>
  <si>
    <t>Se registraron 357 incendios forestales en la entidad, mismos que afectaron una superficie de 359.9 hectáreas de pastizales, arbolado adulto, renuevo, matorrales y arbustos.</t>
  </si>
  <si>
    <t>Se registraron 270 incendios forestales, mismos que consumieron un total de 51,626.4 hectáreas de pastizales, renuevo, arbolado adulto, matorrales y arbustos.</t>
  </si>
  <si>
    <t>Se reportaron 18 incendios forestales, mismos que consumieron un total de 429.2 hectáreas de pastizales, renuevo, arbolado adulto, arbustos y matorrales</t>
  </si>
  <si>
    <t>Se reportaron 162 incendios forestales mismos que consumieron 15,177.1 hectáreas de pastizales, renuevo, arbolado adulto, arbustos y matorrales.</t>
  </si>
  <si>
    <t>Se reportaron 145 incendios forestales, mismos que consumieron 492.3 hectáreas de pastizales, renuevo, arbolado adulto, arbustos y matorrales.</t>
  </si>
  <si>
    <t>Se reportaron 610 incendios forestales en la entidad, mismos que consumieron 24,397 hectáreas de pastizales, renuevo, arbolado adulto arbustos y matorrales.</t>
  </si>
  <si>
    <t>Se reportaron 992 incendios forestales en la entidad, mismos que consumieron un total de 2,633 hectáreas de pastizales, renuevo, arbolado adulto, arbustos y matorrales.</t>
  </si>
  <si>
    <t>Se reportaron 885 incendios forestales, mismos que consumieron un total de 13,854.3 hectáreas de pastizales, renuevo, arbolado adulto, arbustos y matorrales.</t>
  </si>
  <si>
    <t>Se reportaron 148 incendios forestales en la entidad, mismos que afectaron un total de 1,391.8 hectáreas de pastizales, renuevo, arbolado adulto, arbustos y matorrales.</t>
  </si>
  <si>
    <t>Se reportan 143 incendios forestales en la entidad, mismos que afectaron un total de 1,391.8 hectáreas de pastizales, renuevo, arbolado adulto, arbustos y matorrales.</t>
  </si>
  <si>
    <t>Se reportaron 52 incendios forestales en la entidad, mismos que afectaron un total de 280.4 hectáreas de pastizales, renuevo, arbolado adulto, arbustos y matorrales.</t>
  </si>
  <si>
    <t>Se reportaron 195 incendios forestales en la entidad, mismos que afectaron un total de 15,237.4 hectáreas de pastizales, renuevo, arbolado adulto, arbustos y matorrales.</t>
  </si>
  <si>
    <t>Se registraron 390 incendios forestales en la entidad, mismos que afectaron un total de 3,459.8 hectáreas de pastizales, renuevo, arbolado adulto, arbustos y matorrales.</t>
  </si>
  <si>
    <t>Se reportaron 34 incendios forestales, mismos que afectaron 779.9 hectáreas de pastizales, arbolado adulto, renuevo, matorrales y arbustos.</t>
  </si>
  <si>
    <t>Se reportaron 56 incendios forestales, mismos que afectaron un total de 1015.2 hectáreas de pastizales, arbolado adulto, renuevo, matorrales y arbustos.</t>
  </si>
  <si>
    <t>Se registraron 33 incendios forestales en la entidad, mismos que afectaron un total de 427.1 hectáreas de pastizales, renuevo, arbolado adulto arbustos y matorrales.</t>
  </si>
  <si>
    <t>Se registraron 58 incendios forestales, mismos que afectaron un total de 4,516 hectáreas de pastizales, arbolado adulto, renuevo, arbustos y matorrales.</t>
  </si>
  <si>
    <t>Se registraron 53 incendios forestales en la entidad, mismos que afectaron una superficie de 75,202 hectáreas de pastizales, renuevo, arbolado adulto, arbustos y matorrales.</t>
  </si>
  <si>
    <t>Se reportaron 5 incendios forestales, mismos que afectaron una superficie de 1,524.5 hectáreas de pastizales, arbolado adulto, renuevo, arbustos y matorrales.</t>
  </si>
  <si>
    <t>Se reportaron 12 incendios forestales en la entidad, mismos que afectaron un total de 205 hectáreas de pastizales, arbolado adulto, renuevo, arbustos y matorrales.</t>
  </si>
  <si>
    <t>Se registraron 208 incendios forestales que afectaron un total de 815.5 hectáreas de arbolado adulto, pastizales, renuevo, matorrales y arbustos.</t>
  </si>
  <si>
    <t>Se reportaron 129 incendios forestales, mismos que afectaron una superficie de 916.3 hectáreas de pastizales, renuevo, arbolado adulto, arbustos y matorrales.</t>
  </si>
  <si>
    <t>Se registraron 14 incendios forestales, mismos que afectaron una superficie de 461.3 hectáreas de pastizales, renuevo, arbolado adulto, arbustos y matorrales</t>
  </si>
  <si>
    <t>Se registraron 90 incendios forestales en la entidad, mismos que afectaron 5,624.9 hectáreas de pastizales, renuevo, arbolado adulto, arbustos y matorrales.</t>
  </si>
  <si>
    <t>Ocotepec, Pichucalco, Reforma y San Cristobal de las Casas</t>
  </si>
  <si>
    <t>A causa del huracán Ernesto en el estado fueron aefctados los sectores vivienda, hidráulico y carretero.</t>
  </si>
  <si>
    <t>Felipe Carrillo Puerto y Othon P. Blanco</t>
  </si>
  <si>
    <t xml:space="preserve">El huracán Ernesto afectó a los sectores hidráulico, carretero y naval. </t>
  </si>
  <si>
    <t>Playa Vicente</t>
  </si>
  <si>
    <t>La lluvia afectó al sector hidráulico y carretero.</t>
  </si>
  <si>
    <t>Delicias y Meoqui</t>
  </si>
  <si>
    <t>Se registró una intensa sequía por lo que fue necesario delcarar en desastre a ambos municipios, con el fin de invertir en infraestructura hidráulica para la construcción de pozos.</t>
  </si>
  <si>
    <t>Magdalena Mixtepec,  Totontepec Villa de Morelos y Magdalena Peñasco</t>
  </si>
  <si>
    <t>Se registraron deslizamientos de laderas en los municipios mencionados, por lo que se declararon en desastre con el fin de apoyar las viviendas afectadas y resarcir los daños en la infraestructura carretera</t>
  </si>
  <si>
    <t>Santiago Comotlan y Santa María Tlahuitoltepec</t>
  </si>
  <si>
    <t>Se registró el movimiento de laderas en los municipios mencionados, por lo que se declararon en desastre con el fin de resarcir los daños en vivienda e infraestructura carretera</t>
  </si>
  <si>
    <t>San Baltazar Yatzachi el Bajo</t>
  </si>
  <si>
    <t>Se registró un sismo que causó daño total en una vivienda. El Fonden apoyó con 249,600 pesos para su reubicación.</t>
  </si>
  <si>
    <t>19</t>
  </si>
  <si>
    <t>Los cultivos afectados por la lluvia torrencial que se presentó el mes de septiembre de 2013, principalmente fueron el maíz, sorgo y soya y los daños que sufrieron, se debieron a la inundación y exceso de humedad, así provocando daños en la producción agrícola que estaba por cosecharse. Se tuvo una pobalción indigena afectada de 2,537 personas.</t>
  </si>
  <si>
    <t>Los cultivos que fueron afectados y los daños que sufrieron debido a la inundación de este fenómeno meteorológico son: noche buena, cempazuchitl, romero, ruda, millonarias, elias, belen, jitomate, durantas, amaranto de ornato, lechuga,verdologa, espinaca, calabaza y chile.</t>
  </si>
  <si>
    <t>43</t>
  </si>
  <si>
    <t>Los cultivos afectados y dañados debido la lluvia torrencial  son: sorgo,maíz,frijol,soya,tomate,chile,papaya,caña de azúcar y papaya y otras  actividad agropecuarias en sus diferentes actividades como en los cultivos de camarón, tilapia y bagre se afectaron las jaulas y la liberación de organismos.</t>
  </si>
  <si>
    <t xml:space="preserve"> 13,637.00 
</t>
  </si>
  <si>
    <t>Los cultivos que fueron afectados y los daños que sufrieron debido a la sequía son: cártamo de otoño-invierno de temporal, sufriendo muerte el tejido vegetal por lo que la sequía impidio el desarrollo del cultivo.</t>
  </si>
  <si>
    <t>López y Rosales</t>
  </si>
  <si>
    <t>Los cultivos afectados debida a la fuerte granizada son de hortalizas, trigo y alfalfa con afectaciones de un 90% en su cosecha.</t>
  </si>
  <si>
    <t>13</t>
  </si>
  <si>
    <t>Los cultivos gravemente afectados a los cultivos por etapa frenológica en que se encontraban se mermo la producción, debido a las fuerte granizada.</t>
  </si>
  <si>
    <t>38</t>
  </si>
  <si>
    <t>Los cultivos gravemente afectados debido al las bajas temperaturas de -9 °C y -1  °C, son los siguientes: alcatraz, calabaza, chile, frijol, haba, maíz, papa y tomate y así como los cultivos perennes de aguacate, café, caña, chayote y platano dañados irreversiblemente.</t>
  </si>
  <si>
    <t>Armería,Coquimatlán,Ixtlahuacán,Manzanilly Tecomán.</t>
  </si>
  <si>
    <t>Los cultivos afectados por el fenómeno meteorológico, debido a la fuerte sequía presentada en  los municipios de Armería,Coquimatlán, Ixtlahuacán, Manzanillo y Tecomán ya que tuvieron daños de clorocis, perdida de producción y muerte de las plantas.</t>
  </si>
  <si>
    <t>10</t>
  </si>
  <si>
    <t>Los cultivos afectados por el fenómeno meteorológico presentado de bajas temperaturas en  los municipios de Cadereyta de Montes, Colón, Corregidora, El Marqués, Ezequiel Montes,Humilpan,Pedro Escobedo,Querétaro,San Juan del Río y Tequisquiapan, debido a las bajas temperaturas sufrió daños severos en sur cultivos, presentando quemaduras totales en las plantas con daños irreparables en los cultivos.</t>
  </si>
  <si>
    <t>39</t>
  </si>
  <si>
    <t>Los cultivos que principalmente fueron dañados debido al fenómeno meteorológico son: la cebada, el trigo y la lenteja. En el cultivo de cebada y trigo la afectación ocurrió en la etapa de floración y llenado de grano. En el cultivo de lenteja, el daño ocurrió en la etapa de llenado de grano dejando así a los 39 municipios afectados.</t>
  </si>
  <si>
    <t>Milpa Alta, Tláhuac y Xochimilco</t>
  </si>
  <si>
    <t>Los cultivos que fueron dañados debido a las bajas temperaturas presentadas en el Distrito Federal tuvo como consecuencias las quemaduras en los ápices(puntas) y bordes de los nopales y así también presentando un daño moderado en la planta madre con coloración amarillenta y pérdida de turgencia.</t>
  </si>
  <si>
    <t>11</t>
  </si>
  <si>
    <t>Los cultivos que fueron afectados y los daños que sufrieron durante los días 2,3 y 4 de marzo registrados por la severa helada, en la región productora de nopal, verdura, tuna y xoconostle, afectando la pérdida total , en los 11 municipios afectados.</t>
  </si>
  <si>
    <t>51</t>
  </si>
  <si>
    <t>Los cultivos que fueron afectados  y los daños que sufreron son: trigo,lenteja,cartamo,garbanzo,ebo,avena,ciruea,cebada,frijol,fresa,jitomate,durazno,maíz,ejote,haba,sandía,aguacate,camote,calabacita,alfalfa,tomate,pepino,zanahoría,pastos perennes,chile,chicharo,jicama,cilantro,guayaba,brocolí,cebolla,colíflor,pera,tamarindo,nopal,colíflor,lechuga,esparrago y manzana, los daños al cultivo de trigo por estas bajas temperaturas consisten en los siguientes daños en la planta: pérdida de la actividad fotosintética y área foliar por clorosis y muertes de sectores de la lámina de la hoja, también pérdida de la espiga.</t>
  </si>
  <si>
    <t>Tetela del Volcán y Totolapan</t>
  </si>
  <si>
    <t>Los cultivos que fueron afectados  y los daños que sufreron son: aguacate,durazno,granada,ciruela,chilacayota,café y nopal debido a las bajas temperaturas presentadas en el estado de Morelos.</t>
  </si>
  <si>
    <t>40</t>
  </si>
  <si>
    <t>Los cultivos afectados por las bajas temperaturas son: maíz,frijol,haba,calabaza,chicharo,pap,alberjon,chile,manzana,durazno,aguacate,nopal,nopal  verdura, pera, ciruela, etc.</t>
  </si>
  <si>
    <t>21</t>
  </si>
  <si>
    <t>Debido a las bajas temperaturas del estado de San Luis Potosí, durante el mes de marzo se afectaron de forma importante la supervivencia de los pastos nativos, el potencial forrajero y la flotación de varias especies.</t>
  </si>
  <si>
    <t>Los cultivos que fueron afectados y los daños que sufrieron, debido a la severa sequía que ha golpeao fuertemente al Estado ocasionó pérdidas  económicas importantes en el cultivo de trigo del ciclo O-I  y, en las plantaciones de pastos perennes, nopal y maguey. En el caso del trigo se reportan pérdidas del 100% ya que en algunos casos se sembró la planta y no alcanzó a germinar o fue imposible realizar la siembra pese a que se realizarón los laboresculturales.</t>
  </si>
  <si>
    <t>41</t>
  </si>
  <si>
    <t>Los cultivos que fueron afectados son: sorgo,cartamo,maíz,pepino,cacahute y soya. Estos fueron los principales cultivos que fueron afectados por la sequía que se presento en el estado de Tamaulipas.</t>
  </si>
  <si>
    <t>En este estado fue afectado el sector del ganado debido a las escasas precipitaciones que se presentaron en las zonas del Antiplano, central y Media del Estado, durante el 2013, la situación en el campo potosino es alarmante por el escaso recurso de los pastos nativos en los agostaderos provocando una alimentación deficiente de las diferentes especies tales como: bovinos,caprinos,ovinos y equinos. Provocando que no puedan desarrollar su ciclo reproductivo en detrimento de una baja producción primaria con la consecuente pérdida de ingreso para los sectores productores agropecuarios del  Estado.</t>
  </si>
  <si>
    <t>En este estado fue afectado el sector del ganado debido a las escasas precipitaciones que se presentaron en las zonas del Antiplano, central y Media del Estado, durante el 2013, la situación en Durango, es alarmante las especies que fueron afectadas son: los hatos de ganado bovino y lafectación se deriva en los animales debido a la falta de alimentos.</t>
  </si>
  <si>
    <t>Francisco I. Madero, San Pedro y Viesca</t>
  </si>
  <si>
    <t>Los cultivos que fueron afectados por dicho fenómeno que se presento de manera extraordinaria en los municipios de Francisco I. Madero, San Pedro y Viesca, ocasionaron diversas actividades agricolas, principalmente en el algodón, nogal,forrajes,melón y otras hortalizas</t>
  </si>
  <si>
    <t>Los cultivos que fueron afectados afectados y daños que sufrieron, el evento de granizada que se presentó el 24  de mayo del presente, debido a su  intensidad y duración ocasionó daños en una gran superfiecie de la región, afectando principalmente a productores de manzano. Se registraron daños en fruto, árboles e infraestructura, ya que el fenómeno fue acompañado de fuertes vientos.</t>
  </si>
  <si>
    <t>Reinosa y San Fernando</t>
  </si>
  <si>
    <t>Los cultivos que fueron afectados y los daños que sufrieron debido a la sequía se afecto al cultivo de sorgo temporal .</t>
  </si>
  <si>
    <t>Los cultivos que fueron afectados y los daños que sufrieron son papaya,caña de azúcar,arándano,guanábana,limón,tamarindo,zarzamora,estrella africána,jitomate, plátano,naranja,palma de coco y mango. así también perjudicando a las especies de bovinos y colmenas siendo los daños muerte por arrastre y crecimiento de ríos y  arroyos los municipios afectados son: Armería,Colima,Comala,Coquimatlán,Cuahtémoc,Ixtlahuacán,Manzanillo,Minatitlán,Tecomán y Villa Álvares</t>
  </si>
  <si>
    <t>30</t>
  </si>
  <si>
    <t>Los daños y las afectacione en el estado que hubo fue la muerte por ahogamiento y arrastre debido al ciclón tropical presentado, teniendo daños severos en las especies y cultivos. Se tuvo una pobalción indigena afectada de 1,945 personas.</t>
  </si>
  <si>
    <t>36</t>
  </si>
  <si>
    <t xml:space="preserve">Los cultivos que fueron afectados y los daños que sufrieron derivado al ciclón y los fuertes vientos el cultivo de maíz que se encontraba en la etapa de grano lechoso origino pudrición y carme de la planta y entre sus demás cultivos y las plantas. </t>
  </si>
  <si>
    <t>Madero y Ziracuretiro</t>
  </si>
  <si>
    <t>Los cultivos que fueron afectados y los daños que sufrieron derivado al exceso de la humedad y los fuertes vientos el cultivo de maíz que se encontraba en la etapa de grano lechoso origino pudrición y carme de la planta y entre las demas plantas tambíen hubo daños de formación del fruto.</t>
  </si>
  <si>
    <t>Cárdenas,Centla,Centro,Cunduacán,Huimanguillo,Jalapa de Méndez,Jonuta,Macuspana y Nacajuca</t>
  </si>
  <si>
    <t>especies que fueron afectadoas y dañadas debido a la inundación presentada en el estdo son:  especies de bovino por daños de afectación en pastura</t>
  </si>
  <si>
    <t>Jiquipilas</t>
  </si>
  <si>
    <t xml:space="preserve">Choque frontal entre 1 camion de pasajeros y 1 camion torton, en  el tramo Cintalapa-Puente Las Flores km 85+500, falleciendo la persona que conducia el torton, y 25 lesionadas, trasladadas para su atencion. </t>
  </si>
  <si>
    <t>Desplome de 1 avioneta fumigadora, en el rancho bananero “Las Flores”, Ejido Rayon, debido a falla mecanica, resultando la persona que piloteaba lesionada (sexo masculino).</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</si>
  <si>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</si>
  <si>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</si>
  <si>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</si>
  <si>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</si>
  <si>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bodega de Papaya (area afectada 12x20m), de la Central de Abastos, en el pasillo 5, letra F, # 225, consumida por el fuego (periodoco y papaya en maduracion). </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</si>
  <si>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</si>
  <si>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</si>
  <si>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</si>
  <si>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</si>
  <si>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</si>
  <si>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Coalcoman de Vazquez Pallares</t>
  </si>
  <si>
    <t xml:space="preserve">En el Km 8.2 de la Carr. Libre a Coalcoman-Tepalcatepec, volco 1 autobus de pasajeros de la linea Parikuni, resultando 6 personas fallecidas y 26 lesionadas, trasladadas para su atencion. </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</si>
  <si>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</si>
  <si>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</si>
  <si>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San Pedro Garza Garcia</t>
  </si>
  <si>
    <t>Caida de 1 avioneta tipo Coyote de 2 plazas, en Av. Alfonso Reyes y Padre Mier, en La Quinta “La Escondida” (cañada), resultando 1 persona lesionada (sexo masculino de 70 años), trasladado via aerea para su atencion.</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</si>
  <si>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</si>
  <si>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 xml:space="preserve">Incendio en el hotel “Mi Hotelito”, en el Blvd. de Ensueño, Col. Lomas de Fatima, afectados parcialmente por el fuego 9 cuartos, sin reportes de lesionados. Debido al calentamiento del techo por calefaccion. Preventivamente se acordono la zona. </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</si>
  <si>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</si>
  <si>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Cozumel</t>
  </si>
  <si>
    <t>Desplome de 1 avioneta acrobatica de 2 plazas, en el aerodromo particular “Capitan Eduardo Toledo”, al sur de la Isla de Cozumel, cuando intentaba aterrizar la nave, resultando 2 personas fallecidas (2 del sexo masculino). Dedido a fallas mecanicas.</t>
  </si>
  <si>
    <t>Volcadura e incendio de 1 pipa cargada con 33 mil l. de diesel, en el km 11+10 de la Carr. Puente Ixtla a Iguala a la altura de la gasolinera de Amacuzac, resultando 1 persona fallecida (calcinada) y otra lesionada.</t>
  </si>
  <si>
    <t>Tekax</t>
  </si>
  <si>
    <t>Intoxicacion de 345 personas por ingerir alimentos en mal estado (torta de carne) en la empresa Valle del Sur dedicada a la recoleccion de hortalizas, trasladadas para su atencion.</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</si>
  <si>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</si>
  <si>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</si>
  <si>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</si>
  <si>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</si>
  <si>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</si>
  <si>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</si>
  <si>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</si>
  <si>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</si>
  <si>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</si>
  <si>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</si>
  <si>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</si>
  <si>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</si>
  <si>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</si>
  <si>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Gonzalez</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</si>
  <si>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</si>
  <si>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</si>
  <si>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</si>
  <si>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resultando con perdida total de 7 viviendas de madera y lamina de carton, en predios irregulares en proceso de litigio, ubicadas a un costado del Blv. Juan Álvarez, cerca de la Col. la Morena y la Preparatoria Num. 22. Por lo que se afectaron a 7 personas (3 del sexo femenino de 41 años prom. y 4 del sexo masculino de 44 años prom.), mismas que seran apoyadas por Proteccion Civil y Autoridades a nivel municipal. </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</si>
  <si>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</si>
  <si>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</si>
  <si>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</si>
  <si>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</si>
  <si>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</si>
  <si>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</si>
  <si>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</si>
  <si>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</si>
  <si>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</si>
  <si>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</si>
  <si>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</si>
  <si>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</si>
  <si>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</si>
  <si>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</si>
  <si>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</si>
  <si>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</si>
  <si>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Mazatlan-Culiacán.</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</si>
  <si>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</si>
  <si>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</si>
  <si>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 xml:space="preserve">Conato de incendio en 1 fabrica de productos de limpieza °PROCESA°, en el complejo Industrial EXPORTEC 2, afectando aprox. 5 m2 y quemandose material de plastico y carton. </t>
  </si>
  <si>
    <t>Incendio en la Cañada del Diablo afectando a 7 viviendas con perdida total y 25 con daños parciales, se avacuo aprox. 300 personas de Todos los Santos. Se habilito un albergue en el CECYT ocupado por 35 personas. Resultando 1 persona intoxicada.</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</si>
  <si>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</si>
  <si>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</si>
  <si>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</si>
  <si>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atención.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</si>
  <si>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</si>
  <si>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</si>
  <si>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</si>
  <si>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</si>
  <si>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</si>
  <si>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</si>
  <si>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Caida de estructura metalica de 1 puente en construccion en la Av. Boulevard 5 de mayo y Av. Valsequillo, resultando lesionadas 4 personas del gobierno estatal que laboraban (sexo masculino de 30 años prom.), trasladadas para su atencion.</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</si>
  <si>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</si>
  <si>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</si>
  <si>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industrial en la empresa “Exhibidores Universales, S.A de C.V.”,  en Blvd Industrial Alberto Limon. Resultando 8 personas intoxicadas y se evacuaron varias personas.</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</si>
  <si>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</si>
  <si>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</si>
  <si>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r>
      <t>Incendio en un predio irregular de 50m² de fondo por 20m</t>
    </r>
    <r>
      <rPr>
        <vertAlign val="superscript"/>
        <sz val="9"/>
        <rFont val="Arial"/>
        <family val="2"/>
      </rPr>
      <t>2</t>
    </r>
    <r>
      <rPr>
        <sz val="9"/>
        <rFont val="Arial"/>
        <family val="2"/>
      </rPr>
      <t xml:space="preserve"> de frente, en Av. Eulalia Guzman y la Calle de Cedros, Col. Santa Maria Insurgentes, afectando perdida total de 10 viviendas de material endeble. Preventivamente se evacuaron a 150 personas. </t>
    </r>
  </si>
  <si>
    <r>
      <t>Incendio en la fabrica de cartan “Smurfit-Papel y Carton de Mexico”, en la Calle Emiliano Zapata s/n, Col. Miguel Hidalgo, resultando afectados mil m</t>
    </r>
    <r>
      <rPr>
        <vertAlign val="superscript"/>
        <sz val="9"/>
        <rFont val="Arial"/>
        <family val="2"/>
      </rPr>
      <t>2</t>
    </r>
    <r>
      <rPr>
        <sz val="9"/>
        <rFont val="Arial"/>
        <family val="2"/>
      </rPr>
      <t xml:space="preserve"> aprox. quemandose unicamente el carton. Preventivamente se acordono la zona.  </t>
    </r>
  </si>
  <si>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</si>
  <si>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</si>
  <si>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de autobus en el Km. 220 de la Carr. Acapulco-Zihuatanejo, resultando 11 personas lesionadas (5 del sexo femenino, 2 del sexo masculino y 4 de sexo desconocido), trasladadas para su atencion.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</si>
  <si>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</si>
  <si>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</si>
  <si>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</si>
  <si>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Fuga de Gas LP en un tanque de 5 mil l aprox. en la empresa “Sonora Gas”, en el km 2 de la Carr. Magdalena-Cucurpe. Debido a la falla en una de las valvulas del tanque, preventivamente se evacuaron 15 personas de 4 viviendas. </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</si>
  <si>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</si>
  <si>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Incendio en una fabrica de calzado “ARA SPORT”, (con perdida total), en la calle Ing. Alvarado # 103. Preventivamente, se evacuo a 20 personas de 6 casas aledañas y un local comercial.</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</si>
  <si>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</si>
  <si>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</si>
  <si>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r>
      <t>Volcadura e incendio de un Autotanque Full PR-0240 de la linea Transportes Especializados IVANCAR S.A. de C.V., al circular con 60 m</t>
    </r>
    <r>
      <rPr>
        <vertAlign val="superscript"/>
        <sz val="9"/>
        <rFont val="Arial"/>
        <family val="2"/>
      </rPr>
      <t>3</t>
    </r>
    <r>
      <rPr>
        <sz val="9"/>
        <rFont val="Arial"/>
        <family val="2"/>
      </rPr>
      <t xml:space="preserve"> de Px Magna en el cruce de la Carr. Federal Juchitan/Tehuantepec/Oaxaca. Preventivamente se cerro la circulacion. Se presento perdida total del equipo y del producto, afectacion de 3 negocios provisionales, letreros y 1 bomba de Px Diesel de la Estación de Servicio 0901, asi como algunos domicilios.  </t>
    </r>
  </si>
  <si>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</si>
  <si>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</si>
  <si>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</si>
  <si>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</si>
  <si>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</si>
  <si>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</si>
  <si>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r>
      <t>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t>
    </r>
    <r>
      <rPr>
        <vertAlign val="superscript"/>
        <sz val="9"/>
        <rFont val="Arial"/>
        <family val="2"/>
      </rPr>
      <t>2</t>
    </r>
    <r>
      <rPr>
        <sz val="9"/>
        <rFont val="Arial"/>
        <family val="2"/>
      </rPr>
      <t xml:space="preserve"> afectados. </t>
    </r>
  </si>
  <si>
    <t xml:space="preserve">Incendio en 1 planta de fabricacion de productos quimicos, pesticidas y plaguicidas “ATC, S. A. de C. V.”, en la zona industrial. Afectando 3 naves, registrandose 1 nube toxica, que se propaga hacia el noreste (municipio de Tlaxcoapan) y preventivamente se evacuo 300 personas aprox de las colonias (18 de marzo y Bojay), que se trasladaron al albergue de la Comunidad de El Tablon. </t>
  </si>
  <si>
    <t>Desplome de 1 elevador de carga del hotel “Tatite”, desde el 3er piso de 1 edificio de 4 niveles, en la calle de Newton No. 116, esq. con Lamartine, Col. Polanco. Resultando 3 personas lesionadas (2 del sexo femenino de 51 años prom. y 1 del sexo masculino de 23 años), trasladadas para su atención.</t>
  </si>
  <si>
    <r>
      <t>Incendio en 1 planta de fabricacion de productos quimicos, pesticidas y plaguicidas “ATC, S. A. de C. V.”, en la zona industrial de Atitalaquia. Afectandose 3 naves (3,750 m</t>
    </r>
    <r>
      <rPr>
        <vertAlign val="superscript"/>
        <sz val="9"/>
        <rFont val="Arial"/>
        <family val="2"/>
      </rPr>
      <t>2</t>
    </r>
    <r>
      <rPr>
        <sz val="9"/>
        <rFont val="Arial"/>
        <family val="2"/>
      </rPr>
      <t>),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r>
  </si>
  <si>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</si>
  <si>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</si>
  <si>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En la Carr. Estatal entronque Bajio de Bonilla Romita-Silao y Puerto Interior, se impacto 1 camion de pasajeros de la empresa Transjen, contra 1 camion de volteo de la empresa Acarreo de Materiales para Construcción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</si>
  <si>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</si>
  <si>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 xml:space="preserve">Explosion de 1 tanque de gas LP en 1 vivienda en obra negra (20x20 m), en la comunidad de San Joaquin del Zorrillo. Resultando 7 personas lesionadas, trasladadas para su atencion. </t>
  </si>
  <si>
    <t>Acambay</t>
  </si>
  <si>
    <t xml:space="preserve">Accidente Carr. en el Km. 12+500, entre 1 tracto camion con 2 contenedores (vacios), 1 pipa que transportaba aceite y 1 vehiculo particular. Resultando 2 personas lesionadas, trasladadas para su atencion.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</si>
  <si>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</si>
  <si>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</si>
  <si>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</si>
  <si>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</si>
  <si>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 xml:space="preserve">Incendio en unas bodegas que resguardaba pacas de algodon,  en calle Gasoducto No. 21, Parque Industrial 2000. Reportandose daños estructurales en la nave principal y en los tragaluces y 4 mil pacas de algodon afectadas. </t>
  </si>
  <si>
    <t>Las Vigas</t>
  </si>
  <si>
    <t>Vuelca de 1 autobus en Veracruz a la altura del lugar conocido como Manzanillo que se dirigia a la Basilica de Guadalupe en la Cd. de México. Resultando 31 personas lesionadas (16 del sexo femenino y 15 del sexo masculino, ambos de 26 años prom.) y 3 fallecidas (2 del sexo femenino y 1 del sexo masculino).</t>
  </si>
  <si>
    <t xml:space="preserve">Fuga de amoniaco en la empresa “EMPAQUES SONORA PRAIME”, en el Ejido Pozas de Arvizu,  en la Carr. San Luis-Riito.  Cuando se abrio una valvula de alivio reventandose 2 mangueras. Resultando 5 personas intoxicadas,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</si>
  <si>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</si>
  <si>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</si>
  <si>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</si>
  <si>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</si>
  <si>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</si>
  <si>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</si>
  <si>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Fuertes lluvias acompañadas con tormentas electricas, provocando el fallecimiento de 2 personas (sexo menino de 15 y 7 años) por alcance de un rayo al momento que se encontraban preparando alimentos.</t>
  </si>
  <si>
    <t>Evacuacion de aprox. 200 personas de la clinica 11 del IMSS (del area del sotano, urgencias y administrativas), en el Blvd. Eliseo Mendoza Berrueto, Col. Delicias. Debido a la combinacion de acido muriatico y cloro en el satano provocando una nube toxica.</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</si>
  <si>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</si>
  <si>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</si>
  <si>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</si>
  <si>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</si>
  <si>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</si>
  <si>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</si>
  <si>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</si>
  <si>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Caida y posterior incendio de 1 avioneta King-Air en zona agricola de la comunidad de Noria de Gringos, derivado del accidente se reportan 6 personas fallecidas (3 del sexo masculino).</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</si>
  <si>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</si>
  <si>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</si>
  <si>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</si>
  <si>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</si>
  <si>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</si>
  <si>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 xml:space="preserve">Desplome de una avioneta tipo Vipper de 4 plazas, al momento que realizaba maniobras de exhibición, misma que cayo sobre el techo de unas bodegas del autodromo de Apodaca, en la Carr. Colombia. Resultando 4 tripulantes lesionadoa (2 del sexo femenino y 2 del sexo masculino), traslaladas para su atencion.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</si>
  <si>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</si>
  <si>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</si>
  <si>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</si>
  <si>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</si>
  <si>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</si>
  <si>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 xml:space="preserve">Incendio en el Mercado “Nuevo Horizonte”, en la Col. Aviacion, a la entrada de la Cd. Tlapa de Comonfort. Resultando 10 locales semifijos quemados donde se vendía ropa, telas, pescado, frutas y verduras, así como abarrotes no comestibles. </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</si>
  <si>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</si>
  <si>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</si>
  <si>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</si>
  <si>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Volcadura de un autobus turistico con placas del Distrito Federal, en el km 6 del corredor de la montaña, a la altura del poblado de San Guillermo, resultando 16 personas fallecidas y 12 lesionadas (sexo desconocido).</t>
  </si>
  <si>
    <t>San Pedro Tapanatepec, San Francisco Ixhuatán, San Dionisio del Mar, San Francisco del Mar y Chahuites</t>
  </si>
  <si>
    <t xml:space="preserve">
Debido a la presencia del Huracán "Bárbara" el 29 de mayo de 2013, en los municipios de San Pedro Tapanatepec, San Francisco Ixhuatán, San Dionisio del Mar, San Francisco del Mar y Chahuites del Estado de Oaxaca, se presentaron diversos daños y afectaciones a la población,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</si>
  <si>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</si>
  <si>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rancherías. Se habilitaron 18 RT en 5 municipios con 2,044 personas albergadas.</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</si>
  <si>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</si>
  <si>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</si>
  <si>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</si>
  <si>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</si>
  <si>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</si>
  <si>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San Ignacio Rio Muerto</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</si>
  <si>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</si>
  <si>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</si>
  <si>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</si>
  <si>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Teuchitlan</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</si>
  <si>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</si>
  <si>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</si>
  <si>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</si>
  <si>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</si>
  <si>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</si>
  <si>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</si>
  <si>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Volcadura en la Carr. Siglo XXl en el km 88 en la Caseta San Angel, de 1 pipa doble remolque que trasportaba chapopote, perteneciente a la Empresa Transportes y Servicios STNC (capacidad de 30 mil l c/u, los contenedores presentaron derrame total del producto sobre la cinta asfaltica). En la caseta de peaje se encontraban manifestandose un grupo de maestros de la Seccion 18 del CNTE, resultando 7 personas fallecidas. El conductor de la unidad (sexo masculino de 32 años) y 5 personas lesinadas fueron trasladadospara su atencion. Se reportan 30 vehiculos afectados en diferente grado.</t>
  </si>
  <si>
    <t>Cosoleacaque</t>
  </si>
  <si>
    <t xml:space="preserve">Personal de PEMEX informo se realizaban pruebas de maquinaría de una turbo-bomba que se encontraba fuera de servicio, en el Complejo Petroquimico de Cosoleacaque,en la Carr. costera del Golfo, km 39+400 S/N, cuando la flecha de la misma turbina se desprendio, resultando 6 personas lesionadas (sexo masculino), trasladadas para su atencion.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</si>
  <si>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</si>
  <si>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</si>
  <si>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Debido a la caida de 1 rayo se registro el fallecimiento de 1 personas (sexo masculino de 17 años), en el rancho Los Gavilanes del Ejido Tulipan, cuando este iba a caballo.</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</si>
  <si>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</si>
  <si>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</si>
  <si>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</si>
  <si>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</si>
  <si>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</si>
  <si>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</si>
  <si>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</si>
  <si>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</si>
  <si>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</si>
  <si>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</si>
  <si>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</si>
  <si>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María, 24 de la comunidad Hacienda Xajai, 19 viviendas de la comunidad La Pradera, 1 Escuela Secundaria Rafael Olvera (10 cm de encharcamientos y lodo). </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</si>
  <si>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</si>
  <si>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 xml:space="preserve"> 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</si>
  <si>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González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</si>
  <si>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Putla Villa de Guerrero</t>
  </si>
  <si>
    <t xml:space="preserve">Debido a las fuertes lluvias se registro el fallecimiento de 2 personas (2 de sexo masculino de 55 y 18 años) que fueron arrastrados por la corriente del arroyo cuando intentaron  cruzarlo a bordo de una camioneta. </t>
  </si>
  <si>
    <r>
      <t>Volcadura de 1 pipa que transportaba 29 mil l litros de diesel, en el Km 147+950 de la Carr. Federal PGLV Tijuana 02, presentandose el derrame del producto, afectando  2,592 m</t>
    </r>
    <r>
      <rPr>
        <vertAlign val="superscript"/>
        <sz val="9"/>
        <rFont val="Arial"/>
        <family val="2"/>
      </rPr>
      <t>2</t>
    </r>
    <r>
      <rPr>
        <sz val="9"/>
        <rFont val="Arial"/>
        <family val="2"/>
      </rPr>
      <t>.</t>
    </r>
  </si>
  <si>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</si>
  <si>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</si>
  <si>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</si>
  <si>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</si>
  <si>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</si>
  <si>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</si>
  <si>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</si>
  <si>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Soledad de Graciano Sanchez</t>
  </si>
  <si>
    <t>Debido a las lluvias fuertes en las colonias la Constancia y Division del Norte, en la calle de Negrete se revento el drenaje por la presion del agua. Preventivamente, se evacuaron a 4 personas que viven en esta calle las cuales se refugiaron con familiares.</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</si>
  <si>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</si>
  <si>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Malinaltepec y San Luis Acatlán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</si>
  <si>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</si>
  <si>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</si>
  <si>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San Pablo Citlaltepec</t>
  </si>
  <si>
    <t>Por la crecida del rio ubicado en el municipio de San Pablo Citlaltepec, fue arrastrada 1 persona de sexo femenino de 55 años de edad.</t>
  </si>
  <si>
    <t>4 menores de edad (sexo masculino de 11 años prom.), intentaron cruzar el rio que atraviesa la Comunidad Arcilla, debido a la fuerte corriente, siendo arrastrados y posteriormente rescatados con vida a 2.5 km aguas abajo. Asimismo, se presentó 1 fallecimiento (sexo masculino).</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</si>
  <si>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</si>
  <si>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</si>
  <si>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</si>
  <si>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</si>
  <si>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Accidente carretero por alcance entre 3 vehiculos: 1 camioneta tipo van, 1 autobus de transporte de personal y 1 camion del Ejercito de la 15ª zona militar, sobre la Autopista Guadalajara-Nogales en el Km 23.5. Resultando 19 lesionados, trasladados para su atencion.</t>
  </si>
  <si>
    <t>Hecelchakan</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</si>
  <si>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</si>
  <si>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</si>
  <si>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</si>
  <si>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</si>
  <si>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Huajuapan de Leon</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</si>
  <si>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</si>
  <si>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</si>
  <si>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</si>
  <si>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San Luis Colrado</t>
  </si>
  <si>
    <t>Explosion dentro de 1 casa habitacion, debido a la acumulacion de gas LP, en la Czda.  Constitucion y Av. Los Pinos, Col. Industrial. Resultando la casa y 1 vehiculo afectados, 9 personas lesionadas,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</si>
  <si>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</si>
  <si>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 xml:space="preserve">Aldama, Balleza, Buenaventura, Chihuahua, Cuauhtémoc, Jiménez, Julimes, Meoqui, Rosales y Satevó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</si>
  <si>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lámina tipo “B”, kits de limpieza, guantes de carnaza, impermeables, botas y rollos de hule.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</si>
  <si>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</si>
  <si>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</si>
  <si>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</si>
  <si>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Sain Alto</t>
  </si>
  <si>
    <t>Lluvias fuertes acompañadas de tormentas electricas registraron 1 fallecimiento (1 se sexo masculino de 64 años) en el Cerro San Jose, debido a una descarga electrica al caer 1 rayo, cuando pastaba su ganado.</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</si>
  <si>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</si>
  <si>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</si>
  <si>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</si>
  <si>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</si>
  <si>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</si>
  <si>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</si>
  <si>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</si>
  <si>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</si>
  <si>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</si>
  <si>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</si>
  <si>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Explosion al interior de la empresa FONDERIA S.A de C.V., en Eje 122 No. 415, en la zona industrial. Reportandose 4 personas lesionadas, trasladadas para su atencion. </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</si>
  <si>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</si>
  <si>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</si>
  <si>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Desplome de 1 avioneta en la comunidad El Prado, cerca de los Belloteros en Santa Barbara. Resultado 1 persona lesionada (sexo masculino de 40 años), trasladado para su atencion.</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</si>
  <si>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</si>
  <si>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San Nicolas de los Garza</t>
  </si>
  <si>
    <t xml:space="preserve">Explosion en 1 planta metalurgica Ternium, en Av. los Angeles de la Col. Garza Cantu. Resultando 9 personas lesionadas, trasladadas para su atencion y 2 mas lesionadas (sexo masculino de 23 y 36 años). </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</si>
  <si>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</si>
  <si>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</si>
  <si>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</si>
  <si>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</si>
  <si>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</si>
  <si>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</si>
  <si>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</si>
  <si>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Impacto de frente de 2 pipas que transportaban gasolina, en el poblado San Antonio Cardenas, falleciendo los conductores de las pipas,  ademas se presento el incendio de ambos vehiculos.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</si>
  <si>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</si>
  <si>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</si>
  <si>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</si>
  <si>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</si>
  <si>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</si>
  <si>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</si>
  <si>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Explosion de 4 talleres de polvorin (10*10; 10*6; 8*5 y 3*4 m), ubicados en el Poblado San Mateo Tlachichilpan, de los cuales 2 con daño total y 2 colapsados.</t>
  </si>
  <si>
    <t>Nadadores</t>
  </si>
  <si>
    <t>Accidente de 1 autobus de pasajeros “Autotransportes de la Amistad”, en el Km. 45, tramo San Jose del Aguila y Selemania, Carr. Torreo- Acuña. Resultando 61 personas lesionadas, trasladadas para su atencion.</t>
  </si>
  <si>
    <t>Accidente entre 1 autobus de pasajeros y 1 trailer en la Carr. Tinaja-Cuitlahuac km 45. resultando 5 personas fallecidas y 13 personas lesionadas (7 personas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</si>
  <si>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</si>
  <si>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</si>
  <si>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</si>
  <si>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</si>
  <si>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</si>
  <si>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</si>
  <si>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“Estación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Juárez,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</si>
  <si>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</si>
  <si>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</si>
  <si>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</si>
  <si>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San Jose Iturbide</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</si>
  <si>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</si>
  <si>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</si>
  <si>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</si>
  <si>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</si>
  <si>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</si>
  <si>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Deceso de 1 persona de 82 años (sexo femenino) por arrastre de rio, cuando intento cruzarlo para darle de comer a sus animales de granja y al resbalar con la humedad del suelo se golpeo falleciendo instantaneamente.</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</si>
  <si>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</si>
  <si>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</si>
  <si>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Explosion por acumulacion de gas, en la calle Ermita no. 190, entre las calles de Bucareli y Flamingos, Col. Vicente Villada, resultando 2 personas fallecidas,   1 desaparecida y 7 lesionadas trasladadas para su atención, asi como 1 vivienda colapsada.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</si>
  <si>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</si>
  <si>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</si>
  <si>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</si>
  <si>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 xml:space="preserve">Acapulco de Juárez, Atoyac de Álvarez, Azoyú, Benito Juárez, Chilapa de Álvarez, Chilpancingo de los Bravo, Copala, Coyuca de Benítez, Cuautepec, Eduardo Neri, Igualapa, Juan R. Escudero, Malinaltepec, Marquelia, Ometepec, Petatlán, San Luis Acatlán, San Marcos y Tecoanapa </t>
  </si>
  <si>
    <t>sismo de 6.0° en escala de Richter, a 18 Km. al Oeste de San Marcos, a las 7:38 A.M. con una profundidad de 6 Km., con las coordenadas: Latitud 16.79 Longitud -99.56. Se registró una réplica de 5.6° de magnitud en escala de Richter, a 14 Km. al Noroeste de Acapulco a las 8:02 A.M. con una profundidad de 10 Km., con las coordenadas: Latitud 16.92 y Longitud 99.78, el día 21 de agosto de 2013 en los municipios de Acapulco de Juárez, Atoyac de Álvarez, Azoyú, Benito Juárez, Chilapa de Álvarez, Chilpancingo de los Bravo, Copala, Coyuca de Benítez, Cuautepec, Eduardo Neri, Igualapa, Juan R. Escudero, Malinaltepec, Marquelia, Ometepec, Petatlán, San Luis Acatlán, San Marcos y Tecoanapa del Estado de Guerrero.Sismo registrado a las 7:38 de M 6.0, resultando afectadas 78 viviendas, 9 edificios, 18 escuelas, 11 hospitales, 1 vehiculo y 16 bardas colapsadas; asi como 8 personas lesionadas.</t>
  </si>
  <si>
    <t>Desplome de 1 avioneta de la "Empresa Agricola del Norte" cuando realizaba labores de fumigacion, sobre el km 3 de la Carr. 57, a la altura de la Comunidad Puerto de las Flores. Resultando lesionada la persona que piloteaba (sexo masculino de 25 años).</t>
  </si>
  <si>
    <t>Caida de 1 helicoptero a 7 millas nauticas, mar adentro, en el Municipio de Mazatlan. Resultando 1 persona fallecida (sexo masculino de 40 años) y otra lesionada, trasladada para su atencion.</t>
  </si>
  <si>
    <t>Debido a las precipitaciones de 116.6 mm ocasionaron el reblandecimiento de suelo que genero un deslave de cerro en la Col. Los Pinos parte Alta, afectando a 46 viviendas  asentadas en una zona irregular.</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</si>
  <si>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</si>
  <si>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</si>
  <si>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</si>
  <si>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</si>
  <si>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</si>
  <si>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</si>
  <si>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Caida de 1 avioneta modelo Cesna a la altura del pueblo Imala. Resultando calcinada, asi como 4 personas fallecidas.</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</si>
  <si>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</si>
  <si>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</si>
  <si>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 xml:space="preserve">Como consecuencia de la tormenta electrica se registro el fallecimiento de 1 persona (sexo masculino de 58 años) por caida de rayo, cuando se encontraba pastoreando a su ganado en la comunidad Isla Cirio. </t>
  </si>
  <si>
    <t>Fuertes lluvias acompañadas de tormentas electricas causando el fallecimiento de 1 persona (sexo masculino de 22 años) por caida de rayo en el Crucero al Cerro de la Bufa  y Betagrande.</t>
  </si>
  <si>
    <t>Debido a las lluvias registradas se presento el derrumbe de 1 casa en la comunidad de Guadalupe Papaloapan falleciendo 1 persona (sexo masculino de 23 años) y otra resulto lesionada (sexo masculino de 5 años), trasladada para su atencion.</t>
  </si>
  <si>
    <t>Accidente registrado entre 1 camion de pasajeros de la empresa "Rapidos Delicias", contra el tren. Resultando 29 personas lesionadas, trasladadas para su atencion, 5 fallecieron (2 del sexo femenino y 3 del sexo masculino).</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</si>
  <si>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</si>
  <si>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</si>
  <si>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más. </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</si>
  <si>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</si>
  <si>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</si>
  <si>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</si>
  <si>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</si>
  <si>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</si>
  <si>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 xml:space="preserve">
Atzacan, Córdoba, Coscomatepec, Cuichapa, Fortín, Ixtaczoquitlán, Orizaba, Totutla, Castillo de Teayo, Cerro Azul, Chicontepec, Zontecomatlán de López y Fuentes, Benito Juárez, Tepetzintla, Zacualpan,  Ixhuatlán de Madero, El Higo, Pánuco y Pueblo Viejo
</t>
  </si>
  <si>
    <t xml:space="preserve">Debido a los efectos del huracán Ingrid fueron emitidas en el estado tres declaratorias que sumaron 19 municipios afectados. La primera de ellas por lluvia severa del 9 al 10 de septiembre en los municipios de Atzacan, Córdoba, Coscomatepec, Cuichapa, Fortín, Ixtaczoquitlán, Orizaba y Totutla. La segunda por lluvia severa del 13 al 16 de septiembre en ocho municipios, Castillo de Teayo, Cerro Azul, Chicontepec, Zontecomatlán de López y Fuentes, Benito Juárez, Tepetzintla, Zacualpan e Ixhuatlán de Madero. Y finalmente, por Lluvia severa e inundación Fluvial del 20 al 22 de septiembre 2013 en los municipios de El Higo, Pánuco y Pueblo Viejo.   </t>
  </si>
  <si>
    <t>Varios municipios (49)</t>
  </si>
  <si>
    <t>El huracán Alex ocasionó severas lluvias en el área metropolitana de Monterrey en el la mayor parte del estado. Las afectaciones fueron severas, sobretodo en infraestructura carretera y urbana. Desafortunadamente nueve personas perdieron la vida. Este desastre es el más costoso de los últimos 20 años en el estado de Nuevo Léon.</t>
  </si>
  <si>
    <t>Santa María Yucuhiti </t>
  </si>
  <si>
    <t>Daños por el fenómeno de movimiento de ladera, ocasionado por lluvia severa y acumulación de agua en subsuelo los días 1 y 2 de septiembre de 2013, en el municipio de Santa María Yucuhiti del Estado de Oaxaca.</t>
  </si>
  <si>
    <t>San Miguel Quetzaltepec</t>
  </si>
  <si>
    <t>Daños por el fenómeno de movimiento de ladera ocasionado por lluvia severa y acumulación de agua en subsuelo el día 9 de septiembre de 2013, en el municipio de San Miguel Quetzaltepec del Estado de Oaxaca.</t>
  </si>
  <si>
    <t>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t>
  </si>
  <si>
    <t>Fenómeno de movimiento de ladera ocasionado por la Tormenta Tropical Manuel y Huracán Ingrid, que traen consigo fuertes lluvias provocando acumulación de agua en subsuelo durante los días del 19 al 23 de septiembre de 2013, para los municipios de 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 del Estado de Oaxaca.</t>
  </si>
  <si>
    <t>57</t>
  </si>
  <si>
    <t>57 municpios fueron declarados en desastre a causa de las lluvias provocadas por la Tormenta Tropical "Manuel" y Huracán "Ingrid" (Lluvia severa) del 12 al 14 de septiembre (10 municipios) y 13 al 17 de septiembre de 2013 (47 municipios)</t>
  </si>
  <si>
    <t>Chihuahua y Juarez</t>
  </si>
  <si>
    <t>Por efectos de Manuel se presentó inundación fluvial, señalando que la entrada de aire tropical con mucha humedad que interaccionó con una línea de baja presión, provocó lluvias y lloviznas constantes durante el período del 9 al 13 de septiembre de 2013. Este fenómeno provocó afectación en la cabecera municipal del Juárez, con inundaciones corrientes de agua por las calles y el desborde de diversos Diques tales como: "La Presa", "Soriana" y "El Parque Central". En el municipio de Chihuahua la afectación principal se registró en desbordamiento de arroyos, inundación de las principales avenidas. En ambos municipios hubo daños severos en la infraestructura de las viviendas e inundación pluvial.</t>
  </si>
  <si>
    <t>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t>
  </si>
  <si>
    <t>Afectaciones por el fenómeno de ciclón tropical (Huracán 1)"Ingrid" (lluvia severa) del 13 al 18 de septiembre de 2013, en los municipios de 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 del Estado de Hidalgo. En total 31 municipios declarados en desastre.</t>
  </si>
  <si>
    <t>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t>
  </si>
  <si>
    <t>Daños debido a fenómeno de Tormenta Tropical "Manuel" (lluvia severa) del 14 al 18 de septiembre de 2013 en los municipios de 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 del Estado de Jalisco.</t>
  </si>
  <si>
    <t>Amacuzac, Puente de Ixtla, Tlaquiltenango y Jojutla</t>
  </si>
  <si>
    <t>Daños por el fenómeno de huracán "Ingrid" y tormenta tropical "Manuel" (inundación fluvial) del 13 al 16 de septiembre de 2013, en los municipios de Amacuzac, Puente de Ixtla, Tlaquiltenango y Jojutla del Estado de Morelos.</t>
  </si>
  <si>
    <t>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t>
  </si>
  <si>
    <t>Daños por fenómeno de lluvia severa e inundaciones fluviales y pluviales del 14 al 17 de septiembre de 2013 para los municipios de 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 del Estado de Nuevo León.</t>
  </si>
  <si>
    <t xml:space="preserve">Aquila, Arteaga, Coahuayana, Huetamo, Lázaro Cárdenas, Tacámbaro, Tepalcatepec, Turicato Tumbiscatío y San Lucas </t>
  </si>
  <si>
    <t>Se declara como zona de desastre a los municipios de Aquila, Arteaga, Coahuayana, Huetamo, Lázaro Cárdenas, Tacámbaro, Tepalcatepec, Turicato y Tumbiscatío del Estado de Michoacán de Ocampo por la ocurrencia de lluvia severa el día 15 de septiembre de 2013 provocada por el huracán "Manuel", así como al municipio de San Lucas de dicha Entidad Federativa por inundación fluvial el día 19 de septiembre de 2013.</t>
  </si>
  <si>
    <t>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t>
  </si>
  <si>
    <t>Daños por fenómeno de lluvia severa ocurrida del 12 al 16 de septiembre de 2013 acausa de la Interación de las tormentas tropicales Ingrid y Manuel, en los municipios de 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 del Estado de Puebla.</t>
  </si>
  <si>
    <t>Angostura, Badiraguato, Culiacán, Navolato, Rosario, Mocorito, Sinaloa, Escuinapa y Salvador Alvarado</t>
  </si>
  <si>
    <t>Se declara como zona de desastre a los municipios de Angostura, Badiraguato, Culiacán, Navolato, Rosario, Mocorito, Sinaloa, Escuinapa y Salvador Alvarado del Estado de Sinaloa, por la ocurrencia de lluvia severa provocada por el huracán "Manuel", los días 18 y 19 de septiembre de 2013.</t>
  </si>
  <si>
    <t>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t>
  </si>
  <si>
    <t>Afectaciones por el fenómeno de lluvia severa ocurrida el día 16 de septiembre de 2013, para los municipios de 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 del Estado de Tamaulipas.</t>
  </si>
  <si>
    <t xml:space="preserve">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t>
  </si>
  <si>
    <t>Daños por el fenómeno de lluvia severa e inundación a causa de la interacción de los ciclones tropicales Ingrid y Manuel, para los municipios de 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del Estado de San Luis Potosí.</t>
  </si>
  <si>
    <t>San Blas, Santiago Ixcuintla y Tecuala, Acaponeta, Rosamorada y Tuxpan</t>
  </si>
  <si>
    <t>Daños por el fenómeno de lluvia severa e inundación fluvial los días 17 y 18 de septiembre de 2013, para los municipios de San Blas, Santiago Ixcuintla,Tecuala Acaponeta, Rosamorada y Tuxpan del Estado de Nayarit.</t>
  </si>
  <si>
    <t>Armería, Ixtlahuacán, Tecomán, Manzanillo, Colima, Comala, Coquimatlán, Cuauhtémoc, Minatitlán y Villa de Álvarez</t>
  </si>
  <si>
    <t>Afectaciones a causa del fenómeno de Tormenta Tropical Manuel (lluvia severa), los días 16 y 17 de septiembre de 2013, en los municipios de Armería, Ixtlahuacán, Tecomán, Manzanillo, Colima, Comala, Coquimatlán, Cuauhtémoc, Minatitlán y Villa de Álvarez del Estado de Colima.</t>
  </si>
  <si>
    <t xml:space="preserve">Arriaga, Cintalapa, Catazajá </t>
  </si>
  <si>
    <t xml:space="preserve">Daños y pérdidas provocadas por la tormenta tropical Ingrid en el Golfo de México y tormenta tropical Manuel en el Océano Pacífico que provocaron lluvias fuertes y persistentes e inundación fluvial del 12 al 15 de septiembre de 2013, se declar como zona de desastre los municipios de Arriaga y Cintalapa del Estado de Chiapas por la ocurrencia de lluvia severa, así como al municipio de Catazajá de dicha Entidad Federativa por inundación fluvial, del 12 al 15 de septiembre de 2013. </t>
  </si>
  <si>
    <t>Canatlán, Canelas, Durango, Hidalgo, Mapimí, Otáez, San Juan de Guadalupe, Súchil, Tamazula, Topia y Vicente Guerrero</t>
  </si>
  <si>
    <t>Se declara como zona de desastre a los municipios de Canatlán, Canelas, Durango, Hidalgo, Mapimí, Otáez, San Juan de Guadalupe, Súchil, Tamazula, Topia y Vicente Guerrero del Estado de Durango, por la ocurrencia de inundación fluvial y pluvial (lluvia severa) del 15 al 19 de septiembre de 2013.</t>
  </si>
  <si>
    <t xml:space="preserve">Daños por el fenómeno de lluvia severa el día 21 de septiembre de 2013, para el municipio de Pénjamo del Estado de Guanajuato, a causa de la interacción de los ciclones tropicales Ingrid y Manuel </t>
  </si>
  <si>
    <t>Benito Juárez, Cozumel, Isla Mujeres, Lázaro Cárdenas y Solidaridad</t>
  </si>
  <si>
    <t>Daños por fenómeno de lluvia severa del 1 al 5 de junio de 2013, en los municipios de Benito Juárez, Cozumel, Isla Mujeres, Lázaro Cárdenas y Solidaridad del Estado de Quintana Roo.</t>
  </si>
  <si>
    <t xml:space="preserve">Afectaciones a causa de la iteracción de los ciclones tropicales Ingrid y Manuel. </t>
  </si>
  <si>
    <t>Chalchihuites, Fresnillo, General Francisco R. Murguía, Pinos, Río Grande, Sain Alto, Sombrerete y Villa de Cos</t>
  </si>
  <si>
    <t>Daños por fenómeno de lluvia severa los días 15 y 16 de septiembre de 2013 a causa de los ciclones Ingrid y Manuel en los municipios de Chalchihuites, Fresnillo, General Francisco R. Murguía, Pinos, Río Grande, Sain Alto, Sombrerete y Villa de Cos del Estado de Zacatecas.</t>
  </si>
  <si>
    <t>Jesus Maria</t>
  </si>
  <si>
    <t xml:space="preserve">Derivado de las lluvias se registro la ruptura de una presa denominada “Las Pilas”, cual afecto a  2 comunidades, 12 viviendas afectadas con 43 habitantes. Se otorgo apoyo a la poblacion. </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</si>
  <si>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</si>
  <si>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</si>
  <si>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</si>
  <si>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</si>
  <si>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</si>
  <si>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</si>
  <si>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Toma clandestina no hermetica con incendio en el Poliducto 12" Minatitlan-Mexico km 111+300, ubicada en el rancho El Apostol. Resultando 1 cuerpo calcinado y posiblemente exista otro, asi como 2 vehiculos calcinados.</t>
  </si>
  <si>
    <t xml:space="preserve">Explosion de 1 tanque de 60 kg que contenia gas cloro de la empresa “PETZA”, sobre la Carr. Etchojoa-Huatabampo s/n. Resultando 7 personas intoxicadas, trasladadas para su atencion. </t>
  </si>
  <si>
    <t>En el evento llamado “Aereo Show” realizado por camionetas “Monster Truck” perdiendo una de estas el control arroyando a 100 personas aprox. que se encontraban en una grada, en la presa “El Rejon”.</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</si>
  <si>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</si>
  <si>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</si>
  <si>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Colapso por explosion debido a la acumulacion de gases en el Hospital Regional denominado “El Hospitalito”, resultando 15 personas lesionadas.</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</si>
  <si>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</si>
  <si>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Se declara como zona de desastre al municipio de Tuxtla Gutiérrez en el Estado de Chiapas, por la ocurrencia de movimiento de ladera en la Colonia 6 de junio, del 12 al 14 de septiembre de 2013.</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</si>
  <si>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</si>
  <si>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</si>
  <si>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Pajacuaran</t>
  </si>
  <si>
    <t xml:space="preserve">Caida de una roca de 20 ton aprox. en Calle Alvaro Obregon No. 440 y Calle 5 de Fedrero, a un costado del Cerro denominado La Estrella, Col. La Esperanza, . Resultando 5 viviendas con perdida total, sus ocupantes fueron evacuados. </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</si>
  <si>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</si>
  <si>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</si>
  <si>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</si>
  <si>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 xml:space="preserve">Choque de 1 microbus de la  ruta 1 que se estampo contra 1 poste de luz, debido a una falla mecanica quedandose sin  frenos. En Av. Paraiso y Av. Cedral, Col. San Pedro Martir. Resultando 27 personas  lesionadas, trasladadas para su atencion.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</si>
  <si>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</si>
  <si>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Santa María Colotepec</t>
  </si>
  <si>
    <t xml:space="preserve">Debido a las lluvias registradas en la Region de la Costa, se registro el fallecimiento de 1 persona (sexo masculino de 67 años), quien intento cruzar el Rio Colotepec, a la altura del Paraje La Bomba, y fue arrastrado por la corriente. </t>
  </si>
  <si>
    <t>Incendio en los corrales de la empresa Bachoco, en la Carr. San Felipe, a la altura de la comunidad Choropo, al Sur de la Ciudad de Mexicali. Preventivamente se evacuo a 20 empleados de la empresa y resultaron calcinados cerca de 100 pollos.</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</si>
  <si>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</si>
  <si>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</si>
  <si>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Mezcalapa</t>
  </si>
  <si>
    <t>Debido a las lluvias registradas se desgajo un cerro en la comunidad de Lindavista, reportandose 5 viviendas colapsadas en su totalidad, se evacuaron 195 personas (120 personas se trasladaron a 1 RT).</t>
  </si>
  <si>
    <t xml:space="preserve">Desplome de la avioneta fumigadora mono-motor,  tipo PIPER en el lugar conocido como La Prensa, en inmediaciones de la Carr. libre del ejido San Angel Zurumucapio en el  Km. 44 aprox. </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</si>
  <si>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</si>
  <si>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</si>
  <si>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</si>
  <si>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</si>
  <si>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</si>
  <si>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</si>
  <si>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</si>
  <si>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Xalatlaco</t>
  </si>
  <si>
    <t xml:space="preserve">Explosion de juegos pirotecnicos en el atrio de la Iglesia ubicada en el  Barrio San Juan que serian utilizados en las fiestas religiosas del Santo Patrono "San Rafael". Resultando 3 personas fallecidas (2 del sexo femenino: 28 y 30 años, 1 del sexo masculino de 5 años), y 14 personas atendidas por crisis nerviosa y lesiones leves, 6 mas fueron horspitalizadas. </t>
  </si>
  <si>
    <t xml:space="preserve">Incendio en 1 bodega (70x50 m2) de veladoras, en la calle Juan de la Barrera, Col. Micaelita. Desplomandose 1 techo de 10x20m2. Se reporta 1 Bombero lesionado, trasladado para su atencion. </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</si>
  <si>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</si>
  <si>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Caída de 1 avioneta ultraligera, en el Ejido Valdes Montoya en el Estadio de Beisbol. Al estar sobrevolando muy bajo golpeando unos cables resultando dos personas lesionadas (2 del sexo masculino). </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</si>
  <si>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</si>
  <si>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Miahuatlan</t>
  </si>
  <si>
    <t>Desplome de 1 avioneta Tipo Cessna 414 a la altura de la Localidad Cumbre de Jonatal, resultando 3 tripulantes calcinados asi como la avioneta.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</si>
  <si>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</si>
  <si>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Alto Lucero de Gutiérrez Barrios, Atzalan, Chiconquiaco, Ilamatlán, Jalacingo, Jilotepec, Juchique de Ferrer, La Perla, Las Minas, Poza Rica de Hidalgo, Tatatila, Tlacolulan y Xalapa</t>
  </si>
  <si>
    <t>Daños por fenómeno de movimiento de ladera, del 30 de septiembre al 2 de octubre de 2013, para los municipios de Alto Lucero de Gutiérrez Barrios, Atzalan, Chiconquiaco, Ilamatlán, Jalacingo, Jilotepec, Juchique de Ferrer, La Perla, Las Minas, Poza Rica de Hidalgo, Tatatila, Tlacolulan y Xalapa</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</si>
  <si>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</si>
  <si>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</si>
  <si>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 xml:space="preserve">Volcadura de 1 autobus al reventarse una llanta que propicio que volcara a la altura del km 158 de la Carr. Merida-Puerto Juarez. Resultando 1 persona fallecida (sexo femenino) y 12 lesionadas,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</si>
  <si>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</si>
  <si>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Volcamiento de 1 autobus de la linea de  autotransporte de Guasave, en el km 85, Carr. Obregon-Empalme a la altura de las Guacimas, resultando 17 personas lesionadas: 11 del sexo masculino de 50 años prom. Y 6 del sexo femenino de 46 años prom.</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</si>
  <si>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</si>
  <si>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</si>
  <si>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de un boiler que se encontraba al interior del Depto. 604 “B”, en Av. del Taller y Esq. Cuitlahuac. Col. Lorenzo Boturini, reportandose 2 fallecimientos y 5 personas intoxicadas por inhalación de gas, trasladadas, para su atencion.</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</si>
  <si>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</si>
  <si>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</si>
  <si>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</si>
  <si>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</si>
  <si>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</si>
  <si>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Comondu y Loreto</t>
  </si>
  <si>
    <t xml:space="preserve">Lluvia severa por los efectos de la Tormenta Tropical IVO, del día 24 de agosto de 2013, en los municipios de Comondú y Loreto. No se tiene el detalle de los efectos de esta lluvia por cada sector, sin embargo se integra el monto de los apoyos del FONDEN en las siguiente infraestructura: Deportivo Estatal, Urbano, Hidráulico Federal, Carretero Federal, Turistíco Federal, Carretero Estatal, Naval Federal
Zonas Costeras, Federal, Salud Estatal
  </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</si>
  <si>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</si>
  <si>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</si>
  <si>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</si>
  <si>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</si>
  <si>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</si>
  <si>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 xml:space="preserve">Impacto 1 autobus del transporte publico de la linea Mayorazgo y un trailer en las calles 11 Sur y 139 Poniente, de la Col. Guadalupe Hidalgo. Resultando 19 personas lesionadas, trasladadas para su atencion.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</si>
  <si>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</si>
  <si>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</si>
  <si>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</si>
  <si>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Desbordamiento del arroyo “Agua Dulce”, regreso a su nivel normal. Evacuandose 204 personas en 3 RT (Escuela Primaria Cuauhtémoc, Escuela Primaria Amado Nervo y uno ubicado en un domicilio particular de la Col. Solidaridad). </t>
  </si>
  <si>
    <t xml:space="preserve">Se habilito diversos 15 RT por la presencia de bajas temperaturas en el Estado con las siguientes anotaciones: 152 personas refugiados (10 del sexo femenino, 58 del sexo masculino, y el resto del sexo desconocido). </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</si>
  <si>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</si>
  <si>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</si>
  <si>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</si>
  <si>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Mulege, Loreto, Comondu, La Paz y Los Cabos</t>
  </si>
  <si>
    <t>Como consecuencia del ciclon tropical Lorena se registraron lluvias de moderadas a fuertes, se suspendio clases en todos los niveles en los municipios de Los Cabos y La Paz. En este último se activaron 13 RT (de los cuales 2 albergaron a 62 personas). En la Col. Villas del Cortez se reporto un joven electrocutado (sexo masculino de 16 años) que intento jalar un cable de energia electrica, trasladada para su atencion.</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</si>
  <si>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</si>
  <si>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</si>
  <si>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 xml:space="preserve">Debido a las lluvias registradas se reportan las siguientes afectaciones en 229 viviendas con penetración de agua (aprox. entre 40 y 70 cm).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</si>
  <si>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</si>
  <si>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Nopaltepec</t>
  </si>
  <si>
    <t>En la autopista Mexico Tulancingo km 46 en direccion a la ciudad de México, a la altura del ejido el parral, se registro un choque multiple (1 autobus de pasajeros y 2 camion torton). Resultando1 persona fallecidas (sexo masculino), 7 lesionadas (trasladadas para su atencion) y 25 mas atendidas en el lugar.</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</si>
  <si>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</si>
  <si>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Desbordamiento del río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</si>
  <si>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 xml:space="preserve">Accidente en la Carr. Libre Zapotlanejo-Tepatitlan deja 2 personas fallecidas (1 de ellas de sexo masculino) por el choque de 1 trailer tipo plataforma cargado con material para construcción contra varios vehiculos en el km 152, al impactarse contra 1 pipa cargada con gas LP perteneciente a la empresa Gas Express; 1 persona lesionada (1 del sexo masculino de 29 años), trasladada para su atencion.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</si>
  <si>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</si>
  <si>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</si>
  <si>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</si>
  <si>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</si>
  <si>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</si>
  <si>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Accidente vial a la altura de la Av. Costera entre la Col. IMI 1 y Solidaridad, involucrados 1 camion de 3 ton de redilas y 1 autobus de pasajeros en el que viajaban 24 peregrinos, Resultando 16 lesionadas, trasladadas para su atencion.</t>
  </si>
  <si>
    <t>San Diego de Alejandria</t>
  </si>
  <si>
    <t>Incendio de 1 pipa cargada con 10 mil l de diesel y 15 contenedores con capacidad de mil l de gasolina, en 1 bodega donde se almacenaba clandestinamente. Preventivamente se evacuaron a 400 personas de casas aledañas.</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</si>
  <si>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</si>
  <si>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 xml:space="preserve">Preventivamente se evacuo a 1,585 personas que se alojaron en 48. Resultaron afectadas por penetracion de agua 30 viviendas, anegamiento en las vialidades, caida de arboles y bardas. Deslaves en caminos rurales. </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</si>
  <si>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</si>
  <si>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</si>
  <si>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</si>
  <si>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Volcadura de 1 autobus de pasajeros Mercedes de la empresa “Albentur”, en la Carr. 90 km  40 +500 Penjamo-Abasolo. Resultando 1 persona fallecida y 29 lesionadas, 4 de ellas trasladadas para su atencion. Se activo 1 RT.</t>
  </si>
  <si>
    <t>Caida de una estructura con bandas donde manejan cajas y equipaje, de la empresa “Estafeta”, ubicado en un anexo del Aeropuerto Ponciano Arriaga, Col. Rancho Nuevo. Resultando 1 persona fallecida y 10 lesionadas,trasladadas para su atencion.</t>
  </si>
  <si>
    <t>Incendio en una bodega en lote 9, manzana 29 andador organos, Col. Agricola, donde almacenaba plastico debido a un corto circuito. Resultando 1 vivienda con perdida total que se encontraba a un costado y se rescataron 2 personas de sexo femenino.</t>
  </si>
  <si>
    <t>Hidalgo del Parral </t>
  </si>
  <si>
    <t>Afectaciones por la inundación fluvial e inundación pluvial, precisando que con la entrada del ciclón tropical "Manuel" se registraron lluvias severas en diversos municipios del Estado de Chihuahua, así como en el municipio de Hidalgo del Parral. Lo anterior impactó severamente en la cuenca que atraviesa dicho municipio, derivado principalmente de los escurrimientos que se presentaron en los cuerpos de agua que se encuentran en un nivel más alto, lo que provocó el desbordamiento de la Presa Parral, el Río Parral y demás afluentes de agua, esto aunado a los registros inusuales de precipitaciones que se presentaron en la Entidad, las cuales fueron de 162 mm3, en el periodo del 19 al 21 de septiembre de 2013.</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</si>
  <si>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</si>
  <si>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</si>
  <si>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</si>
  <si>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</si>
  <si>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Incendio en la oficina de migracion, resultando 3 personas lesionadas, trasladadas para su atencion. Daños materiales: colchones, literas y un miniespli.</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</si>
  <si>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</si>
  <si>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</si>
  <si>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</si>
  <si>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</si>
  <si>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Lluvia fuerte en la entidad provocada por el paso del frente frio numero 20 con una duracion aprox. de 2 hrs. Afectando 17 municipios, 497 comunidades, 59,951 familias afectadas, 234,971 personas, 30 RT con 477 personas.</t>
  </si>
  <si>
    <t>Hasta la semana 01 del 2013 se han notificado 2 defuciones asociadas a la hiipotermia presentada por las bajas temperaturas del estado. Hasta la semana  03 Y 06 del 2013 se han notificado 4 defuciones  por intoxicación CO y/u otros gases.</t>
  </si>
  <si>
    <t>Hasta la semana 01 hasta la semana 06 del 2013 se han notificado 14 defuciones asociada a la hipotermia presentada por las bajas temperaturas del estado, 12 por intoxicación por CO y/ y otros gases y 3 por quemaduras.</t>
  </si>
  <si>
    <t>Hasta la semana 01 del 2013 se han notificado 1 por causa de intoxicación por CO y/u otro gas.</t>
  </si>
  <si>
    <t>Hasta la semana 02 del 2013 se han notificado 1 muerte asociada a la hiipotermiapresentada por las bajas temperaturas del estado y 1 por quemadura.</t>
  </si>
  <si>
    <t xml:space="preserve">Hasta la semana 02 del 2013 se han notificado 1 muerte asociada a la hiipotermiapresentada por las bajas temperaturas del estado. </t>
  </si>
  <si>
    <t>Hasta la semana 02 y 06  del 2013 se han notificado 10 defuciones por intoxicación CO y/u otro gas 4 por hipotermia y una por quemadura.</t>
  </si>
  <si>
    <t>Hasta la semana 02 del 2013 se han notificado 1 defución  por intoxicación CO y/u otro gas y 5 por hipotermia.</t>
  </si>
  <si>
    <t xml:space="preserve">Hasta la semana 04 del 2013 se han notificado 2 defuciones  por por hipotermia </t>
  </si>
  <si>
    <t>Hasta la semana 05 del 2013 se han notificado 1 defución por hipotermia.</t>
  </si>
  <si>
    <t>Hasta la semana 10 del 2013 se han notificado 1 defuciones por intoxicación CO y/u otro gas.</t>
  </si>
  <si>
    <t>Se  reporto una defución asociada al golpe de calor dentro de este estado.</t>
  </si>
  <si>
    <t>Se  reportaron 3 defuciones asociadas al golpe de calor dentro de este estado.</t>
  </si>
  <si>
    <t>Se  reportaron 2 defuciones asociadas al golpe de calor dentro de este estado.</t>
  </si>
  <si>
    <t>Presentando un daño de superfiecie de hectáreas afectadas en el sector  herbáceo de 688 has y en el arbustivo de 214 has.</t>
  </si>
  <si>
    <t>Presentando un daño de superfiecie de hectáreas afectadas en el sector  herbáceo de 5477.52 has y en el arbustivo 12936.15 has.</t>
  </si>
  <si>
    <t>Presentando un daño de superfiecie de hectáreas afectadas en el sector  herbáceo de 12361.04  has y en el arbustivo de 6345.70 has.</t>
  </si>
  <si>
    <t>Presentando un daño de superfiecie de hectáreas afectadas en el sector  herbáceo de 115.50 has y en el arbustivo de 732.50  has.</t>
  </si>
  <si>
    <t>Presentando un daño de superfiecie de hectáreas afectadas en el sector  herbáceo de 110.10  has y en el arbustivo de 50.70  has.</t>
  </si>
  <si>
    <t>Presentando un daño de superfiecie de hectáreas afectadas en el sector  herbáceo de 1884.61 has y en el arbustivo de 498.16 has.</t>
  </si>
  <si>
    <t>Presentando un daño de superfiecie de hectáreas afectadas en el sector  herbáceo de 17014.11 has y en el arbustivo de 2212.70 has.</t>
  </si>
  <si>
    <t>Presentando un daño de superfiecie de hectáreas afectadas en el sector  herbáceo de 22010.15 has y en el arbustivo de 6061.53 has.</t>
  </si>
  <si>
    <t>Presentando un daño de superfiecie de hectáreas afectadas en el sector  herbáceo de 2193.82 has y en el arbustivo de 435.48 has.</t>
  </si>
  <si>
    <t>Presentando un daño de superfiecie de hectáreas afectadas en el sector  herbáceo de 12359.30  has y en el arbustivo de 6366.33 has.</t>
  </si>
  <si>
    <t>Presentando un daño de superfiecie de hectáreas afectadas en el sector  herbáceo de 2826.02  has y en el arbustivo de 77.29 has.</t>
  </si>
  <si>
    <t>Presentando un daño de superfiecie de hectáreas afectadas en el sector  herbáceo de 19355.92 has y en el arbustivo de 6657.19. has.</t>
  </si>
  <si>
    <t>Presentando un daño de superfiecie de hectáreas afectadas en el sector  herbáceo de 1021.75 has y en el arbustivo de 3580 has.</t>
  </si>
  <si>
    <t>Presentando un daño de superfiecie de hectáreas afectadas en el sector  herbáceo de 32718 has y en el arbustivo de 12377.50  has.</t>
  </si>
  <si>
    <t>Presentando un daño de superfiecie de hectáreas afectadas en el sector  herbáceo de 3234.89 has y en el arbustivo de 5409.01 has.</t>
  </si>
  <si>
    <t>Presentando un daño de superfiecie de hectáreas afectadas en el sector  herbáceo de 7766.05 has y en el arbustivo de 5843.02 has.</t>
  </si>
  <si>
    <t>Presentando un daño de superfiecie de hectáreas afectadas en el sector  herbáceo de  1648.50 has y en el arbustivo de 2140.98  has.</t>
  </si>
  <si>
    <t>Presentando un daño de superfiecie de hectáreas afectadas en el sector  herbáceo de 2878 has y en el arbustivo de 252.50  has.</t>
  </si>
  <si>
    <t>Presentando un daño de superfiecie de hectáreas afectadas en el sector  herbáceo de 358.28 has y en el arbustivo de 213.80has.</t>
  </si>
  <si>
    <t>Presentando un daño de superfiecie de hectáreas afectadas en el sector  herbáceo de 16484.74 has y en el arbustivo de 9916.78 has.</t>
  </si>
  <si>
    <t>Presentando un daño de superfiecie de hectáreas afectadas en el sector  herbáceo de 4931.22 has y en el arbustivo de 3813.35 has.</t>
  </si>
  <si>
    <t>Presentando un daño de superfiecie de hectáreas afectadas en el sector  herbáceo de  720 has y en el arbustivo de 460.23 has.</t>
  </si>
  <si>
    <t>Presentando un daño de superfiecie de hectáreas afectadas en el sector  herbáceo de 0 has y en el arbustivo de 26645.82 has.</t>
  </si>
  <si>
    <t>Presentando un daño de superfiecie de hectáreas afectadas en el sector  herbáceo de 58993.08 has y en el arbustivo de 5206.47 has.</t>
  </si>
  <si>
    <t>Presentando un daño de superfiecie de hectáreas afectadas en el sector  herbáceo de 2872 has y en el arbustivo de 1073 has.</t>
  </si>
  <si>
    <t>Presentando un daño de superfiecie de hectáreas afectadas en el sector  herbáceo de  66461.80 has y en el arbustivo de 1000 has.</t>
  </si>
  <si>
    <t>Presentando un daño de superfiecie de hectáreas afectadas en el sector  herbáceo de 45.20 has y en el arbustivo de 4287.60 has.</t>
  </si>
  <si>
    <t>Presentando un daño de superfiecie de hectáreas afectadas en el sector  herbáceo de 1538 has y en el arbustivo de 823 has.</t>
  </si>
  <si>
    <t>Presentando un daño de superfiecie de hectáreas afectadas en el sector  herbáceo de 688 has y en el arbustivo de  has.</t>
  </si>
  <si>
    <t>Presentando un daño de superfiecie de hectáreas afectadas en el sector  herbáceo de 953.53 has y en el arbustivo de 174.25 has.</t>
  </si>
  <si>
    <t>Presentando un daño de superfiecie de hectáreas afectadas en el sector  herbáceo de 818.50  has y en el arbustivo de 5616.75 has.</t>
  </si>
  <si>
    <t>Presentando un daño de superfiecie de hectáreas afectadas en el sector  herbáceo de 1250 has y en el arbustivo de 663.30 has.</t>
  </si>
  <si>
    <t>7 municipios</t>
  </si>
  <si>
    <t xml:space="preserve">Debido a las fuertes llevias y vientos ocasionados por el huracán "Wilma" se presentaron severas afetcaciones en los diferentes sectores,. </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</si>
  <si>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</si>
  <si>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CENACOM-La Jornada</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</si>
  <si>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</si>
  <si>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</si>
  <si>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</si>
  <si>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</si>
  <si>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CENACOM-FONDEN</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</si>
  <si>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</si>
  <si>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</si>
  <si>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</si>
  <si>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</si>
  <si>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CENACOM-Conexion total</t>
  </si>
  <si>
    <t xml:space="preserve"> Aldama, Gonzalez, Victoria, Xicotencatl, Mante, Guemez y Ocampo</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</si>
  <si>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</si>
  <si>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</si>
  <si>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</si>
  <si>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Lluvia severa los dias 3, 6 y 9 de enero de 2014, resultando afectados los sectores naval, urbano, educativo y carretero.</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</si>
  <si>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</si>
  <si>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</si>
  <si>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</si>
  <si>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</si>
  <si>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</si>
  <si>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</si>
  <si>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</si>
  <si>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</si>
  <si>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Chihuahua en desastre y emergencia y sólo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</si>
  <si>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</si>
  <si>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</si>
  <si>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</si>
  <si>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</si>
  <si>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</si>
  <si>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Guerrero y La Cruz</t>
  </si>
  <si>
    <t>Los cultivos gravemente afectados debido a la granizada ocurrida, son los siguientes: alfalfa, cebolla, chile, frijol, maiz, sandia, manzana y nogal.  Esto en los municipios de Guerrero y La Cruz.</t>
  </si>
  <si>
    <t>Los cultivos gravemente afectados debido a la granizada fueron: chiles, cebollas, tomatillo, jitomate, frijos y maiz. Esto en el municipio de Salinas.</t>
  </si>
  <si>
    <t xml:space="preserve">El tornado provoco daños en 1,131 viviendas de 16 colonias, asi como en instituciones educativas y establecimientos comerciales, 24 vehiculos, caida de 47 arboles; ademas, se tuvieron reportes de personas sin lesiones de gravedad. </t>
  </si>
  <si>
    <t>CENACOM-FONDEN-CENAPRED</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</si>
  <si>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</si>
  <si>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Reforma, Universal y Milenio</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</si>
  <si>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</si>
  <si>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</si>
  <si>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</si>
  <si>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Daño de superficie de hectareas afectadas en el sector herbaceo de 46,155 has, 1,542 has en el arbolado adulto, 421 has en el arboreo de renuevo y 1,663 has en el arbustivo</t>
  </si>
  <si>
    <t>44 municipios</t>
  </si>
  <si>
    <t>Helada severa como consecuencia de los frentes frios 27, 28 y 29. Se otorgo a la poblacion 33791 despensas, 135166 cobertores A y 135166 colchonetas</t>
  </si>
  <si>
    <t>La inundacion costera provoco afectaciones en el sector carretero.</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</si>
  <si>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</si>
  <si>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</si>
  <si>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CENACOM-DOF</t>
  </si>
  <si>
    <t xml:space="preserve">Tulum, Solidaridad, Isla Mujeres, Cozumel, Lázaro Cárdenas y Benito Juárez </t>
  </si>
  <si>
    <t xml:space="preserve">Fuen necesario apoyar a la poblacion con 16200 despensas, 20203 cobertores, 20203 colchonetas, 6101 impermeables, 6101 botas, 8100 kits de limpieza, 8100 kits de aseo personal, 140224 litros de agua y 80300 laminas tipo b. </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</si>
  <si>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</si>
  <si>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</si>
  <si>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</si>
  <si>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Balancan, Emiliano Zapata, Jonuta, Tenosique</t>
  </si>
  <si>
    <t>El cultivo gravemente afectados debido a la inundacion significativa fue el sorgo. Esto en los municipios de Balancan, Emiliano Zapata, Jonuta, Tenosique.</t>
  </si>
  <si>
    <t>64 municipios</t>
  </si>
  <si>
    <t>Presencia de ondas calidas ocurridas del 2 al 4 de junio. Se apoyo a la poblacion con 98200 despensas, 66120 kits de aseo personal, 947060 agua y medicamentos.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</si>
  <si>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</si>
  <si>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</si>
  <si>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 xml:space="preserve">Se atendio a la poblacion con 44700 despensas, 18000 laminas tipo b, 50000 cobertores, 50000 colchonetas, 25 rollos de hule, 7000 kits de limpieza, 7000 kits de aseo personal. </t>
  </si>
  <si>
    <t>33 municipios</t>
  </si>
  <si>
    <t xml:space="preserve">Debido a las fuertes lluvias se apoyó a la población con 11953 despensas, 32814 cobertores, 32814 colchonetas, 2000 impermeables, 2000 botas, 20 rollos de hule, 11953 kits de limpieza, 11953 kits de aseo personal y 45000 laminas tipo b. </t>
  </si>
  <si>
    <t>Las lluvias y fuertes vientos provocaron severas inundaciones en el municipio de NogalesUn hombre de 54 años, que murio ahogado al caer al Arroyo Los Nogales en la colonia Nogales Dos. Resultaron perjudicados los sectores deportivo, educativo e hidraulico</t>
  </si>
  <si>
    <t>30 municipios</t>
  </si>
  <si>
    <t>Helada severa como consecuencia de los frentes frios 27, 28 y 29. Se apoyo a la poblacion con 20493 despensas, 81972 cobertores A y 81972 colchonetas.</t>
  </si>
  <si>
    <t>Agua Dulce, Coatzacoalcos, Cosoleacaque, Hidalgotitlán, Ixhuatlán del Sureste, Las Choapas, Martínez de la Torre, Minatitlán, Moloacán, Nanchital de Lázaro Cárdenas del Río y Uxpanapa</t>
  </si>
  <si>
    <t>Se proportciono apoyo a la poblacion a traves de 14829 despensas, 14272 cobertores, 14272 colchonetas, 4943 kits de limpieza, 4943 kits de aseo personal, 45205 laminas tipo c, 75738 litros de agua.</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</si>
  <si>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</si>
  <si>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</si>
  <si>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Manzanillo y Tecoman</t>
  </si>
  <si>
    <t xml:space="preserve">Los cultivos gravemente afectados debido al ciclon tropical, fueron los siguientes: mango, limon, papayo y platano. </t>
  </si>
  <si>
    <t>20 municipios</t>
  </si>
  <si>
    <t>Helada severa a consecuencia de los frentes frios 27, 28 y 29. Se apoyo a la poblacion con 16635 despensas, 66540 cobertores A y 66540 colchonetas.</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</si>
  <si>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</si>
  <si>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</si>
  <si>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Agua Prieta, Altar, Atil, Benjamin Hill,
Caborca, Cananea, Carbo, General
Plutarco Elias Calles, Hermosillo,
Imuris, Magdalena, Naco, Nogales,
Oquitoa, Pitiquito, Puerto Peñasco,
Santa Ana, Santa Cruz, Saric,
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</si>
  <si>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</si>
  <si>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</si>
  <si>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</si>
  <si>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</si>
  <si>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</si>
  <si>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Daño de superficie de hectareas afectadas en el sector herbaceo de 107 has, 3 has en el arbolado adulto y 62 has en el arbustivo</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</si>
  <si>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</si>
  <si>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</si>
  <si>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Daño de superficie de hectáreas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</si>
  <si>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</si>
  <si>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La estacion de metrobus Ciudad Universitaria y una unidad articulada fueron quemadas por un grupo de aproximadamente 60 encapuchados</t>
  </si>
  <si>
    <t>excelsior</t>
  </si>
  <si>
    <t>Alvarado, Espinal, Gutiérrez Zamora, Papantla y Tlalixcoyan</t>
  </si>
  <si>
    <t>Se proporciono apoyo a la poblacion a traves de 10594 despensas, 12573 laminas tipo b, 5381 laminas tipo c, 14190 cobertores, 14190 colchonetas, 5297 kits de limpieza, 5297 kits de aseo personal.</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</si>
  <si>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</si>
  <si>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</si>
  <si>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25 municipios</t>
  </si>
  <si>
    <t>Helada severa a consecuencia de los frentes frios 27, 28 y 29. Se apoyo a la poblacion con 9253 despensas, 37014 cobertores A y 37014 colchonetas.</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</si>
  <si>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</si>
  <si>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</si>
  <si>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</si>
  <si>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</si>
  <si>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</si>
  <si>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</si>
  <si>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Daño de superficie de hectareas afectadas en el sector herbaceo de 7,187 has, 415 has en el arbolado adulto, 215 has en el arboreo de renuevo y 3,254 has en el arbustivo</t>
  </si>
  <si>
    <t>Batopilas, Chínipas, Urique</t>
  </si>
  <si>
    <t>El cultivo gravemente afectados debido a la lluvia torrencial, fue la avena, mientras que tambien presentó afectaciones en el ganado bovino. Esto en los municipios de Batopilas, Chínipas, Urique.</t>
  </si>
  <si>
    <t>La ocurrencia de la helada severa debido a la presencia de los frentes frios 27,28 y 29. Se otorgaron a la poblacion 7480 despensas, 29921 cobertores A y 29921 colchonetas.</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</si>
  <si>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</si>
  <si>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</si>
  <si>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</si>
  <si>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</si>
  <si>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</si>
  <si>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</si>
  <si>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</si>
  <si>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</si>
  <si>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</si>
  <si>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</si>
  <si>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Daño de superficie de hectareas afectadas en el sector herbaceo de 5,463 has, 171 has en el arbolado adulto, 507 has en el arboreo de renuevo y 2,292 has en el arbustivo</t>
  </si>
  <si>
    <t>Mazatlan se declaró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</si>
  <si>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</si>
  <si>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Presencia de helada severa ocurrida los 13, 15, 16 y 17. Se apoyo a la poblacion con 13275 despensas, 17700 cobertores A, 17700 colchonetas y 30 rollos de hule.</t>
  </si>
  <si>
    <t>21 municipios</t>
  </si>
  <si>
    <t>Helada severa consecuencia de los frentes frios 27, 28 y 29. Se apoyo a la poblacion 5980 despensas, 23921 cobertores A y 23921 colchonetas</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</si>
  <si>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</si>
  <si>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</si>
  <si>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</si>
  <si>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Helada severa a consecuencia de los frentes frios 27, 28 y 29. Se apoyo a la poblacion con 5250 despensas, 21000 cobertores A y 21000 colchonetas.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</si>
  <si>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</si>
  <si>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</si>
  <si>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Zihuatanejo, Petatlan y Acapulco</t>
  </si>
  <si>
    <t>Derivado de las lluvias resultaron 1,253 viviendas inundadas, 12 encharcamientos, 1 persona lesionada (sexo femenino de 41 años, trasladada para su atencion), 22 arboles caidos, 4 bardas, 2 derrumbes y 2 vehiculos afectados.</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</si>
  <si>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</si>
  <si>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Debido a las lluvias se apoyo a la poblacion con 1250 despensas, 11250 laminas de tipo b, 5000 cobertores, 5000 colchonetas, 1500 impermeables, 1500 botas, 1250 kits de limpieza, 1250 kits de aseo personal y 2000 litros de agua.</t>
  </si>
  <si>
    <t>Hidalgo, Durango, Gómez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</si>
  <si>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Gómez Palacio y Lerdo.</t>
  </si>
  <si>
    <t>San Marcos, Cuautepec, Copala y Marquelia</t>
  </si>
  <si>
    <t xml:space="preserve">Se apoyó a la población con 1793 despensas, 12310 laminas tipo b, 4520 cobertores, 4520 colchonetas, 5 rollos de hule, 18000 costales, 1793 kits de limpieza, 1793 kits de aseo personal. </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</si>
  <si>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</si>
  <si>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Centro y Nacajuca</t>
  </si>
  <si>
    <t xml:space="preserve">Debido a las lluvias se apoyo a la poblacion con 11211 despensas, 3000 cobertores, 3000 colchonetas, 100 botas, 12 rollos de hule, 100000 costales, 3737 kits de limpieza, 3737 kits de aseo personal y 3737 envases de agua.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</si>
  <si>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</si>
  <si>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</si>
  <si>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</si>
  <si>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Frente frio 18 provoco bajas temperaturas y helada severa. 26 hombres y 8 mujeres fueron trasladados a  los 11 RT activados. Se apoyo a la poblacion con 3301 despensas, 13204 cobertores, 13204 colchonetas, 15 rollos de hule.</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</si>
  <si>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</si>
  <si>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</si>
  <si>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Ocurrencia de heladas severas. Se apoyo a la poblacion con 4692 despensas, 9386 cobertores A, 9386 colchonetas, 30000 litros de agua y medicamentos</t>
  </si>
  <si>
    <t>Daño de superficie de hectareas afectadas en el sector herbaceo de 2,810 has, 2 has en el arbolado adulto, 48 has en el arboreo de renuevo y 884 en el arbustivo</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</si>
  <si>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</si>
  <si>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</si>
  <si>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24 municipios</t>
  </si>
  <si>
    <t>Helada severa ocurrida por los frentes frios 27, 28 y 29. Se apoyo a la poblacion con 2713 despensas, 10855 cobertores A y 10855 colchonetas</t>
  </si>
  <si>
    <t>Chocamán y Coscomatepec</t>
  </si>
  <si>
    <t xml:space="preserve">Debido a las lluvias fue necesario apoyar a la poblacion con 1876 despensas, 4580 laminas tipo b, 2900 laminas tipo c, 1554 cobertores, 1554 colchonetas, 938 kits de limpieza, 938 kits de aseo personal.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</si>
  <si>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</si>
  <si>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</si>
  <si>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Helada severa como consecuencia de los frentes frios 27, 28 y 29. Se apoyo a la poblacion con 2542 despensas, 10171 cobertores A y 10171 colchonetas.</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</si>
  <si>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</si>
  <si>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</si>
  <si>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las lluvias fue necesario apoyar a la poblacion con 1360 despensas, 4043 laminas tipo b, 2170 laminas tipo c, 1521 cobertores, 1521 colchonetas, 680 kits de limpieza, 680 kits de aseo personal. </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</si>
  <si>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</si>
  <si>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Amatan, Ocotepec y Tecpatan</t>
  </si>
  <si>
    <t>Lluvia severa e inundacion fluvial e inundacion pluvial. Se opoyo a la poblacion 1046 despensas, 3600 lamina tipo B, 4133 cobertores b, 3974 colchonetas, 1046 kits de aseo personal y 1046 de limpieza, 8336 toallas sanitarias femeninas, pañales etapa 3 (4460), 4 (3568), y 5 (3568) y 26465 litros de agua.</t>
  </si>
  <si>
    <t>Daño de superficie de hectareas afectadas en el sector herbaceo de 1,951 has, 99 has en el arbolado adulto, 12 has en el arboreo de renuevo y 199 has en el arbustivo</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</si>
  <si>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</si>
  <si>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</si>
  <si>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</si>
  <si>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</si>
  <si>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</si>
  <si>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</si>
  <si>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</si>
  <si>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</si>
  <si>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Gomez Palacio</t>
  </si>
  <si>
    <t xml:space="preserve">Para atender a la poblacion afectada por las lluvias se repartieron 1540 despensas, 4160 cobertores B, 4160 colchonetas, 1540 kits de limpieza, 1540 kits de aseo personal. </t>
  </si>
  <si>
    <t xml:space="preserve">Daño de superficie de hectareas afectadas en el sector herbaceo de 1,874 has y 2 has en el arboreo de renuevo </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</si>
  <si>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</si>
  <si>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</si>
  <si>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Presencia de nevada severa ocurrida el 9 de marzo. Se apoyo a la poblacion con 1108 despensas, 1109 cobertores A, 1109 colchonetas, 3604 lamina tipo B y 20 rollos de hule.</t>
  </si>
  <si>
    <t xml:space="preserve">Desplome de 1 avioneta que se trasladaba de Camaguey, Guasave al municipio de Culiacan. Esta cayo en el ejido Bata-mote. Resultando 5 personas clacinadas.  </t>
  </si>
  <si>
    <t>Alto Lucero de Gutierrez Barrios</t>
  </si>
  <si>
    <t>Caida de 1 aeronave Tipo Cessna Air Craft  Company, propiedad de la empresa Servicios Aereos Agricolas y Forestales de Mexico S. A de C.V. Resultando 2 personas lesionadas y 4 fallecidas.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</si>
  <si>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</si>
  <si>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Desplome de 1 helicoptero tipo Bell 21 de la Fuerza Aerea Mexicana, dentro de las instalaciones del Campo Militar No. 8-B, perdio la vida 1 oficial y resultaron heridos 1 jefe y 1 persona de tropa, trasladadas para su atencion.  </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</si>
  <si>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</si>
  <si>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 xml:space="preserve">En el lugar conocido como paraje Cortijo se desplomo 1 helicoptero propiedad de la PGR con 9 elementos abordo, resultando 5 lesionados, trasladados para su atencion.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</si>
  <si>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</si>
  <si>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</si>
  <si>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Daño de superficie de hectareas afectadas en el sector arbustivo de 1,409 has</t>
  </si>
  <si>
    <t xml:space="preserve">Daño de superficie de hectareas afectadas en el sector herbaceo de 174 has, 10 has en el arboreo de renuevo y 1,091 has en el arbustivo </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</si>
  <si>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</si>
  <si>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Debido a la lluvia, fue necesario apoyar a la población con 198 despensas, 794 cobertores, 794 colchonetas, 198 kits de limpieza, 198 kits de aseo personal, 2856 toallas femeninas, 800 pañales etapa 3, 640 pañales etapa 4, 624 pañales etapa 5, 6352 litros de agua y 2580 laminas tipo b. </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</si>
  <si>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</si>
  <si>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Localizados a 8 km del Aeropuerto de Toluca los restos de un helicoptero Augusta A109S Grand, con matricula XC-ALM, de la Coordinacion de Servicios Aereos. Resultando 2 personas fallecidas (sexo masculino).</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</si>
  <si>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</si>
  <si>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</si>
  <si>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 xml:space="preserve">Desplome de 1 avioneta modelo Rans Coyote, en la comunidad Valle Bonito. Resultando 2 personas fallecidas (sexo masculino de 38 y 48 años respectivamente). </t>
  </si>
  <si>
    <t>Las Margaritas</t>
  </si>
  <si>
    <t>Desplome de una avioneta en el ejido Yalcoc, municipio Las Margaritas. Se reportaron 2 personas fallecidas totalmente calcinadas.</t>
  </si>
  <si>
    <t>Opodepe, Cucurpe, Rayón, Bacoachi, Arizpe y Ures</t>
  </si>
  <si>
    <t>Devido a las lluvias y la inundación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</si>
  <si>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</si>
  <si>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</si>
  <si>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</si>
  <si>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</si>
  <si>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</si>
  <si>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</si>
  <si>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Daño de superficie de hectareas afectadas en el sector herbaceo de 814 has, 15 has en el arboreo de renuevo y 53 has en el arbustivo</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</si>
  <si>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</si>
  <si>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</si>
  <si>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Accidente en la autopista Cuernavaca-Mexico a la altura del km 88 frente a la Col. Universo, involucrados 7 Vehiculos, 1 de ellos un trailer con 14 vehiculos incendiandose y quedando calcinado, resultando 1 persona fallecida. Se cerro la circulacion.</t>
  </si>
  <si>
    <t>Daño de superficie de hectáreas afectadas en el sector herbaceo de 740 has y en el arbustivo de 69 has</t>
  </si>
  <si>
    <t>Heladas ocurridas del 15 al 21 de enero, por los frentes frios 27, 28 y 29. Se otorgo a la poblacion 589 despensas, 2356 cobertores A y 2356 colchonetas.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</si>
  <si>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</si>
  <si>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</si>
  <si>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</si>
  <si>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</si>
  <si>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</si>
  <si>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Choque por alcance y volcadura de autobus de pasajeros y camion Torton resultando dos personas lesionadas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</si>
  <si>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</si>
  <si>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Ciudad del Carmen</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</si>
  <si>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</si>
  <si>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</si>
  <si>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</si>
  <si>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</si>
  <si>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</si>
  <si>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</si>
  <si>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</si>
  <si>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</si>
  <si>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</si>
  <si>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</si>
  <si>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</si>
  <si>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</si>
  <si>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</si>
  <si>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Proceso</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</si>
  <si>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</si>
  <si>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Daño de superficie de hectareas afectadas en el sector herbaceo de 196 has, 4 has en el arbolado adulto, 40 has en el arboreo de renuevo y 319 has en el arbustivo</t>
  </si>
  <si>
    <t>Debido a las fuertes lluvias se presentaron afectaciones en 100 casas, arboles caidos, barda a punto de desplomarse y 50 vehiculos con desperfectos.</t>
  </si>
  <si>
    <t>Daño de superficie de hectareas afectadas en el sector herbaceo de 465 has, 3 has en el arbolado adulto, 4 has en el arboreo de renuevo y 40 has en el arbustivo</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</si>
  <si>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</si>
  <si>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</si>
  <si>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</si>
  <si>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</si>
  <si>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</si>
  <si>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</si>
  <si>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</si>
  <si>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</si>
  <si>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</si>
  <si>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Encarnacion de Diaz</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</si>
  <si>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</si>
  <si>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Volcadura de una pipa, a la altura de la Col. Zona Industrial de Ixtapaluca. La pipa transportaba 45,000 litros de gas LP. El accidente provoco el cierre de dos carriles de la autopista Mexico-Cuautla por 3.5 horas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</si>
  <si>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</si>
  <si>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</si>
  <si>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</si>
  <si>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</si>
  <si>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</si>
  <si>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</si>
  <si>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</si>
  <si>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</si>
  <si>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</si>
  <si>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</si>
  <si>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</si>
  <si>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</si>
  <si>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Volcadura de un camion del 18° Batallon perteneciente a la 30 Zona Militaren la Carr. Federal Estacion Chontalpa-Huimanguillo, en el poblado Mezcalapa. Debido a una falla mecanica, resultaron 27 militares lesionadoss y 3 fallecidos (sexo masculino).</t>
  </si>
  <si>
    <t xml:space="preserve">Caida de un autobus a un barranco en  la Carr. a Balsequilla a la altura del Poblado Los Angeles Tetela. Resultando 31 personas lesionadas (trasladadas para su atencion) y 2 fallecidas.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</si>
  <si>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</si>
  <si>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Matias Romero Avendaño</t>
  </si>
  <si>
    <t>Volcadura de un autobus de la empresa "FYPSA" sobre la carretera federal Coatzacoalcos-Salina Cruz. 6 personas lesionadas y 2 fallecidas de sexo femenino de 37 y 57 años de edad.</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</si>
  <si>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</si>
  <si>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</si>
  <si>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</si>
  <si>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</si>
  <si>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</si>
  <si>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</si>
  <si>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</si>
  <si>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autobus en el kilometro 85 de la carretera Queretaro-Mexico con razon social “ETN” Enlaces Terrestres Nacionales. Una persona muerta y 4 lesionados quienes fueron trasladados al Hospital Regional de Tepeji del Rio</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</si>
  <si>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</si>
  <si>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</si>
  <si>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</si>
  <si>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</si>
  <si>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Volcadura de 1 autobus con razon social “Grupo Coordinados Premier”, en el Km 53+500 de la Mexico-Queretaro. Resultando 30 personas lesionadas, trasladadas para su atencion.  </t>
  </si>
  <si>
    <t>Volcadura de 1 autobus urbano de la R-107 que recorre de la Cd. Monterrey-Garcia, en el km 3 carretera libre, resultando 30 personas lesionados, trasladadas para su atencion.</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</si>
  <si>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</si>
  <si>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</si>
  <si>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</si>
  <si>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</si>
  <si>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r>
      <t>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t>
    </r>
    <r>
      <rPr>
        <vertAlign val="superscript"/>
        <sz val="9"/>
        <color theme="1"/>
        <rFont val="Arial"/>
        <family val="2"/>
      </rPr>
      <t>2</t>
    </r>
    <r>
      <rPr>
        <sz val="9"/>
        <color theme="1"/>
        <rFont val="Arial"/>
        <family val="2"/>
      </rPr>
      <t xml:space="preserve"> aprox. Resultando 4 personas lesionadas (3 de sexo masculino de 26 años prom. y 1 del sexo femenino), trasladadas para su atencion. </t>
    </r>
  </si>
  <si>
    <t>Incendio de 1 autobus de la linea AU Mercedes Benz que circulaba sobre la autopista Cuitlahuac-Veracruz en el km 9+900, originado en el motor, desalojandose la unidad, la cual se consumio en su totalidad. Preventivamente se cerro la circulacion.</t>
  </si>
  <si>
    <t>Incendio de 1 autobus en la Carr. Fed. 90 en el tramo Penjamo-Abasolo, aprox. en el km 33+900. Preventivamente se cerro la circulacion Transportes Turisticos del Bajio S.A de C.V. TUR del Estado de Mexico. Se traslado a los 46 pasajeros a 1 RT.</t>
  </si>
  <si>
    <t>Volcadura de trailer de la empresa Orion Torrente Industrial que transportaba 32 toneladas de cianuro de sodio. Se derramo 1 tonelada de producto. Se cerro la circulacion de la carretera.</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</si>
  <si>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</si>
  <si>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</si>
  <si>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</si>
  <si>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Daño de superficie de hectareas afectadas en el sector herbaceo de 342 has, 4 has en el arbolado adulto, 1 ha en el arboreo de renuevo y 52 has en el arbustivo</t>
  </si>
  <si>
    <t>Choque en el Km 19 de la autopista en salida a la Cd. de Cuernavaca, entre 1 tracto camion y 2 vehiculos (1 Combi y 1 camioneta Jeep), perdieron la vida 4 personas y 3 mas resultaron lesionados, trasladadas para su atencion.</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</si>
  <si>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</si>
  <si>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Daño de superficie de hectareas afectadas en el sector herbaceo de 300 has, 1 ha en el arbolado adulto, 6 has en el arboreo de renuevo y 59 has en el arbustivo</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</si>
  <si>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</si>
  <si>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</si>
  <si>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Daño de superficie de hectareas afectadas en el sector herbaceo de 189 has y 168 has en el arbustivo</t>
  </si>
  <si>
    <t>Daño de superficie de hectareas afectadas en el sector herbaceo de 256 has y 91 has en el arbustivo</t>
  </si>
  <si>
    <t>Accidente en la carretera de San Luis Potosi - Matehuala . Debido a la neblina y el exceso de velocidad un tracto camion y una patrulla de Policia Federal se impactan, resultando dos federales lesionados y el chofer del tracto camion fallece en el lugar.</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</si>
  <si>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</si>
  <si>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</si>
  <si>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</si>
  <si>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</si>
  <si>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</si>
  <si>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</si>
  <si>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Pánuco de Coronado</t>
  </si>
  <si>
    <t xml:space="preserve">Debido a la lluvia fue necesario porpocionr a la poblacion 194 despensas, 650 cobertores, 650 colchonetas, 100 impermeables, 50 botas de hule, 3 rollos de hule, 70 linternas, 194 kits de limpieza 194 kits de aseo personal. </t>
  </si>
  <si>
    <t>Daño de superficie de hectareas afectadas en el sector herbaceo de 80 has, 10 has en el arbolado adulto, 15 has en el arboreo de renuevo y 194 has en el arbustivo</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</si>
  <si>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</si>
  <si>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</si>
  <si>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</si>
  <si>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 xml:space="preserve">Volcadura de 1 camion de volteo en el Km. 17 del ejido Gavino Vazquez rumbo al ejido Chiapas, mismo que cayo a un barranco de aprox. 80 m. de profundidad. Resultando 6 personas fallecidas y 3 lesionadas, trasladadas para su atencion. </t>
  </si>
  <si>
    <t>Volcadura de 1 camion foraneo de la empresa Fletes y Pasajeros SEPSA, procedente de Huajuapan de Leon en el km 18 de la Carr. Mexico-Puebla. Resultando 25 personas lesionadas, trasladadas para su atencion. Se cerro parcialmente la circulacion.</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</si>
  <si>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</si>
  <si>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</si>
  <si>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</si>
  <si>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Cihuatlan</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</si>
  <si>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</si>
  <si>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</si>
  <si>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Daño de superficie de hectareas afectadas en el sector herbaceo de 9,959 has, 1,745 has en el arbolado adulto, 1,860 has en el arboreo de renuevo y 4,037 has en el arbustivo</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</si>
  <si>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</si>
  <si>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</si>
  <si>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</si>
  <si>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</si>
  <si>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Daño de superficie de hectareas afectadas en el sector herbaceo de 67 has, 3 has en el arbolado adulto y 84 has en el arbustivo</t>
  </si>
  <si>
    <t xml:space="preserve">Incendio en 1 taller de bicicletas que se propago a 8 departamentos del edificio  B4, resultando 5 departamentos con daños totales y 3 con daños parciales quedando inhabilitables. Ubicados en calle 5 No. 343 de la Col. Agricola Pantitlan. Preventivamente se evacuaron 200 personas de los edificios B2, B3, asi como 8 familias trasladadas con familiares.  </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</si>
  <si>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</si>
  <si>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</si>
  <si>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</si>
  <si>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Daño de superficie de hectareas afectadas en el sector herbaceo de 72 has, 3 has en el arbolado adulto y 49 has en el arbustivo</t>
  </si>
  <si>
    <t>Debido a las fuetes lluvias se registro el reblandecimiento de suelo  generando   deslave de cerro, sepultando 1 casa en la Col. Guadalajara Izquierdo. Resultando 3 personas fallecidas (2 del sexo femenino de 22 y 5 años, y 1 del sexo masculino de 8 años).</t>
  </si>
  <si>
    <t>En la Carr. Naucalpan-Toluca a la altura de la Col. San Rafael Chamapa se registro el choque y volcadura de 3 vehiculos particulares (2 vehiculos y 1 camioneta). Resultando 11 personas fallecidas y 10 lesionadas, trasladadas para su atencion.</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</si>
  <si>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</si>
  <si>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</si>
  <si>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</si>
  <si>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Ocotlan</t>
  </si>
  <si>
    <t>Lluvia fuerte 840 viviendas afectadas (150 con perdidas materiales), el DIF de Jalisco otorgo insumos que consistieron en166 despensas, 166 kits de limpieza, 166 kits de aseo personal, se habilito 1 RT.</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</si>
  <si>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</si>
  <si>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Pilcaya</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</si>
  <si>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</si>
  <si>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Molango</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</si>
  <si>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</si>
  <si>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Volcadura de 1 autobus con razon social Viajes Eclipse en la Carr. Cd. Victoria-Monterrey km 28+300. Resultado 8 pesonas lesionadas que fueron trasladadas para su atencion. Se cerro temporalmente la circulacion.</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</si>
  <si>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</si>
  <si>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</si>
  <si>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Choque frontal entre 2 camionetas . Derivado del siniestro, se reportan 10 personas lesionadas trasladadas para su atencion y una mujer (55) y cuatro hombres fallecidos (con promedio de edad de 42 años)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</si>
  <si>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</si>
  <si>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Choque de frente entre un camion de jornaleros y un vehiculo compacto. Derivado del accidente se reportaron 27 personas lesionadas y dos hombres fallecidos, el chofer (que murio en el lugar) y su acompañante (que fallecio cuando lo trasladaban al hospital)</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</si>
  <si>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</si>
  <si>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Queretero</t>
  </si>
  <si>
    <t>Accidente carretero  en la comunidad Purisima de Cubos entre una camioneta del DIF y un camion de agua embotellada resultando cuatro personas lesionadas y una fallecida.</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</si>
  <si>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</si>
  <si>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</si>
  <si>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Fuertes lluvias que provocaron el desbordamiento de los rios Puyacatengo y Oxolotan. Tres RT activados. Se reporto penetracion de agua en las viviendas de 70 personas, con tirantes de 30 a 40 cm. Realizacion de  labores de desazolve y limpieza.</t>
  </si>
  <si>
    <t>Accidente en la autopista siglo XXI tramo cuatro caminos-las cañas km 189, entre dos vehiculos (suzuki y nissan Pickup). Resultando 8 personas fallecidas: 4 hombres y 4 mujeres.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</si>
  <si>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</si>
  <si>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</si>
  <si>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</si>
  <si>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</si>
  <si>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Volcadura de 1 pipa de doble remolque perteneciente a la empresa Planta Mexicana de Cobre que transportaba 14 mil l de acido sulfurico, el derrame es aproximadamente del 20% de la capacidad del primer contenedor (aprox. 3 mil l). Resultando 2 personas lesionadas.</t>
  </si>
  <si>
    <t>Debido a las lluvia en la zona de montaña en el Segundo Andador de la Ampliacion 20 de noviembre, se registraron encharcamientos en 13 viviendas con tirantes de 10 a 40 cm. Se entregaron cobertores, colchonetas y despensas.</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</si>
  <si>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</si>
  <si>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</si>
  <si>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</si>
  <si>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Sain Alto y Jerez</t>
  </si>
  <si>
    <t xml:space="preserve">Debido a las lluvias registradas resultaron 240 personas afectadas y 12 viviendas con perdida total en enseres domesticos. Asi como 1 persona fallecida (sexo masculino de 34 años) y 5 personas lesionadas. </t>
  </si>
  <si>
    <t>Daño de superficie de hectareas afectadas en el sector herbaceo de 33 has y 31 has en el arbustivo</t>
  </si>
  <si>
    <t>Jantetelco</t>
  </si>
  <si>
    <t>Incendio en una bodega de pacas de avena,  en el Rancho Azteca, ubicado entre las localidades de Tenango y San Antonio La Esperanza, afectando por el fuego 1500 pacas de avena</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</si>
  <si>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</si>
  <si>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Las lluvias registradas desbordaron el canal Rio San Juan, afectando 8 viviendas por penetracion de agua.</t>
  </si>
  <si>
    <t>Accidente carretero por arrastre de un vehiculo de la Policia Federal, con 6 elementos a bordo. La unidad fue arrastrada al querer pasar por el vado del Rio Coahuayana, el cual estaba desbordandose. Resultaron dos muertos, 3 lesionados y un desaparecido.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</si>
  <si>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</si>
  <si>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 xml:space="preserve">Debido a las lluvias se apoyo a la poblacion con 1250 despensas, 8125 laminas tipo b, 2500 cobertores, 2500 colchonetas, 600 impermeables, 600 botas, 1250 kits de limpieza, 1250 kits de aseo personal, 1500 litros de agua, 800 costales y 600 linternas. </t>
  </si>
  <si>
    <t>Explosion de tanque de gas LP de 300 kilos en una bodega de plasticos, ubicada en la Colonia Centro, ocasiono el incendio de un vehiculo, provocando lesiones a tres personas y perdidas materiales en la bodega</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</si>
  <si>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</si>
  <si>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</si>
  <si>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</si>
  <si>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</si>
  <si>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Arrastre de 1 Jeep en el cual viajaban 9 adolescentes (entre 16 y 18 años), al intentar cruzar el Arrollo San Antonio. Resultando 4 personas fallecidas (2 del sexo femenino y 2 del sexo masculino de 17 años prom.).</t>
  </si>
  <si>
    <t>Ocotlan de Morelos</t>
  </si>
  <si>
    <t>Arrastre de 1 taxi foraneo con pasajeros en el rio Lavadero de la Agencia Maguey Largo que trato de cruzar el rio crecido. Resultando 3 personas fallecidas (sexo masculino de 36 años, 2 de sexo femenino).</t>
  </si>
  <si>
    <t xml:space="preserve">Accidente al cruce de las avenidas Circunvalacion y Gran Canal, en la Col. Jardines de Casanueva entre el ferrocarril y 1 vehiculo particular, debido a que este ultimo quiso ganarle el paso a la locomotora siendo arrastrado 100 m.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</si>
  <si>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</si>
  <si>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</si>
  <si>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</si>
  <si>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</si>
  <si>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Incendio en el garage de una vivienda en la calle de Izabal, esquina Legaria, en la colonia Torre Blanca. El incendio afecto parte del garage y un vehiculo particular. </t>
  </si>
  <si>
    <t>Zitacuaro</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</si>
  <si>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</si>
  <si>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Alto oleaje en la playa las Glorias, Ensenadita y Boca del Rio, provocando el colapso de 6 restaurantes en su totalidad, 1 restaurante con daños parciales, mas de 100 palapas afectadas, 6 viviendas afectadas y daños en caminos.</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</si>
  <si>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</si>
  <si>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</si>
  <si>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</si>
  <si>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</si>
  <si>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</si>
  <si>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</si>
  <si>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</si>
  <si>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</si>
  <si>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</si>
  <si>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</si>
  <si>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</si>
  <si>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</si>
  <si>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Accidente acuatico al hundirse una  lancha en la cual viajaban una familia en la Presa Centenario, resultando 10 personas fallecidas (4 del sexo masculino de 28 años prom. y 2 del sexo femenino de 14 años prom.)</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</si>
  <si>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</si>
  <si>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</si>
  <si>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</si>
  <si>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En el 2104 7 personas  perdieron la vida a causa de las bajas temperaturas: 3 por hipotermia, 3 por intoxicación y 1 por quemadura. Además 178 personas fueron afectadas en su salud: 5 por hipotermia, 136 por intoxicación y 37 por quemadura.</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</si>
  <si>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</si>
  <si>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</si>
  <si>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</si>
  <si>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Choque por alcance entre 1 autobus de pasajeros del Grupo Senda y 1 trailer con caja en la autopista Laredo km. 34. Resultando 15 personas lesionadas, trasladadas para su atencion y 6 personas fallecidas. Se cerro la circulacion.</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</si>
  <si>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</si>
  <si>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</si>
  <si>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</si>
  <si>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</si>
  <si>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</si>
  <si>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San Pedro Cholula</t>
  </si>
  <si>
    <t>Explosion de 1 polvorin, resultando 4 persona fallecida y 2 lesionadas (1 de sexo masculino de 35 años y 1 de sexo femenino de 60 años), trasladadas para su atencion.</t>
  </si>
  <si>
    <t>En el 2014 tres personas perdieron la vida debido a la intoxicación y fue necesario atender a 29 más por la misma causa.</t>
  </si>
  <si>
    <t>En 2014 dos personas perdieron la vida por intoxicación y 1 por quemadura. Además 2 personas fueron atendidas por intoxicacion</t>
  </si>
  <si>
    <t>Debido a las lluvias fuertes se registro el arrastre de 1 familia de 3 personas (de sexo masculino de 10, 17 y 36 años) por la corriente del Rio que desemboca en la Presa Balsequillo, el incidente ocurrio al tratar de cruzar.</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</si>
  <si>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</si>
  <si>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Lluvias moderadas a fuertes en Apodaca, 1 taxi con 5 personas imprudencialmente intento cruzar el arroyo denominado Talaberna, ubicado a la altura de la Col. Lomas del Pedregal, siendo arrastrado. Resultando 3 personas fallecidas por ahogamiento.</t>
  </si>
  <si>
    <t>En el 2014 dos personas perdieron la vida por intoxicación. Además 2 personas fueron atendidas por hipotermia, 22 por intoxicacion y 1 por quemadura</t>
  </si>
  <si>
    <t>En el 2014 dos personas perdieron la vida por hipotermia, además 8 fueron atendidas por intoxicacion</t>
  </si>
  <si>
    <t>En 2014 dos presonas perdieron la vida por golpe de calor y fueron atendidas 5 por golpe de calor y dos más por gotamiento por calor.</t>
  </si>
  <si>
    <t>En 2014 dos personas perdieron la vida por golpe de calor y fueron atendidas seis por golpe de calor y una por agotamiento por calor.</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</si>
  <si>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</si>
  <si>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</si>
  <si>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San Cristobal Amatlan</t>
  </si>
  <si>
    <t xml:space="preserve">Fallecimiento de 2 personas (sexo masculino de 57 y 37 años),  por caida de rayo cuando realizaban labores de campo en el Rancho San Isidro. Asi como 1 persona lesionada (sexo desconocido), trasladada para su atencion. </t>
  </si>
  <si>
    <t>Se registro el fallecimiento de dos personas (del sexo femenino de 9 y 76 años), por arrastre de caudal debido a la crecida del rio ubicado en  la comunidad San Jeronimo.</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</si>
  <si>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</si>
  <si>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Volcadura de un vehiculo Jetta a la altura de la carretera federal No. 57 a la entrada al Municipio de San Jose Iturbide. Se reportan 2 fallecidos y 3 lesionados.</t>
  </si>
  <si>
    <t>En 2014 una persona perdio la vida por intoxicacion. Además dos personas fueron atendidas por intoxicacion y una por quemadura</t>
  </si>
  <si>
    <t>En 2014 una persona murió por golpe de calor y fueron atendidas 19 por golpe de calor, 17 por agotamiento por calor y dos por quemadura.</t>
  </si>
  <si>
    <t>En 2014 una persona perdió la vida por golpe de calor y una más fue atendida por la misma causa.</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</si>
  <si>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</si>
  <si>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</si>
  <si>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En Av. La Joya se registro la  volcadura de 1 camion de la Ruta Panteon. Resultando 1 persona fallecida y 13 personas  lesionadas (8 de sexo femenino de 33 años prom. y 5 de sexo masculino de 26 años promedio), trasladadas para su atencion.</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</si>
  <si>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</si>
  <si>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Explosion e incendio de una linea en el sistema de calentamiento e inyeccion de aceite al Pozo Remolino 1695 a cargo de la Cia. TNT Line, afectando el camper de la propia compañia. Resultando 1 persona fallecida (sexo masculino) y otra lesionada.</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</si>
  <si>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</si>
  <si>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</si>
  <si>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</si>
  <si>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</si>
  <si>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</si>
  <si>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</si>
  <si>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 xml:space="preserve">En la Carr. Garcia entronque Saltillo, se registro la explosion de una caldera dentro de la fabrica Gonher dedicada a la fabricacion de aceites y acumuladores. Resultando 1 persona fallecida y 5 lesionadas. </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</si>
  <si>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</si>
  <si>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</si>
  <si>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</si>
  <si>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</si>
  <si>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Santa Maria Colotepec</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</si>
  <si>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</si>
  <si>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</si>
  <si>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</si>
  <si>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</si>
  <si>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Debido a las lluvias fuertes acompañadas de actividad electrica cayo un rayo en el campo de la comunidad, afectando a 3 menores de sexo femenino que se encontraban jugando, una de ellas fallecio.</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</si>
  <si>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</si>
  <si>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</si>
  <si>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Varios derrumbes en carreteras,  deceso de una persona (sexo desconocido) por accidente carretero producido por un derrumbe. Se registraron tirantes de hasta 40 centimetros. Sin RT activados</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</si>
  <si>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</si>
  <si>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</si>
  <si>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</si>
  <si>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En el 2014 fue necesario atender a 1 persona por hipotermia y 8 por intoxicacion</t>
  </si>
  <si>
    <t>En el 2014 tres personas fueron atendidas por intoxicación</t>
  </si>
  <si>
    <t>En 2014 cinco personas fueron atendidas por intoxicación</t>
  </si>
  <si>
    <t>En 2014 una persona fue atendida por intoxicacion</t>
  </si>
  <si>
    <t>En 2014 seis personas fueron atendidas por intoxicación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</si>
  <si>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</si>
  <si>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</si>
  <si>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</si>
  <si>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</si>
  <si>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</si>
  <si>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</si>
  <si>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requirió atención por golpe de calor.</t>
  </si>
  <si>
    <t>En 2014 una persona fue atendida por agotamiento de calor.</t>
  </si>
  <si>
    <t>Fuga de gasolina de 1 ducto de PEMEX a la altura del km 40 de la carretera Tampico-Mante, en el Ejido Rio Tamiahua, por lo que se procedio a evacuar a 50 familias (200 personas) aprox., conduciendolas hacia zonas de menor riesgo.</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</si>
  <si>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</si>
  <si>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</si>
  <si>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Choque en la autopista Mexico-Guadalajara km 265+000 entre 1 autobus de la linea Primera Plus, contra 1 caja refrigerante de un trailer. Resultando 13 personas lesionadas, 7 trasladadas para su atencion. Preventivamente se cerro la circulacion. </t>
  </si>
  <si>
    <r>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t>
    </r>
    <r>
      <rPr>
        <vertAlign val="superscript"/>
        <sz val="9"/>
        <color theme="1"/>
        <rFont val="Arial"/>
        <family val="2"/>
      </rPr>
      <t xml:space="preserve">2  </t>
    </r>
    <r>
      <rPr>
        <sz val="9"/>
        <color theme="1"/>
        <rFont val="Arial"/>
        <family val="2"/>
      </rPr>
      <t>y afectando 3 inmuebles.</t>
    </r>
  </si>
  <si>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</si>
  <si>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</si>
  <si>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</si>
  <si>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Incendio en el area de salones del hotel holiday Inn (en el area se realizaban trabajos de soldadura provocando una chispa y alcanzando los plafones). Preventivamente se evacuaron 250 personas y 7 mas intoxicadas que fueron atendidas en el lugar. </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</si>
  <si>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</si>
  <si>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</si>
  <si>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</si>
  <si>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</si>
  <si>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</si>
  <si>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</si>
  <si>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</si>
  <si>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Tepatitlan</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</si>
  <si>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</si>
  <si>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</si>
  <si>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</si>
  <si>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</si>
  <si>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 xml:space="preserve">Incendio del mercado corona ubicado en Av. Hidalgo y calles Pedro Loza, Independencia y Santa Monica, Col. Centro. Resultando en perdida total del mercado y afectando 500 locales aprox. </t>
  </si>
  <si>
    <t>Marques</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</si>
  <si>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</si>
  <si>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</si>
  <si>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</si>
  <si>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 xml:space="preserve">Fuga de amoniaco en la empresa Hielos Fiesta, debido a que se realizaron labores de mantenimiento de aceite residual dentro de la empresa. Preventivamente se evacuo una escuela cercana con 7 mil personas. </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</si>
  <si>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</si>
  <si>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</si>
  <si>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17 personas picadas por abejas en el libramiento en la esq. Mil cumbres de la Col. Lomas del Tecnologico, trasladadas para su atencion a diversos hospitales para su valoracion y atencion medica. Preventivamente se acordono la zona.</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</si>
  <si>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</si>
  <si>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Zapopan y Puerto Vallarta</t>
  </si>
  <si>
    <t>Debido a las lluvias crecieron los rios y canales. Resultando 2 personas (sexo masculino de 20 y 28 años) desaparecidas  debido a que uno intento cruzar el canal y otro se estaba bañando en el rio.</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</si>
  <si>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</si>
  <si>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</si>
  <si>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</si>
  <si>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</si>
  <si>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</si>
  <si>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</si>
  <si>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Fuga de un cilindro de gas de 20kg provoco un flamazo afectando a una mujer de 23 años, que resulto con quemaduras.</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</si>
  <si>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</si>
  <si>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</si>
  <si>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</si>
  <si>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Incendio por falla electrica que afecto a 20 metros de una bodega de la empresa Little Fuse que se dedica a la maquila de fusibles, se evacuaron a 50 personas, no se reporta lesionados.</t>
  </si>
  <si>
    <t>Incendio de casa habitacion de material de madera con techo de lamina de carton y galvanizada, se reporto perdida total del inmueble, las dos personas que lo habitan resultaron ilesas. Se desconocen las causas del incendio.</t>
  </si>
  <si>
    <t>San Juan Bautista Coaixtlahuaca</t>
  </si>
  <si>
    <t xml:space="preserve">Accidente de autobus en el km 165 en la poblacion de San Juan Coixtlahuaca en el estado de Oaxaca. Se reportan 14 lesionados, los cuales no son de gravedad y fueron trasladados para su atencion.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</si>
  <si>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</si>
  <si>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</si>
  <si>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</si>
  <si>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</si>
  <si>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</si>
  <si>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</si>
  <si>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</si>
  <si>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Toma clandestina no hermetica en el poliducto de 12”Ø-20"Ø Minatitlan-Mexico entre Acatzingo y Quecholac, Puebla a la altura  del poblado la Compañia.  El area afectada es de 150 x 50 m en terreno arenoso </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</si>
  <si>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</si>
  <si>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</si>
  <si>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</si>
  <si>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</si>
  <si>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</si>
  <si>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</si>
  <si>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En 2015 dos personas murieron por golpe de calor. Además fueron afectadas 42 personas en su salud:  cinco por golpe de calor y  37 por agotamiento por calor.</t>
  </si>
  <si>
    <t>En 2015 doce personas murieron por golpe de calor. Además fueron afectadas 54 personas en su salud:  29 por golpe de calor y  25 por agotamiento por calor.</t>
  </si>
  <si>
    <t>En 2015 una persona murió por golpe de calor. Además fueron afectadas 4 personas en su salud:  3 por golpe de calor y  1 por agotamiento por calor.</t>
  </si>
  <si>
    <t>En 2015 dos personas fallecieron por golpe de calor. Además fueron afectadas 10 personas en su salud por la misma causa.</t>
  </si>
  <si>
    <t>En 2015 una persona falleció por golpe de calor. Además fueron afectadas 36 personas en su salud:  12 por golpe de calor, 22 por agotamiento por calor y dos por quemaduras.</t>
  </si>
  <si>
    <t>En 2015 ocho personas fallecieron por golpe de calor. Además fueron afectadas 354 personas en su salud:  33 por golpe de calor y 321 por agotamiento por calor.</t>
  </si>
  <si>
    <t xml:space="preserve">En 2015 una persona murió por golpe de calor. Además 5 personas fueron afectadas en su salud por la misma causa. </t>
  </si>
  <si>
    <t>En 2015 una persona murió por golpe de calor. Además fueron afectadas12 personas en su salud:  2 por golpe de calor y 10 por agotamiento por calor.</t>
  </si>
  <si>
    <t>En 2015 una persona murió por golpe de calor. Además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</si>
  <si>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</si>
  <si>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</si>
  <si>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</si>
  <si>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</si>
  <si>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En 2015 tres personas fueron afectadas en su salud por golpe de calor.</t>
  </si>
  <si>
    <t xml:space="preserve">En 2015 dos personas fueron afectadas en su salud: una por golpe de calor y una por agotamiento por calor. </t>
  </si>
  <si>
    <t>En el año reportó un total de 28 incendios durante 2015, con 518.82 hectáreas de estrato herbáceo afectadas y 89.98 de arbustivo.</t>
  </si>
  <si>
    <t>Se reportaron un total de 95 incendios durante 2015, con una afectación de 862.11 hectáreas en el estrato herbáceo, 323.8 en el arbóreo y 17,403.47 en el arbustivo.</t>
  </si>
  <si>
    <t>Se reportaron un total de 37 incendios durante 2015, con una afectación en el estrato herbáceo de 1,648.86, 151.23 de arbolado adulto y 9.5 de renuevo y 131.23 arbustivo.</t>
  </si>
  <si>
    <t>Se reportaron 28 incendios durante 2015, con una afectación en el estrato herbáceo de 2,073.7 hectáreas, 366.5 en arbolado adulto, 668.5 en renuevo y 3,421.3 en arbustivo.</t>
  </si>
  <si>
    <t>Se reportaron 320 incendios durante 2015, con una afectación en el estrato herbáceo de 4,561.2 hectáreas, 99.5 en arbolado adulto, 97.75 en renuevo y 346.2 en arbustivo.</t>
  </si>
  <si>
    <t>Se reportaron 252  incendios durante 2015, con una afectación en el estrato herbáceo de 1688.18 hectáreas, 9.25 en arbolado adulto, 66 en renuevo y 210.62 en arbustivo.</t>
  </si>
  <si>
    <t>Se reportaron 32 incendios durante 2015, con afectación en el estrato herbáceo de 141.73 hectáreas, .02 en arbóreo y 582.79 en arbustivo.</t>
  </si>
  <si>
    <t>Se reportaron 11 incendios durante 2015, con afectación en el estrato herbáceo de 63.23 hectáreas y 52.28 en arbustivo.</t>
  </si>
  <si>
    <t>Se reportaron 502 incendios durante 2015, con afectación en el estrato herbáceo de 700.93 hectáreas, 10.16 en renuevo y 76.59 en arbustivo.</t>
  </si>
  <si>
    <t>Se reportaron 68 incendios durante 2015, con afectación en el estrato herbáceo de 516.56 hectáreas, 1 de arbolado adulto, 23.5 en renuevo y 117.5 en arbustivo.</t>
  </si>
  <si>
    <t>Se reportaron 9 incendios durante 2015, con afectación en el estrato herbáceo de 659.16 hectáreas, 10 en renuevo y 7.82 en arbustivo.</t>
  </si>
  <si>
    <t>Se reportaron 147 incendios durante 2015, con afectación en el estrato herbáceo de 3,757.4 hectáreas, 212.46 en renuevo y  1,517.22 en arbustivo.</t>
  </si>
  <si>
    <t>Se reportaron 30 incendios durante 2015, con afectación en el estrato herbáceo de 39.2 hectáreas, 1.5 en renuevo y  71.95 en arbustivo.</t>
  </si>
  <si>
    <t>Se reportaron 364 incendios durante 2015, con afectación en el estrato herbáceo de 6,345.5 hectáreas, 33.5 en arbolado adulto, 29.5 en renuevo y  1,610 en arbustivo.</t>
  </si>
  <si>
    <t>Se reportaron 519 incendios durante 2015, con afectación en el estrato herbáceo de 505.37 hectáreas, 1.55 en arbolado adulto, 74.9 en renuevo y  805.66 en arbustivo.</t>
  </si>
  <si>
    <t>Se reportaron 225 incendios durante 2015, con afectación en el estrato herbáceo de 872.55 hectáreas, 32.1 en arbolado adulto, 33.61 en renuevo y  427.91 en arbustivo.</t>
  </si>
  <si>
    <t>Se reportaron 106 incendios durante 2015, con afectación en el estrato herbáceo de 292.55 hectáreas y  92 en arbustivo.</t>
  </si>
  <si>
    <t>Se reportaron 57 incendios durante 2015, con afectación en el estrato herbáceo de 336 hectáreas y  117 en arbustivo.</t>
  </si>
  <si>
    <t>Se reportaron 13 incendios durante 2015, con afectación en el estrato herbáceo de 49.54 hectáreas y  31.75 en arbustivo.</t>
  </si>
  <si>
    <t>Se reportaron 263 incendios durante 2015, con afectación en el estrato herbáceo de 7,212.8 hectáreas, 849 en arbolado adulto, 352 en renuevo y 2,762 en arbustivo.</t>
  </si>
  <si>
    <t>Se reportaron 156 incendios durante 2015, con afectación en el estrato herbáceo de 1,865.75 hectáreas, 8 en arbolado adulto, 2.5 en renuevo y 241.65 en arbustivo.</t>
  </si>
  <si>
    <t>Se reportaron 7 incendios durante 2015, con afectación en el estrato herbáceo de 40.25 hectáreas, 3 en renuevo y 15 en arbustivo.</t>
  </si>
  <si>
    <t>Se reportaron 81 incendios durante 2015, con afectación en el estrato de arbolado adulto en 33.43 hectáreas y 5,538.74 en arbustivo.</t>
  </si>
  <si>
    <t>Se reportaron 18 incendios durante 2015, con afectación en el estrato herbáceo en 243.6 hectáreas, 10 de renuevo y 125.5 en arbustivo.</t>
  </si>
  <si>
    <t>Se reportaron 16 incendios durante 2015, con afectación en el estrato herbáceo en 322 hectáreas, 120 en arbolado adulto, 10.03 de renuevo y 50 en arbustivo.</t>
  </si>
  <si>
    <t>Se reportaron 31 incendios durante 2015, con afectación en el estrato herbáceo en 1,946.8 hectáreas y 12.9 en arbustivo.</t>
  </si>
  <si>
    <t>Se reportaron 26 incendios durante 2015, con afectación en el estrato herbáceo en 695.2 hectáreas y .5 en arbolado adulto.</t>
  </si>
  <si>
    <t>Se reportaron 5 incendios durante 2015, con afectación en el estrato herbáceo en 194.25 hectáreas, 6 en arbolado adulto, 2 de renuevo y 26 en arbustivo.</t>
  </si>
  <si>
    <t>Se reportaron 157 incendios durante 2015, con afectación en el estrato herbáceo en 263 hectáreas,.25 en arbolado adulto, .75 de renuevo y 2.75 en arbustivo.</t>
  </si>
  <si>
    <t>Se reportaron 130 incendios durante 2015, con afectación en el estrato herbáceo en 412.9 hectáreas, 19.75 de renuevo y 722.97 en arbustivo.</t>
  </si>
  <si>
    <t>Se reportaron 34 incendios durante 2015, con afectación en el estrato herbáceo en 91 hectáreas, 7,168.9 de arbolado adulto, 69 de renuevo y 1,317.35 en arbustivo.</t>
  </si>
  <si>
    <t>Se reportaron 42 incendios durante 2015, con afectación en el estrato herbáceo en 615.34 hectáreas, 6 de renuevo y 157.53 en arbustivo.</t>
  </si>
  <si>
    <t>En el 2105, tres personas  perdieron la vida a causa de intoxicación . Además 178 personas fueron afectadas en su salud: 11 por intoxicación y 3 por quemadura.</t>
  </si>
  <si>
    <t>En el 2105, siete personas  perdieron la vida a causa de las bajas temperaturas: 1 por hipotermia, 5 por intoxicación y 1 por quemadura. Además 168 personas fueron afectadas en su salud: 7 por hipotermia, 134 por intoxicación y 1 por quemadura.</t>
  </si>
  <si>
    <t>En el 2105, dos personas  perdieron la vida a causa de las bajas temperaturas: 1 por hipotermia y 1 por intoxicación.</t>
  </si>
  <si>
    <t>En el 2105 ,ocho personas  perdieron la vida a causa de intoxicación. Además 3 personas fueron afectadas en su salud por la misma causa.</t>
  </si>
  <si>
    <t>En el 2105 ,dos personas  perdieron la vida a causa de intoxicación. Además 10 personas fueron afectadas en su salud por la misma causa.</t>
  </si>
  <si>
    <t>En el 2105, dos personas  perdieron la vida a causa de las bajas temperaturas: 1 por hipotermia de una persona masculina de aproximadamente 40 años, era indigente y padecía de sus facultades mentales y 1 por intoxicación.</t>
  </si>
  <si>
    <t>SS/CENACOM</t>
  </si>
  <si>
    <t>En el 2105,  diez personas  perdieron la vida a causa de las bajas temperaturas: 3 por hipotermia y 7 por intoxicación. Además 44 personas fueron afectadas en su salud: 1por hipotermia, 42 por intoxicación y 1 por quemadura.</t>
  </si>
  <si>
    <t>En el 2105, cuatro personas  perdieron la vida por intoxicación. Además 9 personas fueron afectadas en su salud: 3 por hipotermia y 6 por intoxicación.</t>
  </si>
  <si>
    <t>En el 2105, una persona perdió la vida por hipotermia. Además 13 personas fueron afectadas en su salud por intoxicación.</t>
  </si>
  <si>
    <t>En el 2105, una persona perdió la vida por hipotermia. Además seis personas fueron afectadas en su salud por intoxicación.</t>
  </si>
  <si>
    <t>En el 2105, una persona perdió la vida por intoxicación.</t>
  </si>
  <si>
    <t>En el 2105, una persona perdió la vida por intoxicación y cuatro más fueron atendidas por la misma causa.</t>
  </si>
  <si>
    <t>En el 2105, una persona perdió la vida por intoxicación y dos más fueron atendidas por la misma causa.</t>
  </si>
  <si>
    <t>En el 2015, dos personas fueron atendidas por intoxicación.</t>
  </si>
  <si>
    <t>Accidente entre camión torton y un vehículo particular Jetta los dos en llamas, en la autopista México-Puebla. Se reportaron dos personas con quemaduras (de 40% y 30% del cuerpo) y dos personas con fracturas. Una persona fallecida.</t>
  </si>
  <si>
    <t xml:space="preserve">Fallecimiento de un alpinista (28 años) de nacionalidad alemana en la Sierra de Potrero Chico que al descender cayó al acabársele la cuerda.  </t>
  </si>
  <si>
    <t>Agua Dulce, Alvarado, Las Choapas, Misantla, Moloacán,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</si>
  <si>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</si>
  <si>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Ostuacán</t>
  </si>
  <si>
    <t>Fuertes lluvias de manera intermitente por 5 horas provocaron encharcamientos. Un RT activado pero las familias no quisieron dejar sus domicilios. Los encharcamientos se produjeron derivado del taponamiento de un arroyo por escurrimiento del mismo y trabajos de construcción que se realizaban en el lugar. Desbordamiento de dos arroyos, 25 viviendas incomunicadas. 9 taponamientos de alcantarillado por derrumbe. Algunos tramos afectados por derrumbe.</t>
  </si>
  <si>
    <t>Ahumada, Balleza, Batopilas, Bocoyna, Carichí, Casas Grandes, Cuauhtémoc, Cusihuiriachi, Delicias, Dr. Belisario Domínguez, Gran Morelos, Guachochi, Guadalupe y Calvo, Guazapares, Guerrero, Hidalgo del Parral, Ignacio Zaragoza, Madera, Matachí, Meoqui, Moris, San Francisco de Borja, San Francisco de Conchos, Santa Bárbara, Saucillo, Temósachic, Buenaventura, Juárez, Namiquipa y Nuevo Casas Grandes</t>
  </si>
  <si>
    <t xml:space="preserve"> Por la presencia de
helada severa provocada por la segunda Tormenta Invernal y la interacción con el Frente Frío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</si>
  <si>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</si>
  <si>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interacción con el Frente Frío no. 26 se declararon en emergencia a seis municipios por lo que se repartieron,4,299 despensas, 17,198 cobertores b,  y 17,198 colchonetas.</t>
  </si>
  <si>
    <t>Agua Prieta, Álamos, Arivechi, Arizpe, Bacerac, Bacoachi, Bavíspe, Cananea, Cumpas, Etchojoa, Huachinera, Imuris, Naco, Nacozari de García, Navojoa, Quiriego, Rosario y Sahuaripa</t>
  </si>
  <si>
    <t>Por la presencia de helada
severa provocada por la segunda Tormenta Invernal y la interacción con el Frente Frío no. 26 se declararon en emergencia a 18 municipios por lo que se repartieron 2,473 despensas,  9,893 cobertores b, y  9,893 colchonetas.</t>
  </si>
  <si>
    <t>Canatlán, Cuencamé, Durango, Gómez Palacio, Guanaceví, Hidalgo, Indé, Mapimí, Mezquitan, Ocampo, El Oro, Otáez, Pueblo Nuevo, San Bernardo, San Dimas, Santiago Papasquiaro, Tamazula, Tepehuanes, Tlahualilo, Topia y Nuevo Ideal</t>
  </si>
  <si>
    <t>Por la presencia de helada
severa provocada por la segunda Tormenta Invernal y la interacción con el Frente Frío no. 26 se declararon en emergencia a 21 municipios por lo que se repartieron 8,229 despensas, 32,918 cobertores b, y  32,918 colchonetas.</t>
  </si>
  <si>
    <t>Catorce, Cedral, Matehuala, San Luis Potosí, Santo Domingo, Vanegas, Villa de la Paz, Villa de Ramos, Armadillo de los Infante, Charcas, Salinas, Venado, Villa de Guadalupe, Villa Hidalgo y Moctezuma</t>
  </si>
  <si>
    <t>Por la presencia de helada
severa provocada por la segunda Tormenta Invernal y la interacción con el Frente Frío no. 26 se declararon en emergencia a 14 municipios por lo que se repartieron 1,328 despensas, 5,314 cobertores b, y  5,314 colchonetas.</t>
  </si>
  <si>
    <t>Hidalgo, Maravatío, Morelia, Zinapécuaro, Zitácuaro, Epitacio Huerta y Contepec</t>
  </si>
  <si>
    <t xml:space="preserve">Por la presencia de helada
severa provocada por la segunda Tormenta Invernal y la interacción con el Frente Frío no. 26 se declararon en emergencia a 7 municipios por lo que se repartieron10,850 despensas, 43,400 cobertores b, y 43,400 colchonetas, </t>
  </si>
  <si>
    <t>Almoloya de Juárez, Amanalco, Amecameca, Ixtapaluca, Ixtlahuaca, Lerma, Temascaltepec, Tenango del Valle, Texcoco y Toluca y en una segunda declaratoria Ozumba y Atlautla</t>
  </si>
  <si>
    <t>Por la presencia de helada
severa provocada por la segunda Tormenta Invernal y la interacción con el Frente Frío no. 26 se declararon en emergencia a 10 municipios por lo que se repartieron12,968 despensas, 51,872 cobertores b, y 51,872 colchonetas. Para Ozumba y Atlautla se repartieron  652 despensas, 2,608 cobertores b, y   2,608 colchonetas.</t>
  </si>
  <si>
    <t>Anáhuac, Galeana, García, Monterrey, Santa Catarina, Santiago, Aramberri, Dr. Coss, Gral. Zaragoza y Parás</t>
  </si>
  <si>
    <t>Por la presencia de helada
severa provocada por la segunda Tormenta Invernal y la interacción con el Frente Frío no. 26 se declararon en emergencia a 10 municipios por lo que se repartieron1,623 despensas, 6,493 cobertores b, y  6,493 colchonetas.</t>
  </si>
  <si>
    <t>Acuña, Guerrero, Hidalgo, Jiménez, Monclova, Nava, Ocampo, Piedras Negras, Saltillo, Zaragoza, Allende, Cuatro Ciénegas, Juárez, Morelos, Sacramento, San Buenaventura, Villa Unión, San Pedro, General Cepeda, Torreón y Arteaga</t>
  </si>
  <si>
    <t>Por la presencia de helada
severa provocada por la segunda Tormenta Invernal y la interacción con el Frente Frío no. 26 se declararon en emergencia a 21 municipios por lo que se repartieron10,279 despensas, 41,117 cobertores b y  41,117 colchonetas.</t>
  </si>
  <si>
    <t>Aguascalientes, Asientos, Calvillo, Cosío, Jesús María, Pabellón de Arteaga, Rincón de Romos, San José de Gracia, Tepezalá, El Llano y San Francisco de los Romo</t>
  </si>
  <si>
    <t>Por la presencia de helada
severa provocada por la segunda Tormenta Invernal y la interacción con el Frente Frío no. 26 se declararon en emergencia a 11 municipios por lo que se repartieron589 despensas, 2357 cobertores b, y  2357 colchonetas.</t>
  </si>
  <si>
    <t xml:space="preserve">Mulegé </t>
  </si>
  <si>
    <t>Por la presencia de helada
severa provocada por la segunda Tormenta Invernal y la interacción con el Frente Frío no. 26 se declararon en emergencia al municipio de Mulegé  por lo que se repartieron 1,207 despensas, 4,831 cobertores b, y 4,831 colchonetas.</t>
  </si>
  <si>
    <t>Acatlán, Acaxochitlán, Huehuetla, Pachuca de Soto, Tulancingo de Bravo, Yahualica, Atlapexco, Huejutla de Reyes, Jaltocán, Metztitlán, San Felipe Orizatlán y Tlanchinol y en una segunda declaratoria  Mineral del Monte, Huasca de Ocampo, Singuilucan, Mineral del Chico, Omitlán de Juárez y Atotonilco el Grande</t>
  </si>
  <si>
    <t xml:space="preserve">Por la presencia de helada
severa provocada por la segunda Tormenta Invernal y la interacción con el Frente Frío no. 26 se declararon en emergencia a 12 municipios por lo que se repartieron 4,423 despensas, 17,692 cobertores b, y 17,692 colchonetas. En los 6 municipios de la segunda declaratoria se repartieron 180 despensas, 723 cobertores b, y  723 colchonetas. </t>
  </si>
  <si>
    <t>Querétaro, Tequisquiapan, Peñamiller, Pinal de Amoles, Arroyo Seco, Tolimán y Cadereyta de Montes</t>
  </si>
  <si>
    <t>Por la presencia de helada
severa provocada por la segunda Tormenta Invernal y la interacción con el Frente Frío no. 26 se declararon en emergencia a 7 municipios por lo que se repartieron1,208 despensas, 4,832 cobertores b, y 4,832 colchonetas.</t>
  </si>
  <si>
    <t>Chignahuapan, Huauchinango, Puebla, San Martín Texmelucan y Tetela de Ocampo y en una segunda declaratoria Chalchicomula de Sesma, San Nicolás de los Ranchos, Cuetzalan del Progreso y Libres</t>
  </si>
  <si>
    <t>Por la presencia de helada
severa provocada por la segunda Tormenta Invernal y la interacción con el Frente Frío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</si>
  <si>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</si>
  <si>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interacción con el Frente Frío no. 26 se declararon en emergencia a 4 municipios por lo que se repartieron 1,381 despensas, 5,524 cobertores b, y  5,524 colchonetas.</t>
  </si>
  <si>
    <t>Por la presencia de helada
severa provocada por la segunda Tormenta Invernal y la interacción con el Frente Frío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</si>
  <si>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</si>
  <si>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interacción con el Frente Frío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</si>
  <si>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</si>
  <si>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interacción con el Frente Frío no. 26 se declararon en emergencia a 4 municipios por lo que se repartieron2,797 despensas, 11,191 cobertores b, y 11,191 colchonetas. </t>
  </si>
  <si>
    <t>Debido a la granizada se declaró en desastre natural en el sector agropecuario, acuícola y pesquero al municipio de San Luis Potosí  por la pérdida de 329.5 hectáreas de cultivos como la alfalfa, almaciago, avena, cilantro, y nopal que afectaron a 77 productores (70 hombres y 7 mujeres).</t>
  </si>
  <si>
    <t>Accidente en la carretera federal Amozoc-Acajete km 10, entre un tráiler, auto particular y autobús de pasajeros, el saldo fue de dos personas fallecidas y 15 personas lesionadas. La circulación fue cerrada por aprox 3 horas</t>
  </si>
  <si>
    <t>Volcadura de un tracto camión con doble remolque que transportaba amoniaco, con razón social Auto tanques AB. Este accidente ocurrió sobre la autopista Arco Norte km 156, cuando se le voló una llanta trasera y el conductor perdió el control de la unidad, quedando un contenedor sobre la carretera y el otro se vuelca junto con la cabina del tracto camión, resultando lesionado el conductor y siendo atendido en el lugar.</t>
  </si>
  <si>
    <t>Se registró una fuga de gas natural en la colonia Loma Hermosa , debido a que personal de una empresa de aguas y saneamiento golpeó un tubo subterráneo de gas natural de 2 pulgadas, debido a ello, se realizó una evacuación preventiva de 2150 personas. No se reportan personas lesionadas ni afectaciones</t>
  </si>
  <si>
    <t>Volcadura de autobús en el kilómetro 45 de la carretera Ciudad Obregón – Guaymas por el choque entre un camión de carga y un autobús con número económico 209 perteneciente a la empresa con razón social TIM. 16 fallecidos por calcinación en el interior de la góndola de pasajeros y 20 lesionados trasladados para su atención.</t>
  </si>
  <si>
    <t>Volcadura en la carretera estatal Coyuca – Tepetixtla de un camión de volteo que transportaba personas y material de construcción. Resultaron seis lesionados con promedio de edad de 27 años, trasladados para su atención así como dos hombres muertos con edad promedio de 20 años</t>
  </si>
  <si>
    <t>Fuga de gas natural en la colonia Irrigación ocasionada por trabajos de excavación. Se evacuaron 2,000 personas de manera preventiva</t>
  </si>
  <si>
    <t>Impacto de una pipa de PEMEX doble remolque con 32,000 litros de gasolina,  contra un poste de energía eléctrica de la CFE. El accidente se presentó en el kilómetro 26 de la carretera Hermosillo-Nogales. Derivado del incidente se presentó derrame de producto y el incendio del vehículo.</t>
  </si>
  <si>
    <t>Zacoalco de Torres</t>
  </si>
  <si>
    <t>Volcadura de un tráiler doble remolque en la autopista Guadalajara-Colima cerca de Zacoalco de Torres, Resultaron derramados los 33,000 litros de diésel que transportaba. No hubo lesionados ni riesgo para la población.</t>
  </si>
  <si>
    <t xml:space="preserve">Flamazo </t>
  </si>
  <si>
    <t>Flamazo de un tanque de gas que estaba siendo llenado por una pipa sin las medidas de precaución correspondientes. Como resultado del incidente resultaron 8 personas lesionadas que fueron trasladadas para su atención además de dos muertos con un promedio de 20 años de edad. Se registro la perdida de una vivienda por incendio</t>
  </si>
  <si>
    <t>Choque de frente entre un tren que transportaba pasajeros y otro que se encontraba estacionado. El accidente se debió a que no se realizó correctamente el cambio de vías. Resultaron 23 personas lesionadas</t>
  </si>
  <si>
    <t>Volcadura en la carretera Janos- Puerto San Luis de un auto tanque debido a que el conductor perdió el control de la unidad y se volcó , provocando el derrame de aproximadamente 30,000 litros del diésel que transportaba. No se reportaron lesionados</t>
  </si>
  <si>
    <t>Fuga de gas LP de una pipa de capacidad de 4,000 litros la cual contenía 1,000 litros, en la Colonia Santa Catarina, a causa de falta de mantenimiento de la válvula principal. Se evacuó de manera preventiva a 1,000 personas de una secundaria y se suspendieron labores en una primaria. La fuga fue controlada después de una hora cuarenta minutos.</t>
  </si>
  <si>
    <t xml:space="preserve">Debido a heladas severas fue necesario declarar en emergencia al municipio de San Felipe del Progreso, por lo que se repartieron 3,794 despensas, 10,000 cobertores b,  y 10,000 colchonetas. </t>
  </si>
  <si>
    <t>Fuga de amoniaco en un tanque de almacenamiento de 2,000 litros, al cual se le fracturó la válvula de purga. Esto ocurrió dentro de las instalaciones de la empresa Sigma Alimentos. Se realizo una evacuación de 2,669 personas de 21 empresas ubicadas en el parque industrial de Celaya. Cuatro personas resultaron intoxicadas</t>
  </si>
  <si>
    <t>Fuga e incendio de una pipa de gas con razón Social "Gas Nieto" cuando estaba surtiendo de gas al Hospital Materno Infantil de Cuajimalpa  debido a que la válvula se desprendió de la misma cuando estaban cargando en el Hospital Materno Infantil de Cuajimalpa. Se reportaron cinco personas fallecidas (Dos bebés de sexo femenino, dos enfermeras y un camillero) 73 lesionados, (de los que se trasladaron a 30 para su atención medica) y se rescataron a 6 menores con vida.  Como medida preventiva se suspendieron labores de la escuela Secundaria Diurna 211.  91 viviendas fueron afectadas por la explosión -la mayoría con marcos de ventanas dañados y vidrios rotos.</t>
  </si>
  <si>
    <t>Canatlán, Durango, Guanaceví, Mezquital, Ocampo, Pueblo Nuevo, San Bernardo, San Dimas, Santiago Papasquiaro, Súchil, Tepehuanes y Vicente Guerrero</t>
  </si>
  <si>
    <t>Debido a las lluvias severas se declararon en emergencia a 11 municipios y se repartieron 7,412 despensas, 14,826 cobertores b,  y 14,826 colchonetas.</t>
  </si>
  <si>
    <t>Explosión dentro de una vecindad por acumulación de gas en un tanque estacionario de 30 kg en la colonia El Dique. El saldo final fue de una persona muerta, nueve lesionados y pérdida total de dos viviendas.</t>
  </si>
  <si>
    <t>18 municipios</t>
  </si>
  <si>
    <t xml:space="preserve">Se registraron nevadas en varios municipios del estado, la altura de la nieve va de los 5 a los 25 cm. En el municipio de El Salto se activó un RT con 20 personas albergadas, en los demás municipios la población se reusó a usarlos. La súper carretera Mazatlán-Durango se cerro, presentando hasta 50 cm de nieve en diversos tramos, además  de 25 caminos en mal estado y 9,825 viviendas con afectaciones menores   </t>
  </si>
  <si>
    <t>Súchil, Vicente Guerrero</t>
  </si>
  <si>
    <t>Desbordamiento de un río que atraviesa los municipios de Súchil y Vicente Guerrero, ocasionando la penetración de agua en 50 viviendas del municipio de Súchil y 70 en Vicente Guerrero. No se tiene en operación ningún RT, ya que las personas afectadas se negaron a retirarse de sus viviendas.</t>
  </si>
  <si>
    <t>San Luis Río Colorado</t>
  </si>
  <si>
    <t>Incendio en una casa móvil en el área de playa conocido como Machorro, resultando en la muerte de una menor de dos años, mientras que su madre de 20 años con quemaduras de 1° y 2° grado. Se desconocen las causas que originaron el incendio</t>
  </si>
  <si>
    <t xml:space="preserve">Volcadura de un autobús de pasajeros de la empresa AU Autobuses, en la Autopista Puebla-Orizaba. Como resultado del accidente, se reportan siete personas lesionadas (no graves), que fueron trasladadas para su atención médica. Se desconocen las causas que originaron el accidente. </t>
  </si>
  <si>
    <t>Explosión en la mina Santa María, localizada en la comunidad Aguijadero, Tenencia de Caleta de Campos.  En el lugar fallecieron 3 personas, cuyos cuerpos fueron rescatados con maquinaria pesada, se trata de dos hombres con promedio de edad de 43 años y una persona más de la que no se tienen sus datos. Se desconocen las causas que provocaron la explosión.</t>
  </si>
  <si>
    <t>Carambola entre ocho vehículos, entre ellos un camión de pasajeros, en la carretera libre Irapuato-Guanajuato. Como resultado del accidente se reportaron 18 personas lesionadas, una ellas una grave, por lo que fue trasladada para su atención. Se desconocen las causas que originaron el incidente</t>
  </si>
  <si>
    <t>Volcadura de una pipa con 40,000 litros de gasolina Magna Sin, sobre la carretera nacional No. 15, tramo Zacapu – Carapa. Debido a la volcadura se presentó fractura del contenedor, lo que ocasionó que un 75% de su capacidad se fuera a los drenes laterales. La pipa no traía placas y no cuenta con razón social; no se reportaron personas lesionadas debido a que la unidad fue abandonada.</t>
  </si>
  <si>
    <t>Incendio en la bodega de desechables Jaguar, que afecto además tres naves de almacenamiento de distintos productos. Se evacuaron preventivamente a 150 personas. El incendio fue extinguido luego de seis horas y media de trabajos</t>
  </si>
  <si>
    <t>Incendio dentro de las instalaciones de una fábrica de plásticos, ubicada en la colonia Garza Nieto. Como resultado del incendio se reportan 5 personas con quemaduras y 1 más con golpes menores.</t>
  </si>
  <si>
    <t>Debido a las bajas temperaturas se declaro en emergencia al municipio de Perote, con el fin de apoyar a la poblacion con 7,412 despensas, 14,826 cobertores b y 14,826 colchonetas.</t>
  </si>
  <si>
    <t>Pátzcuaro</t>
  </si>
  <si>
    <t>Volcadura de autobús de la línea ETN en dirección a Uruapan. Se reportaron 10 personas con lesiones leves que se trasladaron para su valoración medica. Asimismo se reportaron dos personas de sexo y edad desconocida</t>
  </si>
  <si>
    <t xml:space="preserve">Reblandecimiento de tierra, en un estacionamiento ubicado por encima   del Río Verdiguel provocando un boquete y hundimiento de 3 a 4 metros de la caseta de seguridad, en la colonia Centro. Se reportó desaparecido al vigilante del lugar. </t>
  </si>
  <si>
    <t>Salida del camino y volcadura de un Autobús Regional, con Razón Social “Línea Diligencias”, el accidente se registró sobre la Carretera 124, entre las Comunidades La Llave y La Valle, derivado del accidente se reportan 18 personas lesionadas que fueron trasladadas para su atención médica.</t>
  </si>
  <si>
    <t>Bachíniva, Balleza, Bocoyna, Buenaventura, Carichí, Cuauhtémoc, Cusihuiriachi, Gómez Farías, Guachochi, Guadalupe y Calvo, Guerrero, Ignacio Zaragoza, Madera, Namiquipa, Ocampo, Matachí, Moris y Temósachi</t>
  </si>
  <si>
    <t>Debido a la nevada severa se declararon en emergencia a 18 municipios por lo que se repartieron 10,518 despensas, 14,025 cobertores b, 14,025 colchonetas, 3,506 kit de aseo, 3,506 kit de limpieza y 15 rollos de hule.</t>
  </si>
  <si>
    <t>Impacto entre un tren y un camión de pasajeros de la línea fronteriza, el cual quiso ganarle el paso, resultando 21 personas fallecidas, de las cuales 16 fallecieron en el lugar  (nueve mujeres, cinco hombres y dos menores) y cinco más en diversos hospitales (edad y sexo desconocido). Además 30 personas fueron trasladadas para su atención medica</t>
  </si>
  <si>
    <t>Cualac</t>
  </si>
  <si>
    <t xml:space="preserve">Tormenta local acompañada de granizo en la localidad de Cuescomapa, municipio de Cualac.  Se registraron daños en los techos de láminas de cartón de 20 viviendas resultando 90 personas afectadas. Protección Civil Estatal envió: 100 cobertores, 100 colchonetas,  60 despensas, 70 paquetes de pañales, 10 cajas de toallas sanitarias y 150 prendas de ropa invernal.  </t>
  </si>
  <si>
    <t xml:space="preserve">Volcadura de una pipa que transportaba Diésel, el cual posteriormente se derramo e incendio, el conductor resultó lesionado y fue trasladado a un hospital cercano para su atención </t>
  </si>
  <si>
    <t>Explosión con incendio de una pipa doble remolque que transportaba turbosina. El siniestro ocurrió en la Carretera Federal Villahermosa – Escárcega, y se debió a que la pipa se impactó  contra una camioneta originando la volcadura del tracto camión doble remolque seguida de una explosión con incendio de la unidad; la unidad transportaba 67,000 litros de turbosina. Como resultado del siniestro, se reporta lesionado el chofer de la pipa</t>
  </si>
  <si>
    <t>Incendio en el almacén de la Secretaria de Salud Estatal. No se encontraban personas en el interior. El fuego causó pérdida total en equipo y material pre hospitalario, papelería y  equipos de oficina, en un área aproximada de 50 x 30 metros, se desconoce la posible causa del incendio. Durante las maniobras de sofocación, 2 elementos de bomberos municipal resultaron con intoxicación por bióxido de carbono.</t>
  </si>
  <si>
    <t>Volcadura de pipa de gas, con razón social “Gas Nieto” en la carretera México-Toluca con dirección al DF. El vehículo con ovoide de 55,000 l de capacidad circulaba vacía por lo que las afectaciones se limitaron a la infraestructura carretera por el impacto y el cierre de la vía de 3:30 a 7:00 horas</t>
  </si>
  <si>
    <t>Choque en la carretera Dolores Hidalgo-San Luis. En el incidente se involucraron una camioneta Ranger y un camión de transporte de personal. Resultaron lesionadas 7 mujeres y 17 hombres con promedio de edad de 23 años. Además dos hombres muertos  con promedio de edad de 17 años</t>
  </si>
  <si>
    <t>Volcadura de una pipa con capacidad de 27,000 litros que transportaba Lodo Centrifugado. El incidente se ubicó en la carretera Transpeninsular, el chofer del vehículo resultó con diferentes lesiones. Asimismo se derramó la mitad del producto que transportaba, la carretera fue cerrada temporalmente mientras se realizaban los trabajos de limpieza de la zona afectada.</t>
  </si>
  <si>
    <t xml:space="preserve">Volcadura de una camioneta de redilas marca Ford de 3 toneladas de la Empresa con Razón Social “Grupo Constructor del Sureste Rodríguez y Asociados”,  en la Carretera México – Cd. Cuauhtémoc. Se reportan 10 personas lesionadas y 3 más fallecidas. Se presume que las causas del siniestro se debieron a la velocidad y carga de la unidad.
</t>
  </si>
  <si>
    <t>Agua dulce, Alvarado, Boca del Rio, Coatzacoalcos, Medellín, Ozuluama de mascareñas, Tampico alto, Tatahuicapan de Juárez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</si>
  <si>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</si>
  <si>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</si>
  <si>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autobús de la línea AVC en el tramo carretero Tuxtla a Jiquipilas, con 35 personas abordo. Se reportan 24 lesionados y 2 personas fallecidas de sexo femenino</t>
  </si>
  <si>
    <t>Volcadura y explosión de pipa de PEMEX que transportaba 20,000 litros de diésel en  la carretera Veracruz-Poza Rica. Se reporta el fallecimiento del conductor de la pipa.</t>
  </si>
  <si>
    <t xml:space="preserve">Volcadura de un tracto camión Kenwoorth con razón social Grupo Aldama Transportes, en la Carretera Federal 57 San Luis Potosí – Querétaro. Transportaba un total de 99,639 litros de gases comprimidos Isobutano en mezcla en ambas salchichas. El 8 de marzo se inició el trasvase, por lo cual tuvo que cerrarse la carretera de las 14:50 a las 16:59 horas. No se registraron personas lesionadas. </t>
  </si>
  <si>
    <t>Volcadura de una Volkswagen tipo sedán, en la Colonia el Zapote, Tlajomulco de Zúñiga, esto debido a que el conductor iba en estado de ebriedad y cayó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</si>
  <si>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</si>
  <si>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ácido muriático sobre la autopista México-Querétaro, resultando tres fisuras en el ovoide y derrame de una parte de su contenido.</t>
  </si>
  <si>
    <t xml:space="preserve">Explosión e incendio en la empresa de razón social Parel, recicladora de llantas y asfalto. Resultaron 2 personas fallecidas y 4 lesionadas trasladadas para su atención médica. Se desconocen las causas, del incidente. </t>
  </si>
  <si>
    <t>Francisco I. Madero, Matamoros, San Pedro, Torreón y Viesca</t>
  </si>
  <si>
    <t xml:space="preserve">Debido a las lluvias se declararon en emergencia a 5 municipios por lo que se les repartieron 9,372 despensas, 9,372 kits de limpieza,  9,372 kits de aseo personal y 50 rollos de hule. Pos sus efectos en la población posteriormente recibieron la declaratoria de desastre para apoyar a los sectores hidráulico, urbano y vivienda. </t>
  </si>
  <si>
    <t>Fresnillo, Genaro Codina, General Pánfilo Natera, Guadalupe, Loreto, Noria de Angeles, Ojocaliente, Pinos, Trancoso, Villa García, Villa Gonzales Ortega, Villa Hidalgo y Zacatecas.</t>
  </si>
  <si>
    <t>El frente frío número 41, ocasionó granizada severa, lo cual produjo una capa de hielo de 20 a 40 cm. Se registraron daños en techos de 300 viviendas construidas con materiales de lámina galvanizada y cartón, las cuales no soportaron el peso del hielo y se derrumbaron. Se declararon en emergencia a 14 municipios y se repartieron 3,724 despensas, 7,451 cobertores b,   7,451 colchonetas,  15,400 laminas tipo "b" y 20 rollos de hule.</t>
  </si>
  <si>
    <t>Acajete, Acatlán,Ayahualulco,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</si>
  <si>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hidráulico, urbano y vivienda. </t>
  </si>
  <si>
    <t>Canatlan, Coneto de Comonfort, Cuencamé, Durango, Gómez Palacio, Guadalupe Victoria, Guanacevi, Hidalgo Indé, Lerdo Mapimi, Mezquital, Nazas, Nombre de Dios, Nuevo Ideal, Ocampo, El oro, Pánuco de Coronado, Peñon Blanco, Poanas, Rodeo, San Bernardo, San Juan de Guadalupe, San Juan del Rio, San Luis del Cordero, San Pedro del Gallo, Santa Clara, Santiago Papasquiaro, General Simón Bolívar, Súchil,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</si>
  <si>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Canatlán, Coneto de Comonfort, Cuencamé,Durango, El Oro, General Simón Bolívar, Gómez Palacio, Guadalupe Victoria, Guanaceví, Hidalgo e Indé para apoyar a los sectores carretero, hidráulico,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</si>
  <si>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</si>
  <si>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</si>
  <si>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Choque y volcadura   en la carretera Federal 45 tramo Silao León en el que se involucran tres  vehículos una  camioneta pick up Nissan doble cabina con razón social  de la empresa Vegusa, un tracto camión Kenwoorth, con doble tanque del Servicio Público Federal con razón social Transportes combustibles y asfaltos de Monterrey, el cual transportaba gasolina  con capacidad de 45,000 litros  presentando una pequeña fuga  en la válvula superior y una camioneta pick up Ford. Se realizó una  evacuación preventiva de 1,021 personas en diferentes establecimientos cercanos  al lugar del incidente. Se realizaron labores de trasvase</t>
  </si>
  <si>
    <t xml:space="preserve">Armería, Colima, Comala, Coquimatlán, Cuauhtémoc, Ixtlahuacán, Manzanillo, Minatitlán, Tecomán y Villa de Álvarez </t>
  </si>
  <si>
    <t>Debido a la lluvia severa se declararon 10 municipios en desastre se apoyó con recursos del FONDEN al sector pesquero y acuícola. También se declaró en desastre natural en el sector agropecuario, acuícola y pesquero a 10 municipios del estado de Colima por la pérdida de más de 5,000 hectáreas de cultivos como el aguacate, arándano, caña, chile, ciruela roja, frijol, guanábana, jitomate, limón, maíz, mango, melón, naranja, papaya, pepino, plátano, sandía, tamarindo, tomate, tomatillo y zarzamora que afectaron a 1,322 productores (1,156hombres y 152 mujeres).</t>
  </si>
  <si>
    <t>FONDEN/SAGARPA</t>
  </si>
  <si>
    <t>Apatzingán, Nueva Italia, Coahuayana, Pátzcuaro, Ario de Rosales, Uruapan, Tancitaro, Zamora, Morelia, Tacámbaro</t>
  </si>
  <si>
    <t xml:space="preserve">Debido a las fuertes lluvias resultaron afectados diversos caminos,  3,603 personas y 972 viviendas. Se atendieron accidentes como volcaduras y choques. Se presentaron caída de árboles, desbordamiento de un canal, cierre de circulación debido a anegamientos, caída de una roca de gran magnitud.  Tres hombres perdieron la vida; dos de ellos en el municipio de Zitácuaro, uno de ellos a consecuencia de la lluvia resbaló y cayó a lo profundo de un barranco, un hombre al que le cayó un rayo y una persona que quedó calcinada en un choque en el municipio de Uruapan. Fue aplicado el plan DN III, además se activaron 5 RT que albergaron a 171 personas. Fueron repartidas 220 colchonetas y 400 cobijas en dos municipios. </t>
  </si>
  <si>
    <t>Santa Bárbara</t>
  </si>
  <si>
    <t xml:space="preserve">Desplome de una avioneta, que salió de la pista Frisco en el municipio de Parral, cayendo posteriormente en el municipio de Santa Bárbara. En la avioneta viajaban 5 personas, mismas que fallecieron (piloto y 4 tripulantes). Se desconocen las causas que originaron el accidente. </t>
  </si>
  <si>
    <t>Atoyac de Álvarez, Benito Juárez,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</si>
  <si>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Además se registró la caída de tres árboles y cuatro localidades se quedaron sin servicio de energía eléctrica. Debido al taponamiento provocado por una obra en construcción se reportaron encharcamientos.</t>
  </si>
  <si>
    <t>Celaya y Salvatierra</t>
  </si>
  <si>
    <t>Fuerte lluvia que provoco daños en cultivos así como encharcamientos a nivel banqueta en diversas colonias, reportando caída de árboles, cortes de energía eléctrica, afectaciones en casas y tras patios,  incremento en causes y canales de aguas negras. Se activo un RT que albergo a 6 personas</t>
  </si>
  <si>
    <t>Volcadura de una pipa doble remolque, sobre la Maxipista Benito Juárez. La unidad transportaba 31,800 litros de turbosina en cada remolque, presento un ligero derrame de producto, se realizaron labores de trasvase. El chofer de la unidad, presentó lesiones leves.</t>
  </si>
  <si>
    <t>Tomatlán, Villa Purificación, Talpa de Allende, Mascota, Puerto Vallarta, Ayutla, Autlán de Navarro, San Sebastián del Oeste, Guachinango, Ameca, Cabo Corrientes, Atenguillo, Atengo, Cihuatlán y Cuautitlán de García Barragán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</si>
  <si>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apoyó con recursos de FONDEN a los sectores carretero, educativo, hidráulico pesquero y acuícola y vivienda. Debido a las fuertes lluvias la presa San Ignacio rebasó su nivel crítico, y en los municipios de Ameca y Tomatlán se reportaron afectaciones a 672 viviendas con penetración de agua, con tirantes de 20 cm a 2m, además de la afectación a una Ladrillera. Se activo un RT que alojo a 653 personas. Por parte del DIF Jalisco se entregaron 500 despensas, 300 cobijas y la cocina móvil para ofrecer comida a las familias desalojadas de sus viviendas.</t>
  </si>
  <si>
    <t>Camargo</t>
  </si>
  <si>
    <t>Volcadura de un autobús con razón social “Senda”. Resulto 1 persona de sexo femenino fallecida y 7 lesionados, los cuales fueron trasladados para su atención medica. Como medida preventiva la carretera fue cerrada a la circulación aproximadamente tres horas</t>
  </si>
  <si>
    <t>Bahía de Banderas</t>
  </si>
  <si>
    <t xml:space="preserve">Debido al incremento del Río Ameca, se reportaron 20 viviendas afectadas,  70 personas fueron evacuadas </t>
  </si>
  <si>
    <t>Explosión de juegos pirotécnicos en las fiesta patronales del municipio, los hechos se registraron en la plaza principal. Se reportaron dos mujeres fallecidas,  de 21 y 3 años y 10 lesionados los cuales fueron trasladados para su atención médica. Resultaron tres viviendas afectadas en su estructura y un vehículo calcinado</t>
  </si>
  <si>
    <t>Colipa, Ixtaczoquitlán, Juchique de Ferrer, Misantla, Tenochtitlán, Tlilapan, Vega de Alatorre y Yecuatla.  Agua Dulce, Chalma, Chiconamel, Chicontepec, Coatzacoalcos, Huatusco, Ixhuatlán del Sureste, Jesús Carranza, Las Choapas, Martínez de la Torre, Minatitlán, Moloacán, Nanchital de Lázaro Cárdenas del Río, Papantla, Platón Sánchez, Poza Rica de Hidalgo, San Andrés Tuxtla, Sochiapa y Atzalan</t>
  </si>
  <si>
    <t xml:space="preserve">Afectaciones por lluvias debido al paso del frente frío 42. Provocaron la muerte de 5 personas de sexo desconocido, así como 2 lesionados. Resultaron  11 poblados incomunicados, así como 11 corrientes desbordadas, 9 deslaves; 41 vías de comunicación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hidráulico, urbano y de vivienda.  </t>
  </si>
  <si>
    <t>Huixtan</t>
  </si>
  <si>
    <t>Volcadura de un camión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</si>
  <si>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provocó la explosión resultando 2 personas fallecidas en el lugar de los hechos, así como 20 personas que murieron en los hospitales (solo se tiene información de 2 mujeres con promedio de edad de 31 años y un hombre de 28 años) y 16 lesionados por quemaduras</t>
  </si>
  <si>
    <t>Desplome de un helicóptero de la compañía TELMEX con matrícula XA-EFO, el cual cayó a la altura de la población de San Martín de Porres, resultando cuatro fallecidos de sexo masculino</t>
  </si>
  <si>
    <t>CENACOM- El financiero</t>
  </si>
  <si>
    <t>Accidente entre un Autobús de pasajeros de la línea Primera Plus Colores y un Jeep, en el tramo carretero Morelia – Salamanca, sobre la autopista. Resultaron 14 personas lesionadas de ambos sexos; el conductor del Jeep, de sexo masculino, murió al volcar su vehículo</t>
  </si>
  <si>
    <t xml:space="preserve">Incendio en el área de deshidratación y bombeo de CLM en la plataforma Abkatún A - Permanente, activándose los sistemas de contraincendios.  Se  evacuaron a 295 personas quienes fueron rescatadas mediante 11 embarcaciones que fueron enviadas por Logística Marina.  Resultaron 15 trabajadores lesionados y cuatro decesos  ( un hombre y 3 personas sin identificar) </t>
  </si>
  <si>
    <t>Allende, Anáhuac, Aramberri, Cadereyta Jiménez, Cerralvo, China, Dr. Coss, Dr. González, Galeana, Gral. Bravo, Gral. Terán, Gral. Treviño, Hualahuises, Linares, Los Aldamas, Los Ramones, Montemorelos, Pesquería</t>
  </si>
  <si>
    <t>Debido a la lluvia torrencial se declaró en desastre natural en el sector agropecuario, acuícola y pesquero a 18 municipios del estado de Nuevo León por la pérdida de 69 hectáreas de cítricos y 623 hectáreas de hortalizas que afectaron a 85 productores (77 hombres y 4 mujeres).</t>
  </si>
  <si>
    <t>Santo Tomas Jalieza</t>
  </si>
  <si>
    <t>Volcadura de una camioneta tipo RAM con razón social banda musical Cruz Norteña, resultando 5  personas fallecidas (entre ellos 3 hombres y 2 personas de sexo desconocido) y 9 lesionados</t>
  </si>
  <si>
    <t xml:space="preserve">Volcadura de un autobús de pasajeros perteneciente a la línea ABC, derivado del accidente resultaron 28 lesionados (de los cuales cinco fueron de gravedad) </t>
  </si>
  <si>
    <t>Incendio y explosión en la Colonia Guadalupe, debido a que cuando se realizaban trabajos de reencarpetamiento, maquinaria de la empresa PACSA golpeo un tubo de Gas Natural, ocasionando una fuga y posteriormente incendio y explosión, debido a ello se realizó una evacuación preventiva de aproximadamente 7 cuadras a la redonda. Se reportó una persona fallecida, presuntamente el operador de la maquinaria y una persona desaparecida</t>
  </si>
  <si>
    <t>Incendio en la Central de Abastos, derivado del siniestro se reportan afectadas 3 naves, de las cuales 2 se reportan con pérdida total y 1 con el 50% de afectación.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</si>
  <si>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</si>
  <si>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</si>
  <si>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Pánuco, Soledad de Doblado y Tlaltetela por lluvia severa y Cosautlán de Carvajal</t>
  </si>
  <si>
    <t>Debido a la granizada severa se declararon en emergencia a 7 municipios por lo que se repartieron 4,440 despensas, 8,880 cobertores b,   8,880 colchonetas, 18,600 laminas de zinc, y 44,962 litros de agua.</t>
  </si>
  <si>
    <t>Choque en la carretera estatal no.69 Aguascalientes-Coyotes que involucró una locomotora de ferrocarril contra una pipa que transportaba 60,000 litros de combustible, provocando el incendio de la pipa con pérdida total de ésta. No se tiene reporte de lesionados o fallecidos. Se presume que el conductor de la pipa quiso ganarle el paso al tren. Como medida de emergencia se evacuaron 300 personas.</t>
  </si>
  <si>
    <t>Incendio en la torre de enfriamiento CT – 405 de la planta Criogénica No.1, del CPG Ciudad Pemex. Se reporta una afectación estructural en aproximadamente el 30% de la torre de enfriamiento. No se reportan lesionados, daños a la integridad de la planta Criogénica No. 1 ni pérdidas en la producción</t>
  </si>
  <si>
    <t>Incendio en 4 comercios (2 con pérdida total y 2 con afectación en 37%) posiblemente provocado por una fuga de gas en uno de los establecimientos; debido a ellos se reporta a un hombre de 19 años lesionado por quemaduras de primer grado.</t>
  </si>
  <si>
    <t>Incendio en las bodegas de la cervecería modelo en el patio de embalaje y almacenamiento en una área  aproximada de 900 metros cuadrados, 2 vehículos y cableado de CFE. Se desconocen las causas que lo originaron, solo se reportan 6 personas atendidas en el lugar por intoxicación por inhalación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</si>
  <si>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</si>
  <si>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habilitó RT ya que las personas se alojaron con familiares y amigos. En el municipio de Reynosa, 18 postes de energía eléctrica colapsaron así como el techo de una gasolinera. No se reportan lesionados</t>
  </si>
  <si>
    <t xml:space="preserve">San Marcos </t>
  </si>
  <si>
    <t>Mientras se llevaban a cabo las fiestas patronales en el centro del municipio, la persona que manipulaba los cohetes prendió uno el cual se desvió y cayó donde se tenían el resto de los cohetes, estos almacenados sobre paja,  generando una explosión e incendio. Preliminarmente se reportan 15 personas lesionadas</t>
  </si>
  <si>
    <t>Acatlán, Miahuatlán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</si>
  <si>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</si>
  <si>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</si>
  <si>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</si>
  <si>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razón social  Star Gas. Al llenar un cilindro en mal estado, éste presentó fuga, al mismo tiempo la  manguera  se desfundo generando un chispazo, el cual provocó  el  incendio del mismo tanque y se propagó a  otros cilindros que se encontraban en el lugar y que  al calentarse generaron  una explosión afectando un área  de 12 por 20 m. Además se dañaron cuatro vehículos (tres  de repartición y una pipa, las cuales se encontraban al momento sin producto) y diversas oficinas. Cinco trabajadores resultaron con quemaduras de 1er grado.</t>
  </si>
  <si>
    <t xml:space="preserve">Accidente carretero en la Autopista 150 – D 5 de Mayo. En el siniestro se vió involucrado un autobús de la Marca Hypsa, que salió de la carretera y se volteó en la rampa; derivado del siniestro se registró el fallecimiento de una persona  y 23 personas lesionadas con contusiones leves </t>
  </si>
  <si>
    <t xml:space="preserve">Mar de fondo </t>
  </si>
  <si>
    <t>Petatlan, Acapulco, La Unión de Isidoro Montes de Oca, Benito Juárez, Cuajinicuilapa, Coyuca de Benítez, Tecpan de Galeana, Coapa y Marquelia</t>
  </si>
  <si>
    <t>Afectaciones que se derivaron del fenómeno “mar de fondo y fuerte oleaje que alcanzó los 4 y 5 metros de altura: 695 viviendas, 497 enramadas, 148 unidades económicas (entre las que se encuentran 122 parianes -patios donde hay negocios). Se establecieron cuatro RT en el municipio de Coyuca de Benítez que albergaron a 175 personas en total. Se registraron 8 lesionados. En el municipio de Acapulco tres personas murieron,  un hombre de 21 años por sumersión en el mar, un menor de 13 por sumersión en la alberca de un hotel y una persona de sexo desconocido. Debido al mar de fondo se declararon en emergencia a los municipios de Acapulco de Juárez, Benito Juárez, Coyuca de Benítez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Éstos cuatro municipios se declararon en desastre y se apoyaron a los sectores carretero, educativo y de la vivienda.</t>
  </si>
  <si>
    <t>San Pedro Pochutla, Santa María Colotepec, Santa María Huatulco, Villa de Tututepec de Melchor Ocampo, Santa María Tonameca y San Pedro Mixtepec</t>
  </si>
  <si>
    <t>Se registraron afectaciones en 30 playas y daños en 363 establecimientos (en su mayoría palapas y pequeños restaurantes a pie de playa) y 73 viviendas además de la muerte de un trabajador de la playa Violín,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</si>
  <si>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línea 7 en la estación Oceanía, cuando un vagón que estaba estacionado fue alcanzado por el siguiente convoy, doce personas resultaron lesionadas y se evacuaron a 1000. De acuerdo al dictamen técnico esto fue producto de un doble error humano por parte del conductor y el regulador. Posteriormente en los trabajos de retiro de las unidades accidentadas un trabajador murió.</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</si>
  <si>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sumergió a 1.5 km de profundidad</t>
  </si>
  <si>
    <t>Se aplicaron  las vacunas de BCG (Tuberculosis), Rotavirus y Hepatitis B a 52 niños; 31 menores presentaron reacciones adversas presuntamente asociadas a la aplicación de estas vacunas. Se hospitalizaron 29 menores y dos fallecieron. De acuerdo al IMSS y SSA la causa fue la presencia de contaminación externa por una bacteria</t>
  </si>
  <si>
    <t>Derivado del mar de fondo resultaron afectadas 13 viviendas con perjuicios menores, así como afectaciones severas en el panteón municipal; 48 restaurantes con daño total y 11 con daños parciales. Se implemento el programa de 150 empleos temporales</t>
  </si>
  <si>
    <t xml:space="preserve">Incendio en el Hospital Vicente Guerrero del IMSS. El incendio se originó en el segundo piso donde se encuentra la sala de rayos x. Como medida preventiva se evacuó a 500 pacientes internados, estos se concentraron en zona segura y 50 fueron trasladados a otro Hospital. </t>
  </si>
  <si>
    <t>Camargo, Méndez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</si>
  <si>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hidráulico, pesquero y acuícola, salud urbano y vivienda. </t>
  </si>
  <si>
    <t>Ozuluama de Mascareñas</t>
  </si>
  <si>
    <t>Debido a la lluvia severa se declaró en emergencia al municipio de Ozuluama de Mascareñas por lo que se repartieron a la población 532 despensas, 1,066 cobertores b,   1,066 colchonetas, 266 kits de limpieza,  266 kits de aseo personal, 150 palas redondas, 150 botas, 2,600 palas, y  6,980 litros de agua.</t>
  </si>
  <si>
    <t>Cabo Corrientes, Casimiro Castillo, Cihuatlán, Cuautitlán de García Barragán, La Huerta, Tomatlán</t>
  </si>
  <si>
    <t>Debido a la lluvia torrencial se declaró en desastre natural en el sector agropecuario, acuícola y pesquero a seis municipios del estado de Jalisco por la pérdida de más de 5,000 hectáreas de cultivos como el aguacate, caña, chía, chile verde, frijol, jitomate, limón, maíz, mango, melón, papaya, pepino, plátano, sandía, sorgo, tamarindo y tomate que afectaron a 1,416 productores (1,277 hombres y 139 mujeres).</t>
  </si>
  <si>
    <t>Debido a las fuertes lluvias se declararon en emergencia al municipio de Reynosa por lo que se repartieron a la oblación 2,490 despensas, 4,982 cobertores b,   4,982 colchonetas, 1,245 kits de limpieza,  1,245 kits de aseo personal y 40,000 litros de agua.</t>
  </si>
  <si>
    <t>Rayón</t>
  </si>
  <si>
    <t xml:space="preserve">Al desprenderse la segunda caja de un tráiler doble remolque se provocó la volcadura del tráiler, esta alcanzo a impactar una camioneta tipo van en la que viajaban 11 personas, las cuales fallecieron;  además el chofer del tráiler resulto con lesiones y fue trasladado para su atención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</si>
  <si>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algún tipo de daño, de estas 10 viviendas quedaron totalmente destruidas. Un puente colapsado, derrumbes diversos y daños en la infraestructura hidráulica, ocho viviendas afectadas por el flujo de lodo y piedras, por lo cual tendrán que ser reubicadas. PC entrego a la población: 250 catres, 250 colchonetas y 250 cobijas.  </t>
  </si>
  <si>
    <t>Tamazunchale y San Martín</t>
  </si>
  <si>
    <t xml:space="preserve">Debido a las lluvias se declararon en emergencia a dos municipios por lo que se repartieron a  a la población 625 despensas, 2,500 cobertores b, 2,500 colchonetas, 180 kits de limpieza y 10 rollos de hule. </t>
  </si>
  <si>
    <t>San Felipe Orizatlán</t>
  </si>
  <si>
    <t xml:space="preserve">Debido a la lluvia severa se declaró en desastre a l municipio de San Felipe Oriztatlán. A través del FONDEN se apoyaron a los sectores carretero, educativo, hidráulico y de la vivienda. </t>
  </si>
  <si>
    <t>Hundimiento de un inmueble con 20 viviendas, se desconocen las causas que lo provocaron. Se hace mención de que la zona es minada. Como medida preventiva se evacuaron a 118 personas, las cuales fueron trasladadas a un albergue. Se demolieron las viviendas afectadas. Sin daños humanos</t>
  </si>
  <si>
    <t>Volcadura de un autobús de pasajeros. Derivado del accidente se reportan 20 personas lesionadas, entre ellas 5 menores de edad</t>
  </si>
  <si>
    <t>Rioverde</t>
  </si>
  <si>
    <t xml:space="preserve">Choque por alcance, entre un autobús con razón social autobuses del Norte y tráiler en la súper carretera, resultando 14 personas lesionadas trasladadas para su atención medica </t>
  </si>
  <si>
    <t>Incendio forestal que provocó 25 casas con pérdida total, 13 casas con daño parcial, además de cuatro vehículos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declaró en emergencia al municipio y fue necesario apoyar a la población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</si>
  <si>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t>
  </si>
  <si>
    <t>Debido a las fuertes lluvias se reportaron encharcamientos con un tirante de 80 cm hasta 1 metro de altura, aproximadamente 20 colonias afectadas. Se declaró en emergencia al municipio de Matamoros y se repartieron a la población 10,020 despensas, 15,040 cobertores b,   15,040 colchonetas, 5,010, kits de limpieza, 5,010 kits de aseo personal, 5,000 costales 75,000 litros de agua. Fue necesario emitir declaratoria de desastre y se apoyaron a los sectores hidráulico,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</si>
  <si>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activó el Plan DNIII E, para auxilio de la población, ocho refugios fueron activados pero solo cuatro de ellos se ocuparon, con un total de 356 personas. Una estimación de 60 vehículos dañados, 32 árboles y cuatro postes caídos. 
INFONAVIT: se consideran 120 viviendas como pérdida total, que serán cubiertas al 100% con el seguro. 672 viviendas con daños parciales que también serán rehabilitadas por parte del seguro. 
Se brindaron más de 7,000 raciones alimenticias a las personas damnificadas. El Gobierno del Estado entrego 1,200 despensas y 2,000 kits de limpieza. 
42 comercios siniestrados, todos considerados como microempresas
Daños en 1,496 medidores de agua domésticos, así 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únicamente por 15 días con un ingreso diario de $122.00.</t>
  </si>
  <si>
    <t>Desplome del techo de una secundaria, ubicada en la colonia La Minita. Esto debido a la caída de granizo y la presencia de lluvia fuerte que se presentó 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</si>
  <si>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</si>
  <si>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población 2,176 despensas, 4,355 cobertores b,   4,355 colchonetas, 1,088 kits de limpieza, 1,088 kits de aseo personal y 14,153 laminas tipo "b".</t>
  </si>
  <si>
    <t>Fuga, posiblemente de amoníaco, en el interior de la empresa CONAGRA FOODS. Como resultado de lo anterior se reportaron 19 personas con síntomas de intoxicación, de las cuales solo 4 fueron trasladadas para su atención médica. Hasta el momento se desconocen las causas que originaron la fuga.</t>
  </si>
  <si>
    <t>Tianguistengo</t>
  </si>
  <si>
    <t xml:space="preserve">Lluvia muy fuerte que provocó el escurrimiento de agua de los cerros, lo que formo un rio y afecto 20 viviendas por penetración de agua y daño a enseres domésticos, con un tirante de medio a un metro y 3 viviendas destruidas en su totalidad. Se reportaron 31 personas afectadas quienes decidieron acudir con familiares </t>
  </si>
  <si>
    <t>Accidente en la Autopista Nacional México-Laredo, en el que un tráiler cayo sobre un vehículo particular resultando seis personas muertas y un lesionado.</t>
  </si>
  <si>
    <t>Tehuacán</t>
  </si>
  <si>
    <t xml:space="preserve">Volcadura de un autobús de pasajeros, mismo que cayó a un barranco.  Derivado del accidente se reportan 12 personas fallecidas y 34 lesionados, mismos que fueron trasladados a diferentes hospitales cercanos, para su atención médica. </t>
  </si>
  <si>
    <t xml:space="preserve">Guanajuato </t>
  </si>
  <si>
    <t>Explosión en el interior de una casa habitación. La probable causa de la explosión fue el mal manejo de ANFO (material usado en la minería clandestina). Tres personas fueron atendidas en el lugar, debido a que presentaron crisis nerviosa, sin presentar afectaciones mayores. Debido a la onda expansiva, el inmueble presenta riesgo de colapso.</t>
  </si>
  <si>
    <t>San Marcos, Teconapa, Juan R. Escudero y Zirándaro de los Chávez</t>
  </si>
  <si>
    <t>Debido a la sequía se declaró en desastre natural en el sector agropecuario, acuícola y pesquero a cuatro municipios del estado de Guerrero por la pérdida de 6,528 hectáreas de calabaza y 1,693 hectáreas de sorgo lo que afectó a 8,221 productores.</t>
  </si>
  <si>
    <t xml:space="preserve">Desplome e incendio de una avioneta con número de matrícula KA5KP, perteneciente a la empresa TMC. El accidente se registró en el kilómetro 200 de la carretera 57. Derivado del incidente se reportan 5 personas de sexo masculino fallecidas y cierre de la carretera. </t>
  </si>
  <si>
    <t xml:space="preserve">Dos personas de sexo masculino de 35 y 16 años en la Mina la Pelota, que se reportaron desaparecidas por 35 horas, fueron halladas sin vida al interior de una mina abandonada en la que se introdujeron presuntamente para explotar la mina de forma clandestina y quedaron atrapados. </t>
  </si>
  <si>
    <t>Manzanillo (Archipiélago de Revillagigedo)</t>
  </si>
  <si>
    <t xml:space="preserve">Debido al paso del Huracán Blanca el día 7 de junio fe necesario apoyar a través de recursos del FONDEN al sector naval. </t>
  </si>
  <si>
    <t>Jilotepec, Tepatlaxco y Tierra Blanca</t>
  </si>
  <si>
    <t>Debido a la inundación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hidráulico, urbano y vivienda.</t>
  </si>
  <si>
    <t>Benito Juárez, Cozumel, Felipe Carrillo Puerto, Solidaridad, Tulum, Isla Mujeres y Othón P. Blanco</t>
  </si>
  <si>
    <t>Por la lluvia severa se declararon en emergencia a los municipios de Benito Juárez, Cozumel, Felipe Carrillo Puerto, Solidaridad y Tulum por lo que se apoyó a la población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Othón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</si>
  <si>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mayoría decidió hospedarse con familiares. El edificio no presento afectación directa en estructura o servicios</t>
  </si>
  <si>
    <t>Impacto de un tráiler doble remolque contra una pipa de 10,000 litros de combustible, en la carretera La Venta-Cárdenas. Posteriormente se registro el incendio de la pipa, donde se consumió el total del combustible transportado. Derivado del accidente el conductor de la pipa se reporto con diversas lesiones y quemaduras , por lo cual fue trasladado a un hospital cercano para su atención médica. Como medida preventiva el tramo carretero se cerró por tres horas.</t>
  </si>
  <si>
    <t>Calera, General Enrique Estrada, Vetagrande, Villa de Cos, Villanueva,  Zacatecas, Fresnillo,
Genaro Codina, Guadalupe, Jerez, Ojocaliente y Pánuco</t>
  </si>
  <si>
    <t>Derivado de las lluvia fuerte de casi 90 mm, se presentaron 12 comunidades afectadas. Un puente colapsado, viviendas inundadas con un tirante de un metro a 1.5 metros de agua, se realizó la evacuación de aproximadamente 10 familias trasladándolas a un refugio temporal. 200 viviendas afectadas, 20 con daños estructurales. Se declararon en emergencia a los 12 municipios y se repartieron a la población 6,252 despensas, 8,338 cobertores b, 8,338 colchonetas, 2,084 kits de limpieza, 2,084 kits de aseo personal, 25 de rollos de hule,  16,540 laminas tipo "b", 900 impermeables, 400 botas, y 3,000 litros de agua.</t>
  </si>
  <si>
    <t>Reporte de incendio forestal en la Sierra de Juárez,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</si>
  <si>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</si>
  <si>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raíces, así como daños en algunos postes de energía eléctrica, 40 familias aproximadamente fueron evacuadas del lugar mismas que se trasladaron con familiares y amigos</t>
  </si>
  <si>
    <t>Volcadura de dos autos particulares, (Una camionetas Country y un Malibú) en el segundo piso de anillo periférico y paseo de las palmas, resultando dos personas lesionadas.</t>
  </si>
  <si>
    <t>Derivado de las lluvias moderadas se suscitó el deslave de un cerro el cual colapsó una vivienda. Como resultado de este accidente se registro la muerte de una persona de sexo femenino y un lesionado. De manera preventiva se evacuaron 10 viviendas más y una escuela con 400 alumnos</t>
  </si>
  <si>
    <t>El Salto, Tlaquepaque, Guadalajara, Tlajomulco de Zúñiga, Zapopan, Ameca y Juchitlan</t>
  </si>
  <si>
    <t>Debido a las lluvias 69 casas sufrieron inundaciones de aproximadamente 70 cm, mientras que en otras colonias 223 viviendas se vieron afectadas en su menaje debido a inundaciones de 1.5m de altura. Un puente se colapso, así mismo una escuela secundaria resulto afectada, la barda de una empresa se colapso afectando a 80 vehículos estacionados y una persona de 40 años falleció por el arrastre de un arroyo</t>
  </si>
  <si>
    <t>Incendio en un asilo de ancianos, 19 personas perdieron la vida, 15 de ellas en el lugar de los hechos y cuatro mas murieron en hospitales a causa de las lesiones. Además cuatro personas resultaron heridas y trasladadas para su atención así como 23 personas ilesas. El incendio se controlo luego de dos horas. Probablemente fue un incendio provocado.</t>
  </si>
  <si>
    <t>Ixtacuixtla de Mariano Matamoros</t>
  </si>
  <si>
    <t xml:space="preserve">Volcadura de autobús de pasajeros de la línea ATAH. Se confirman 17 lesionados, 2 de gravedad (ambas, mujeres embarazadas), éstas últimas trasladadas a un hospital para su atención. El incidente se atribuye a una probable falla en sistema de frenos de la unidad.  </t>
  </si>
  <si>
    <t>Por la inundación fluvial se declaró en emergencia al municipio de Hidalgo del Parral por lo que se repartieron a la población 618 despensas, 827 cobertores b, 827 colchonetas, 206 kits de limpieza, 206 kits de aseo personal, 10 de rollos de hule,  2,687 laminas tipo "b", 900 impermeables, 400 botas y 3,000 litros de agua.</t>
  </si>
  <si>
    <t>Derivado de las lluvias intensas, acompañadas de tormentas eléctricas y granizo, se presentó caída de 30 árboles y estructuras metálicas, afectando a algunos vehículos y dos viviendas, colapso de una barda y encharcamientos en vialidades</t>
  </si>
  <si>
    <t>Volcadura de un autobús que transportaba a un grupo de estudiantes provenientes preparatorianos el incidente ocurrió en el km 264 de la autopista siglo XXI Morelia - Lázaro Cárdenas.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</si>
  <si>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</si>
  <si>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población 1,458 despensas, 2,917 cobertores b, 2,917 colchonetas, 729 kits de limpieza, 729 kits de aseo personal, 10 de rollos de hule, 10,000 costales, 300 linternas  300 impermeables, 1300 laminas tipo "b"  y 10,000 litros de agua. Fue necesario apoyar al sector hidráulico a través del FONDEN a los mismos municipios.</t>
  </si>
  <si>
    <t>Volcadura de una camioneta pick-up, la cual transportaba 15 personas, de las cuales 9 perdieron la vida, y las otras fueron trasladadas a los hospitales más cercanos</t>
  </si>
  <si>
    <t>Volcadura de transporte publico con razón social "Los paisanos", no se conocen las causas. Una persona fallecida y 10 lesionadas.</t>
  </si>
  <si>
    <t>Explosión en casa habitación, donde se almacenaba y fabricaba clandestinamente producto para la elaboración de pirotecnia Folclórica, ocasionando daños estructurales a dos viviendas y el colapso del techo de una de ellas. Se reportaron cinco personas lesionadas, con rango de edades de uno a 29 años de edad, así como una persona fallecida de sexo femenino de 55 años</t>
  </si>
  <si>
    <t>Debido a la lluvia torrencial se declaró en desastre natural en el sector agropecuario, acuícola y pesquero al municipio de Villa de Ramos por la pérdida de más de 2146.3 hectáreas de chile verde que afectó a 383 productores (376 hombres y 7 mujeres).</t>
  </si>
  <si>
    <t>Aldama, Camargo, Coronado, Coyame del Sotol, Chihuahua, Delicias, Santa Isabel, Hidalgo del Parral, Jiménez, López, Matamoros, Meoqui, Ojinaga, Rosales, Rosario, Saucillo, Valle de Zaragoza</t>
  </si>
  <si>
    <t>Debido a la sequía se declaró en desastre natural en el sector agropecuario, acuícola y pesquero al municipio de San Luis Potosí  por la pérdida de 1,726 colmenas  lo que afectó a 15 productores.</t>
  </si>
  <si>
    <t>Lluvias fuertes acompañadas de granizo y un torbellino provocaron afectaciones en los techos, muebles y enseres de aproximadamente 207 viviendas de nueve colonias; así como, cortes de energía eléctrica, telefonía convencional y sistema de televisión por cable. Debido a la granizada severa fue necesario declarar en emergencia a San Cristóbal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</si>
  <si>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</si>
  <si>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</si>
  <si>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Jiménez</t>
  </si>
  <si>
    <t xml:space="preserve">Debido a las intensas precipitaciones se reportaron  diversas afectaciones: por anegaciones, encharcamientos y crecida de arroyos en la ciudad provocando arrastre de catorce vehículos, 48 autos varados por encharcamiento y penetración de agua en 66 casas y edificios.  Seis bardas con afectación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hidráulico, salud y vivienda. </t>
  </si>
  <si>
    <t xml:space="preserve">Volcadura e incendio de 2 contenedores con 33,000 litros de gasolina. Se desconocen las causas que originaron el incidente, no se reportan personas lesionadas. </t>
  </si>
  <si>
    <t>Debido a la fuerte lluvia y caída de granizo se registro un deslizamiento de tierra invadiendo la autopista México-Toluca. La circulación permaneció detenida por unas horas, no se reportaron personas ni vehículos atrapados. Se realizaron labores de retiro de escombros con palas mecánicas. Luego de cuatro horas y media se reabrió por completo la circulación.</t>
  </si>
  <si>
    <t>Acumulación de sargazo en las playas que provocó que los turistas dejaran de rentar vuelos en parapentes y motos acuáticas; además, de la posibilidad de que las algas averíen los motores. Por esto empresarios de Cancún reportaron pérdidas superiores a 300 mil dólares.</t>
  </si>
  <si>
    <t>Explosión dentro de la empresa con razón social SIGMA Alimentos Comercial, tres personas resultaron lesionadas, dos con quemaduras de vapor de segundo grado y una por crisis nerviosa. Se realizó evacuación de manera preventiva</t>
  </si>
  <si>
    <t>Colima, Comala, Coquimatlán, Cuauhtémoc y Villa de Álvarez</t>
  </si>
  <si>
    <t>Debido al evento explosivo del volcán de Colima se realizó la evacuación preventiva de 500 personas residentes de las comunidades de la Yerbabuena y La Becerrera.  Instalación de dos RT. Se declararon en emergencia a cinco muncipios y se repartió a la población  3,021 despensas, 12,087 cobertores b, 12,087 colchonetas, 6,043 mazcarillas, 3,021 kits de limpieza, 3,021 kits de aseo personal, y 96,696 litros de agua.</t>
  </si>
  <si>
    <t>Desplome de una avioneta tipo Cessna 210, con número de matrícula XBMBC.  Derivado del incidente se reportaron 3 personas calcinadas, dos de sexo masculino de edad desconocida y una tercera persona que no fue identificada.</t>
  </si>
  <si>
    <t>Alvarado, Catemaco, Cotaxtla, Emiliano Zapata, Lerdo de Tejada, Paso de Ovejas, Puente Nacional, Saltabarranca, San Andrés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</si>
  <si>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Texhuacán y Zongolica para apoyar al sector carretero, educativo, forestal, urbano y vivienda.</t>
  </si>
  <si>
    <t>Alvarado, Catemaco, Cotaxtla, Emiliano Zapata, Lerdo de Tejada, Paso de Ovejas, Puente Nacional, Saltabarranca, San Andrés Tuxtla, Santiago Tuxtla, Tierra Blanca, Tlalixcoyan y Tres Valles</t>
  </si>
  <si>
    <t>Derivado de las lluvias se registraron 797 viviendas con algún tipo de afectación, 17 deslaves, 11 puentes afectados, tres vías de comunicación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</si>
  <si>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Gómez Farías</t>
  </si>
  <si>
    <t>Lluvia fuerte que provoco inundaciones en aproximadamente 250 casas, se desconoce el tirante de agua y el total de personas evacuadas. Se alojaron 20 personas en un refugio temporal. Se declaró en emergencia y desastre el municipio, se apoyó al sector carretero y vivienda.</t>
  </si>
  <si>
    <t>Texhuacan</t>
  </si>
  <si>
    <t>Debido a las  lluvias se produjo un deslave de un cerro en la comunidad de Los Pinos, donde una vivienda quedó debajo de la tierra, ocasionando que cinco personas quedaran atrapadas en el interior de la vivienda, mismas que fueron rescatadas con vida por voluntarios. Al día siguiente, fue rescatado el cuerpo sin vida de una persona más, de la que se desconocen sus datos</t>
  </si>
  <si>
    <t>Teocelo y Xico</t>
  </si>
  <si>
    <t xml:space="preserve">Derivado de las lluvias severas y de la inundación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</si>
  <si>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</si>
  <si>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Cáustica, con capacidad de 40,000 litros, con derrame de producto, resultaron dos personas fallecidas y una lesionada trasladada para su atención médica. No se presento riesgo para la población ya que no había comunidades cercanas </t>
  </si>
  <si>
    <t xml:space="preserve">Querétaro </t>
  </si>
  <si>
    <t>Fuga de amoniaco dentro de una bodega clandestina. Como medida preventiva se evacuaron a 30 personas (vecinos de 3 domicilios y 2 locales comerciales). La fuga se presento en la válvula de un tanque de 10,000 litros, así mismo se encontraron un tanque de 5,0000 litros, tres tambos de 3,000 litros, dos tambos de 500 litros y ocho tambos de con la leyenda de acido acético, así como seis vehículos. No se reportan personas lesionadas ni intoxicadas.</t>
  </si>
  <si>
    <t>Choque de frente entre una camioneta y un autobús de pasajeros de la compañía Autobuses del Pacifico, sobre la carretera federal 200. En el lugar perdieron la vida cuatro personas de sexo femenino, ocupantes de la camioneta y del autobús resultaron 34 personas lesionadas, dos de ellas fueron trasladadas para su valoración y atención médica</t>
  </si>
  <si>
    <t>Huautla de Jiménez</t>
  </si>
  <si>
    <t>Deslizamiento que bloquea la entrada al centro de la comunidad de Barranca Seca; adicionalmente otro derrumbe en la comunidad de Río Santiago que afecto parte de un camino</t>
  </si>
  <si>
    <t xml:space="preserve">Santa María Chilchotla </t>
  </si>
  <si>
    <t>Debido a las lluvias se registro un hundimiento en la comunidad de Monte Horeb,  afectando la cancha y la agencia municipal.  Se acordó el relleno del hundimiento. No se reportan daños humanos.</t>
  </si>
  <si>
    <t>Tormenta atípica con lluvias intensas puntuales en diversas partes de la Ciudad de Tijuana que origino cinco derrumbes en vialidades, arrastre de vehículos, así como siete inundaciones en vialidades con diversos encharcamientos y afectación a 201 viviendas por  penetración de agua. Se instalaron dos RT con 329 (293 adultos y 36 menores) y 110 (45 mujeres y niños y 65 varones) personas respectivamente. Un tercer refugio se encuentra sin personas al momento.</t>
  </si>
  <si>
    <t>Choque de una pipa que transportaba diésel contra un convoy militar en el cual resultaron impactados seis vehículos, en la  carretera Jorobas-Tula. Como resultado de este accidente tres personas resultaron calcinadas y mas de cinco soldados con quemaduras con mas del 50% de su cuerpo por lo que fueron trasladados en un helicóptero al hospital.</t>
  </si>
  <si>
    <t>Accidente carretero por alcance en la autopista Tepic-San Blas, viéndose involucrado un autobús de pasajeros Línea del Pacífico y un tráiler de carga, con saldo de siete decesos y 18 lesionados. La causa probable del accidente fue por exceso de velocidad y pavimento mojado.</t>
  </si>
  <si>
    <t xml:space="preserve">Debido a las fuertes lluvias se registraron 182 km de caminos afectados con encharcamientos, caída de postes, dos puentes colapsados uno vehicular y otro peatonal, daños en dos muros de contención del arroyo principal. Una presa de uso doméstico colapsada. Aproximadamente 200 viviendas  con desprendimientos de techos o daños estructurales. Tres comunidades sin agua potable. Afectaciones en ganadería y agricultura. Algunas comunidades sin energía eléctrica. Se declaró en desastre el municipio para apoyar al sector carretero y al sector de la vivienda. </t>
  </si>
  <si>
    <t>Accidente carretero que involucro a dos autobuses de pasajeros,  un vehículo compacto particular, cuatro vehículos de carga, una camioneta de redilas y dos camiones de 3 ½ toneladas. Resultaron tres personas fallecidas en el lugar y ocho lesionados que fueron trasladados para su atención.</t>
  </si>
  <si>
    <t xml:space="preserve">Derivado de las lluvias fuertes se desbordo el arroyo Buitrón, afectando a cinco viviendas de la comunidad las Ánimas y una vivienda en Palo alto </t>
  </si>
  <si>
    <t xml:space="preserve">Purísima del Rincón </t>
  </si>
  <si>
    <t>Derivado de las lluvias fuertes se registro penetración de agua a dos viviendas de la comunidad de La Cintilla, con un tirante de agua de 30 cm. No se realizo evacuación de las familias ya que se desazolvo el agua inmediatamente después de lo sucedido</t>
  </si>
  <si>
    <t xml:space="preserve">Derivado de las lluvias fuertes se registro penetración de agua a dos viviendas. en el interior se encontró con tirante de 10 cm. Sin evacuación de personas, solo humedecimiento de pared. </t>
  </si>
  <si>
    <t>Volcadura de pipa perteneciente a la empresa SEPSA, la cual transportaba 2 contenedores con capacidad de 32,000 litros de gasolina cada uno. Solamente un contenedor presentó derrame al caer sobre un barranco con una profundidad de 20 metros. No se reportaron personas lesionadas. Personal de bomberos realizó las labores de taponamiento, logrando contener el derrame.</t>
  </si>
  <si>
    <t>Incendio controlado en la Bodega del Centro de Ciencias Penales de la PGR del Estado de Sinaloa. Se evacuaron 250 personas aproximadamente (entre estudiantes, policías y policías de tránsito) sin reporte de lesionados, se registró derrame de producto químico (se desconoce la sustancia involucrada)</t>
  </si>
  <si>
    <t>Volcadura e incendio de pipa que transportaba diésel con capacidad de 36,000 litros. El accidente se debido a que el conductor en una curva perdió el control  del vehículo volcando hacia  un barranco de aproximadamente 50 metros lo que provocó el incendio del combustible. No se encontró al chofer se presume que falleció calcinado</t>
  </si>
  <si>
    <t>Accidente carretero (tipo carambola), en el km 21.5 de la autopista México Puebla,  al impactarse un tráiler que transportaba basura contra la parte posterior de un autobús y una camioneta, se registraron 13 lesionados (que viajaban en el autobús), los cuales fueron trasladados para su atención medica. Se presume que el accidente se origino por la pronunciada pendiente.</t>
  </si>
  <si>
    <t>Choque automovilístico  entre un autobús de pasajeros perteneciente a la  empresa AMS y un vehículo particular; de las personas a bordo del vehículo fallecieron dos hombres de 12 y 31 años y una mujer de 14 años, asimismo cuatro personas resultaron lesionadas. Los pasajeros del autobús resultaron ilesos.</t>
  </si>
  <si>
    <t>Debido al exceso de velocidad, el chofer de un microbús de la ruta 90 perdió el control, impactándose con un poste de concreto de la CFE, fracturándole. Derivado del siniestro, se reportan nueve lesionados, de los cuales tres fueron atendidos en el lugar y los otros seis fueron trasladados para su atención medica</t>
  </si>
  <si>
    <t>Deslave en un cerro a causa de tierra mal compactada y a las lluvias, siete personas resultaron atrapadas en el interior de dos vehículos, que fueron sorprendidas por el alud de tierra; los vehículos no fueron sepultados en su totalidad por el alud, solamente bloqueo puertas y ventanas ya que alcanzó una altura de 1.50 metros. Las siete personas presentaron crisis nerviosas y dos de ellas (de 8 y 63 años) también resultaron heridas.</t>
  </si>
  <si>
    <t>Incendio en el tianguis de ropa de Héroes de Nacozari. Se desconocen las causas, sin personas lesionadas. Se estima que aproximadamente se quemó una extensión de 500 m²</t>
  </si>
  <si>
    <t>Debido a las fuertes lluvias se reportaron encharcamientos en avenidas y el desbordamiento del arroyo Tecnológico donde fueron arrastrados varios vehículos y  5 personas (1 encontrada sin vida y 4 personas desaparecidas)</t>
  </si>
  <si>
    <t>Fuga de gas y explosión por acumulación de gas en un local de comida, resultando tres lesionados con quemaduras de segundo grado, como medida preventiva se evacuó a una familia de cinco integrantes.</t>
  </si>
  <si>
    <t>Mazapil</t>
  </si>
  <si>
    <t>Un camión de volteo de tres ejes perteneciente a la compañía local Transportadora Carrillo, con 21 ton de arena se quedo sin frenos y arrolló a un contingente de peregrinos. Se reportaron 27 personas fallecidas al instante, además de 179 afectados.</t>
  </si>
  <si>
    <t>Desplome de avioneta tipo Cessna 182, la cual resulto totalmente calcinada. Se informo de cuatro fallecidos. Se desconocen las causas que originaron dicho desplome.</t>
  </si>
  <si>
    <t xml:space="preserve">Desplome de una avioneta tipo Cessna perteneciente a una escuela aérea, derivado del accidente se reporta un hombre calcinado y una persona de sexo masculino con fractura de brazo. </t>
  </si>
  <si>
    <t xml:space="preserve">Derrumbe dentro de un distribuidor vial. Como resultado de ello se reporta una persona de sexo masculino fallecida y tres personas más lesionadas. </t>
  </si>
  <si>
    <t>Tormenta local acompañada de viento fuerte y lluvia de variada intensidad y presencia de torbellinos, la cual afectó techos de lámina de cartón y galvanizada de aproximadamente de 50 viviendas y de 2 instituciones, la Casa de Salud y módulo de San Vicente de Jesús.</t>
  </si>
  <si>
    <t>Choque por alcance entre autobús con razón social Estrella Roja y tracto camión en la Autopista Puebla-México Km 65, se reportan 15 lesionados atendidos en el lugar.</t>
  </si>
  <si>
    <t>Ozuluama</t>
  </si>
  <si>
    <t>Choque frontal entre dos vehículos, un Autobús de pasajeros perteneciente a la empresa Omnibus de México y una camioneta Frontier. En el lugar perdieron la vida cuatro personas de las cuales se desconocen sus datos y 13 más resultaron lesionadas, las cuales fueron trasladadas para su atención medica. Como medida preventiva se acordono y cerró el tramo carretero en ambos sentidos durante 2 hrs.</t>
  </si>
  <si>
    <t xml:space="preserve">Choque de un microbús contra puestos ambulantes. Derivado del incidente, se reportan seis personas lesionadas atendidas en el lugar; el siniestro se debió al exceso de velocidad. </t>
  </si>
  <si>
    <t>Guasave y Mocorito</t>
  </si>
  <si>
    <t>Por la lluvia severa y la inundación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</si>
  <si>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así como 15 postes de energía eléctrica y cinco espectaculares.</t>
  </si>
  <si>
    <t xml:space="preserve"> Al menos una persona calcinada y cuatro lesionados dejó la explosión e incendio en la empresa Si Equipos y Servicios S.A. de C.V. ubicada en el fraccionamiento Industrial San Lorenzo, en la avenida Lerma casi esquina con Gustavo Baz, cuyas llamas y columna de humo se observó a varios kilómetros a la redonda y obligó a la evacuación de negocios e industrias aledañas al sitio.</t>
  </si>
  <si>
    <t>CeNACOM</t>
  </si>
  <si>
    <t xml:space="preserve">A las 17:17 horas, se presentó la explosión e incendio en un gasoducto de 24 pulgadas de gas natural en el tramo estación Escobedo-estación Santa Catarina, municipio de García. Derivado de la explosión se reportan 5 personas fallecidas (calcinadas) de la empresa SEPISA, S.A. de C.V. (Diseño y Construcción de Proyectos para Conducción y Distribución de Energía Eléctrica), subcontratada por la Comisión Federal de Electricidad. El incendio se expandió a la zona de pastizales aledañas. Personal de PEMEX efectuó cierre de válvulas del ducto por lo que sólo se quema producto residual. Como medida preventiva y por procedimiento se evacuó una empresa ubicada aproximadamente a 600 metros. </t>
  </si>
  <si>
    <t xml:space="preserve">A las 20:50 horas se suscitó un incendio dentro de una fábrica de plástico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</si>
  <si>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</si>
  <si>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registró un choque por alcance entre un autobús turístico y un tracto camión, en el kilómetro 164 de la autopista Acatzingo - Puebla, en el municipio de Tepeaca. Se reportaron 14 personas lesionadas, las cuales fueron trasladadas al Hospital Betania en Acatzingo. La carretera fue cerrada parcialmente y reabierta a las 06:00 horas. Participó personal de Policía Federal y CAPUFE.</t>
  </si>
  <si>
    <t>En la ciudad de León, a las 11:00 horas, se suscitó el flamazo de una pipa de gas con razón 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vía helicóptero al Hospital de Cuidados Críticos de Salamanca.  El saldo fue de 14 personas lesionadas, una defunción y 7 lesionados.</t>
  </si>
  <si>
    <t>A las 14:30 hrs. se reportó el desplome de una avioneta tipo Cessna de dos plazas con no. De matrícula XBH-LN, perteneciente a una radiodifusora local, esto a un costado del libramiento Lázaro Cárdenas, la avioneta salió de Uruapan con destino a la ciudad de Celaya. En el lugar se reportó una persona muerta y dos más lesionadas, un hombre y una mujer así como una menor.</t>
  </si>
  <si>
    <t xml:space="preserve">Por la lluvia severa y la inundación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</si>
  <si>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registró choque entre un tracto camión, con razón social “Transportes Godoy” y una camioneta tipo pickup en el km 67 de la Autopista siglo 21, produciéndose incendio de la cabina del tráiler. Nueve personas perdieron la vida a consecuencia del incendio y se mantuvo cerrado el paso por la carretera para traslado de vehículos.</t>
  </si>
  <si>
    <t xml:space="preserve">Incendio en la zona industrial de Ecatepec, entre las calles de Hierro y Calle 22 en la colonia Santa María  Xalostoc en fábrica de reciclaje de Plástico y Cartón, (Desperdicio Industrial), se desconoce la razón social, se realizó una evacuación preventiva en los domicilios aledaños al inmueble. </t>
  </si>
  <si>
    <t>A las 18:25 se recibió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</si>
  <si>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suscitó la volcadura de una pipa de razón social Tranmaco del servicio público federal, la cual transportaba 36,000 litros de chapopote, el incidente ocurrió en el tramo conocido como Puente de Sendero poco antes de incorporarse a la carretera Federal México – Puebla, municipio de Ixtapaluca. No se reportan lesionados. Derivado del incidente se presentó derrame de producto por lo cual se construyó un dique de tierra para contener el derrame. </t>
  </si>
  <si>
    <t>A las 09:00 horas se suscitó choque de autobús del sindicato de trabajadores de PEMEX sección 44 contra árbol, en el km 132 carretera Villa hermosa – Cárdenas pasando el puente Samario Municipio de Cárdenas, se reportan 8 lesionados el chofer y copiloto de gravedad, trasladados al hospital de PEMEX Cárdenas.</t>
  </si>
  <si>
    <t>Asientos</t>
  </si>
  <si>
    <t xml:space="preserve">Volcadura de camión que transportaba 27 toneladas de dinamita  se informa que el incidente ocurrió en la carretera 22 km 25 en el tramo Tepezalá - Asientos de Rincón de Romos, a las afueras de la Mina Real de Ángeles. El camión con razón social Transportes Alco transportaba carga de la empresa Dinamita Durango. No se reportan lesionados. La carga de explosivos están siendo trasladada directamente a la Mina por personal de SEDENA y de la misma Mina. </t>
  </si>
  <si>
    <t>Coatzintla</t>
  </si>
  <si>
    <t>Explosión en un ducto de gas de 16" de Pemex que corre de San Andrés a Poza Rica, cuando llevaban a cabo trabajos con maquinaria. Se cerraron las válvulas de seccionamiento y quedo controlada la fuga. Sin embargo, quedó una gran cantidad de gas en el ambiente motivo por el cual se evacuaron a 4,000 personas de las colonias La Mujer, Morelos y el fraccionamiento Cihuatlán, trasladándose temporalmente al estacionamiento de la tienda Aurrera, COBAEV y el campo de fútbol, en el municipio de Coatzintla.  Se cortaron comunicaciones en el sitio de manera deliberada para evitar generar condiciones de una nueva explosión.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</si>
  <si>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operación normal. Dos lesionados.</t>
  </si>
  <si>
    <t>Tultitlan, Coacalco de Berriozábal, Ecatepec de Morelos</t>
  </si>
  <si>
    <t>Municipio de Coacalco: Colonia Residencial Coacalco, se suscitó la caída de un árbol sobre dos domicilios, sin reporte de personas lesionadas; en las colonias Granjas, E. Reyes, Sánchez Colín se contabilizó la caída de 5 árboles; encharcamiento en la Av. López Portillo con un tirante de aproximadamente 10 a 20 centímetros; en la Colonia Residencial Coacalco  barda.  Dos decesos cuyas causas probables son arrastre y muerte por traumatismo a causa de caída de granizo un hombre de 70 años y una mujer, se desconoce su edad. Municipio de Tultitlán: Colonia San Juan se suscitó el desbordamiento del canal “Cartagena”, presentando penetración de agua en 10 domicilios.  Encharcamiento en vialidades y se recibió el reporte  de una persona ahogada de 42 años de sexo masculino, en la Avenida. Las Torres, esquina Pichardo Pagaza, Colonia Santa María Chiconautla.</t>
  </si>
  <si>
    <t>En la comunidad de Tecomulapa en el municipio de San Marcos, en el interior de un pozo artesanal se encontraban 5 personas intoxicadas y pedían su rescate, estos se introdujeron para dar mantenimiento y limpieza, con una bomba, resultando intoxicados por la acumulación de gases, siendo trasladados por sus familiares al Hospital Básico de este municipio, donde dos personas de sexo masculino uno de 45 años y el otro se desconoce, fallecieron minutos más tarde y 3 permanecen internados.</t>
  </si>
  <si>
    <t>Lluvias intensas durante el transcurso del día, hasta de 200 mm, se reportaron encharcamientos en vía pública e inundaciones en al menos 10 colonias. Se confirman 2 personas fallecidas por descarga eléctrica al intentar desconectar un electrodoméstico. Se encuentra habilitado un Refugio Temporal (Alberca Chávez), que no ha sido ocupado.  PC Municipal, Ayuntamiento y H.C. de Bomberos realizan labores de desazolve con el apoyo de bombas y se continúa con recorridos de evaluación de daños. La tercera víctima mortal fue un hombre de la tercera edad.</t>
  </si>
  <si>
    <t>Coatepec, Los Reyes, Mixtla de Altamirano, Texhuacán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</si>
  <si>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</si>
  <si>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solución de refino de ácido sulfúrico en la empresa denominada compaña minera "La Parreña, S.A De C.V." Unidad milpillas, ubicada en el municipio de Santa Cruz Sonora, donde se impactó hasta llegar a una barrera de contención antes del arroyo principal, sin daños a la población.</t>
  </si>
  <si>
    <t>Gustavo A. Madero,  Cuauhtémoc, Miguel Hidalgo, Álvaro Obregón, Benito Juárez, Magdalena Contreras, Coyoacán, Tlalpan y Cuajimalpa</t>
  </si>
  <si>
    <t>La lluvia dejó un saldo de 34 viviendas afectadas, 14 pasajeros se rescataron de algún medio de transporte, 15 autos afectados, tres deslizamientos de tierra en las delegaciones Álvaro Obregón, Iztapalapa y Miguel Hidalgo y se atendieron 338 encharcamientos, informaron en conferencia de prensa el secretario de Protección Civil capitalino, Fausto Lugo, y el director del Sistema de Aguas de la Ciudad de México</t>
  </si>
  <si>
    <t xml:space="preserve">Se registró un accidente carretero, ubicado en la autopista Tinajas a Cosamaloapan Km 4 + 500, esto entre un autobús de la Línea Cristóbal Colón y un tracto camión marca Kenworth con razón social Fletera 2000 placas de circulación 695 EX 8.  En el lugar resultaron 17 personas (se desconocen generales) con golpes menores quienes fueron trasladas al Hospital Covadonga en el mismo municipio, esto para su valoración y atención médica. Así mismo una persona fallecida en el lugar. El accidente se registró por alcance del autobús al tracto camión, estuvo interrumpida la circulación para realizar los trabajos correspondientes.
</t>
  </si>
  <si>
    <t xml:space="preserve">Petróleos Mexicanos, informó de una toma clandestina no hermética,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presentó riesgo a la población.
</t>
  </si>
  <si>
    <t>Rosario y Salvador Alvarado</t>
  </si>
  <si>
    <t xml:space="preserve"> Se presentaron lluvias fuertes con tormenta eléctrica. Derivado de las lluvias presentadas  como medida preventiva se cierra la autopista por derrumbes de cerro en el km 185 Mazatlán- Durango, a la altura de Pánuco, municipio de Concordia, no se reportan lesionados, ni riesgo a la población.  Municipio de El Rosario: se contabilizaron 400 viviendas con penetración de agua. Municipio de Salvador Alvarado: en la comunidad de Valle de San Lorenzo se reportaron 300 viviendas con penetración de agua (tirantes entre los 50 y 50 cm).  El nivel registrado de tirante de agua tuvo un mínimo de 40 cm y un máximo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través del FONDEN se apoyó al sector acuícola y pesquero en el municipio de Rosario.</t>
  </si>
  <si>
    <t>Tres mujeres resultaron lesionadas por la caída de un rayo, fueron heridas por estar cerca a la zona donde impactó el rayo que cayó directamente en un pick-up Nissan, color blanco.  Se registraron ráfagas de viento de 50 km por hora, que provocaron la caída de tres postes de energía eléctrica y dos árboles, problemas en hogares por cortos circuitos y dos fallas en la corriente eléctrica de diferentes colonias.</t>
  </si>
  <si>
    <t>José Azueta</t>
  </si>
  <si>
    <t>Cerca de las 13:20 horas, se registró el descarrilamiento de al menos 4 carros de ferrocarril de un convoy de 90, de la compañía FERROSUR, en el kilómetro 194, entre las comunidades de Azueta y Arroyo Claro, municipio de José Azueta, que cubría la ruta de Coatzacoalcos – Distrito Federal. Los carros descarrilados contienen hidróxido de carbono, combustóleo, ácido acrílico; además se incendian entre 3 y 4 vagones con óxido de etileno con 70 toneladas de producto cada uno.</t>
  </si>
  <si>
    <t>Derivado de la inundación se declaró en emergencia al municipio de Mazatlán, por lo que se repartieron a la población 3,060 despensas, 6,120 cobertores "b", 6,120 colchonetas, 1,250 impermeables, 10 rollos de hule, 1,530 kits de limpieza, 1,530 kits de aseo personal y 3,442 laminas tipo "a".</t>
  </si>
  <si>
    <t xml:space="preserve">A las 05:30 horas, registró un choque por alcance entre autobús de la línea Futura y un tráiler en el km 141 autopista Arco Norte Pachuca – Tulancingo, perteneciente al municipio de Villa de Tezontepec. Como resultando del mismo, se reportaron: 1 persona fallecida y 12 personas lesionadas, siendo trasladadas a distintos nosocomios para su atención médica; el incidente se debió a que el chofer del autobús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</si>
  <si>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</si>
  <si>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</si>
  <si>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Alpatláhuac, Calcahualaco y La Perla</t>
  </si>
  <si>
    <t xml:space="preserve">Debido a las lluvias severas que provocaron movimientos de laderas fueron declarados en emergencia los municipios de Alpatláhuac,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éstos municipios. Desafortunadamente en la Comunidad de Xilomichi, se registró un derrumbe sobre una vivienda, quedando sepultados 5 menores de 1 año y medio,  de 3 años, A de 7 años, de 11 años y de  12 años y una mujer  de 28 años (la mamá) , así como se reporta lesionado un hombre de 40 años (el papá). </t>
  </si>
  <si>
    <t>Por las lluvias se declaró en emergencia al municipio de Mulegé por lo que se repartieron 4,026 despensas, 5,368 cobertores "b", 5,368  colchonetas, 2,684 kits de limpieza, 1,342 kits de aseo personal,  17,446 laminas tipo "b" y 120,000 litros de agua.</t>
  </si>
  <si>
    <t>Loreto, Comondú, La Paz y Los Cabos</t>
  </si>
  <si>
    <t>Derivado de la inundación se declararon en emergencia a tres municipios por lo que se repartieron 6,876 despensas, 13,754 cobertores "b", 13,754 colchonetas, 3,438 kits de limpieza, 3,438 kits de aseo personal,  44,700 laminas tipo "b" y 110,032 litros de agua.</t>
  </si>
  <si>
    <t>A las 06:50 horas (hora local) se registró volcadura de un camión tipo torton, de la empresa Química PIMA,  que transportaba 12 contenedores de 1,000 litros de capacidad con Ácido Sulfúrico, a la altura del Km 137 de la Carretera Tepic-Mazatlán, se reportó derrame del producto  sobre la vía.</t>
  </si>
  <si>
    <t>Guasave y Sinaloa</t>
  </si>
  <si>
    <t xml:space="preserve">A consecuencia de la fuerte lluvias registradas durante el día 19 y 20 de septiembre se realizaron evacuaciones de familias en 2 municipios por penetración de agua en viviendas y en un municipio de manera preventiva. En la Angostura se evacuaron 4 familias de la comunidad Alhuey, las personas se refugiaron con familiares y amigos. En Salvador Alvarado se  evacuación 23 familias de manera preventiva debido a que el río Mocorito se encontraba a su máxima capacidad.  En el municipio de Guasave se reportaron activos 3 Refugios Temporales debido a escurrimientos del río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</si>
  <si>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A las 02:10 horas se registró una explosión e incendio de dos transformadores de gran potencia que contienen aceite di eléctrico en la subestación de la CFE, ubicada en Av. Pacífico esquina Eje 10 sur, Col. Candelaria, perteneciente a la delegación Coyoacán. Como medida preventiva se evacuaron en el momento 300 personas de las viviendas aledañas a la subestación, no se reportan lesionados</t>
  </si>
  <si>
    <t>Hermosillo, Guaymas, Empalme, Rayón, San Miguel de Horcasitas, Carbó, Pitiquito, Cucurpe, Opodepe, Cajeme, Etchojoa, Quiriego, Rosario, Navojoa, Huatabampo y Benito Juárez</t>
  </si>
  <si>
    <t>Debido a las lluvias producto del paso de la depresión tropical 16-E y a los remanentes de la tormenta tropical Marty  los días 20 y 21 de septiembre que tuvieron efectos sobre la población y sus bienes, así como en la infraestructura pública y en los sectores productivos, se declararon en desastre 16 municipios del estado de Sonora.</t>
  </si>
  <si>
    <t xml:space="preserve">A las 12:33 horas ocurrió un incendio en una bodega de aceite, ubicada  entre las calles Juárez y Raúl Caballero, municipio de Escobedo. No se reportan personas lesionadas, se evacuaron 400 personas de las  en las inmediaciones de la bodega de aceites, las cuales fueron llevadas a un refugio temporal de manera preventiva. Se confirma la afectación de 8 viviendas de las inmediaciones y 5 vehículos por el derrame de aceite. </t>
  </si>
  <si>
    <t>A las 11:00 registró una explosión originando un incendio en la Planta de Hidros 1, del sector 1, en la Refinería “Miguel Hidalgo”, se reporta lesionada la trabajadora Marisol Martínez Ugalde con matricula F.486732,  de 39 años de edad con  quemaduras de 1° y 2° grado, en 12% de su superficie corporal. Trasladada al Hospital de PEMEX en la misma refinería</t>
  </si>
  <si>
    <t>A las 07:00 horas se suscitó la volcadura de un autobús de pasajeros en la carretera Pachuca – México, km 27, municipio de Ecatepec. Se reportaron 38 personas lesionadas que fueron trasladadas al Centro de Especialidades Médicas en Coacalco para su valoración médica; dos de ellas se reportaron graves mientras que el resto presenta fracturas y contusiones.</t>
  </si>
  <si>
    <t xml:space="preserve">Se suscitó una explosión en el Templo de San Juan Bautista en la colonia San Juan Ocotán, municipio de Zapopan ocasionada debido al almacenamiento de pirotecnia dentro de la Sacristía, colapsando 2 bardas y la cúpula de 1 bóveda dentro de un área de 6 x 3 metros. Dos hombres resultaron lesionados  fueron trasladados por la Cruz Verde al Hospital las Águilas en Zapopan. </t>
  </si>
  <si>
    <t>Accidente de un autobús de pasajeros, a la altura de la colonia La Quinta, entrada al fraccionamiento El Mirador, en la carretera Uruapan - Carapán, que transportaba alumnos del Cetis de Uruapan. Derivado del accidente se reportaron 26 alumnos lesionados.</t>
  </si>
  <si>
    <t>Amatlán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</si>
  <si>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</si>
  <si>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</si>
  <si>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registró la volcadura de un vehículo de la SAGARPA en el km 31.5 de la carretera federal 190, municipio de San Pedro Yucuxaca. En dicho vehículo se transportaban muestras sanguíneas embolsadas de bovinos para epidemiología, mismas que quedaron tiradas en el lugar del accidente, cerca de un río a 50 mts, sin presentar derrame de contenido. Sin embargo las bolsas fueron manipuladas por pobladores que se encontraban cerca, sin exponer el contenido de las mismas. Las muestras provenían de Zacatepec con rumbo a la ciudad de Oaxaca. Los 3 operadores de la unidad resultaron lesionados y trasladados al Hospital del IMSS de Yucuxaco.</t>
  </si>
  <si>
    <t>Acapulco de Juárez, Atoyac de Álvarez, Benito Juárez, Coyuca de Benítez, Petatlán, Técpan de Galeana, La Unión de Isidoro Montes de Oca y Zihuatanejo de Azueta</t>
  </si>
  <si>
    <t>Debido a los efectos del huracán Marty se declararon en emergencia a ocho municipios por lo que se repartieron 10,000 despensas, 10,000 kits de limpieza y10,000 kits de aseo personal.</t>
  </si>
  <si>
    <t>En el Río Viejo en el municipio de Palizada, se presentó un derrame  “emulsión base AC-20” a un carro cisterna de la empresa y uno de los gatos que sostiene el tanque se venció, produciendo el derrame de entre 800 y 900 litros, afectando suelo natural y escurriendo hasta el arroyo. La empresa Triturados y Materiales Richaud realizó actividades de limpieza del suelo natural afectado, con maquinaria pesada y de manera manual. Por  lo que respecta al material que alcanzó al arroyo, la empresa retuvo la afectación del cuerpo de agua con la implementación de cuatro barreras de contención, previniendo así que se extendiera  la sustancia a todo el Río Palizada. En recorrido posterior se constató que no existe evidencia o vestigios de material derramado a lo largo de éste. La PROFEPA realizó la visita de inspección en el lugar de los hechos para verificar las medidas de urgente aplicación que realizó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</si>
  <si>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carbón, resultando afectados 3 vehículos y 8 furgones. 
</t>
  </si>
  <si>
    <t>Atlixtac</t>
  </si>
  <si>
    <t>Deslave de cerro, por reblandecimiento de tierra en la Colonia Monte Sinaí del poblado de Huitzapula, municipio de Atlixtac, se presentó pérdida total de 20 viviendas, construidas de material endeble (Adobe y lamina), así mismo 42 viviendas en riesgo, ya que continúan poco a poco los deslaves del cerro, sin reporte de personas fallecidas ni lesionadas. De manera preventiva las personas afectadas se trasladaron a casas de familiares cercanos.</t>
  </si>
  <si>
    <t>Cajeme, Guaymas y Empalme</t>
  </si>
  <si>
    <t>Por las lluvias severas se declararon en emergencia tres municipios por lo que se repartieron a la población 9,027 despensas y 27,150 cobertores.</t>
  </si>
  <si>
    <t>Por la inundación se declaró en emergencia al municipio de La Paz, por lo que se apoyó a la población con 2,811 despensas, 3,750 cobertores, 3,750 colchonetas, 937 kits de limpieza, 937 kits de aseo personal, 12,187 láminas tipo "b" y 60,000 litros de agua. Fue necesario apoyar a través del FONDEN a los sectores carretero, educativo, naval, turístico e hidráulico.</t>
  </si>
  <si>
    <t>Debido a fallas mecánicas, se desplomó un helicóptero Bell-430, del Gobierno del Estado de Veracruz, con número de matrícula XC-VER, en un campo de futbol, en la comunidad de los Ríos, en el municipio de Emiliano Zapata. Falleciendo el Piloto y el copiloto de la aeronave. No se reportaron personas afectadas de la comunidad.</t>
  </si>
  <si>
    <t>Por la granizada severa fue necesario declarar en emergencia al municipio de Juárez, se apoyó a la población con 21,681 despensas, 30,000 láminas tipo "b", 14,450 cobertores "b", 14,450 colchonetas, 30 rollos de hule, 7,227 kits de limpieza y 14,454 kits de aseo personal.</t>
  </si>
  <si>
    <t>Las lluvias intensas en el Municipio de Piedras Negras a partir de las 18:00 horas, alcanzaron hasta 8 pulgadas de precipitación en seis horas.  Esto produjo encharcamientos y crecida de arroyos que afectaron diversas colonias y vialidades. Se reportó un número no determinado de autos varados en zonas inundadas que fueron rescatados por los cuerpos de emergencia y penetración de agua en domicilios de las colonias: Las Argentinas, González, Roma, Periodistas, Hacienda la Luna, Villa de Fuente y Ejido Piedras Negras.  De las colonias afectadas se tiene un total de 88 personas en Refugio Temporal del Auditorio Santiago B González. Se declaró en emergencia y se repartieron 1000 despensas, 4000 cobertores "b", 2000 colchonetas, 1000 kits de limpieza, 1000 kits de aseo personal. Se apoyó a través del FONDEN a los sectores educativo, hidráulico, urbano y de la vivienda.</t>
  </si>
  <si>
    <t xml:space="preserve">A las 21:49 horas del día de ayer se suscitó la volcadura de una pipa con razón social Combustibles sobre Ruedas S.A. de C.V. que transportaba gasolina con una capacidad de 30,000 litros, cayendo sobre la laguna de Valle de Bravo a la altura de la carretera Valle de Bravo Colinas y la Virgencita. La pipa continúa en el lugar y hasta el momento no hay derrame de producto. Se reporta 1 persona lesionada (chofer) la cual fue trasladada al Hospital General del municipio. En el lugar continua laborando personal de Protección Civil Estatal, Municipal, Bomberos y Cruz Roja, quienes se encuentran a la espera de buzos para realizar labores de bombeo del contenido antes de sacar la pipa con grúas. </t>
  </si>
  <si>
    <t>A las 16:30 horas se suscitó la volcadura de un Autobús de la línea Oriente, el incidente ocurrió en la carretera Mérida - Valladolid, a la altura del Km 1, se reportan 26 personas lesionadas trasladadas a diferentes nosocomios de la capital así como 2 fallecidos, participaron en el incidente Protección Civil Municipal, Bomberos, Policía Federal, Cruz Roja</t>
  </si>
  <si>
    <t>Benito Juárez, Solidaridad, Cozumel, Isla Mujeres, Felipe Carrillo Puerto, Bacalar y Othón P. Blanco</t>
  </si>
  <si>
    <t xml:space="preserve">Debido a las lluvias se declararon en emergencia a siete municipios apoyando a la población con 38,166 despensas, 180,000 láminas tipo "b", 101,782 cobertores "b", 101,782 colchonetas, 24,000 impermeables, 24,000 botas, 25,444 kits de limpieza, 25,444 kits de aseo personal, y 450,000 litros de agua. Fue necesario apoyar a través del FONDEN al sector carretero cultural, deportivo, educativo, hidráulico, naval, turístico, urbano y de la vivienda. </t>
  </si>
  <si>
    <t>Acayucan, Altotonga,
Amatitlán, Angel R. Cabada, Carlos A. Carrillo, Catemaco, Chacaltianguis, Chiconquiaco,
Chinameca, Colipa, Cosamaloapan de Carpio, Cosoleacaque, Hidalgotitlán, Hueyapan de
Ocampo, Isla, Ixhuatlán del Sureste, Ixmatlahuacan, Jalacingo, Jáltipan, Juan Rodríguez Clara,
Juchique de Ferrer, Las Choapas, Lerdo de Tejada, Mecayapan, Minatitlán, Misantla, Moloacán,
Nanchital de Lázaro Cárdenas del Río, Oluta, Oteapan, Pajapan, Playa Vicente, Saltabarranca,
San Andrés Tuxtla, Santiago Sochiapan, Santiago Tuxtla, Sayula de Alemán, Soconusco,
Soteapan, Tatahuicapan de Juárez, Texistepec, Tlacojalpan, Tuxtilla, Uxpanapa, Yecuatla,
Zaragoza, Jesús Carranza, Martínez de la Torre,
San Rafael, Acula, Coatzacoalcos y José Azueta</t>
  </si>
  <si>
    <t xml:space="preserve">Las intensas lluvias que se registraron por la madrugada, provocaron en diversos  municipios diversas afectaciones (caídas de árboles y espectaculares, viviendas y escuelas dañadas, corrientes desbordadas, vías de comunicación afectadas, entre otras). Se declararon en emergencia a 52 municipios y se repartieron 30,348 despensas, 105,209 lámina tipo "b", 26,302 lámina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apoyó a los sectores carretero, educativo, hidráulico, urbano y de la vivienda. </t>
  </si>
  <si>
    <t xml:space="preserve"> Nautla, San Juan Evangelista, Tlacotalpan, Huayacocotla </t>
  </si>
  <si>
    <t xml:space="preserve">Debido a las inundaciones se declararon en emergencia a cuatro municipios, por lo que se repartieron 2,000 despensas, 6,405 láminas tipo "b", 4,003 cobertores "b", 4,003 colchonetas, 600 impermeables, 600 guantes de  carnaza, 600 botas, 20,000 costales, 2,604 láminas tipo "c", 1000 kits de limpieza, 1,000 kits de aseo personal y 32,024 litros de agua. </t>
  </si>
  <si>
    <t>Fuga/ Derrame</t>
  </si>
  <si>
    <t>Santa Ana Ahuehuepa</t>
  </si>
  <si>
    <t>El día 17 de octubre a las 01:15 horas Se registra una toma clandestina en la comunidad de Teocalco Municipio de Santa Ana Ahuehuepa,  a las 09:15 arriba seguridad física de Pemex, como consecuencia se presenta derrame de gasolina en un canal de riego y afectando a la comunidad de Vino de Aldama del Municipio de Tezontepec, al momento no se reportan daños humanos, se encuentra controlado el derrame y laboran en el lugar Seguridad física de Pemex, Protección Civil Estatal, Policía estatal, Policía Municipal, Protección Civil Municipal y 5to. Batallón de infantería</t>
  </si>
  <si>
    <t>Bacalar y Othón P. Blanco</t>
  </si>
  <si>
    <t>En comunicación con la Unidad Estatal, informo que debido a las fuertes lluvias que se presentaron por la madrugada se reportan  afectaciones en los  municipios de Bacalar y Othón P Blanco</t>
  </si>
  <si>
    <t>Ixhuatán y Pichucalco</t>
  </si>
  <si>
    <t>Debido a las lluvias se declararon en emergencia los municipios de Ixhuatán y Pichucalco, se apoyó a la población con 632 despensas, 1,469 cobertores, 1,469 colchonetas, 367 kits de limpieza, 734 kits de aseo personal y 10,224 litros de agua. Fue necesario declarar en desastre ambos municipios para apoyar a los sectores carretero e hidráulico.</t>
  </si>
  <si>
    <t>San Pedro Yólox</t>
  </si>
  <si>
    <t>Por los movimientos de ladera se declaró en desastre al municipio de San Pedro Yólox, con el fin de apoyar al sector carretero.</t>
  </si>
  <si>
    <t>Fonden</t>
  </si>
  <si>
    <t xml:space="preserve">Debido a la granizada severa y lluvia severa del 20 al 21 de octubre fue declarado en desastre el municipio de Juárez con el fin de apoyar a los sectores carretero, educativo, hidráulico, urbano y vivienda. </t>
  </si>
  <si>
    <t>Arandas, Atengo, Atotonilco el
Alto, Atenguillo, Autlán de Navarro, Ayutla, Cabo Corrientes, Cihuatlán, Cuautla, Cuautitlán de
García Barragán, El Salto, El Limón, Ejutla, El Grullo, Guadalajara, Ixtlahuacán de los
Membrillos, Ixtlahuacán del Río, Juchitlán, La Huerta, Mascota, Ocotlán, Puerto Vallarta, San
Gabriel, Tenamaxtlán, Tlaquepaque, Tolimán, Tomatlán, Tonaya, Tonila, Tuxcacuesco, Tuxpan,
Unión de Tula, Zapopan y Zapotitlán de Vadillo. En una segunda declaratoria Ameca, Atemajac de Brizuela, Casimiro Castillo, Guachinango, Mixtlán, Quitupan, San Sebastián del Oeste, Talpa de Allende, Tamazula de Gordiano, Tapalpa, Tecolotlán, Teocuitatlán de Corona, Villa Purificación, Zacoalco de Torres y Zapotlán el Grande</t>
  </si>
  <si>
    <t>Reporte de daños ocasionados por impacto de Huracán Patricia categoría 5 en escala de Saffir-Simpson. Debido al impacto del huracán se declararon en emergencia en un primer momento 34 municpios en emergencia extraordinaria por lo que se apoyó a la población con 21,091 despensas, 36,993 cobertores, 39,364 colchonetas, 10,433 kits de limpieza, 10,433 kits de aseo personal, 180,000 litros de agua, 100,000 láminas tipo "c". Posteriormente se agregaron otros 15 municpios a los qeu se apoyó con 5,775 despensas, 80,000 lámina tipo "c", 18,000 cobertores, 18,000 colchonetas, 3,000 kits de limpieza, 3,000 kits de aseo personal, 39,000 litros de agua. También fue necesario declarar en desastre con el fin de apoyar a los sectores carretero, deportivo, educativo, hidráulico, de salud,urbano y vivienda.</t>
  </si>
  <si>
    <t>Armería, Colima, Comala, Coquimatlán, Cuauhtémoc, Ixtlahuacán, Manzanillo, Minatitlán, Tecomán y Villa de Álvarez</t>
  </si>
  <si>
    <t>Los efectos del Huracán Categoría 5 "Patricia" se propagaron hasta las costas de Manzanillo y el resto del estado de Colima ocasionando lluvias de intensas a puntuales torrenciales con vientos sostenidos superiores a los 250 km/h.  Fue declarado en emergencia los 10 muncipios y se apoyó a la población con 8,930 despensas, 17, 862 cobertores, 17,862 colchonetas, 4,465 kits de limpieza, 4,465 kits de aseo personal, 90,000 litros de agua, 9,000 láminas "b". También se dlecararon en desastre los mismos municipios con el fin de apoyar a los sectores carretero, deportivo, educativo, hidráulico, naval, pesquero y acuícola, residuos sólidos, salud y urbano.</t>
  </si>
  <si>
    <t>Aguililla, Aquila, Arteaga, Cherán, Coahuayana, Coalcomán de Vázquez Pallares, Cotija, Chinicuila, Lázaro Cárdenas, Nuevo Parangaricutiro, Parácuaro, Peribán, Tumbiscatío y Uruapan del Estado de Michoacán de Ocampo.</t>
  </si>
  <si>
    <t>Por el paso del huracán Patricia se declararon en desastre a 14 municipios del estado de Michoacán con el fin de apoyar a los sectores carretero, hidráulico, naval y pesquero y acuícola.</t>
  </si>
  <si>
    <t>Ahuacatlán, Amatlán de Cañas,
Bahía de Banderas, Compostela, Ixtlán del Río, Jala, San Pedro Lagunillas, Santa María del Oro,
Santiago Ixcuintla, San Blas, Tecuala y Xalisco</t>
  </si>
  <si>
    <t xml:space="preserve">Por el paso del huracán Patricia se declararon en emergencia a 12 municipios del estado de Nayarit, por lo que se repartieron a la población 7,504 despensas, 15,010 cobertores, 15,010 colchonetas, 3, 752 kits de limpieza, 3,752 kits de aseo personal, 80,000 litros de agua.
</t>
  </si>
  <si>
    <t>Se suscitó la caída de una avioneta tipo Cessna con matrícula desconocida, en el municipio de Acatzingo que procedía de Tehuacán.  Al lugar acudieron personal de CAPUFE, Cruz Ámbar, SUMA, Cruz Roja, Bomberos y Protección Civil Estatal y Municipal.</t>
  </si>
  <si>
    <t xml:space="preserve">Por las lluvias severas se declararon en emergencia a los municipios de Reynosa y Río Bravo, se repartieron a la población 3,184 despensas, 6,371 cobertores, 6,371 colchonetas, 1,592 kits de limpieza, 1,592 kits de aseo personal, 101,963 litros de agua y 3,600 láminas tipo "b". También se declararon en desastre con el fin de apoyar a los sectores hidráulico, urbano y de la vivienda. </t>
  </si>
  <si>
    <t xml:space="preserve"> FONDEN</t>
  </si>
  <si>
    <t>La Secretaría de Protección Civil del Gobierno del Distrito Federal, informó que el día de hoy a las 06:45 horas se suscitó accidente, choque contra objeto fijo (puente Peatonal) de una camioneta tipo Urban de pasajeros de la ruta 28. Los hechos se registraron sobre la Calzada Ignacio Zaragoza esquina Calle 3, Col. Agrícola Oriental, Delegación Iztacalco.  Como resultado del siniestro, se reportan 2 personas fallecidas y 11 personas lesionadas, mismas que fueron trasladadas a los hospitales, ISSSTE Zaragoza, Clínica 32 del IMSS, Dr. Rubén Leñero y Polanco. Como medida preventiva, se cerró la calzada por la lateral para realizar el retiro de la unidad; alrededor de las 10:00 horas, la calzada fue reabierta a la circulación.</t>
  </si>
  <si>
    <t>Cuajimalpa de Morelos</t>
  </si>
  <si>
    <t>En comunicación con La Secretaria de Protección Civil del Distrito Federal, informo que el día de hoy a las 12:15 horas, se suscitó el choque entre grúa de plataforma y un autobús de pasajeros de la línea Flecha Roja, mismos que cayeron de un puente vehicular, en la Carretera Federal México – Toluca Km. 29+500 Col. La Pila, de la Delegación Cuajimalpa; en la unidad iban a bordo15 personas, de las cuales resultaron 7 personas lesionadas, mismas que fueron trasladas al hospital de la Cruz Roja En Polanco, como medida preventiva se cerró parcialmente la carretera en ambos sentidos, siendo reabierta a las 15:38 hrs. En el lugar participaron, la  Secretaría de Protección Civil del Distrito Federal, Policía Federal y H. C. de Bomberos, Cruz Roja, ERUM.</t>
  </si>
  <si>
    <t xml:space="preserve">Los días 27 de octubre, 2 y 4 de noviembre de 2015 se presentó el desprendimiento de bloques de suelo y roca en los taludes sur y suroeste del predio donde se desplanta el desarrollo habitacional Vista del Campo. Los derrumbes afectaron alrededor de 15 automóviles estacionados bajo el talud, y limitaron el acceso principal.  Afectaron a tres transformadores y se presentó suspensión del servició eléctrico por seis horas. Fue necesario inhabilitar una antena de telecomunicaciones de dos toneladas. En el último deslave fue necesario desalojar a 116 personas de 5 condominios como medida preventiva. El principal daño fue el causado a la cimentación de una casa cerca del borde. </t>
  </si>
  <si>
    <t>Otra</t>
  </si>
  <si>
    <t>Aproximadamente a las 23:30 horas (hora local) se registró incendio al interior de una cochera ubicada en calle San Cristóbal, del Fraccionamiento Valle Bonito, en la que se encontraba una camioneta que transportaba 6,000 litros de combustible, presuntamente robado, resultando una vivienda consumida, y otras tres con afectaciones diversas. Se realizó evacuación de las casas aledañas, una cuadra y no se reportan personas lesionadas y fallecidas. El incidente quedo controlado a las 01:35 horas. Participo HC Bomberos y Seguridad Pública.</t>
  </si>
  <si>
    <t>Tuxpan, Tecuala, Huajicori, Rosamorada, Santiago Ixcuintla</t>
  </si>
  <si>
    <t>Derivado de las fuertes lluvias que se presentaron desde la noche de ayer, se reportan 4 comunidades incomunicadas, siendo Higueritas, El Zapote, El Tigre y Las Huertas, esto debido al desbordamiento del río Las Cañas. Se tiene un refugio temporal en operación, sin que hasta el momento sea ocupado.  En los municipios de Tecuala, Santiago, Rosamorada y Tuxpan se reportan inundaciones que no han sido de consideración, mientras que el río San Pedro Tuxpan ha comenzado a incrementar su nivel por las lluvias registradas en los estados de Zacatecas y Durango.</t>
  </si>
  <si>
    <t>Cihuatlán, Tomatlán y Melaque.</t>
  </si>
  <si>
    <t>Derivado de las fuertes lluvias registradas desde la noche de ayer, se presentó el incremento del río Maracabo y el arroyo Pedregal, ocasionando inundaciones en varios sectores de los municipios Cihuatlán y Melaque. Se tienen restringido el paso vehicular de las carreteras Federal 80, Guadalajara-Barra de Navidad y Manzanillo-Cihuatlán. Al momento se cuenta con 5 refugios temporales 4 en el municipio de Cihuatlán y uno en el municipio de Tomatlán:  - Cabecera municipal, Escuela Primaria "Gregorio Torres Quintero" (municipio de Cihuatlán) con 70 personas. - Villa Obregón, Jardín de Niños "Juan de la Barrera", (municipio de Cihuatlán), con 109 personas. -Januco, Escuela Primaria "Rafael Ramírez", (municipio de Cihuatlán), con 67 personas. - Emiliano Zapata, iglesia de la Localidad, con 17 personas.  - Morelos, Casa Ejidal (municipio de Tomatlán), con 16 personas.  Cabe mencionar que hasta el momento no se reportan daños humanos.</t>
  </si>
  <si>
    <t>Debido a las inundaciones se declaró en emergencia al municipio de Escuinapa por lo que se apoyó a la población con 894 despensas, 1,007 lámina tipo "a", 1,791 cobertores "b", 1,791 colchonetas, 600 impermeables, 5 rollos de hule, 447 kits de limpieza y 447 kits de aseo personal.</t>
  </si>
  <si>
    <t>Llera, Valle Hermoso, San Fernando y Matamoros</t>
  </si>
  <si>
    <t>Debido a las fuertes lluvias acompañadas de tormenta eléctrica por un lapso de 2 horas, provocaron inundaciones severas en varias colonias . Se habilitó un refugio temporal. Se declararon en emergencia a tres municipios y se repartieron a la población 14,832 despensas, 16,573 cobertores "a", 16,573 colchonetas, 50 botas, 5,000 costales, 4,143 kits de limpieza, 7,706 kits de aseo personal, 10,400 láminas tipo "b", 1,200 láminas tipo "c" y 272,584 litros de agua. Fue necesario declarar en desastre a los cuatro municipios por los daños en los sectores carretero, educativo, hidráulico, pesquero y acuícola, salud, urbano y vivienda.</t>
  </si>
  <si>
    <t>Coatzacoalcos, Ixhuatlán del Sureste, Banderilla, Coatepec, Tlalnelhuayocan, Tonayán, Xalapa</t>
  </si>
  <si>
    <t>Debido a las inundaciones se declararon en emergencia a siete municipios, por lo que se repartieron 10,497 despensas, 13,972 cobertores, 13,972 colchonetas, 22,000 costalillas, 30,600 láminas tipo "b", 9,084 láminas tipo "c", 3,493 kits de aseo personal, 3,493 kits de limpieza, 600 botas, 600 impermeables y 600 guantes.</t>
  </si>
  <si>
    <t>San Agustín Mezquititlan</t>
  </si>
  <si>
    <t>En la carretera federal México-Tampico, a la altura del kilómetro 78 y 79 correspondiente al municipio  de san Agustín Mezquititlan se originó el accidente, por exceso de velocidad con choque frontal, entre 2 autobuses de la línea futura con placas 396HV3 del SPF. Y no. económico 7227 con destino México-Huejutla, el cual trasladaba aprox. a 42 pasajeros. Así mismo el autobús estrella blanca que llevaba destino a Tulancingo  con no. de placas 362HZ1 del SPF. Con no. económico 7489, el cual trasladaba aproximadamente a 30 personas.</t>
  </si>
  <si>
    <t>Se registró un choque en la carretera Saltillo-Santa Catarina, a la altura del libramiento, municipio de Santa Catarina, involucrando dos tracto camiones, un vehículo particular y una pipa de la empresa Herlug que transportaba emulsión de base agua. Se reportaron 3 personas lesionadas quienes fueron trasladadas a hospitales de Nuevo León, una persona fallecida, quien era el conductor de la pipa. Como resultado del incidente se produjo incendio que consumió uno de los tracto camiones y la cabina de la pipa. Se realizó cierre parcial de la vía. Participa PC Estatal, PC Santa Catarina, PC de García, Bomberos de Santa Catarina y Nuevo León. Cruz Verde y Cruz Roja</t>
  </si>
  <si>
    <t xml:space="preserve">Explosión en planta de Texmelucan, Puebla.  Durante trabajos de reparación de la Planta Metanol II, encontrándose esta fuera de operación, con líneas y purgas abiertas y desfogadas, se presenta liberación súbita de presión en tapa de equipo condensador de vapor EA-401, lesionando por contusión en diversas partes del cuerpo (cabeza y cara, tórax, espinillas) a tres trabajadores del departamento de Mantenimiento de Plantas, quienes fueron atendidos y trasladados al Hospital Ángeles de la Ciudad de Puebla para su valoración médica. </t>
  </si>
  <si>
    <t>San Pedro Totolapam</t>
  </si>
  <si>
    <t>Se registró una volcadura de una pipa que transportaba 43,000 litros de diésel industrial bajo en Azufre, en la carretera federal México – Cd. Cuauhtémoc tramo Totolapan al lugar denominado el Camarón en el km. 88+500, con derrame en la cinta asfáltica se desconoce la cantidad, resultando el chofer de la unidad lesionado, como medida preventiva se tiene cerrada la carretera,  se realizó el aviso a SETIQ.</t>
  </si>
  <si>
    <t>Se registró volcadura de un vehículo de 3 toneladas, el cual transportaba 4 contenedores con mil litros de hidrocarburo cada uno, el cual tres contenedores tuvieron derrame, en calle 2 Oriente, Barrio Jalatzingo, Localidad San Mateo Tlaixpan, en Tecamachalco, Puebla es de mencionar que después del derrame, un contenedor quedó lleno y los otros 3 al 35%, no hubo lesionados, quedó controlado, participo PEMEX.</t>
  </si>
  <si>
    <t>A las 03:03 horas se suscitó se suscitó un accidente entre un autobús de pasajeros y un tráiler en el km 3 de la Autopista de Occidente, a la altura de la caseta de Zinapécuaro. Se reporta un aproximado de 20 personas lesionadas de las cuales 5 son de gravedad, siendo trasladadas al Hospital de Zinapécuaro. Participó personal  de Cruz Roja, Protección Civil Estatal y Municipal.</t>
  </si>
  <si>
    <t>Tepetlixpa</t>
  </si>
  <si>
    <t>Se registra a las 08:30 horas volcadura e incendio en el km 48 de la carreta Cuautla –Amecameca, de un remolque con doble auto tanque con capacidad de 36,000 y 26,200 litros respectivamente que transportaba combustóleo, con razón social “Transportes Martínez Ortiz” con sede en Salamanca, Guanajuato, se realizó cierre a la circulación en ambos sentidos y se confirma una persona lesionada, conductor de la unidad, quien fue trasladado al hospital General de Cuautla por ambulancia de CAPUFE. Participa CAPUFE, Policía Federal, Protección Civil Tepetlixpa, PC Amecameca, Bomberos de Amecameca Cuautla y Chalco.</t>
  </si>
  <si>
    <t xml:space="preserve">Incendio de una pipa que transportaba gas LP, aproximadamente 30,000 litros, en la Av. Reyes Heroles, Colonia Jardines del Recuerdo, municipio de Tlalnepantla. El incidente derivó luego del impacto de la pipa contra un camión de transporte publicó; al momento se reportan 26 personas lesionadas, 1 fallecido conductor de la pipa, se evacuó de manera preventiva a habitantes aledaños al incidente.
</t>
  </si>
  <si>
    <t>Álamo Temapache, Boca del Río, Castillo de Teayo, Huayacocotla, Ixcatepec, Ixhuatlán de Madero, Pajapan, Tamiahua, Tuxpan y Veracruz</t>
  </si>
  <si>
    <t>Debido a la lluvia se declararon en emergencia a 10 municipios por lo que se repartieron 5,202 despensas, 22,548 láminas tipo "b", 6,938 cobertores "b", 6,938 colchonetas, 1,200 impermeables, 1,200 guantes, 1,200 botas, 1,200 costales, 1,734 kits de limpieza, 1,734 kits de aseo personal y  55, 504 litros de agua</t>
  </si>
  <si>
    <t>Se suscitó la volcadura de una pipa en el km 80 de la carretera México – Querétaro, se cuenta con una cifra de 7 personas lesionadas y 2 fallecidas. La pipa pertenece a la empresa Alpura y transporta leche. Se tiene cierre parcial de la carretera en dirección a Querétaro. En el lugar se encuentra laborando personal de Seguridad Pública, Protección Civil de Tepeji del Río, Policía Estatal, Policía Federal y CAPUFE</t>
  </si>
  <si>
    <t>Se registro un choque entre un autobús de turistas extranjeros con razón Social “Turismo trasnacional” y un tráiler, en el km 39 de la carretera Ocozocoautla-Arriaga, derivado del incidente resultaron 20 personas lesionadas (Holandeses y Belgas), los cuales fueron trasladados al Hospital General de Cintalapa para su atención médica. Participa personal de PC estatal, Cintalapa, Jiquipilas y Ocozocoautla. Se mantiene cierre parcial de la carretera.</t>
  </si>
  <si>
    <t xml:space="preserve">Se presentó 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evacuación preventiva.  
</t>
  </si>
  <si>
    <t>Incendio en poliducto de 18 pulgadas ubicado en la carretera Ozumba-Ciudad Sahagún (como referencia, localizado cerca de la hacienda Tlapayuca) por posible toma clandestina en el municipio de Axapusco, Estado de México. No hay población asentada en las inmediaciones. En el lugar se encontraron 3 vehículos calcinados. Personal de PEMEX cerró la válvula, continúa quemándose el producto residual. Debido al incendio resultaron afectadas dos líneas de transmisión eléctrica de alta tensión, y otras dos susceptibles de afectarse. Personal de CFE se encuentra en sitio. No se reportan daños humanos. En el control y extinción del incendio se encuentran elementos de PEMEX, Bomberos y Protección Civil de Acolman, Axapusco y Ozumba.</t>
  </si>
  <si>
    <t>Incendio sobre el Derecho de Vía del poliducto 24/18” Tuxpan–Azcapotzalco suscitado el 18 de noviembre, se confirmó que el incidente fue derivado de una toma clandestina en el km. 177+605 del poliducto de 18-16” Poza Rica-Venta de Carpio-Azcapotzalco, ubicado en inmediaciones del ejido Soapayucan, municipio de Axapusco, Estado de México.  A las 04:05 horas del día de hoy, se controló el fuego y se realizaron trabajos para enfriar la zona y colocar un tapón en el ducto para sellar la toma clandestina, dicho procedimiento fue concluido a las 07:15 horas.</t>
  </si>
  <si>
    <t xml:space="preserve">Acatlán, Coatzacoalcos, Landero y Coss, Tenochtitlán, Yecuatla, Angel R. Cabada, Lerdo de Tejada, Saltabarranca, Uxpanapa, Las Choapas </t>
  </si>
  <si>
    <t>Debido a las inundaciones se declararon en emergencia a 10 municipios, se apoyó a la población con  2,712 despensas, 11,752 láminas tipo "b", 3,616 cobertores, 3,616 colchonetas, 700 impermeables, 700 guantes de carnaza, 700 botas, 25,000 costales, 904 kits de limpieza, 904 kits de aseo personal y 28,680 litros de agua.</t>
  </si>
  <si>
    <t>Hidalgotitlán, Jesús Carranza, Texistepec</t>
  </si>
  <si>
    <t>Debido a las inundaciones se declararon en emergencia a tres municipios, se apoyó a la población con 1,030 despensas, 2,063 cobertores "b", 2,063 colchonetas, 300 impermeables, 300 guantes de carnaza, 300 botas, 7,800 costales, 515 kits de limpieza, 515 kits de aseo personal y 16,504 litros de agua.</t>
  </si>
  <si>
    <t xml:space="preserve">Derrame de hidrocarburo en ductos de Pemex en la calle 2 de Abril de la colonia El Dendho en Atitalaquia, Hgo. El derrame en Atitalaquia correspondió al poliducto de 8”Ø Tula - Pachuca.  Personal de Mantenimiento de Pemex se trasladó al sitio para atender el reporte.
05S. De acuerdo a reporte de Protección Civil en sitio, se evacuaron 2,500 personas aproximadamente como medida preventiva, sin daño alguno.  El volumen derramado y área afectada se cuantificará en cuanto llegue el lote a su destino final.
</t>
  </si>
  <si>
    <t>Se suscitó un choque entre 1 autobús de pasajeros de la línea Verdes Poblanos y 2 vehículos particulares en la carretera México – Tuxpan en el municipio de Jalpan, el incidente ocurrió entre las comunidades de Apapantilla y la Esperanza a la altura del Rancho 4 Hermanas. Se reportó fallecimiento de 22 personas quienes viajaban en el autotransporte de pasajeros y dos mas fallecidos que viajaban en el vehículo particular que se impactó e incrusto en la zona de la puerta del autobús impidiendo la salida oportuna de los pasajeros.</t>
  </si>
  <si>
    <t>Se registró una explosión en el interior del complejo de refinación Antonio Dovali Jaime de PEMEX en Salina Cruz, Oaxaca, en específico en la planta de Alquilación, donde se observó una fuga de hidrocarburo en la parte media de la torre DA-304 provocando una flama de dimensiones importantes del lado norte de la torre. Por ello, se activaron protocolos de emergencia para la atención, control del incendio y evacuación de personal, aproximadamente 2,000 trabajadores.  A consecuencia del incidente se reportan por parte de personal de PEMEX: 2 trabajadores con quemaduras leves, 11 trabajadores con ataques de ansiedad y miedo. Además otros 6 de una compañía prestadora de servicios: 4 con quemaduras superficiales y 2 con contusiones, ninguno de gravedad. A las 11:00 horas se reportó controlado el incidente por los cuerpos contra-incendio de la propia refinería. De manera preventiva se evacuaron domicilios aledaños y escuelas por parte de la Unidad Estatal de Protección Civil, Policía Federal, SEMAR, SEDENA y Cruz Roja. </t>
  </si>
  <si>
    <t>Volcadura de un autobús turístico con razón social “Laser” en la carretera Taxco-Estado de México, en el tramo Michapa-Grutas de Cacahuamilpa, municipio de Pilcaya, Guerrero, resultando 7 personas fallecidas y 23 personas lesionadas. Los pasajeros eran originarios de Chilapa de Álvarez y se dirigían hacia Sinaloa para trabajar como jornaleros. Entre las personas que fallecieron se encuentran cuatro hombres, dos mujeres y un bebe de dos meses y 29 jornaleros más resultaron lesionados.</t>
  </si>
  <si>
    <t>Volcadura de un autobús que trasladaba trabajadores (se desconoce el nombre de la empresa de la que provenían) en el Km 38+500 de la autopista León-Salamanca, a la altura de la Col. la Garrida, Municipio de Irapuato. Resultaron 14 personas lesionadas (9 trasladados al IMSS de Irapuato, 4 al IMSS de León y 1 lesionado al Hospital General de Irapuato) y 1 fallecido. Participó Protección Civil Municipal, Bomberos de Irapuato y Silao, Cruz Roja delegaciones Silao, San Francisco, Irapuato y León.</t>
  </si>
  <si>
    <t xml:space="preserve">Se registró un choque entre Camión de transporte de personal color blanco con placas 13MN534 del estado de Guanajuato, razón social SM de Querétaro procedente del Parque Industrial Opción, se desconoce de qué empresa y un Tráiler Blanco con Caja Blanca, en la Carretera Federal 57 Carril Querétaro – San Luis Potosí Km 79 Comunidad Rancho Lobos, resultando 12 personas lesionadas,  trasladadas al IMSS de San Luis de la Paz; 18 personas más  atendidas en el lugar y 1 persona fallecida. </t>
  </si>
  <si>
    <t>Una aeronave tipo Boeing 737, de la aerolínea Comercial Mexicana Magnicharters, con número de matrícula XA-UNM, procedente de Cancún, Quintana Roo, con 139 pasajeros y 5 elementos de tripulación, sufrió un colapso en su tren principal, al momento de realizar su aterrizaje. Personal del Cuerpo de emergencia y Rescate del Aeropuerto Internacional de la Ciudad de México, atendió de manera oportuna a algunos pasajeros que presentaron crisis nerviosa. Debido a lo anterior la pista 05 izquierda, 23 derecha, será cerrada temporalmente por 4 horas, mientras se realizan los trabajos de retiro de la aeronave.  Por otro lado, en comunicación con personal de Emergencias de Aeronáutica Civil informó que varios pasajeros presentaron algunas lesiones menores, sin determinar la cantidad de las personas afectadas.</t>
  </si>
  <si>
    <t>Accidente carretero (salida del camino) de un autobús de pasajeros, de transporte de personal marca Mercedes Benz color blanco con franjas color marrón con y verde con razón social Transportes Railo,  en km 13+550 de la carreta federal libre Guanajuato-Silao, resultaron 26 personas lesionadas, quienes fueron atendidas en el lugar y posteriormente trasladadas al IMSS de Guanajuato, IMSS de Silao, Hospital General de Guanajuato, Hospital General de Silao, clínica Particular Medical Hearth de Silao Puerto Interior.</t>
  </si>
  <si>
    <t>Naucalpan de Juárez</t>
  </si>
  <si>
    <t xml:space="preserve">Accidente entre dos vehículos para transporte público (colectivo y foráneo) en el kilómetro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</si>
  <si>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registró volcadura de un tracto camión razón social “Servicios  Integrales Altamira” de caja seca con número de rombo 1971, en cuyo interior se localizaron 4 contenedores sin identificación que presentaron fuga de producto. Se maneja por los cuerpos de emergencia en base al número de guía 117. Se reportó una persona lesionada, el conductor del tracto camión  y se realizó cierre de la vía</t>
  </si>
  <si>
    <t>Coatzacoalcos, Ixhuatlán del Sureste, Moloacán, Nanchital de Lázaro Cárdenas del Río, Las Choapas, Agua Dulce</t>
  </si>
  <si>
    <t>Debido a las inundaciones se declararon en emergencia a seis municipios, se apoyó a la población con 1,084 despensas, 14,095 láminas tipo "b", 4,337 cobertores "a", 4,337 colchonetas, 250 impermeables, 250 guantes de carnaza, 7,800 costales, 1,084 kits de limpieza, 1,084 kits de aseo personal y 30,990 litros de agua.</t>
  </si>
  <si>
    <t>Agua Dulce, Las Choapas</t>
  </si>
  <si>
    <t xml:space="preserve">Se informó que derivado de las lluvias fuertes y escurrimientos, el nivel del río Agua Dulcita el cual es de 2.30 metros incrementó a 7.40 metros ocasionando anegaciones con un tirante que oscilaba entre los 60 cm y 1 metro en viviendas de 12 colonias de la cabecera municipal, no se tienen cuantificadas las viviendas que fueron afectadas. Personal de Protección Regional y Estatal se encuentra en la zona debido a que a la par hay 2 arroyos (el Control y Mascachiles) en el municipio de las Choapas, los cuales desbordaron en la zona urbana. Se tiene registro de un corte carretero en una de las 2 entradas a las Choapas, mismo que ya está siendo atendido.  Se instaló 1 albergue con 3 familias, el día de hoy la situación ya se encuentra normalizada; el río Agua Dulcita ya se encuentra en niveles normales. </t>
  </si>
  <si>
    <t xml:space="preserve">Se registró el choque de un autobús de pasajeros de la empresa “Estrella de  Oro”, número económico 8385, placas de circulación 070HZ1 del servicio Público Federal, procedente del Distrito Federal con destino el Puerto de Acapulco, el cual se impactó por alcance  en la parte trasera de un tráiler de la marca Dina, placas de circulación 069WH1 del servicio Público Federal, hechos registrados en la autopista del sol México – Acapulco,  kilómetro 226 del tramo Chilpancingo – Paso Morelos, carril norte – sur.   Resultando 25 lesionados de la segunda prioridad, quienes fueron trasladados al Hospital Privado del Sur de Chilpancingo, mientras que un autobús futura de la empresa estrella blanca, apoyo a 8 personas que no ameritaron hospitalización trasladándolos al Puerto de Acapulco. </t>
  </si>
  <si>
    <t>Se registró un choque entre una camioneta Dodge RAM color plata y una camioneta de redilas en la carretera de San Andrés Tuxtla – Catemaco, municipio de San Andrés, resultando 4 personas fallecidas y 12 personas lesionadas, trasladadas al hospital de Catemaco, la carretera quedo parcialmente cerrada a la circulación y  fue restablecida completamente a las 20:00 horas, en el lugar participaron Protección Civil Estatal, Protección Civil Catemaco, Policía Municipal y Bomberos del Municipio de San Andrés.</t>
  </si>
  <si>
    <t>Un autobús repleto de integrantes de un ballet folclórico se volcó esta madrugada cuando circulaba por la carretera Celaya-San Miguel de Allende. Una mujer falleció cuando era atendida en el hospital general de Celaya. Los otros 43 ocupantes resultaron con lesiones y presentan distintos grados de gravedad; dos mujeres están en condición crítica. El autobús se salió del puente y al caer de varios metros de altura se volcó sobre su costado derecho, en un socavón.</t>
  </si>
  <si>
    <t>Alpatláhuac</t>
  </si>
  <si>
    <t>Volcadura de una camioneta particular en el km 2.4 del tramo carretero Ayahualilco – Cocalzingo, municipio de Alpatláhuac, derivado del incidente resultaron 15 personas lesionadas, 4 de ellas de gravedad (13 fueron trasladadas al Hospital de Río Blanco y 2 al IMSS de Córdoba). El incidente se atribuye a una posible falla mecánica. Situación controlada a las 13:00 horas por personal de Bomberos, Protección Civil Municipal y Seguridad Pública.</t>
  </si>
  <si>
    <t>Celaya, Apaseo el Grande</t>
  </si>
  <si>
    <t>Choque en la carretera Federal Celaya-Apaseo el Grande a la altura del km 12 de un Tracto camión con razón Social TLM, impacto a un Auto tanque doble full con capacidad de más de 30,000 litros que transportaba combustible el cual se derramo en su totalidad y una más involucrada con capacidad de 35,000 litros de igual manera transportaba combustible con razón social Auto tanques Estrella S. de R.L. de C.V., se reportó una persona fallecida en el lugar, se realizó la evacuación preventiva de 700 personas del poblado Calera de Ameche quienes se concentraron en la iglesia, se realizó el cierre total de circulación en ambos carriles.</t>
  </si>
  <si>
    <t>Se registró el impacto de un tráiler, marca Internacional, modelo 2008, con placas de circulación 476EJ4 del Servicio Público Federal, contra un autobús de pasajeros de la línea Ciénega, con placas de circulación 993 HW2. El accidente se presentó en el kilómetro 33+600 de la carretera Santa rosa-La Barca, municipio de Poncitlán.  Como resultado de lo anterior se reportan 15 personas lesionadas, de las cuales 13 fueron atendidas en el lugar y 2 necesitaron ser trasladadas a un hospital cercano, para su atención médica.  Hasta el momento se desconocen las causas que originaron el accidente.</t>
  </si>
  <si>
    <t>Tecámac</t>
  </si>
  <si>
    <t xml:space="preserve">Choque por alcance entre un Autobús de la línea Elite, un camión tipo Ford sin placas de circulación,  en el que viajaban Peregrinos quienes regresaban a Mapantla San Luis Potosí, a la altura  del km 40 de la autopista México – Pachuca, municipio de Tecámac, resultando dos personas fallecidas  y 5 personas lesionadas trasladadas al hospital de Tlalnepantla.  </t>
  </si>
  <si>
    <t>Choque por alcance entre un vehículo de seguridad pública y pipa que transportaba gasolina, ocasionando la volcadura e incendio de la pipa, se reporta que venía vacía la pipa, solo se tiene derrame de Diésel del tanque de servicio,  en Manuel Ordoñez  y Oswaldo Rodríguez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</si>
  <si>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Rio Grande</t>
  </si>
  <si>
    <t>Se suscitó accidente choque por alcance entre una unidad médica de Río Grande y un vehículo particular en la carretera Zacatecas – Durango municipio de Río grande, resultando 1 persona fallecida y 11 personas lesionadas trasladadas al hospital de Río Grande.</t>
  </si>
  <si>
    <t>Se suscitó accidente volcadura y choque de microbús de la ruta 22, contra objeto fijo (árbol) en carretera  Atizapán a Nicolás Romero en la calle Jalisco, Colonia El Pedregal del municipio de Atizapán de Zaragoza, resultando 20 personas lesionadas trasladadas a los hospitales de Lomas Verdes y Cruz Roja de Atizapán.</t>
  </si>
  <si>
    <t>Bocoyna, Carichí, Cuauhtémoc, Cusihuiriachi,
Casas Grandes, Galeana, Gómez Farías, Guerrero, Ignacio Zaragoza, Janos, Madera, Matachí,
Namiquipa, Nuevo Casas Grandes y Temósachic</t>
  </si>
  <si>
    <t>Por la nevada severa fue necesario declarar en emergencia a 15 municipios, se apoyó a la población con 1,886 despensas, 24,527 láminas tipo "b", 7,547 cobertores "a", 7,547 colchonetas y 20 rollos de hule.</t>
  </si>
  <si>
    <t xml:space="preserve">Se suscitó la explosión de un polvorín y posterior incendio ubicado en la calle Camino a Matatlán, fraccionamiento Urbi Quinta, municipio de Tonalá. Se reportan 4 personas lesionadas quienes fueron trasladadas para su atención a un Hospital del municipio así como 2 fallecidas. No hubo necesidad de realizar evacuación debido a que el sitio se encuentra en una zona despoblada. </t>
  </si>
  <si>
    <t xml:space="preserve">Derrame de combustible proveniente de toma clandestina ubicada en el ejido Pejelagartero 1ra. Sección, municipio de Huimanguillo, Tabasco. Personal Operativo y de Seguridad Física y de Reparaciones de Pemex se encuentran en el lugar en acciones de control. Asimismo, se informa que se dio aviso a Protección Civil, quienes procedieron a la evacuación preventiva de 200 familias en un diámetro de 1 km, duchas familias se alojaron con amigos y familiares. 21:20 h Se suspendió el bombeo del ducto,  disminuyendo completamente el derrame de crudo, a las 0115 horas se confirma que el derrame se debe a la fuga de una válvula debido a una toma clandestina. </t>
  </si>
  <si>
    <t>Magdalena, Rayón, Aconchi, Agua Prieta, Arizpe,Atil, Bacoachi,Banámichi, Baviácora, Cumpas, Fronteras, Huépac, Imuris, La Colorada, Mazatán, Moctezuma, Naco, Oquitoa, San Felipe de Jesús, Santa Cruz, Ures y Villa Pesqueira</t>
  </si>
  <si>
    <t>Por las heladas severas se declararon en emergencia a 22 municipios, se apoyó a la población con 858 despensas, 11,166 láminas tipo "b", 3,436 cobertores,  2,923 colchonetas, 27,488 litros de agua y 20 rollos de hule.</t>
  </si>
  <si>
    <t>Se suscitó accidente  choque entre camión de pasajeros y Ferrocarril en la carretera cerritos Mazatlán, Sinaloa  a la altura del Hotel Emerald  Bay, resultando 4 personas fallecidas y 20 personas lesionadas trasladadas a diferentes hospitales de la entidad, participa PC Estatal y Municipal, Cruz Roja y Ambulancias del Municipio.</t>
  </si>
  <si>
    <t>Se recibió el reporte de una explosión en el poblado C-33 al parecer por una fuga en un ducto de Pemex, preliminarmente se reportan 30 personas con quemaduras.</t>
  </si>
  <si>
    <t>Carrillo Puerto</t>
  </si>
  <si>
    <t>Se suscitó la volcadura de un autobús turístico de la línea 'La Costa' en el km 171 de la carretera Carrillo Puerto – Tulum, municipio de Carrillo Puerto, a la altura de la comunidad de Santa Amalia, se reportan al momento 10 personas lesionadas y 3 personas fallecidas.</t>
  </si>
  <si>
    <t xml:space="preserve">En el municipio de Las Choapas se registró un accidente carretero de un autobús turístico, con razón social “Romo”, que se impactó contra las barras de contención de la carretera Ocozatepec-Chiapas a la altura del kilómetro 61 +500. Resultando 10 personas fallecidas en el lugar y una más que falleció en el hospital May de Coatzacoalcos. Se reportan además lesionados trasladados a hospitales de Coatzacoalcos. </t>
  </si>
  <si>
    <t xml:space="preserve">Se registro accidente múltiple en el km 7+200 del circuito exterior mexiquense, municipio de Huehuetoca, a la altura del entronque con la autopista México-Querétaro.  En el choque múltiple estuvieron involucrados cinco tráileres y dos autobuses de pasajeros, así como más de 30 autos. 30 personas resultaron heridas de ellas 15 necesitaron traslado a hospitales, 2 por vía aérea por Relámpagos, los hospitales a los que fueron trasladados los heridos son el Magdalena de las Salinas, el Hospital de Alta Especialidad de Zumpango, Las Américas, por ambulancias de Cruz Roja y el SUEM. Continúa cerrada la carretera en ambos sentidos. </t>
  </si>
  <si>
    <t>Se registro accidente carretero, colisión posterior, entre un autobús de pasajeros con razón social “Turistar” y un tráiler con plataforma, esto a la altura del km 90 de la carretera Ciudad Victoria-Zaragoza en el municipio de Victoria, resultando 4 personas fallecidas y 13 lesionadas. Participo Policía Federal, PC Municipal y Cruz Roja</t>
  </si>
  <si>
    <t xml:space="preserve">Se suscito el incendio en la Delegación Cuauhtémoc  de una fábrica de zapatos, ubicada en la colonia San Simón, se informa que al momento se tiene un 70% de control, reportando dos personas intoxicadas, de manera preventiva se evacuaron 27 familias de las viviendas aledañas y se habilitó un albergue en el Deportivo Cuauhtémoc. </t>
  </si>
  <si>
    <t xml:space="preserve">Se inició un incendio en una nave industrial que almacena madera, ubicada entre las calles Azitli y 3ra cerrada de San José, colonia Barrio San José, delegación Iztapalapa. No se reportan personas lesionadas, solo daños materiales. La superficie del área donde se presentó el incidente abarca aproximadamente 1,200 metros cuadrados y se encuentra cerca de una gasolinera y zonas habitacionales. Como medida preventiva se realizó la evacuación de 150 personas cercanas al lugar. Al momento, el incendio se reporta como controlado, en proceso de extinción y remoción de escombros. </t>
  </si>
  <si>
    <t xml:space="preserve">En el municipio de  Tuxtepec, Oaxaca se registró una explosión de artefactos pirotécnicos, el cual  incendió negocios y autos cercanos al lugar de los hechos,  suscitado en la calle Matamoros, entre Libertad y Cinco de Mayo, en el centro de este municipio. No se reportan pérdidas de vidas humanas. </t>
  </si>
  <si>
    <t xml:space="preserve">Volcadura de una pipa de PEMEX de doble remolque con capacidad de 20,000 litros cada uno, la cual transportaba turbosina, el incidente ocurrió en el km 42 de la carretera 200 Tepic – Puerto Vallarta, municipio de Compostela, adicionalmente resultaron afectados 3 vehículos particulares. Se reportan 2 personas lesionadas las cuales fueron trasladadas al hospital de Compostela. La pipa presenta derrame de combustible por lo que la carretera fue cerrada en su totalidad, se estima que los trabajos de limpieza tengan una duración aproximada de 10 horas. No hay riesgo a la población ni a la zona geográfica a la redonda. Una pipa de PEMEX se dirige al lugar para realizar el trasvase del producto. </t>
  </si>
  <si>
    <t>Ahumada, Bachíniva, Balleza, Bocoyna, Coyame del Sotol, Cuauhtémoc, Gómez Farías, Guachochi, Guadalupe, Guerrero, Janos, Juárez, Matachí, Nonoava, Ocampo, Praxedis G. Guerrero, Rosario y Urique del estado de Chihuahua por la presencia de nevada severa; así como para los municipios de
Guadalupe y Calvo, y Madera por nevada severa y helada severa</t>
  </si>
  <si>
    <t>Por la nevada y helada severas se declararon en emergencia a 20 municipios, por lo que se apoyó a la población con149,955 despensas, 120,000 láminas tipo "b", 199,942 cobertores "a", 199,942 colchonetas y 30 rollos de hule..</t>
  </si>
  <si>
    <t>Atil, Bacarona, Opodepe, Rosario, Ures y Villa Hidalgo, Agua Prieta, Bacoachi, Bacerac, Bavispe, Cananea, Fronteras,
Huachinera, Nácori Chico, Nogales, Sahuaripa, Santa Cruz y Yécora, Arizpe,
Imuris, Naco y Nacozari de García.</t>
  </si>
  <si>
    <t>Debido a las heladas y nevada severa se declararon en emergencia a 20 municipios por lo que se repartieron 6,822 despensas, 29,568 láminas tipo "b", 9,098 cobertores "a", 9,098 colchonetas, 25 rollos de hule, 218,352 litros de agua.</t>
  </si>
  <si>
    <t>Se suscitó accidente choque por alcance entre Tráiler y Autobús de la línea Futura provocando la volcadura del autobús, en el km 13+800 carretera Torreón – Saltillo a la altura de Paila, resultando al momento 5 personas fallecidas y 25 personas lesionadas trasladadas a diferentes hospitales,  se tiene el cierre parcial de la carretera.</t>
  </si>
  <si>
    <t>Badiguarato</t>
  </si>
  <si>
    <t>Debido a las helada severa se declaró en emergencia a un municipio por lo que se repartieron a la población 1,314 despensas, 987 láminas tipo "a", 1,755 cobertores "a", 1,755 colchonetas, 438 kits de limpieza, 876 kits de aseo personal</t>
  </si>
  <si>
    <t>Cárdenas, Comalcalco, Paraíso</t>
  </si>
  <si>
    <t>En el Municipio de Paraíso se reportaron 25 comunidades y 3 poblados con penetración de agua y 3,100 familias afectadas. Se habilitaron 4 refugios temporales, con un aproximado de 5 familias. 
  Fueron afectados varios puentes de la ciudad que sirven como vías de comunicación dejando como única vía de acceso por tierra el puente Juárez. En el Municipio de Cárdenas  22 comunidades con un aproximado de 1,865 familias fueron afectadas por penetración de agua con un tirante oscilando entre los 10 y 40 cm. Se habilitaron 2 RT  en el Comedor Comunitario y Santiago 1ra. Sección. En el Municipio de Comalcalco se habilitaron 18 refugios temporales con un total de 130 familias,  2,600 familias fueron afectadas por penetración de agua en sus viviendas con un tirante de agua de 15 a 30 cm. Se declararon en emergencia los tres municipios y se repartieron 3,205 despensas, 1,000 cobertores "b", 500 colchonetas, 10 rollos de hule, 3,000 kits de limpieza y 3,000 kits de aseo personal.</t>
  </si>
  <si>
    <t>Juchitepec</t>
  </si>
  <si>
    <t>Deslave de tierra al momento de realizar reparaciones a un tubo de aguas residuales, el incidente ocurrió en el camino Ejidal del barrio de Cuautzingo, Municipio de Juchitepec, Estado de México, a un costado de la planta tratadora Sur de Aguas Residuales. Derivado del incidente resultaron 5 trabajadores sepultados; 3 de ellos fueron trasladados por Protección Civil del Municipio al Hospital General “Valentín Gómez Farías” de Amecameca y 2 fallecieron en el lugar.</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</si>
  <si>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</si>
  <si>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</si>
  <si>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</si>
  <si>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</si>
  <si>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En 2016, fallecieron 13 personas por golpe de calor. Además fueron afectadas 360 personas en su salud:  37 por golpe de calor, 321 por agotamiento por calor y dos por quemaduras.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</si>
  <si>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</si>
  <si>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</si>
  <si>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</si>
  <si>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</si>
  <si>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</si>
  <si>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</si>
  <si>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En 2016, once personas perdieron la vida:dos por hipotermia, ocho por intoxicación y una por quemaduras. Además 61 personas fueron afectadas en su salud: cuatrop or hipotermia, 50 por intoxicación y siete por quemadura.</t>
  </si>
  <si>
    <t>Se registró choque frontal entre un autobús de pasajeros y un tracto camión sobre el km 223+900 de la carretera  federal   931;  Gómez Palacio-Jiménez en el  tramo  Bermejillo-Jiménez, municipio de Jiménez. Resultando 11 personas fallecidas y 24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</si>
  <si>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</si>
  <si>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</si>
  <si>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</si>
  <si>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</si>
  <si>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</si>
  <si>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En 2016, seis personas perdieron la vida: una por hipotermia y cinco por intoxicación. Además 118 personas fueron afectadas en su salud: 5 por hipotermia, 98 por intoxicación y 15 por quemadura.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</si>
  <si>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</si>
  <si>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</si>
  <si>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En 2016, fallecieron seis personas por golpe de calor y fueron afectadas 63 personas en su salud:  36 por golpe de calor, 26 por agotamiento por calor y una por quemaduras.</t>
  </si>
  <si>
    <t>Se registró explosión de polvorín en la comunidad Huichindo, barrio La Primavera.  Derivado del incidente se reportaron 5 personas fallecidas y 2 lesionados.</t>
  </si>
  <si>
    <t>Se suscitó un choque por alcance entre un auto particular y un Autobús de pasajeros de Grupo SENDA, en la carretera 57, en el km 194 tramo Saltillo - Matehuala, resultando 5 personas fallecidas y 30 personas lesionadas.</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</si>
  <si>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</si>
  <si>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</si>
  <si>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</si>
  <si>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</si>
  <si>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</si>
  <si>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</si>
  <si>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registra volcadura de un autobús de turismo, se desconoce razón social, en la carretera federal 45, en el municipio de Morelos, paraje del Puente. EL autobús trasladaba 28 pasajeros y se reportan 5 personas fallecidas y 18 lesionadas.</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</si>
  <si>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</si>
  <si>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</si>
  <si>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</si>
  <si>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</si>
  <si>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En 2016, cuatro personas perdieron la vida una por intoxicación. Además seis fueron afectadas en su salud: una por hipotermia, cuatro por intoxicación y una por quemadura.</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</si>
  <si>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</si>
  <si>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</si>
  <si>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</si>
  <si>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</si>
  <si>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</si>
  <si>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</si>
  <si>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</si>
  <si>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</si>
  <si>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</si>
  <si>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</si>
  <si>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</si>
  <si>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En 2016 tres personas perdieron la vida por intoxicación. Además cinco fueron afectadas en su salud: cuatro por intoxicación y una por quemadura.</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</si>
  <si>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</si>
  <si>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</si>
  <si>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</si>
  <si>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</si>
  <si>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</si>
  <si>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</si>
  <si>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Se registró volcadura de autobús de pasajeros (razón social “Príncipe Turs”), con placas R833 RR1, en el km 0 de la carretera Cosamaloapan – Veracruz entronque La Tinaja – Córdoba,  derivado del incidente se reportaron 3 personas fallecidas y  39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</si>
  <si>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</si>
  <si>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</si>
  <si>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</si>
  <si>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</si>
  <si>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</si>
  <si>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</si>
  <si>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</si>
  <si>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registró la explosión de un tanque estacionario de 300 litros en el predio Santa Clara. Como resultado del incidente se reportan 2 personas fallecidas, 4 lesionados, evacuando a vecinos como medida preventiva (sin cuantificar). </t>
  </si>
  <si>
    <t xml:space="preserve">En 2016, dos personas perdieron la vida una por hipotermia y otra por quemaduras. </t>
  </si>
  <si>
    <t>Dr. Arroyo</t>
  </si>
  <si>
    <t>se reportó la volcadura de un autobús de pasajeros con razón social Futura a la altura del km 110 de la carretera a Galeana, municipio de Doctor Arroyo. Derivado del accidente resultaron 2 personas fallecidas y 37 lesionados</t>
  </si>
  <si>
    <t>En 2016, perdieron la vida dos personas por golpe de calor y fueron afectadas siete personas en su salud:  seis por golpe de calor y una por agotamiento por calor.</t>
  </si>
  <si>
    <t>Se registró el desplome de un helicóptero perteneciente a la SEDENA con número de matrícula 1134, el siniestro ocurrió en el Ejido 21 de mayo en Ciudad Victoria, a bordo viajaban 3 tripulantes de los cuales resultaron 2 fallecidos y 1 lesionado.</t>
  </si>
  <si>
    <t>Se informó que a las 10:30 horas se registró un choque frontal entre un autobús de la línea Ómnibus Guadalajara contra un vehículo compacto, en el km 16 de la carretera Saltillo – Guadalajara. Resultando 2 personas fallecidas y 8 lesionados.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</si>
  <si>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</si>
  <si>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</si>
  <si>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</si>
  <si>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</si>
  <si>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</si>
  <si>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</si>
  <si>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</si>
  <si>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</si>
  <si>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</si>
  <si>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</si>
  <si>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</si>
  <si>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 xml:space="preserve">Se presentó el impacto de un camión de pasajeros contra un tráiler, en la carretera Carapan-Purépero. Como resultado del accidente se reporta 1 persona fallecida y 15 personas con lesiones menores. </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</si>
  <si>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</si>
  <si>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En 2016, una persona murió por intoxicación y cuatro más fueron afectadas en su salud por la misma causa.</t>
  </si>
  <si>
    <t>En 2016 una persona murió por hipotermia y 20 personas fueron afectadas en su salud: 19 por intoxicación y una por quemadura.</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</si>
  <si>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</si>
  <si>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</si>
  <si>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</si>
  <si>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</si>
  <si>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</si>
  <si>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</si>
  <si>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</si>
  <si>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</si>
  <si>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</si>
  <si>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</si>
  <si>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En 2016,  una persona perdió la vida por golpe de calor.</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</si>
  <si>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</si>
  <si>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</si>
  <si>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</si>
  <si>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</si>
  <si>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</si>
  <si>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</si>
  <si>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</si>
  <si>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SINAPROC FONDEN</t>
  </si>
  <si>
    <t>Canatlán, Durango, Gómez Palacio,
Mapimí, Rodeo, Santiago Papasquiaro y Tepehuanes, Lerdo, Ocampo, Peñón Blanco, Pueblo Nuevo,
San Bernardo, San Juan de Guadalupe, Santa Clara y Tlahualilo</t>
  </si>
  <si>
    <t>Se registro la entrega de insumos debido a la presencia de lluvia severa en el estado</t>
  </si>
  <si>
    <t>Calakmul, Candelaria, Carmen y Palizada</t>
  </si>
  <si>
    <t>Se registraron fuertes lluvias en 4 municipios de la entidad. Se emitió una declaratoria de desastre por dicho fenómeno.</t>
  </si>
  <si>
    <t>Allende, Chihuahua, Cuauhtémoc, Guachochi, Guerrero, Jiménez, Nuevo Casas Grandes, San Francisco de Cochos</t>
  </si>
  <si>
    <t>Se reportó una lluvia severa en 8 municipios del estado de Chihuahua. Se emitió una declaratoria de desastre por dicho fenómeno.</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</si>
  <si>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</si>
  <si>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</si>
  <si>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</si>
  <si>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</si>
  <si>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</si>
  <si>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</si>
  <si>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</si>
  <si>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</si>
  <si>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</si>
  <si>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</si>
  <si>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</si>
  <si>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</si>
  <si>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</si>
  <si>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</si>
  <si>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</si>
  <si>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</si>
  <si>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</si>
  <si>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</si>
  <si>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</si>
  <si>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</si>
  <si>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suscito volcadura de un camión tipo tanque que transporta Nitrato de Amonio con numero de rombo (ONU 2426), con capacidad de 24,000 litros, de la empresa Fertinal, en el km 33+600 Carretera 43D Salamanca-León, tramo entronque La Garrida-entronque León.</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</si>
  <si>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</si>
  <si>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</si>
  <si>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</si>
  <si>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</si>
  <si>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</si>
  <si>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En 2016, 10 personas fueron afectadas en su salud por intoxicación.</t>
  </si>
  <si>
    <t>Explosión en el polvorín denominado San Felipe, ubicado en Periférico Nuevo al cruce con Matatlán, en la colonia Potrero San José, municipio de Tonalá. Se presentan 3 personas lesionadas, de las cuales 2 se reportan graves.</t>
  </si>
  <si>
    <t>En 2016, cuatro personas fueron afectadas en su salud al ser intoxicadas.</t>
  </si>
  <si>
    <t>Se suscitó un choque por alcance entre un Autobús de línea los Aztecas contra un vehículo particular en la carretera Coatepec – Huatusco,  a la altura de la comunidad de Tuzamapan, municipio de Xalapa. Del accidente resultaron  10 personas lesionadas.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</si>
  <si>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</si>
  <si>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</si>
  <si>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</si>
  <si>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</si>
  <si>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</si>
  <si>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</si>
  <si>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</si>
  <si>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</si>
  <si>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</si>
  <si>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</si>
  <si>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</si>
  <si>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</si>
  <si>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r>
      <t xml:space="preserve">A las 15:00 horas del día 26 de julio de 2016, se registró una explosión por acumulación de gas Lp en una casa habitación en la calle Otoño, colonia Real del Sol Ojo de Agua, municipio de Tecámac. </t>
    </r>
    <r>
      <rPr>
        <sz val="9"/>
        <rFont val="Arial"/>
        <family val="2"/>
      </rPr>
      <t>Se reportó una  persona lesionada y dos más a</t>
    </r>
    <r>
      <rPr>
        <sz val="9"/>
        <color indexed="8"/>
        <rFont val="Arial"/>
        <family val="2"/>
      </rPr>
      <t>tendidos por crisis nerviosa. Se reportaron 3 viviendas con pérdida total  y 35 más con algún tipo de afectación (vidrios, cuarteaduras, etc.). Como media preventiva se evacuaron a 80 personas.</t>
    </r>
  </si>
  <si>
    <t>En 2016, dos personas fueron afectadas en su salud por intoxicación.</t>
  </si>
  <si>
    <t>En 2016, fueron afectadas 36 personas en su salud:  26 por golpe de calor y 10 por agotamiento por calor.</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</si>
  <si>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</si>
  <si>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En 2016, fueron afectadas 26 personas en su salud:  dos por golpe de calor y 24 por agotamiento por calor.</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</si>
  <si>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</si>
  <si>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</si>
  <si>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En 2016, fueron afectadas 13 personas en su salud:  11 por golpe de calor y dos por agotamiento por calor.</t>
  </si>
  <si>
    <t>Se presentó la explosión de un polvorín clandestino, ubicado en Avenida El Trigal s/n, Colonia La Saucera, en el municipio de Tultepec. A consecuencia de lo anterior se reporta 1 persona lesionada de 25 años, la cual presenta quemaduras en el 60% de su cuerpo.</t>
  </si>
  <si>
    <t>En 2016, fueron afectadas 12 personas en su salud:  tres por golpe de calor y 8 por agotamiento por calor y una por quemadura.</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</si>
  <si>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</si>
  <si>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</si>
  <si>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</si>
  <si>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En 2016, fueron afectadas cinco personas en su salud:  tres por golpe de calor y dos por agotamiento por calor y una por quemadura.</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</si>
  <si>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</si>
  <si>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En 2016, fueron afectadas cuatro personas en su salud:  dos por golpe de calor y dos por agotamiento por calor y una por quemadura.</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</si>
  <si>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</si>
  <si>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</si>
  <si>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En 2016, fueron afectadas tres personas en su salud por golpe de calor.</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</si>
  <si>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</si>
  <si>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En 2016, fueron afectadas dos personas en su salud por golpe de calor.</t>
  </si>
  <si>
    <t>En 2016, fue afectada una persona en su salud por agotamiento por calor.</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</si>
  <si>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</si>
  <si>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</si>
  <si>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</si>
  <si>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</si>
  <si>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 xml:space="preserve">Se registró impacto de un tráiler contra una pipa que transportaba ciclohexano, mismo que debido al impacto derramó 30,000 litros de dicho producto, el vertió a un drenaje pluvial, mismo que desemboca al río Guayalejo. 
</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</si>
  <si>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</si>
  <si>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</si>
  <si>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Ascensión, Casas Grandes, Ignacio Zaragoza, Maguarichi, Moris,
Namiquipa, Nuevo Casas Grandes, Temósachi y Uruach</t>
  </si>
  <si>
    <t>Se registro la entrega de insumos debido a la nevada severa en el estado</t>
  </si>
  <si>
    <t>FONDEN: insumos</t>
  </si>
  <si>
    <t>Bocoyna, Galeana, Gómez Farías, Guerrero, Janos, Madera
y Matachí</t>
  </si>
  <si>
    <t>Fresnillo y Valparaíso</t>
  </si>
  <si>
    <t>Se registro la entrega de insumos debido a una helada severa en el estado</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</si>
  <si>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</si>
  <si>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 xml:space="preserve"> Aguascalientes,
Asientos, Calvillo, Pabellón de Arteaga, Rincón de Romos, San José de Gracia y Tepezalá</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</si>
  <si>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</si>
  <si>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</si>
  <si>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</si>
  <si>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</si>
  <si>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</si>
  <si>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</si>
  <si>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</si>
  <si>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</si>
  <si>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</si>
  <si>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</si>
  <si>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</si>
  <si>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</si>
  <si>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</si>
  <si>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</si>
  <si>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</si>
  <si>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</si>
  <si>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</si>
  <si>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</si>
  <si>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</si>
  <si>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</si>
  <si>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</si>
  <si>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</si>
  <si>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San Pedro y San Pablo Ayutla, Santa María Tepantlali y San Miguel Amatlán</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</si>
  <si>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</si>
  <si>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</si>
  <si>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</si>
  <si>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</si>
  <si>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</si>
  <si>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Se registraron fuertes lluvias en 1 municipio de la entidad. Se emitió una declaratoria de desastre por dicho fenómeno.</t>
  </si>
  <si>
    <t>Balleza,
 Bocoyna, Buenaventura, Carichí, Casas Grandes, Chínipas, Galeana, Gómez
Farías, Guadalupe y Calvo, Guazapares, Guerrero, Ignacio Zaragoza, Madera,
Maguarichi, Matachí, Moris, Namiquipa, Ocampo, San Francisco de Borja,
Submenú
Temósachi, Urique y Uruachi</t>
  </si>
  <si>
    <t>Benito Juárez, Catemaco, Chiconteopec, Espinal, Huatacocotla, Ilamatlán, Tierra Blanca, Tres Valles, Zontecomatlán de López y Fuentes</t>
  </si>
  <si>
    <t>Se registraron fuertes lluvias en 9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</si>
  <si>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</si>
  <si>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Aldama, Aquiles Serdán,
Chihuahua, Riva Palacio y Santa Isabe</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</si>
  <si>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</si>
  <si>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</si>
  <si>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 FONDEN CENACOM</t>
  </si>
  <si>
    <t>Benito Juárez, Solidaridad y
Othón P. Blanco</t>
  </si>
  <si>
    <t>Juárez y Ojinaga</t>
  </si>
  <si>
    <t>Se registraron fuertes lluvias en 2 municipios de la entidad. Se emitió una declaratoria de desastre por dicho fenómeno.</t>
  </si>
  <si>
    <t>Coronado y
Jiménez</t>
  </si>
  <si>
    <t>Se registro la entrega de insumos debido a la presencia de un tornado en el estado</t>
  </si>
  <si>
    <t xml:space="preserve">Se presentaron lluvias y vientos fuertes en el municipio de San Cristóbal de las Casas, se informó que el incidente se presentó en 9 barrios, con un aproximado de 60 viviendas afectadas, la mayoría con daños en sus techos. </t>
  </si>
  <si>
    <t>Se registraron fuertes lluvias en 5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</si>
  <si>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</si>
  <si>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</si>
  <si>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FONDEN CENACOM</t>
  </si>
  <si>
    <t>Acapulco de Juárez, Acatepec,
Atoyac de Álvarez, Ayutla de los Libres, Chilpancingo de los Bravo, Coyuca de Benítez, Juan
R. Escudero, Leonardo Bravo, Ometepec, San Luis Acatlán, Tlacoachistlahuaca y
Xochistlahuaca</t>
  </si>
  <si>
    <t>Benito Juárez, Coyuca de Benítez,
Petatlán y Zihuatanejo de Azueta</t>
  </si>
  <si>
    <t>Coatzacoalcos,
Hidalgotitlán, Ixhuatlán del Sureste, Las Choapas, Minatitlán, Moloacán, Nanchital de
Lázaro Cárdenas del Río y Papantla</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</si>
  <si>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</si>
  <si>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</si>
  <si>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</si>
  <si>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</si>
  <si>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</si>
  <si>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</si>
  <si>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Acapulco de Juárez,
Chilpancingo de los Bravo y Atlixta</t>
  </si>
  <si>
    <t>Se registro la entrega de insumos debido a la presencia de un deslizamiento en el estado</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</si>
  <si>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</si>
  <si>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</si>
  <si>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</si>
  <si>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Othón P. Blanco, Bacalar
y José María Morelos</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</si>
  <si>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</si>
  <si>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Allende, Jiménez y San Francisco de
Conchos, Cuauhtémoc, Chihuahua, Guachochi y
Guerrero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</si>
  <si>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</si>
  <si>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Huayacocotla, Tampico
Alto, Texcatepec, Tlachichilco y Zacualpa</t>
  </si>
  <si>
    <t>Palenque, Tecpatán</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</si>
  <si>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</si>
  <si>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</si>
  <si>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</si>
  <si>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Tapachula, Cacahoatán, Huehuetán, Tuxtla Chico</t>
  </si>
  <si>
    <r>
      <t xml:space="preserve"> Debido a las fuertes lluvias registrada en el Estado de Chiapas se registraron las siguientes afectaciones:
</t>
    </r>
    <r>
      <rPr>
        <b/>
        <sz val="9"/>
        <color indexed="8"/>
        <rFont val="Arial"/>
        <family val="2"/>
      </rPr>
      <t xml:space="preserve">Municipio de Tapachula:  </t>
    </r>
    <r>
      <rPr>
        <sz val="9"/>
        <color indexed="8"/>
        <rFont val="Arial"/>
        <family val="2"/>
      </rPr>
      <t xml:space="preserve">
Se afectaron 185 viviendas, 8 personas afectadas y un Refugio Temporal con 17 personas albergadas
</t>
    </r>
    <r>
      <rPr>
        <b/>
        <sz val="9"/>
        <color indexed="8"/>
        <rFont val="Arial"/>
        <family val="2"/>
      </rPr>
      <t xml:space="preserve">Municipio de Cacahuatán:  </t>
    </r>
    <r>
      <rPr>
        <sz val="9"/>
        <color indexed="8"/>
        <rFont val="Arial"/>
        <family val="2"/>
      </rPr>
      <t xml:space="preserve">
Se reporta la muerte de 2 personas que se trasladaban en un triciclo, sobre Tercera Avenida Sur, esquina Décima Oriente, en la Cabecera Municipal. Las personas fueron arrastradas por la corriente pluvial, cerca de las 17:33 horas. 
</t>
    </r>
    <r>
      <rPr>
        <b/>
        <sz val="9"/>
        <color indexed="8"/>
        <rFont val="Arial"/>
        <family val="2"/>
      </rPr>
      <t xml:space="preserve">Municipio de Huehuetán:   </t>
    </r>
    <r>
      <rPr>
        <sz val="9"/>
        <color indexed="8"/>
        <rFont val="Arial"/>
        <family val="2"/>
      </rPr>
      <t xml:space="preserve">
Se registró la penetración de agua en 50 viviendas de los Cantones (ejidos) San Luis y Las Palmas. Se habilitó 1 refugio temporal.
</t>
    </r>
  </si>
  <si>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</si>
  <si>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</si>
  <si>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</si>
  <si>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</si>
  <si>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</si>
  <si>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</si>
  <si>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</si>
  <si>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</si>
  <si>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</si>
  <si>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</si>
  <si>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</si>
  <si>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</si>
  <si>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 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</si>
  <si>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</si>
  <si>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</si>
  <si>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</si>
  <si>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</si>
  <si>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</si>
  <si>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</si>
  <si>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</si>
  <si>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</si>
  <si>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</si>
  <si>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</si>
  <si>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</si>
  <si>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</si>
  <si>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</si>
  <si>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</si>
  <si>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</si>
  <si>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</si>
  <si>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</si>
  <si>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</si>
  <si>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</si>
  <si>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</si>
  <si>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</si>
  <si>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</si>
  <si>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</si>
  <si>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</si>
  <si>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</si>
  <si>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</si>
  <si>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</si>
  <si>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</si>
  <si>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</si>
  <si>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</si>
  <si>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</si>
  <si>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</si>
  <si>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</si>
  <si>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</si>
  <si>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</si>
  <si>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</si>
  <si>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</si>
  <si>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</si>
  <si>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</si>
  <si>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</si>
  <si>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</si>
  <si>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</si>
  <si>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Acapulco de Juarez, Ajuchitlán del Progreso, Iliatenco, Juchitán, Atlixtac, Alpoyeca</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</si>
  <si>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Arial"/>
        <family val="2"/>
      </rPr>
      <t xml:space="preserve">8 </t>
    </r>
    <r>
      <rPr>
        <sz val="9"/>
        <rFont val="Arial"/>
        <family val="2"/>
      </rPr>
      <t xml:space="preserve">viviendas, </t>
    </r>
    <r>
      <rPr>
        <sz val="9"/>
        <color indexed="10"/>
        <rFont val="Arial"/>
        <family val="2"/>
      </rPr>
      <t>1</t>
    </r>
    <r>
      <rPr>
        <sz val="9"/>
        <rFont val="Arial"/>
        <family val="2"/>
      </rPr>
      <t xml:space="preserve"> escuela  y </t>
    </r>
    <r>
      <rPr>
        <sz val="9"/>
        <color indexed="10"/>
        <rFont val="Arial"/>
        <family val="2"/>
      </rPr>
      <t>1</t>
    </r>
    <r>
      <rPr>
        <sz val="9"/>
        <rFont val="Arial"/>
        <family val="2"/>
      </rPr>
      <t xml:space="preserve"> gasolinera en la Cabecera Municipal; en el municipio de Alpoyeca, daños en techos en </t>
    </r>
    <r>
      <rPr>
        <sz val="9"/>
        <color indexed="10"/>
        <rFont val="Arial"/>
        <family val="2"/>
      </rPr>
      <t xml:space="preserve">1 </t>
    </r>
    <r>
      <rPr>
        <sz val="9"/>
        <rFont val="Arial"/>
        <family val="2"/>
      </rPr>
      <t xml:space="preserve">vivienda en la Cabecera Municipal; en el  municipio de Atlixtac, daños en techos de </t>
    </r>
    <r>
      <rPr>
        <sz val="9"/>
        <color indexed="10"/>
        <rFont val="Arial"/>
        <family val="2"/>
      </rPr>
      <t>1</t>
    </r>
    <r>
      <rPr>
        <sz val="9"/>
        <rFont val="Arial"/>
        <family val="2"/>
      </rPr>
      <t xml:space="preserve"> vivienda en la Cabecera Municipal también en el techo de </t>
    </r>
    <r>
      <rPr>
        <sz val="9"/>
        <color indexed="10"/>
        <rFont val="Arial"/>
        <family val="2"/>
      </rPr>
      <t>3</t>
    </r>
    <r>
      <rPr>
        <sz val="9"/>
        <rFont val="Arial"/>
        <family val="2"/>
      </rPr>
      <t xml:space="preserve"> viviendas en la Localidad de Xaxocotla, en </t>
    </r>
    <r>
      <rPr>
        <sz val="9"/>
        <color indexed="10"/>
        <rFont val="Arial"/>
        <family val="2"/>
      </rPr>
      <t>1</t>
    </r>
    <r>
      <rPr>
        <sz val="9"/>
        <rFont val="Arial"/>
        <family val="2"/>
      </rPr>
      <t xml:space="preserve"> vivienda en la Localidad de Agua Zarca.  ; en el municipio de Iliatenco, daños en los techos de </t>
    </r>
    <r>
      <rPr>
        <sz val="9"/>
        <color indexed="10"/>
        <rFont val="Arial"/>
        <family val="2"/>
      </rPr>
      <t>19</t>
    </r>
    <r>
      <rPr>
        <sz val="9"/>
        <rFont val="Arial"/>
        <family val="2"/>
      </rPr>
      <t xml:space="preserve"> viviendas en el Cerro Tejón;  en el municipio de Juchitán.</t>
    </r>
  </si>
  <si>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</si>
  <si>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Ario</t>
  </si>
  <si>
    <t>Se presentaron lluvias fuertes acompañadas de vientos fuertes en la comunidad de Urapa, municipio de Ario de Rosales, situación que ocasionó que 10 viviendas construidas de material endeble presentaran daños en sus techos.</t>
  </si>
  <si>
    <t>Coatepec, Cosautlán de Carvajal, Jáltipan, Pánuco, Teocelo y Tlacolulan</t>
  </si>
  <si>
    <t>Se registro la entrega de insumos debido a la presencia de lluvias intensas en el estado</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</si>
  <si>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</si>
  <si>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</si>
  <si>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 xml:space="preserve">Bella Vista </t>
  </si>
  <si>
    <t>Movimiento de lader. FONDEN apoyo en los sectores:Educativo,Vivienda</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</si>
  <si>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</si>
  <si>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</si>
  <si>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</si>
  <si>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</si>
  <si>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</si>
  <si>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</si>
  <si>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</si>
  <si>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</si>
  <si>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</si>
  <si>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Amecameca, Atlautla, Ecatzingo, Joquicingo, Malinalco, Nezahualcóyotl, Ocuilan, Tenancingo, Tepetlixpa, Tianguistenco, Villa Guerrero, Zumpahuacán
</t>
  </si>
  <si>
    <t>Se reporta derrumbe de un talud debido a la excavación que se realiza para un túnel en la calle Palma Criolla, en la colonia Interlomas.</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</si>
  <si>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</si>
  <si>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</si>
  <si>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33 municipios declarados en desastre</t>
  </si>
  <si>
    <t>Se registró un derrumbe de talud, en una zona de construcción, afectando 4 viviendas, mismas que cuales colapsaron. Se reportan 1 fallecida, 1 personas lesionada rescatada, y 3 personas desaparecidas.</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</si>
  <si>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</si>
  <si>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</si>
  <si>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</si>
  <si>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</si>
  <si>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</si>
  <si>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 xml:space="preserve">San Juan Tepanzacoalco    </t>
  </si>
  <si>
    <t xml:space="preserve">Se reportó  un deslizamiento de ladera en la comunidad de San Juan Tepanzacoalco, el cual sepulto 1 vivienda resultando 2 personas fallecidas.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</si>
  <si>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</si>
  <si>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</si>
  <si>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</si>
  <si>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</si>
  <si>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</si>
  <si>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 xml:space="preserve">En 2017 1 persona perdio la vida por golpe de calor </t>
  </si>
  <si>
    <t xml:space="preserve">Secretaria de Salud </t>
  </si>
  <si>
    <t xml:space="preserve">En 2017  14 persona perdieron  la vida por golpe de calor. Ademas 340 fueron  afectadas en su salud:  88 por golpe de calor, 248 por agotamiento, 4 por quemadura </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</si>
  <si>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</si>
  <si>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</si>
  <si>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lluvias de moderadas a fuertes por un lapso de 20:00 horas, desde el domingo 26 al lunes 27 de febrero por efecto del Frente Frío 32</t>
  </si>
  <si>
    <t xml:space="preserve">En 2017 1 persona  afectada en su salud: por hipotermia </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</si>
  <si>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</si>
  <si>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</si>
  <si>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FONDEN-CENACOM</t>
  </si>
  <si>
    <t xml:space="preserve">En 2017 7 persona perdieron  la vida por golpe de calor. Ademas 56 fueron  afectadas en su salud:  35 por golpe de calor, 19 por agotamiento, 2 por quemadura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</si>
  <si>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</si>
  <si>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</si>
  <si>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 xml:space="preserve">CENAPRED/FONDEN </t>
  </si>
  <si>
    <t>En 2017 , 13 fueron  afectadas en su salud:  6 por golpe de calor, 7 por agotamiento</t>
  </si>
  <si>
    <t xml:space="preserve">En 2017 7 persona perdieron  la vida por golpe de calor. Ademas 2 fueron  afectadas en su salud por golpe de calor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</si>
  <si>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</si>
  <si>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reporta que tuvieron lluvias de moderadas a fuertes en el municipio de Bochil, provocando penetración de agua en 40 viviendas.</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</si>
  <si>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</si>
  <si>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</si>
  <si>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</si>
  <si>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Larrainzar</t>
  </si>
  <si>
    <t>Se registra deslave de cerro sobre una vivienda habitada por 7 personas de la localidad Tzajalho, municipio de la Larrainzar, derivado del incidente se reportan 5 menores fallecidos y 2 mayores lesionados,</t>
  </si>
  <si>
    <t>Se registró una lluvia fuerte a intensa en el municipio de Ocosingo, afectando un aproximado de 40 viviendas con penetración de agua</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</si>
  <si>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</si>
  <si>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</si>
  <si>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</si>
  <si>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</si>
  <si>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</si>
  <si>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Fuertes vientos en la zona norte del municipio, en las colonias Prudencio Moscoso, Maravilla y Azteca. Se reportan daños en los techos de 10 viviendas (desprendimiento de láminas) y caída de cables de energía eléctrica.</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</si>
  <si>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</si>
  <si>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</si>
  <si>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</si>
  <si>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</si>
  <si>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38 municipios afectados </t>
  </si>
  <si>
    <t>Afectaciones por los remanentes del  huracán Franklin de caegoria 1. FONDEN apoyó en los  sectores:Carretero , Hidraulico</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</si>
  <si>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</si>
  <si>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 Se registró una Lluvia severa e inundación pluvial y fluvial, en el centro de Tuxtla Gutierrez , FONDEN apoyo en el sector:Educativo.</t>
  </si>
  <si>
    <t xml:space="preserve">En 2017 3 fueron afectadas en su salud por intoxicación </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</si>
  <si>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</si>
  <si>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</si>
  <si>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</si>
  <si>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</si>
  <si>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</si>
  <si>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</si>
  <si>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</si>
  <si>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</si>
  <si>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</si>
  <si>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</si>
  <si>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</si>
  <si>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</si>
  <si>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</si>
  <si>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</si>
  <si>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</si>
  <si>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</si>
  <si>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</si>
  <si>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</si>
  <si>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</si>
  <si>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</si>
  <si>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</si>
  <si>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Se presentaron lluvias de moderadas a fuertes, en el municipio de Tecpan de Galena, situación que ocasionó el incremento de un arroyo que atraviesa por la colonia Loma Bonita, provocando la penetración de agua en 15 viviendas.</t>
  </si>
  <si>
    <t xml:space="preserve">15 municipios afectados </t>
  </si>
  <si>
    <t>Afectaciones por los remanentes del  huracán katia por lluvia severa. FONDEN apoyo en los sectores:Educativo, Hidraulico,Urbano, Vivienda</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</si>
  <si>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</si>
  <si>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</si>
  <si>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73 municipios afectados</t>
  </si>
  <si>
    <t xml:space="preserve">Por los efectos del  huracán katia se presentó lluvia severa e Inundacion fluvial. FONDEN apoyo en los sectores: Carretero, Deportivo,Educativo, Urbano, Vivienda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</si>
  <si>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</si>
  <si>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</si>
  <si>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</si>
  <si>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</si>
  <si>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Derivado de las lluvias de la noche y madrugada se registró el arrastre de una camioneta particular conducida por una mujer en el municipio de Escobedo.</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</si>
  <si>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</si>
  <si>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</si>
  <si>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Se presentaron escurrimientos hacia la presa Mamulique, desbordándose a las 03:00 horas. Afectando a la comunidad de Mamulique, municipio de Salinas Victoria, al momento los niveles ya disminuyeron y se ha restablecido la comunicación por vía terrestre.</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</si>
  <si>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</si>
  <si>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58 municpios declarados en desastre</t>
  </si>
  <si>
    <t>Se presentaron lluvias severas e inundaciones fluviales la zona de la mixteca afectando  a 58 municipios</t>
  </si>
  <si>
    <t xml:space="preserve">En 2017 tres personas perdieron la vida por intoxicación.  Además 1 persona fectada en su salud por  intoxicación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</si>
  <si>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</si>
  <si>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</si>
  <si>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San Sebastián Teitipac</t>
  </si>
  <si>
    <t xml:space="preserve">Se presentó el desbordamiento del río San Sebastián Teitipac, en el municipio del mismo nombre. Situación que provocó que cerca de 14 viviendas presentaran anegaciones, </t>
  </si>
  <si>
    <t>Las Vigas de Ramírez</t>
  </si>
  <si>
    <t>Se presentó la formación de un tornado en la comunidad de Tejerías, municipio de Las Vigas de Ramírez; sin reporte de daños humanos, ni evacuaciones preventivas, 25 árboles caídos y afectaciones en los techos de 3 viviendas.</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</si>
  <si>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</si>
  <si>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</si>
  <si>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</si>
  <si>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</si>
  <si>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</si>
  <si>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</si>
  <si>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</si>
  <si>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</si>
  <si>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</si>
  <si>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</si>
  <si>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</si>
  <si>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</si>
  <si>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</si>
  <si>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</si>
  <si>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</si>
  <si>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En 2017 1 persona perdieron  la vida por golpe de calor. Ademas 11 fueron  afectadas en su salud:  9 por golpe de calor, 2 por agotamiento</t>
  </si>
  <si>
    <t>No info.</t>
  </si>
  <si>
    <t>Inició un incendio dentro de la fábrica con razón social “Newll”, dedicada a la elaboración de contenedores de plástico, la fábrica se ubica en el parque Industrial “Maran”, en el municipio de Mexicali.</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</si>
  <si>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</si>
  <si>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</si>
  <si>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Se reportó explosión en una harinera con razón comercial Máximas, ubicada en Aquiles Serdán y Camino a Nextengo, delegación Azcapotzalco. Se reportaron 9 personas lesionadas.</t>
  </si>
  <si>
    <t>Se reportó una explosión de un transformador ubicado en la calles de Allende y Bogotá en la colonia Guadalupe, Municipio de Monclova; se realizó la evacuación preventiva de la Escuela Moderna Venustiano Carranza.</t>
  </si>
  <si>
    <t>A las 19:00 horas se reporta incendio en una toma clandestina no hermética en el km 410+500 del poliducto de 20"Ø Minatitlán - México, ubicada en el ejido Álvaro Obregón, comunidad de Hueyapa, municipio de Tepeaca, Puebla</t>
  </si>
  <si>
    <t xml:space="preserve">Se registró la volcadura de un tractocamión que transportaba 20,000 litros de Nitrato de Calcio, sobre la Maxipista Mazatlán -  Durango. Se derramaron 14 000 litros. </t>
  </si>
  <si>
    <t>Explosión de un polvorín sobre la carretera Nápoles – Coecillo, en el municipio de Silao.</t>
  </si>
  <si>
    <t>Se reporta el derrame de combustible ocasionado por una toma clandestina, en el kilómetro 34 del oleoducto Matamoros-Reynosa, en la colonia El Mezquite, municipio de Reynosa, Tamaulipas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</si>
  <si>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</si>
  <si>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</si>
  <si>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 xml:space="preserve">Se registró un incendio en el último piso de un edificio de 4 niveles, ubicado en la colonia Campestre El Murua. Derivado del fuego se reporta una persona del sexo masculino fallecida (calcinado). Preventivamente fueron evacuadas 20 personas. </t>
  </si>
  <si>
    <t>Se registró el derrame de 5,200 litros de gasolina Magna Premium, dentro de las instalaciones de la gasolinera Pacífico No. ECO 3977, ubicada en el libramiento  Rosas Magañón, sin número, en la colonia Aguaje de la Tuna.</t>
  </si>
  <si>
    <t xml:space="preserve">Se registra explosión de una camioneta que transportaba material pirotécnico en la comunidad cerrito de Tixmadejé, municipio de Acambay. Se reportan 1 persona fallecida masculina de 45 años y 8 lesionados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</si>
  <si>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</si>
  <si>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Se presentó una explosión en un taller pirotécnico de 4X4 metros cuadrados, ubicado en la comunidad Loma de San Ángel, municipio de Acambay. Derivado de lo anterior se reporta 1 persona fallecida y 1 lesionado,</t>
  </si>
  <si>
    <t xml:space="preserve">Se presentó la volcadura de una pipa que transportaba 24,000 litros de nitrato de calcio. El accidente se presentó a la altura del kilómetro 205 de la carretera Obregón-Navojoa, en el municipio de Cajeme. </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</si>
  <si>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</si>
  <si>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</si>
  <si>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</si>
  <si>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reporta una explosión dentro del polvorín, marcado con el número de la Secretaría de la Defensa Nacional 1481, ubicado en el Pueblo de San Diego Huehuecalco. Derivado del incidente se reportan 3 personas lesionadas,</t>
  </si>
  <si>
    <t xml:space="preserve">Se presenta falla total del suministro de energía eléctrica en todo el Complejo Petroquímico Cosoleacaque, ocasionando que la planta número 6  se saliera de control, causando la Fuga de Amoniaco.   </t>
  </si>
  <si>
    <t>Se registra incendio en el Asilo “El Refugio” colonia Flores Magón, municipio de Tijuana, derivado del incidente se reportan 4 personas fallecidas y varias personas lesionadas (Sin cuantificar).</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</si>
  <si>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</si>
  <si>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</si>
  <si>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</si>
  <si>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Se registra incendio en un centro comercial ubicado en Av Universidad y Av Miguel Ángel de Quevedo, en el área de la tienda con razón social “Walmart”, se reportan 200 personas evacuadas del centro comercial</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</si>
  <si>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</si>
  <si>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</si>
  <si>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</si>
  <si>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Se registró un incendio en una bodega de Aires Acondicionados con razón social “Refrigeración Lozano”, ubicada en la calle de Comonfort, esquina con Allende, colonia Centro, municipio de Torreón. De manera preventiva se evacuaron a 200 personas de los alrededores,</t>
  </si>
  <si>
    <t>Tecomán</t>
  </si>
  <si>
    <t xml:space="preserve">Se registró incendio en una bodega de la Comisión Municipal de Agua Potable, ubicada en la colonia Unión, municipio de Tecomán, derivado del incidente se reportó una persona fallecida, sin lesionados y sin evacuados, </t>
  </si>
  <si>
    <t xml:space="preserve">se presentó una fuga de gas natural, en la calle de Zoltan Kodaly, esquina San Simón, en la colonia San Simón Tolnahuac, delegación Cuauhtémoc. </t>
  </si>
  <si>
    <t>Se registró incendio en polvorín, ubicado en la comunidad Yostiro, a 100 metros de la entrada de la comunidad, resultado 1 persona lesionado quien fue trasladado al Hospital General de Irapuato y 2 personas más con lesiones leves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</si>
  <si>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</si>
  <si>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</si>
  <si>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</si>
  <si>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Purísima del Rincón</t>
  </si>
  <si>
    <t>incendio en casa habitación, ubicada en el número 124 de la calle Cuerno de Oro, colonia Los Mirasoles, en el municipio de Purísima del Rincón.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</si>
  <si>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</si>
  <si>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se registró incendio en una Recicladora de madera con razón social  DIXSA S.A de C.V ubicado en la carretera Federal Silao – Irapuato, como referencia frente a la zona Industrial FIPASI.</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</si>
  <si>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</si>
  <si>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</si>
  <si>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Incendio dentro de la empresa Recicladora Mexicana de Aceites y Lubricantes, S. A. de C. V., ubicada en calle Norte 2, Lote 10, Manzana 1, zona Industrial Tizayuca. Como medida preventiva se realizó la evacuación de 750 personas de la misma empresa</t>
  </si>
  <si>
    <t>Se registró incendio en un domicilio de 2 niveles, ubicado en las calles de Monte Blanco y Calzada Independencia, Colonia Independencia, Zona Metropolitana de Guadalajara. Se reportan 9 personas fallecidas y 3 lesionados</t>
  </si>
  <si>
    <t xml:space="preserve">Se registró incendio por toma clandestina en un Ducto de PEMEX, en la ranchería Los Tres Gallos, localidad El Zapote, municipio de Tlajomulco. Se reportan 1 persona fallecida y 2 camionetas calcinadas.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</si>
  <si>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</si>
  <si>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</si>
  <si>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</si>
  <si>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Incendio en ductos de PEMEX por toma clandestina, ubicados a la altura de la carretera Toluca-Atlacomulco km 35 en la comunidad de San Lorenzo Tóxico</t>
  </si>
  <si>
    <t>Explosión de polvorín, ubicado en el poblado de Tezompa. Derivado de lo anterior se reporta 1 persona fallecida del sexo femenino y 3 lesionados.</t>
  </si>
  <si>
    <t>Se presentó una explosión dentro de una vivienda localizada en la calle de Vicente Guerrero s/n.</t>
  </si>
  <si>
    <t xml:space="preserve">Derrame de combustible, en un ducto de Pemex, ocasionado por una toma clandestina, a un costado de la laguna de Cuitzeo. El derrame tiene un gasto de 50 litros/minuto y una parte del combustible se han vertido hacia la laguna. </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</si>
  <si>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</si>
  <si>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</si>
  <si>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</si>
  <si>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</si>
  <si>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</si>
  <si>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</si>
  <si>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Explosión de polvorín, ubicado a un costado de la Laguna de Zumpango, en el municipio de Teoloyucan (casi límites con el municipio de Zumpango).  Al momento se tiene reporte de 3 personas lesionadas atendidas en el lugar</t>
  </si>
  <si>
    <t xml:space="preserve">Incendio dentro de una fábrica de textiles, denominada “Entretex”, ubicada en el Fraccionamiento Industrial El Trébol, en el municipio de Tepotzotlán. </t>
  </si>
  <si>
    <t xml:space="preserve">Se reporta la explosión de un polvorín, ubicado en la calle Galeana con esquina calle Jazmín en la colonia La Cantera, en el municipio de Tultepec. Al momento se reportan 7 personas lesionadas, </t>
  </si>
  <si>
    <t>se registra incendio de fábrica con razón social de Fábrica de Polietileno SA de CV, . Hasta el momento sólo se registran daños materiales, 5,000 metros cuadrados de afectación de quema de hule espuma, 3 contenedores de disocianato de tolueno.</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</si>
  <si>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</si>
  <si>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Explosión dentro de una vivienda donde almacenaban clandestinamente artificios pirotécnicos, esta se ubica en el número 52 B, de la calle 2 de marzo, en la colonia Barrio El Quemado.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</si>
  <si>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</si>
  <si>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</si>
  <si>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</si>
  <si>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 xml:space="preserve">Fuga de hidrocarburo en zona urbana por toma clandestina, evacuación preventiva de 350 personas </t>
  </si>
  <si>
    <t>Explosión de polvorín, ubicado en la avenida Saucera, paraje Saucera, en la zona de polvorines, municipio de Tultepec. Derivado de lo anterior se reporta 1 fallecido y 2 lesionados,</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</si>
  <si>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</si>
  <si>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</si>
  <si>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</si>
  <si>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</si>
  <si>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</si>
  <si>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</si>
  <si>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 xml:space="preserve">Reportan explosión en un polvorín ubicado en el Barrio La Saucera, colonia San Antonio Xahuito, en Tultepec. Al momento se reporta  1 persona fallecida. </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</si>
  <si>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</si>
  <si>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</si>
  <si>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Incendio en 2 bodegas, de la Central de Abastos en Morelia, ubicada en la calle de Felipe Páramo No. 140, Col. Salvador Alcartaz Romero,de las cuales una almacenaba frituras y la otra almacenaba  derivados lácteos (Razón Comercial Yakult),</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</si>
  <si>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</si>
  <si>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Se registra incendio de una toma clandestina en el km 36 de la carretera a Reynosa cerca del Ejido Rancho Viejo, municipio de Cadereyta, derivado del incidente se reporta 1 persona fallecida (calcinada) y 1 persona lesionada</t>
  </si>
  <si>
    <t>Incendio de una toma clandestina no hermética en el poliducto de 20”Ø Minatitlán-México, en el km 392+500, ubicado en el tramo Maltrata – Hueyapan del ejido La Compañía, municipio de Quecholac, Puebla,.</t>
  </si>
  <si>
    <t>Fuga de gas natural en gasoducto ubicado cerca de la estación Corral, en el kilómetro 94, a la altura del km 29+100 de la carretera MX15, tramo Ciudad Obregón-Guaymas, Ciudad Obregón, municipio de Cajeme. A las 20:34 horas, la Empresa Gas de Agua Prieta.</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</si>
  <si>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</si>
  <si>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Explosión dentro de un taller de moldes de fibra de vidrio, donde almacenaban una gruesa de cohetes, el evento se presentó en la calle Emiliano Zapata, No. 6-A, colonia San Pablo, municipio de Tultitlán. Como resultado del incidente se reportan 2 personas lesionadas,</t>
  </si>
  <si>
    <t>En 2017 se reportaron 808 incendios, con 7092.40 hectáreas de estrato herbáceo afectadas, 1076.36 de arbolado adulto1147.15 de renuevo y 5174.25 de arbustivo.</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</si>
  <si>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</si>
  <si>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 xml:space="preserve">CENACOM </t>
  </si>
  <si>
    <t>Fuga de amoniaco dentro de la compañía Coca-Cola, ubicada en Avenida Tecomán Sur No. 99, colonia El Moralete. Como medida preventiva se realizó la evacuación de todo el personal de la empresa (500 personas).</t>
  </si>
  <si>
    <t>Registra incendio en ducto de PEMEX en la calle Zaragoza, Ranchería Ignacio Zaragoza del Municipio de Amozoc</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</si>
  <si>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</si>
  <si>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Rio Bravo</t>
  </si>
  <si>
    <t>Inició un incendio en la Calle Torre de Alejandría, Col. Fraccionamiento las Torres: se informó que, las posibles causas fueron por un contenedor con combustible, (se desconoce qué tipo de combustible), afectando quince vehículos, una motocicleta y doce viviendas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</si>
  <si>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</si>
  <si>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Explosión en una vivienda usada como taller de pirotecnia, en el Barrio de México, comunidad de Santa María del Monte, municipio de Zinacantepec. Se reportan 2 personas fallecidas y 4 lesionados (3 menores y 1 adulto).</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</si>
  <si>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</si>
  <si>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</si>
  <si>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</si>
  <si>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Se registró una fuga de gas sobre la avenida Churubusco, entre las calles López Rayón y de La Normal, fuera del edificio de Arquitectura de la Universidad Autónoma de Baja California. Fueron evacuadas 3 mil personas entre alumnos y personal docente.</t>
  </si>
  <si>
    <t>Explosión y conato de incendio en una fábrica de fibra de vidrio, ubicada en la Avenida Tamarindo, esquina Torre Azul, colonia Victoria, en el municipio de Guadalupe. Derivado del incidente se reportan 17 personas lesionadas</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</si>
  <si>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</si>
  <si>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Heroica Ciudad de Ejutla de Crespo</t>
  </si>
  <si>
    <t>Se registró la explosión de un polvorín, dentro de una bodega de cohetes, ubicada en San Martín Lachila, municipio de Ejutla, Oaxaca.  Resultando dos personas con quemaduras graves y tres más con intoxicación.</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</si>
  <si>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</si>
  <si>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</si>
  <si>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</si>
  <si>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Ocotlán de Morelos</t>
  </si>
  <si>
    <t xml:space="preserve">Se reporta la explosión en local donde se almacena y vende pirotecnia, ubicada en la localidad de Santiago Apóstol, municipio Ocotlán de Morelos. Se reportan 3 personas lesionadas de sexo masculino, </t>
  </si>
  <si>
    <t xml:space="preserve">Se registró explosión en inmueble en que se almacenaba pirotecnia  ubicado en la calle Constitución S/N, colonia Constitución 2ª sección, en el municipio de San Juan Xiutetelco, se reportan 4 personas lesionadas, </t>
  </si>
  <si>
    <t xml:space="preserve">Se registró una explosión y  fuga de gas de Ácido Sulfhídrico en la estación HDI 501 de la Refinería de Ciudad Madero, Tamaulipas. </t>
  </si>
  <si>
    <t>Toma clandestina no hermética con incendio en el km 252+500 aproximadamente del poliducto 12” Ø Minatitlán – México.  En el punto se localizaron 4 cuerpos y vehículos calcinados, en un área aproximada de 2 hectáreas calcinada con caña</t>
  </si>
  <si>
    <t>Se reportó una fuga de amoniaco, dentro de la empresa Panfrut, S. A. de C. V., ubicada en la calle Ferrocarril No. 131 Poniente, colonia El Carmen. Como medida preventiva fueron evacuados 20 empleados de la empresa y acordonado el lugar.</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</si>
  <si>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</si>
  <si>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</si>
  <si>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</si>
  <si>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</si>
  <si>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</si>
  <si>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</si>
  <si>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</si>
  <si>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</si>
  <si>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</si>
  <si>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</si>
  <si>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</si>
  <si>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</si>
  <si>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</si>
  <si>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</si>
  <si>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</si>
  <si>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</si>
  <si>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</si>
  <si>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</si>
  <si>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</si>
  <si>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</si>
  <si>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</si>
  <si>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</si>
  <si>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</si>
  <si>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</si>
  <si>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</si>
  <si>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</si>
  <si>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</si>
  <si>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</si>
  <si>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</si>
  <si>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</si>
  <si>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</si>
  <si>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Volcadura de autobús de la empresa TAP sobre la carretera Los Mochis – Obregón en el kilómetro 75 + 300. Se desconoce las causas del accidente, la vialidad se encuentra cerrada en su totalidad y al momento se reportan 3 personas fallecidas y 20 lesionados</t>
  </si>
  <si>
    <t>Volcadura de una camioneta de la Secretaría de la Defensa Nacional, con 6 elementos de las Fuerzas Especiales. El accidente ocurrió en el Paseo Colón y Boulevard Luis Donaldo Colosio. Derivado de lo anterior se reportan 3 elementos fallecidos y 3 lesionados</t>
  </si>
  <si>
    <t>Impacto de un tracto camión con un autobús el cual provoca que se  impacte contra otro autobús sobre la carretera Panamericana, a la altura de las instalaciones de la Refinería de Pemex, colonia Plan de Ayala, en el municipio de Tuxtla Gutiérrez.</t>
  </si>
  <si>
    <t>A las 13:20 horas se recibe reporte sobre desplome de una avioneta de La Fuerza Aérea Mexicana Tipo Pilatus PC-7, matrícula FA256N, con 2 Pilotos a bordo, quienes resultaron fallecidos.</t>
  </si>
  <si>
    <t>Se reportó la caída de un helicóptero matrícula XA-CS el cual fue encontrado el lunes 23 de enero, en la Sierra de Goma, cercano a la carretera en el municipio de Anáhuac</t>
  </si>
  <si>
    <t xml:space="preserve">Caída de talud en una obra en construcción ubicada en Avenida Serapio Rendón No 125, colonia San Rafael, delegación Cuauhtémoc. Se reportan 1 persona fallecida cuyo cuerpo ha sido localizado y 3 personas lesionadas rescatadas </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</si>
  <si>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</si>
  <si>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 xml:space="preserve">Derrumbe de una barda en Calle Mario Moreno esquina Juan Mendoza en la Col. Ampliación Emiliano Zapata, perteneciente a la Delegación Iztapalapa; se confirma 1 persona fallecida y 2 personas lesionadas </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</si>
  <si>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</si>
  <si>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</si>
  <si>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</si>
  <si>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</si>
  <si>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</si>
  <si>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</si>
  <si>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</si>
  <si>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</si>
  <si>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</si>
  <si>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</si>
  <si>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</si>
  <si>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</si>
  <si>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</si>
  <si>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 xml:space="preserve">Se registró volcadura de autobús de pasajeros con razón social “OCC”, en el km 48 de la autopista Cosamaloapan – La Tinaja, municipio de Cosamaloapan. 
Derivado del incidente se reportan 2 personas fallecidas y 22 lesionadas, </t>
  </si>
  <si>
    <t>San Jose Chiapa</t>
  </si>
  <si>
    <t>Impacto de un autobús de  pasajeros de la línea Vía, contra el bordo de contención, a la altura del kilómetro 28 de la carretera Teziutlán-Amozoc, municipio de San José Chiapa. Derivado del accidente, se reportan 8 personas lesionadas,</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</si>
  <si>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</si>
  <si>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</si>
  <si>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Se registró accidente carretero, tipo volcadura, de un Autobús de pasajeros con razón social “Transportes del Norte”, en el km 49 de la carretera federal 57, tramo Querétaro-San Luis de la Paz, municipio de San José Iturbide.  Se reportan 31 lesionados,</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</si>
  <si>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</si>
  <si>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</si>
  <si>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</si>
  <si>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</si>
  <si>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</si>
  <si>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 xml:space="preserve">Incendio de un tráiler por volcadura, en el km 14 del Circuito Exterior Mexiquense, Municipio de Zumpango, Estado de México; derivado del incidente se reportó 1 persona fallecida (Chofer) y cierre a la circulación.   </t>
  </si>
  <si>
    <t xml:space="preserve">Se registró accidente carretero, de un autobús de pasajeros con razón social “Futura” con número económico 2737, </t>
  </si>
  <si>
    <t xml:space="preserve">Impacto entre una pipa de doble remolque, misma que transportaba 76,000 litros de gasolina, contra una camioneta donde viajaban 5 adultos y 1 menor, en la carretera </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</si>
  <si>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</si>
  <si>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</si>
  <si>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</si>
  <si>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</si>
  <si>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</si>
  <si>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</si>
  <si>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</si>
  <si>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</si>
  <si>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</si>
  <si>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</si>
  <si>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</si>
  <si>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Se presentó la volcadura de un autobús de pasajeros, mismo que había impactado contra una camioneta pick up, el autobús transportaba estudiantes de la Escuela Normal Superior de Tijuana, BC.</t>
  </si>
  <si>
    <t>Impacto de un camión de volteo contra la caseta de cobro Lerma la Marquesa y tres vehículos, ocasionando el decesos de 4  personas y 7 más lesionadas.</t>
  </si>
  <si>
    <t xml:space="preserve">Se registró el impacto de una pipa que transportaba chapopote, contra una vivienda ubicada en la comunidad Uruscato, municipio de los Reyes. En el accidente se reporta 1 persona fallecida y 2 lesionados,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</si>
  <si>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</si>
  <si>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</si>
  <si>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</si>
  <si>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</si>
  <si>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</si>
  <si>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</si>
  <si>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Jaltenco</t>
  </si>
  <si>
    <t>Choque de un autobús de pasajeros con razón social servicio expreso contra un camioneta particular en el circuito exterior mexiquense en el km 27+300, municipio de Jaltenco,  derivado del incidente se reportan 6 fallecidos y 12 lesionados,</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</si>
  <si>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</si>
  <si>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 xml:space="preserve">Se registra incendio por toma clandestina en Ducto de PEMEX, que pasa por debajo de una casa habitación en la colonia Tulipanes, municipio de Cuernavaca, de manera preventiva se evacuaron a 540 personas aledaños al lugar. </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</si>
  <si>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</si>
  <si>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</si>
  <si>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Choque por alcance entre 1 autobús de pasajeros (razón social Costaline) y 1 tráiler (razón social Transporte Saldaña Granada), en el km 232 de la carretera federal Chilpancingo – Cuernavaca, derivado del incidente se reporta 1 persona fallecida y 33 lesionadas.</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</si>
  <si>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</si>
  <si>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</si>
  <si>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</si>
  <si>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</si>
  <si>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</si>
  <si>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 xml:space="preserve">Se produjo una *explosión en un domicilio particular que era usado como almacén de pirotecnia*, en la comunidad de San Isidro Chilchotla, municipio de Chilchotla. Se reportan *12 personas fallecidas (9 en el sitio y 3 en hospitales) y 30 lesionados*, </t>
  </si>
  <si>
    <t>Se presentó la volcadura de un vehículo militar en la autopista México-Guadalajara, a la altura del kilómetro 198+900, cerca de la comunidad de Jerahuaro, en el municipio de Zinapécuaro. Como resultado del accidente se reportan 2 fallecidos y 7 lesionados,</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</si>
  <si>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</si>
  <si>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Se registró un choque por alcance entre un autobús de pasajeros con número económico 743 que se impactó contra un tráiler doble remolque. Se reportaron 4 personas fallecidas y 13 personas lesionadas.</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</si>
  <si>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</si>
  <si>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</si>
  <si>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</si>
  <si>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presentó una amenaza de bomba en las instalaciones del Comité Estatal del PRI. Como medida preventiva fueron evacuados 50 personas del Comité, así como 255 alumnos y 20 docentes de una escuela aledaña.</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</si>
  <si>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</si>
  <si>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</si>
  <si>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 xml:space="preserve">Se registró el impacto de un camión del transporte público y un vehículo particular, en las calles de Juan Manuel y Jesús García en la colonia Centro.  Derivado de lo anterior se reportan 25 personas lesionadas, </t>
  </si>
  <si>
    <t>Volcadura de un autobús. Se reportan  2 personas fallecidas y 4 lesionados.</t>
  </si>
  <si>
    <t>Se registró salida de camino y volcadura de un autobús con razón social Futura, de la empresa Estrella Blanca, en la cartera Salamanca-Celaya a la altura de Villa de Salamanca, municipio de Salamanca. Se reportan 2 personas fallecidas y 8 lesionados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</si>
  <si>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</si>
  <si>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</si>
  <si>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</si>
  <si>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</si>
  <si>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</si>
  <si>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</si>
  <si>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</si>
  <si>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</si>
  <si>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</si>
  <si>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</si>
  <si>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</si>
  <si>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</si>
  <si>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 xml:space="preserve">Proceso de remoción en masa </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</si>
  <si>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</si>
  <si>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</si>
  <si>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</si>
  <si>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</si>
  <si>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</si>
  <si>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</si>
  <si>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</si>
  <si>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</si>
  <si>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</si>
  <si>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</si>
  <si>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</si>
  <si>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</si>
  <si>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</si>
  <si>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</si>
  <si>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</si>
  <si>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</si>
  <si>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</si>
  <si>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</si>
  <si>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</si>
  <si>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</si>
  <si>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</si>
  <si>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</si>
  <si>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</si>
  <si>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</si>
  <si>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</si>
  <si>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</si>
  <si>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</si>
  <si>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Derivado de las lluvias, granizadas y a los fuertes vientos que se registraron el día de ayer por la tarde se reportaron afectaciones parciales en el techado de 41 viviendas, sin reporte de personas lesionadas ni de activación de refugios temporales</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</si>
  <si>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</si>
  <si>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</si>
  <si>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</si>
  <si>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</si>
  <si>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</si>
  <si>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</si>
  <si>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</si>
  <si>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</si>
  <si>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</si>
  <si>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</si>
  <si>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</si>
  <si>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</si>
  <si>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</si>
  <si>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</si>
  <si>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</si>
  <si>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</si>
  <si>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</si>
  <si>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</si>
  <si>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</si>
  <si>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</si>
  <si>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</si>
  <si>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</si>
  <si>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</si>
  <si>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</si>
  <si>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 xml:space="preserve">Marea de tormenta </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</si>
  <si>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</si>
  <si>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</si>
  <si>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</si>
  <si>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</si>
  <si>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</si>
  <si>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El día de ayer por la tarde-noche se presentaron lluvias fuertes, lo que provocó la afectación a 25 viviendas por inundación, 71 personas evacuadas, las cuales fueron llevadas a 2 refugios temporales en el municipio, al momento las personas continúan en ellos.</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</si>
  <si>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</si>
  <si>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</si>
  <si>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Hasta el momento se reportan 18 reportes de árboles y estructuras caídas, 27 autos varados y 34 atenciones en apoyo a personas con agua al interior de sus hogares.</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</si>
  <si>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</si>
  <si>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</si>
  <si>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</si>
  <si>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</si>
  <si>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</si>
  <si>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</si>
  <si>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</si>
  <si>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</si>
  <si>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</si>
  <si>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</si>
  <si>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</si>
  <si>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</si>
  <si>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</si>
  <si>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</si>
  <si>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</si>
  <si>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</si>
  <si>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</si>
  <si>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</si>
  <si>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</si>
  <si>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</si>
  <si>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</si>
  <si>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</si>
  <si>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</si>
  <si>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</si>
  <si>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</si>
  <si>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</si>
  <si>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</si>
  <si>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</si>
  <si>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</si>
  <si>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</si>
  <si>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</si>
  <si>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</si>
  <si>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</si>
  <si>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</si>
  <si>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</si>
  <si>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</si>
  <si>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</si>
  <si>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</si>
  <si>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</si>
  <si>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</si>
  <si>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</si>
  <si>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</si>
  <si>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</si>
  <si>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</si>
  <si>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</si>
  <si>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</si>
  <si>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</si>
  <si>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</si>
  <si>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</si>
  <si>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</si>
  <si>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</si>
  <si>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</si>
  <si>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</si>
  <si>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</si>
  <si>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</si>
  <si>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</si>
  <si>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</si>
  <si>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</si>
  <si>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</si>
  <si>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</si>
  <si>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</si>
  <si>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</si>
  <si>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</si>
  <si>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</si>
  <si>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</si>
  <si>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</si>
  <si>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</si>
  <si>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</si>
  <si>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</si>
  <si>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</si>
  <si>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</si>
  <si>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</si>
  <si>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</si>
  <si>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</si>
  <si>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</si>
  <si>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</si>
  <si>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</si>
  <si>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</si>
  <si>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</si>
  <si>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</si>
  <si>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</si>
  <si>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</si>
  <si>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</si>
  <si>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</si>
  <si>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</si>
  <si>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</si>
  <si>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</si>
  <si>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</si>
  <si>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</si>
  <si>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</si>
  <si>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</si>
  <si>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</si>
  <si>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</si>
  <si>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</si>
  <si>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</si>
  <si>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 xml:space="preserve">Incendio forestal </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</si>
  <si>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</si>
  <si>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</si>
  <si>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</si>
  <si>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</si>
  <si>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Explosión de polvorín, 1 fallecido, 1 lesionado, contaminación ambiental, daños materiales y movilización de cuerpos de emergencia.</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</si>
  <si>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</si>
  <si>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</si>
  <si>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A las 21:30 horas se registra incendio en casa habitación por acumulación de gas  en calle cantera y cuarta cerrada cantera, Colonia La Mesa, Delegación Tlalpan, Al momento se reportan 3 personas lesionadas.</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</si>
  <si>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</si>
  <si>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</si>
  <si>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</si>
  <si>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</si>
  <si>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</si>
  <si>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</si>
  <si>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</si>
  <si>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</si>
  <si>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</si>
  <si>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</si>
  <si>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SE PRESENTA INCENDIO DENTRO DE UNA FÁBRICA RECICLADORA DE PLÁSTICOS Y CARTÓN, EN EL POBLADO LA PRESA, EN EL MUNICIPIO DE TIJUANA. COMO MEDIDA PREVENTIVA SE REALIZÓ LA EVACUACIÓN DE 30 PERSONAS, TRABAJADORAS DE LA FÁBRICA.</t>
  </si>
  <si>
    <t>EN EL ÁREA DE HIELO EN BARRA, EL PERSONAL DE MANTENIMIENTO COMENTA QUE SE PRESENTÓ UNA PRESIÓN MÁS ELEVADA DE LA NORMAL, POR LO QUE LA VALVULA DE CONTROL ABRIÓ Y CERRO, Y SE LIBERARON DE 10 A 15 LIBRAS DE AMONIACO ANHIDRO.</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</si>
  <si>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</si>
  <si>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</si>
  <si>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</si>
  <si>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</si>
  <si>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</si>
  <si>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</si>
  <si>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</si>
  <si>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</si>
  <si>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</si>
  <si>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</si>
  <si>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</si>
  <si>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</si>
  <si>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</si>
  <si>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</si>
  <si>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</si>
  <si>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Villagran</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</si>
  <si>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</si>
  <si>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</si>
  <si>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</si>
  <si>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</si>
  <si>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</si>
  <si>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 xml:space="preserve">Intoxicación </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</si>
  <si>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</si>
  <si>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</si>
  <si>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</si>
  <si>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</si>
  <si>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</si>
  <si>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</si>
  <si>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</si>
  <si>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</si>
  <si>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</si>
  <si>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</si>
  <si>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</si>
  <si>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</si>
  <si>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</si>
  <si>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</si>
  <si>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</si>
  <si>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</si>
  <si>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</si>
  <si>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</si>
  <si>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</si>
  <si>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</si>
  <si>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</si>
  <si>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</si>
  <si>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</si>
  <si>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</si>
  <si>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</si>
  <si>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14:46 horas, en el municipio de Tecoman, se presentó explosión en una bodega de pirotecnia. Del incidente anterior se reporta 1 persona fallecida y 1 persona lesionada, trasladada al Hospital Regional de Tecoman. No se realizó evacuación alguna.</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</si>
  <si>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</si>
  <si>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</si>
  <si>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</si>
  <si>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</si>
  <si>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</si>
  <si>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</si>
  <si>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</si>
  <si>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</si>
  <si>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</si>
  <si>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</si>
  <si>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</si>
  <si>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</si>
  <si>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</si>
  <si>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</si>
  <si>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</si>
  <si>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Se reporta el desplome de una avioneta tipo Cessna, con número de matrícula XB-HRG, en el aeródromo El Pozo, en la Sindicatura de Imala. Derivado del accidente se reportan 2 personas fallecidas. Hasta el momento se desconocen las causas que originaron el accidente.</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</si>
  <si>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</si>
  <si>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</si>
  <si>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</si>
  <si>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</si>
  <si>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</si>
  <si>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</si>
  <si>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</si>
  <si>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</si>
  <si>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</si>
  <si>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</si>
  <si>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</si>
  <si>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</si>
  <si>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</si>
  <si>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</si>
  <si>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</si>
  <si>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</si>
  <si>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</si>
  <si>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</si>
  <si>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</si>
  <si>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</si>
  <si>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</si>
  <si>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</si>
  <si>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</si>
  <si>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</si>
  <si>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</si>
  <si>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</si>
  <si>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</si>
  <si>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</si>
  <si>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</si>
  <si>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</si>
  <si>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</si>
  <si>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</si>
  <si>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</si>
  <si>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Ometepec</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</si>
  <si>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</si>
  <si>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</si>
  <si>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</si>
  <si>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</si>
  <si>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</si>
  <si>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</si>
  <si>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</si>
  <si>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</si>
  <si>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</si>
  <si>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</si>
  <si>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</si>
  <si>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</si>
  <si>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</si>
  <si>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</si>
  <si>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</si>
  <si>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</si>
  <si>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</si>
  <si>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</si>
  <si>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</si>
  <si>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</si>
  <si>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</si>
  <si>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</si>
  <si>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</si>
  <si>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</si>
  <si>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</si>
  <si>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</si>
  <si>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</si>
  <si>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</si>
  <si>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</si>
  <si>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</si>
  <si>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</si>
  <si>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</si>
  <si>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</si>
  <si>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</si>
  <si>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</si>
  <si>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</si>
  <si>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</si>
  <si>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</si>
  <si>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</si>
  <si>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</si>
  <si>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</si>
  <si>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</si>
  <si>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</si>
  <si>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</si>
  <si>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</si>
  <si>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</si>
  <si>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</si>
  <si>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</si>
  <si>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</si>
  <si>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</si>
  <si>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</si>
  <si>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</si>
  <si>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</si>
  <si>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</si>
  <si>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</si>
  <si>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</si>
  <si>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</si>
  <si>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</si>
  <si>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</si>
  <si>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</si>
  <si>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</si>
  <si>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</si>
  <si>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</si>
  <si>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</si>
  <si>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</si>
  <si>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</si>
  <si>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</si>
  <si>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</si>
  <si>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</si>
  <si>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</si>
  <si>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</si>
  <si>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</si>
  <si>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</si>
  <si>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</si>
  <si>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</si>
  <si>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</si>
  <si>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</si>
  <si>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</si>
  <si>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</si>
  <si>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</si>
  <si>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</si>
  <si>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</si>
  <si>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</si>
  <si>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</si>
  <si>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</si>
  <si>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</si>
  <si>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</si>
  <si>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Zaragoza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</si>
  <si>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</si>
  <si>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</si>
  <si>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</si>
  <si>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</si>
  <si>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</si>
  <si>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</si>
  <si>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</si>
  <si>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</si>
  <si>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</si>
  <si>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</si>
  <si>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</si>
  <si>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</si>
  <si>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</si>
  <si>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</si>
  <si>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</si>
  <si>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</si>
  <si>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</si>
  <si>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</si>
  <si>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</si>
  <si>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</si>
  <si>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</si>
  <si>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</si>
  <si>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</si>
  <si>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</si>
  <si>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</si>
  <si>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</si>
  <si>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</si>
  <si>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</si>
  <si>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</si>
  <si>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</si>
  <si>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</si>
  <si>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</si>
  <si>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</si>
  <si>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</si>
  <si>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</si>
  <si>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</si>
  <si>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</si>
  <si>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</si>
  <si>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</si>
  <si>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</si>
  <si>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</si>
  <si>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</si>
  <si>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</si>
  <si>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</si>
  <si>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</si>
  <si>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</si>
  <si>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</si>
  <si>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</si>
  <si>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</si>
  <si>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</si>
  <si>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</si>
  <si>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</si>
  <si>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</si>
  <si>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</si>
  <si>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</si>
  <si>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</si>
  <si>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</si>
  <si>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</si>
  <si>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</si>
  <si>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</si>
  <si>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</si>
  <si>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</si>
  <si>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</si>
  <si>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</si>
  <si>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</si>
  <si>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</si>
  <si>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</si>
  <si>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</si>
  <si>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</si>
  <si>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</si>
  <si>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</si>
  <si>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</si>
  <si>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</si>
  <si>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</si>
  <si>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</si>
  <si>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</si>
  <si>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</si>
  <si>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</si>
  <si>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</si>
  <si>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</si>
  <si>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</si>
  <si>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</si>
  <si>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</si>
  <si>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</si>
  <si>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</si>
  <si>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</si>
  <si>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</si>
  <si>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</si>
  <si>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</si>
  <si>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</si>
  <si>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</si>
  <si>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</si>
  <si>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</si>
  <si>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</si>
  <si>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</si>
  <si>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</si>
  <si>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</si>
  <si>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</si>
  <si>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</si>
  <si>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</si>
  <si>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</si>
  <si>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</si>
  <si>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</si>
  <si>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</si>
  <si>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</si>
  <si>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</si>
  <si>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</si>
  <si>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</si>
  <si>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</si>
  <si>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</si>
  <si>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</si>
  <si>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</si>
  <si>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</si>
  <si>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</si>
  <si>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</si>
  <si>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</si>
  <si>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</si>
  <si>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Tormenta tropical</t>
  </si>
  <si>
    <t>Tormenta tropical “Rosa” el 1 de octubre</t>
  </si>
  <si>
    <t>Helada severa ocurrida los días 14 y 15 de noviembre</t>
  </si>
  <si>
    <t>Onda cálida ocurrida del 23 al 26 de julio</t>
  </si>
  <si>
    <t>Onda cálida a partir del día 28 de mayo</t>
  </si>
  <si>
    <t>Tormenta tropical “Sergio” el 12 de octubre</t>
  </si>
  <si>
    <t>Lluvia severa ocurrida el 19 de septiembre</t>
  </si>
  <si>
    <t>Onda cálida ocurrida a partir del día 28 de mayo</t>
  </si>
  <si>
    <t>Inundación pluvial ocurrida los días 8 y 9 de septiembre</t>
  </si>
  <si>
    <t>01. Lluvia severa e inundación pluvial y fluvial del 28 al 30 de enero</t>
  </si>
  <si>
    <t>Lluvia severa ocurrida el día 19 de octubre</t>
  </si>
  <si>
    <t>04. Inundación fluvial los días 19 y 20 de octubre</t>
  </si>
  <si>
    <t>Inundación fluvial los días 18 y 19 de octubre</t>
  </si>
  <si>
    <t>01. Lluvia severa el 4 y 7 de septiembre</t>
  </si>
  <si>
    <t>Helada severa ocurrida del 16 al 18 de enero</t>
  </si>
  <si>
    <t>Onda cálida del 28 de mayo al 7 de junio</t>
  </si>
  <si>
    <t>Granizada severa ocurrida el día 11 de abril</t>
  </si>
  <si>
    <t>Lluvia severa e inundación fluvial ocurridas el día 4 de septiembre</t>
  </si>
  <si>
    <t>01.Lluvia severa el 23 de octubre</t>
  </si>
  <si>
    <t>Lluvia severa ocurrida el día 18 de septiembre</t>
  </si>
  <si>
    <t>Lluvia severa ocurrida el día 7 al 9 de septiembre</t>
  </si>
  <si>
    <t>Onda cálida ocurrida del 22 al 31 de mayo</t>
  </si>
  <si>
    <t>Lluvia severa ocurrida el día 12 de agosto</t>
  </si>
  <si>
    <t>01. Lluvia severa ocurrida el día 30 de junio de 2018, así como inundación fluvial ocurrida los días 28, 29 y 30 de junio</t>
  </si>
  <si>
    <t xml:space="preserve">Onda cálida ocurrida del 23 al 26 de julio </t>
  </si>
  <si>
    <t>Sismo magnitud 7.2, ocurrido el día 16 de febrero</t>
  </si>
  <si>
    <t>01.Lluvia severa e Inundación fluvial del 29 de agosto al 1 de septiembre</t>
  </si>
  <si>
    <t xml:space="preserve">Onda cálida ocurrida a partir del día 28 de mayo </t>
  </si>
  <si>
    <t>Lluvia severa ocurrida el día 21 de octubre</t>
  </si>
  <si>
    <t>Onda cálida 28 de mayoonda cálida ocurrida a partir del día 28 de mayo</t>
  </si>
  <si>
    <t>03. Lluvia severa los días 17 y 18 de octubre</t>
  </si>
  <si>
    <t>Lluvia severa ocurrida el 8 de abril y granizada severa ocurrida el 7 de abril</t>
  </si>
  <si>
    <t>05. Lluvia severa e inundación fluvial del 19 y 20 de octubre</t>
  </si>
  <si>
    <t>Lluvia severa e inundación pluvial ocurrida el día 10 de agosto</t>
  </si>
  <si>
    <t>Granizada severa y lluvia severa ocurridas el día 22 de abril</t>
  </si>
  <si>
    <t>Lluvia severa los días 20 y 21 de octubre</t>
  </si>
  <si>
    <t>01. Inundación costera del 21 al 28 de mayo</t>
  </si>
  <si>
    <t>02. Lluvia severa del 14 al 15 de junio</t>
  </si>
  <si>
    <t>02. Lluvia severa e inundación pluvial y fluvial del 29 de septiembre al 2 de octubre</t>
  </si>
  <si>
    <t>03.Lluvia severa e inundación pluvial los días 11 y 12 de octubre</t>
  </si>
  <si>
    <t>Inundación pluvial ocurrida el día 12 de agosto</t>
  </si>
  <si>
    <t>Inundación fluvial y pluvial ocurridas el día 23 de octubre</t>
  </si>
  <si>
    <t>Inundación fluvial y pluvial ocurridas los días 18 al 20 de septiembre</t>
  </si>
  <si>
    <t>Lluvia severa e inundación pluvial y fluvial ourridas del 29 de enero al 1 febrero</t>
  </si>
  <si>
    <t>02.Inundación pluvial del 19 al 26 de octubre</t>
  </si>
  <si>
    <t>Inundación fluvial ocurrida los días 30 y 31 de enero</t>
  </si>
  <si>
    <t>Lluvia severa e inundación fluvial y pluvial ocurridos el 20 de abril</t>
  </si>
  <si>
    <t>Inundación pluvial ocurrida el día 17 de junio</t>
  </si>
  <si>
    <t>Lluvia severa e inundación fluvial ocurridas los días 16 y 17 de octubre</t>
  </si>
  <si>
    <t>Lluvia severa, inundación fluvial y vientos fuertes ocurridos del 16 al 18 de octubre</t>
  </si>
  <si>
    <t>Lluvia severa, vientos fuertes e inundación fluvial ocurridos del 16 al 20 de octubre</t>
  </si>
  <si>
    <t>Lluvia severa, inundación pluvial y vientos fuertes ocurridos del 17 al 21</t>
  </si>
  <si>
    <t>Lluvia severa, inundación pluvial y vientos fuertes ocurridos del 18 al 21 octubre</t>
  </si>
  <si>
    <t>Lluvia severa, inundación fluvial y pluvial ocurridas del 19 al 22 octubre</t>
  </si>
  <si>
    <t>Lluvia severa, inundación pluvial y fluvial y vientos fuertes ocurridos del 16 al 24 octubre</t>
  </si>
  <si>
    <t>Inundación fluvial ocurrida el 1 de octubre</t>
  </si>
  <si>
    <t>Inundación fluvial ocurrida los días 3 y 4 de octubre</t>
  </si>
  <si>
    <t>Onda cálida ocurrida del 26 de mayo al 1 de junio</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</si>
  <si>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</si>
  <si>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</si>
  <si>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</si>
  <si>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</si>
  <si>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</si>
  <si>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</si>
  <si>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</si>
  <si>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</si>
  <si>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</si>
  <si>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</si>
  <si>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</si>
  <si>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</si>
  <si>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</si>
  <si>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</si>
  <si>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</si>
  <si>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</si>
  <si>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</si>
  <si>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</si>
  <si>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</si>
  <si>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</si>
  <si>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</si>
  <si>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</si>
  <si>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</si>
  <si>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</si>
  <si>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</si>
  <si>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</si>
  <si>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</si>
  <si>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</si>
  <si>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</si>
  <si>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</si>
  <si>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</si>
  <si>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</si>
  <si>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</si>
  <si>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</si>
  <si>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</si>
  <si>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</si>
  <si>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</si>
  <si>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</si>
  <si>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</si>
  <si>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</si>
  <si>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</si>
  <si>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</si>
  <si>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</si>
  <si>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</si>
  <si>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</si>
  <si>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</si>
  <si>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</si>
  <si>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</si>
  <si>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</si>
  <si>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</si>
  <si>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</si>
  <si>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</si>
  <si>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</si>
  <si>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</si>
  <si>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</si>
  <si>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</si>
  <si>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</si>
  <si>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</si>
  <si>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</si>
  <si>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</si>
  <si>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</si>
  <si>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</si>
  <si>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</si>
  <si>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</si>
  <si>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</si>
  <si>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</si>
  <si>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</si>
  <si>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</si>
  <si>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</si>
  <si>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</si>
  <si>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</si>
  <si>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</si>
  <si>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</si>
  <si>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</si>
  <si>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</si>
  <si>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</si>
  <si>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</si>
  <si>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</si>
  <si>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</si>
  <si>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</si>
  <si>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</si>
  <si>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</si>
  <si>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</si>
  <si>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</si>
  <si>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</si>
  <si>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</si>
  <si>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</si>
  <si>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Conflicto social</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</si>
  <si>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</si>
  <si>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</si>
  <si>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</si>
  <si>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</si>
  <si>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</si>
  <si>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</si>
  <si>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</si>
  <si>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</si>
  <si>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</si>
  <si>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</si>
  <si>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</si>
  <si>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</si>
  <si>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</si>
  <si>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</si>
  <si>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</si>
  <si>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</si>
  <si>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</si>
  <si>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</si>
  <si>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</si>
  <si>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</si>
  <si>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</si>
  <si>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</si>
  <si>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</si>
  <si>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</si>
  <si>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</si>
  <si>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</si>
  <si>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</si>
  <si>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</si>
  <si>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</si>
  <si>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</si>
  <si>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</si>
  <si>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</si>
  <si>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</si>
  <si>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</si>
  <si>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</si>
  <si>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</si>
  <si>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</si>
  <si>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</si>
  <si>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</si>
  <si>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</si>
  <si>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</si>
  <si>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</si>
  <si>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</si>
  <si>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</si>
  <si>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</si>
  <si>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</si>
  <si>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</si>
  <si>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</si>
  <si>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</si>
  <si>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</si>
  <si>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</si>
  <si>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</si>
  <si>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</si>
  <si>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</si>
  <si>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</si>
  <si>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</si>
  <si>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</si>
  <si>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</si>
  <si>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</si>
  <si>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</si>
  <si>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</si>
  <si>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</si>
  <si>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</si>
  <si>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</si>
  <si>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</si>
  <si>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</si>
  <si>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</si>
  <si>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</si>
  <si>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</si>
  <si>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</si>
  <si>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</si>
  <si>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</si>
  <si>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</si>
  <si>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</si>
  <si>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</si>
  <si>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</si>
  <si>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</si>
  <si>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</si>
  <si>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</si>
  <si>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</si>
  <si>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</si>
  <si>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</si>
  <si>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</si>
  <si>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</si>
  <si>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</si>
  <si>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</si>
  <si>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</si>
  <si>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</si>
  <si>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</si>
  <si>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</si>
  <si>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</si>
  <si>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</si>
  <si>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</si>
  <si>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</si>
  <si>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</si>
  <si>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</si>
  <si>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</si>
  <si>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</si>
  <si>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</si>
  <si>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</si>
  <si>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</si>
  <si>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</si>
  <si>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</si>
  <si>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</si>
  <si>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</si>
  <si>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</si>
  <si>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</si>
  <si>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</si>
  <si>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</si>
  <si>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</si>
  <si>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</si>
  <si>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</si>
  <si>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</si>
  <si>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</si>
  <si>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</si>
  <si>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</si>
  <si>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</si>
  <si>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</si>
  <si>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</si>
  <si>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</si>
  <si>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</si>
  <si>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</si>
  <si>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</si>
  <si>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</si>
  <si>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</si>
  <si>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</si>
  <si>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</si>
  <si>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</si>
  <si>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</si>
  <si>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</si>
  <si>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</si>
  <si>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</si>
  <si>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</si>
  <si>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</si>
  <si>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</si>
  <si>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</si>
  <si>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</si>
  <si>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</si>
  <si>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</si>
  <si>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</si>
  <si>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</si>
  <si>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</si>
  <si>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</si>
  <si>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</si>
  <si>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</si>
  <si>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</si>
  <si>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</si>
  <si>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</si>
  <si>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</si>
  <si>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</si>
  <si>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</si>
  <si>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</si>
  <si>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</si>
  <si>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</si>
  <si>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</si>
  <si>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</si>
  <si>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</si>
  <si>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</si>
  <si>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</si>
  <si>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</si>
  <si>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</si>
  <si>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</si>
  <si>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</si>
  <si>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</si>
  <si>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</si>
  <si>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</si>
  <si>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</si>
  <si>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</si>
  <si>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</si>
  <si>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</si>
  <si>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</si>
  <si>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</si>
  <si>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</si>
  <si>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</si>
  <si>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</si>
  <si>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</si>
  <si>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</si>
  <si>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</si>
  <si>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</si>
  <si>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</si>
  <si>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</si>
  <si>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</si>
  <si>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</si>
  <si>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</si>
  <si>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</si>
  <si>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</si>
  <si>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</si>
  <si>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</si>
  <si>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</si>
  <si>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</si>
  <si>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Sequia severa  del 1 de mayo de 2019  al 30 de noviembre</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</si>
  <si>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</si>
  <si>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</si>
  <si>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</si>
  <si>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</si>
  <si>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</si>
  <si>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</si>
  <si>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</si>
  <si>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</si>
  <si>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</si>
  <si>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</si>
  <si>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</si>
  <si>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</si>
  <si>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</si>
  <si>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</si>
  <si>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</si>
  <si>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</si>
  <si>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</si>
  <si>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</si>
  <si>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</si>
  <si>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</si>
  <si>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</si>
  <si>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</si>
  <si>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</si>
  <si>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</si>
  <si>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</si>
  <si>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</si>
  <si>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</si>
  <si>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</si>
  <si>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</si>
  <si>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</si>
  <si>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</si>
  <si>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</si>
  <si>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</si>
  <si>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</si>
  <si>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</si>
  <si>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</si>
  <si>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</si>
  <si>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</si>
  <si>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</si>
  <si>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</si>
  <si>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</si>
  <si>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</si>
  <si>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</si>
  <si>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</si>
  <si>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</si>
  <si>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</si>
  <si>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</si>
  <si>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</si>
  <si>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</si>
  <si>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</si>
  <si>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</si>
  <si>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</si>
  <si>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</si>
  <si>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</si>
  <si>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</si>
  <si>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</si>
  <si>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</si>
  <si>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</si>
  <si>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</si>
  <si>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</si>
  <si>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</si>
  <si>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</si>
  <si>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</si>
  <si>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</si>
  <si>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</si>
  <si>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</si>
  <si>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</si>
  <si>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</si>
  <si>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</si>
  <si>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</si>
  <si>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</si>
  <si>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</si>
  <si>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</si>
  <si>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</si>
  <si>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</si>
  <si>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</si>
  <si>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</si>
  <si>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</si>
  <si>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</si>
  <si>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</si>
  <si>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</si>
  <si>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</si>
  <si>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</si>
  <si>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</si>
  <si>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</si>
  <si>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</si>
  <si>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</si>
  <si>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</si>
  <si>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Los Reyes la Paz</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</si>
  <si>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</si>
  <si>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</si>
  <si>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</si>
  <si>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</si>
  <si>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</si>
  <si>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</si>
  <si>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</si>
  <si>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</si>
  <si>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</si>
  <si>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</si>
  <si>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</si>
  <si>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</si>
  <si>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</si>
  <si>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</si>
  <si>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</si>
  <si>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</si>
  <si>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</si>
  <si>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</si>
  <si>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</si>
  <si>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</si>
  <si>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</si>
  <si>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</si>
  <si>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</si>
  <si>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</si>
  <si>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</si>
  <si>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</si>
  <si>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</si>
  <si>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</si>
  <si>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</si>
  <si>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</si>
  <si>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</si>
  <si>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</si>
  <si>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</si>
  <si>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</si>
  <si>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</si>
  <si>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</si>
  <si>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</si>
  <si>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</si>
  <si>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</si>
  <si>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</si>
  <si>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</si>
  <si>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</si>
  <si>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</si>
  <si>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</si>
  <si>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</si>
  <si>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</si>
  <si>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</si>
  <si>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</si>
  <si>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</si>
  <si>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</si>
  <si>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</si>
  <si>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</si>
  <si>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</si>
  <si>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</si>
  <si>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</si>
  <si>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</si>
  <si>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</si>
  <si>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</si>
  <si>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</si>
  <si>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</si>
  <si>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</si>
  <si>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</si>
  <si>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</si>
  <si>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</si>
  <si>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</si>
  <si>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</si>
  <si>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</si>
  <si>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</si>
  <si>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</si>
  <si>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</si>
  <si>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</si>
  <si>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</si>
  <si>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</si>
  <si>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</si>
  <si>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</si>
  <si>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</si>
  <si>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</si>
  <si>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</si>
  <si>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</si>
  <si>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</si>
  <si>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</si>
  <si>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</si>
  <si>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</si>
  <si>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</si>
  <si>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</si>
  <si>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</si>
  <si>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</si>
  <si>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</si>
  <si>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</si>
  <si>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</si>
  <si>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</si>
  <si>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</si>
  <si>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</si>
  <si>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</si>
  <si>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</si>
  <si>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</si>
  <si>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</si>
  <si>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</si>
  <si>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</si>
  <si>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LLUVIA SEVERA E INUNDACIÓN PLUVIAL EL 22 Y 23 DE AGOSTO DE 2019</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</si>
  <si>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</si>
  <si>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</si>
  <si>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</si>
  <si>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</si>
  <si>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</si>
  <si>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</si>
  <si>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</si>
  <si>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</si>
  <si>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</si>
  <si>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</si>
  <si>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</si>
  <si>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</si>
  <si>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</si>
  <si>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</si>
  <si>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</si>
  <si>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</si>
  <si>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</si>
  <si>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</si>
  <si>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</si>
  <si>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</si>
  <si>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</si>
  <si>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</si>
  <si>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</si>
  <si>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</si>
  <si>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</si>
  <si>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</si>
  <si>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</si>
  <si>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</si>
  <si>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</si>
  <si>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</si>
  <si>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</si>
  <si>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</si>
  <si>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</si>
  <si>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</si>
  <si>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</si>
  <si>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</si>
  <si>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</si>
  <si>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</si>
  <si>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</si>
  <si>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</si>
  <si>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</si>
  <si>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</si>
  <si>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</si>
  <si>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</si>
  <si>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</si>
  <si>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</si>
  <si>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</si>
  <si>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</si>
  <si>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</si>
  <si>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</si>
  <si>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</si>
  <si>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Inundación fluvial el 16 de septiembre de 2019</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</si>
  <si>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</si>
  <si>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</si>
  <si>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</si>
  <si>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</si>
  <si>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</si>
  <si>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</si>
  <si>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</si>
  <si>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</si>
  <si>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</si>
  <si>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</si>
  <si>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</si>
  <si>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Lluvia severa e inundacion pluvial el 21 de septiembre de 2019 por huracán "Lorena"</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</si>
  <si>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</si>
  <si>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Lluvia severa y vientos fuertes el 20 de septiembre de 2019 por huracán "Lorena"</t>
  </si>
  <si>
    <t>Lluvia severa e inundación pluvial el 24 y 25 de septiembre de 2019</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</si>
  <si>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</si>
  <si>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</si>
  <si>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</si>
  <si>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</si>
  <si>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</si>
  <si>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</si>
  <si>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</si>
  <si>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</si>
  <si>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</si>
  <si>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</si>
  <si>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</si>
  <si>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</si>
  <si>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Inundación fluvial los dias 28 y 29 de septiembre de 2019 por huracán "Narda"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</si>
  <si>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</si>
  <si>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</si>
  <si>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</si>
  <si>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</si>
  <si>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</si>
  <si>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</si>
  <si>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</si>
  <si>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</si>
  <si>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</si>
  <si>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</si>
  <si>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</si>
  <si>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</si>
  <si>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</si>
  <si>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</si>
  <si>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</si>
  <si>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</si>
  <si>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</si>
  <si>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</si>
  <si>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</si>
  <si>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</si>
  <si>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</si>
  <si>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</si>
  <si>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</si>
  <si>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</si>
  <si>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</si>
  <si>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</si>
  <si>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</si>
  <si>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</si>
  <si>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</si>
  <si>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</si>
  <si>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</si>
  <si>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</si>
  <si>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</si>
  <si>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</si>
  <si>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</si>
  <si>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</si>
  <si>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</si>
  <si>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</si>
  <si>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</si>
  <si>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</si>
  <si>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</si>
  <si>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</si>
  <si>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</si>
  <si>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</si>
  <si>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</si>
  <si>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</si>
  <si>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Lluvia severa e inundación fluvial y pluvial los dias 16 y 17 de octubre de 2019</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</si>
  <si>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</si>
  <si>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</si>
  <si>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</si>
  <si>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</si>
  <si>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</si>
  <si>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</si>
  <si>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Lluvia severa e inundación fluvial el 23 de octubre de 2019</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</si>
  <si>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</si>
  <si>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</si>
  <si>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</si>
  <si>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</si>
  <si>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</si>
  <si>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</si>
  <si>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</si>
  <si>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</si>
  <si>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</si>
  <si>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</si>
  <si>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</si>
  <si>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</si>
  <si>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</si>
  <si>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</si>
  <si>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</si>
  <si>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</si>
  <si>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</si>
  <si>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</si>
  <si>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</si>
  <si>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</si>
  <si>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</si>
  <si>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</si>
  <si>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</si>
  <si>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</si>
  <si>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</si>
  <si>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</si>
  <si>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</si>
  <si>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</si>
  <si>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</si>
  <si>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</si>
  <si>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</si>
  <si>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</si>
  <si>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</si>
  <si>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</si>
  <si>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</si>
  <si>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</si>
  <si>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</si>
  <si>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</si>
  <si>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</si>
  <si>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</si>
  <si>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</si>
  <si>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</si>
  <si>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</si>
  <si>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</si>
  <si>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</si>
  <si>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</si>
  <si>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</si>
  <si>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</si>
  <si>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</si>
  <si>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</si>
  <si>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</si>
  <si>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</si>
  <si>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</si>
  <si>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</si>
  <si>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</si>
  <si>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</si>
  <si>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</si>
  <si>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</si>
  <si>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</si>
  <si>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</si>
  <si>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</si>
  <si>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</si>
  <si>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</si>
  <si>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</si>
  <si>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</si>
  <si>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</si>
  <si>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</si>
  <si>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</si>
  <si>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</si>
  <si>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</si>
  <si>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</si>
  <si>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</si>
  <si>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</si>
  <si>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</si>
  <si>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</si>
  <si>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</si>
  <si>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</si>
  <si>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</si>
  <si>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</si>
  <si>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</si>
  <si>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</si>
  <si>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</si>
  <si>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</si>
  <si>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Lluvia severa el 11 de diciembre de 2019</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</si>
  <si>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</si>
  <si>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</si>
  <si>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</si>
  <si>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</si>
  <si>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</si>
  <si>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</si>
  <si>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</si>
  <si>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</si>
  <si>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</si>
  <si>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</si>
  <si>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</si>
  <si>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</si>
  <si>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</si>
  <si>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</si>
  <si>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</si>
  <si>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</si>
  <si>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</si>
  <si>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</si>
  <si>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</si>
  <si>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</si>
  <si>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</si>
  <si>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</si>
  <si>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</si>
  <si>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</si>
  <si>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</si>
  <si>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</si>
  <si>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</si>
  <si>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</si>
  <si>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</si>
  <si>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</si>
  <si>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</si>
  <si>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</si>
  <si>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</si>
  <si>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</si>
  <si>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 xml:space="preserve">CONAFOR-FONDEN </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</si>
  <si>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</si>
  <si>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</si>
  <si>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</si>
  <si>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</si>
  <si>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</si>
  <si>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</si>
  <si>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</si>
  <si>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</si>
  <si>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</si>
  <si>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</si>
  <si>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</si>
  <si>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</si>
  <si>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</si>
  <si>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</si>
  <si>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</si>
  <si>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</si>
  <si>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</si>
  <si>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</si>
  <si>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</si>
  <si>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</si>
  <si>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</si>
  <si>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</si>
  <si>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</si>
  <si>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</si>
  <si>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</si>
  <si>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</si>
  <si>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</si>
  <si>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</si>
  <si>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</si>
  <si>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</si>
  <si>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</si>
  <si>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</si>
  <si>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</si>
  <si>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</si>
  <si>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</si>
  <si>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</si>
  <si>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</si>
  <si>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</si>
  <si>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</si>
  <si>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</si>
  <si>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</si>
  <si>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</si>
  <si>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</si>
  <si>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</si>
  <si>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</si>
  <si>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</si>
  <si>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</si>
  <si>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</si>
  <si>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</si>
  <si>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</si>
  <si>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</si>
  <si>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</si>
  <si>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</si>
  <si>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</si>
  <si>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En 2019 se presentaron 3 casos por altas temperaturas: 2 por golpe de calor y 1 por agotamiento.</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</si>
  <si>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</si>
  <si>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</si>
  <si>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</si>
  <si>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</si>
  <si>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</si>
  <si>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</si>
  <si>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</si>
  <si>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</si>
  <si>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</si>
  <si>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</si>
  <si>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</si>
  <si>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</si>
  <si>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</si>
  <si>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</si>
  <si>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</si>
  <si>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</si>
  <si>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</si>
  <si>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</si>
  <si>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</si>
  <si>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</si>
  <si>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</si>
  <si>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</si>
  <si>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</si>
  <si>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</si>
  <si>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</si>
  <si>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</si>
  <si>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</si>
  <si>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</si>
  <si>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</si>
  <si>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</si>
  <si>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</si>
  <si>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</si>
  <si>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</si>
  <si>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</si>
  <si>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</si>
  <si>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</si>
  <si>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</si>
  <si>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</si>
  <si>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</si>
  <si>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</si>
  <si>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</si>
  <si>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</si>
  <si>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</si>
  <si>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</si>
  <si>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</si>
  <si>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</si>
  <si>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</si>
  <si>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</si>
  <si>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</si>
  <si>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</si>
  <si>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</si>
  <si>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</si>
  <si>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</si>
  <si>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</si>
  <si>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</si>
  <si>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</si>
  <si>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</si>
  <si>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</si>
  <si>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</si>
  <si>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</si>
  <si>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</si>
  <si>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</si>
  <si>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</si>
  <si>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</si>
  <si>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</si>
  <si>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</si>
  <si>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</si>
  <si>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</si>
  <si>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</si>
  <si>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</si>
  <si>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</si>
  <si>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</si>
  <si>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</si>
  <si>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</si>
  <si>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</si>
  <si>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</si>
  <si>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</si>
  <si>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</si>
  <si>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</si>
  <si>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</si>
  <si>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</si>
  <si>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</si>
  <si>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</si>
  <si>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</si>
  <si>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</si>
  <si>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</si>
  <si>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</si>
  <si>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</si>
  <si>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</si>
  <si>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</si>
  <si>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</si>
  <si>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</si>
  <si>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</si>
  <si>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</si>
  <si>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</si>
  <si>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</si>
  <si>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</si>
  <si>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</si>
  <si>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</si>
  <si>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</si>
  <si>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</si>
  <si>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</si>
  <si>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</si>
  <si>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</si>
  <si>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</si>
  <si>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</si>
  <si>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</si>
  <si>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</si>
  <si>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</si>
  <si>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</si>
  <si>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</si>
  <si>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</si>
  <si>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</si>
  <si>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</si>
  <si>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</si>
  <si>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</si>
  <si>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</si>
  <si>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</si>
  <si>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</si>
  <si>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</si>
  <si>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</si>
  <si>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</si>
  <si>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</si>
  <si>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</si>
  <si>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</si>
  <si>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</si>
  <si>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</si>
  <si>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</si>
  <si>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</si>
  <si>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</si>
  <si>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</si>
  <si>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</si>
  <si>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</si>
  <si>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</si>
  <si>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</si>
  <si>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</si>
  <si>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</si>
  <si>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</si>
  <si>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</si>
  <si>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</si>
  <si>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</si>
  <si>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</si>
  <si>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</si>
  <si>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</si>
  <si>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</si>
  <si>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</si>
  <si>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</si>
  <si>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</si>
  <si>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</si>
  <si>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</si>
  <si>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</si>
  <si>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</si>
  <si>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</si>
  <si>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</si>
  <si>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</si>
  <si>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</si>
  <si>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</si>
  <si>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</si>
  <si>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</si>
  <si>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</si>
  <si>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</si>
  <si>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</si>
  <si>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</si>
  <si>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</si>
  <si>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</si>
  <si>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</si>
  <si>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</si>
  <si>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</si>
  <si>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</si>
  <si>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</si>
  <si>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</si>
  <si>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</si>
  <si>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</si>
  <si>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</si>
  <si>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</si>
  <si>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</si>
  <si>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</si>
  <si>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</si>
  <si>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</si>
  <si>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</si>
  <si>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</si>
  <si>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</si>
  <si>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</si>
  <si>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</si>
  <si>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</si>
  <si>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</si>
  <si>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</si>
  <si>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</si>
  <si>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</si>
  <si>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</si>
  <si>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</si>
  <si>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</si>
  <si>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</si>
  <si>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</si>
  <si>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</si>
  <si>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</si>
  <si>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</si>
  <si>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</si>
  <si>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</si>
  <si>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</si>
  <si>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</si>
  <si>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</si>
  <si>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</si>
  <si>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</si>
  <si>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</si>
  <si>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</si>
  <si>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</si>
  <si>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</si>
  <si>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</si>
  <si>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</si>
  <si>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</si>
  <si>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</si>
  <si>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</si>
  <si>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</si>
  <si>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</si>
  <si>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</si>
  <si>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</si>
  <si>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</si>
  <si>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</si>
  <si>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</si>
  <si>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</si>
  <si>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</si>
  <si>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</si>
  <si>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</si>
  <si>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</si>
  <si>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</si>
  <si>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</si>
  <si>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</si>
  <si>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</si>
  <si>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</si>
  <si>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</si>
  <si>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</si>
  <si>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</si>
  <si>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</si>
  <si>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</si>
  <si>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</si>
  <si>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</si>
  <si>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</si>
  <si>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</si>
  <si>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</si>
  <si>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</si>
  <si>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</si>
  <si>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</si>
  <si>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</si>
  <si>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</si>
  <si>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</si>
  <si>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</si>
  <si>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</si>
  <si>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</si>
  <si>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</si>
  <si>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</si>
  <si>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</si>
  <si>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</si>
  <si>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</si>
  <si>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</si>
  <si>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</si>
  <si>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</si>
  <si>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</si>
  <si>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</si>
  <si>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</si>
  <si>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</si>
  <si>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</si>
  <si>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</si>
  <si>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</si>
  <si>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</si>
  <si>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</si>
  <si>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</si>
  <si>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</si>
  <si>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</si>
  <si>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</si>
  <si>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</si>
  <si>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</si>
  <si>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</si>
  <si>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</si>
  <si>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</si>
  <si>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</si>
  <si>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</si>
  <si>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</si>
  <si>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</si>
  <si>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</si>
  <si>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</si>
  <si>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</si>
  <si>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</si>
  <si>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</si>
  <si>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</si>
  <si>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</si>
  <si>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</si>
  <si>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</si>
  <si>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</si>
  <si>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</si>
  <si>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</si>
  <si>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</si>
  <si>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</si>
  <si>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</si>
  <si>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</si>
  <si>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</si>
  <si>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</si>
  <si>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</si>
  <si>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</si>
  <si>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</si>
  <si>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</si>
  <si>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</si>
  <si>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</si>
  <si>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</si>
  <si>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</si>
  <si>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</si>
  <si>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</si>
  <si>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</si>
  <si>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</si>
  <si>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</si>
  <si>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</si>
  <si>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</si>
  <si>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</si>
  <si>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</si>
  <si>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</si>
  <si>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</si>
  <si>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</si>
  <si>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</si>
  <si>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</si>
  <si>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</si>
  <si>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</si>
  <si>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</si>
  <si>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</si>
  <si>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</si>
  <si>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</si>
  <si>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</si>
  <si>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</si>
  <si>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</si>
  <si>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</si>
  <si>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</si>
  <si>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</si>
  <si>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</si>
  <si>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</si>
  <si>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</si>
  <si>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</si>
  <si>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</si>
  <si>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</si>
  <si>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</si>
  <si>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</si>
  <si>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</si>
  <si>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</si>
  <si>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</si>
  <si>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</si>
  <si>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</si>
  <si>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</si>
  <si>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</si>
  <si>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</si>
  <si>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</si>
  <si>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</si>
  <si>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</si>
  <si>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</si>
  <si>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</si>
  <si>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</si>
  <si>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</si>
  <si>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</si>
  <si>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</si>
  <si>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</si>
  <si>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</si>
  <si>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</si>
  <si>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</si>
  <si>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</si>
  <si>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</si>
  <si>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Malinaltepec, Tlacoapa, Ometepec, Cuautepec.</t>
  </si>
  <si>
    <t>Como resultado de las lluvias que se presentaron en el estado, se tienen los daños que se presentan en las columnas correspondientes, obtenidos del boletín de actualización del 29-08 a las 22 horas</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</si>
  <si>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</si>
  <si>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</si>
  <si>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</si>
  <si>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</si>
  <si>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</si>
  <si>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</si>
  <si>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</si>
  <si>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</si>
  <si>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</si>
  <si>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</si>
  <si>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</si>
  <si>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</si>
  <si>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</si>
  <si>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</si>
  <si>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</si>
  <si>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</si>
  <si>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</si>
  <si>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</si>
  <si>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</si>
  <si>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</si>
  <si>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</si>
  <si>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</si>
  <si>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</si>
  <si>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</si>
  <si>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</si>
  <si>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</si>
  <si>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</si>
  <si>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</si>
  <si>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</si>
  <si>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</si>
  <si>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</si>
  <si>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</si>
  <si>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</si>
  <si>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</si>
  <si>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</si>
  <si>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</si>
  <si>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</si>
  <si>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</si>
  <si>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</si>
  <si>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</si>
  <si>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</si>
  <si>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</si>
  <si>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</si>
  <si>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</si>
  <si>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</si>
  <si>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</si>
  <si>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</si>
  <si>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</si>
  <si>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</si>
  <si>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</si>
  <si>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</si>
  <si>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</si>
  <si>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</si>
  <si>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</si>
  <si>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</si>
  <si>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</si>
  <si>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</si>
  <si>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</si>
  <si>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</si>
  <si>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</si>
  <si>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</si>
  <si>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</si>
  <si>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</si>
  <si>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</si>
  <si>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</si>
  <si>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</si>
  <si>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</si>
  <si>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</si>
  <si>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</si>
  <si>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</si>
  <si>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</si>
  <si>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</si>
  <si>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</si>
  <si>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</si>
  <si>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</si>
  <si>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</si>
  <si>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</si>
  <si>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</si>
  <si>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</si>
  <si>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</si>
  <si>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</si>
  <si>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</si>
  <si>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</si>
  <si>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</si>
  <si>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</si>
  <si>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</si>
  <si>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</si>
  <si>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</si>
  <si>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</si>
  <si>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</si>
  <si>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</si>
  <si>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</si>
  <si>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</si>
  <si>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</si>
  <si>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</si>
  <si>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</si>
  <si>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</si>
  <si>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</si>
  <si>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</si>
  <si>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</si>
  <si>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</si>
  <si>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</si>
  <si>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</si>
  <si>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</si>
  <si>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</si>
  <si>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</si>
  <si>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</si>
  <si>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</si>
  <si>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</si>
  <si>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</si>
  <si>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</si>
  <si>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</si>
  <si>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</si>
  <si>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</si>
  <si>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</si>
  <si>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</si>
  <si>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</si>
  <si>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</si>
  <si>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</si>
  <si>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</si>
  <si>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</si>
  <si>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</si>
  <si>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</si>
  <si>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</si>
  <si>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</si>
  <si>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</si>
  <si>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</si>
  <si>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</si>
  <si>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</si>
  <si>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</si>
  <si>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</si>
  <si>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</si>
  <si>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</si>
  <si>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</si>
  <si>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</si>
  <si>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</si>
  <si>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</si>
  <si>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</si>
  <si>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</si>
  <si>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</si>
  <si>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</si>
  <si>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</si>
  <si>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</si>
  <si>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</si>
  <si>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</si>
  <si>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</si>
  <si>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</si>
  <si>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</si>
  <si>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</si>
  <si>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</si>
  <si>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</si>
  <si>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</si>
  <si>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</si>
  <si>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</si>
  <si>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</si>
  <si>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</si>
  <si>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</si>
  <si>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</si>
  <si>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</si>
  <si>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</si>
  <si>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</si>
  <si>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</si>
  <si>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</si>
  <si>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Nevada severa el 30 y 31 de diciembre de 2020</t>
  </si>
  <si>
    <t>Nevada y helada severas el 30 y 31 de diciembre de 2020</t>
  </si>
  <si>
    <t>A las 12:00 horas, se reportó explosión de una caldera, al interior de una fábrica de quesos, ubicada en la Comunidad Cañada Chica Mz.2 calle Paniu. Se reportó 1 persona fallecida y 3 lesionadas trasladadas por sus propios medios al Hospital Regional.</t>
  </si>
  <si>
    <t>En 2021 se presentaron 5 casos por hipotermia y 2 por intoxicación. Dos perdieron la vida por intoxicación.</t>
  </si>
  <si>
    <t>En 2021 se reportaron un total de 37 incendios, con  1416  hectáreas afectadas. 1197 de  herbáceo,27 de arbolato adulto y 192 de arbustivo.</t>
  </si>
  <si>
    <t>En 2021 se reportaron un total de 76 incendios, con 19273 hectáreas afectadas. 3273 de estrato herbáceo y 353 arbóreo y 15647 de arbustivo</t>
  </si>
  <si>
    <t>En 2021 se reportaron un total de 5 incendios, con un total de  10 hectáreas afectadas. 5 de estrato herbáceo, 2 arbóreo y 4 de arbustivo.</t>
  </si>
  <si>
    <t>En 2021 se presentó 1 caso por hipotermia. 1 persona perdió la vida por hipotermia.</t>
  </si>
  <si>
    <t>El día 25 de abril, inició un incendio forestal en el estado de Chiapas, municipio de La Concordia, predio Finca Vega. Al día 01 de mayo, se reporta con un 100% de control y 100% de liquidación, con una afectación de 860 hectáreas.</t>
  </si>
  <si>
    <t>El día 12 de abril, inició un incendio forestal en el estado de Chiapas municipio de Chiapas de Corzo, predio Cañon del sumidero. El día 26 de abril quedó liquidado al 100 % con una afectación de 615 hectáreas</t>
  </si>
  <si>
    <t>En 2021 se reportaron un total de 895 incendios, con 4144 hectáreas afectadas. 3843 de estrato herbáceo, 34  arbóreo y 268 de arbustivo.</t>
  </si>
  <si>
    <t>En 2021 se reportaron un total de 53 incendios, con 7553 hectáreas afectadas. 1349de estrato herbáceo, 3863 arbóreo y 2341de arbustivo.</t>
  </si>
  <si>
    <t xml:space="preserve">CONAFOR,FONDEN: insumos  </t>
  </si>
  <si>
    <t>En 2021 se reportaron un total de 38 incendios, con 2357 hectáreas afectadas. 2111 de estrato herbáceo y 246 de arbustivo.</t>
  </si>
  <si>
    <t>En 2021 se reportaron un total de 268 incendios, con 75884 hectáreas afectadas. 48029 de estrato herbáceo, 6194 de arbóreo y 21661 de arbustivo.</t>
  </si>
  <si>
    <t>En 2021 se reportaron un total de 194 incendios, con 82250 hectáreas afectadas. 51864  de estrato herbáceo, 3846 de arbóreo y 26540 de arbustivo.</t>
  </si>
  <si>
    <t>En 2021 se reportaron un total de 70 incendios, con 1348 hectáreas afectadas. 522 de estrato herbáceo, 490 de arbóreo y 335 de arbustivo</t>
  </si>
  <si>
    <t>En 2021 se reportaron un total de 1017  incendios, con 76951 hectáreas afectadas. 55686 de estrato herbáceo, 3871 de arbóreo y 17394 de arbustivo.</t>
  </si>
  <si>
    <t>En 2021 se reportaron un total de 1494 incendios, con 17580 hectáreas afectadas. 7960 de estrato herbáceo, 1820 de arbóreo y 7800 de arbustivo.</t>
  </si>
  <si>
    <t>En 2021 se reportaron un total de 634 incendios, con 35142 hectáreas afectadas. 20475 de estrato herbáceo, 5821 de arbóreo y 8846 de arbustivo.</t>
  </si>
  <si>
    <t>En 2021 se reportaron un total de 154 incendios, con 5015 hectáreas afectadas. 3416 de estrato herbáceo, 154 de arbóreo y 1445 de arbustivo.</t>
  </si>
  <si>
    <t>En 2021 se reportaron un total de 79 incendios, con 32354 hectáreas afectadas. 26030 de estrato herbáceo, 313 de arbóreo y 6011 de arbustivo.</t>
  </si>
  <si>
    <t>En 2021 se reportaron un total de 51 incendios, con 32794hectáreas afectadas. 18533 de estrato herbáceo, 2272 de arbóreo y 11989 de arbustivo.
EVACUADOS: 1,100
- 104 personas en refugio temporal en el Hotel Cola de Caballo  
- 20 cabañas de descanso pérdida parcial 
- 80 cabañas de descanso pérdida total 
- 1 escuela rural pérdida total 
- 1 centro de salud con daño parcial 
- 58 otros inmuebles 
- 7 vehículos siniestrados</t>
  </si>
  <si>
    <t>CONAFOR,FONDEN: Insumos , reconstrucción</t>
  </si>
  <si>
    <t xml:space="preserve">En 2021 se reportaron un total de 150 incendios, con 31748 hectáreas afectadas. 19469 de estrato herbáceo, 4990 de arbóreo y 7289 de arbustivo. </t>
  </si>
  <si>
    <t xml:space="preserve">En 2021 se reportaron un total de 304 incendios, con 7856 hectáreas afectadas. 4778 de estrato herbáceo, 234 de arbóreo y 2844 de arbustivo.  </t>
  </si>
  <si>
    <t xml:space="preserve">En 2021 se reportaron un total de 51 incendios, con 2165 hectáreas afectadas. 1281 de estrato herbáceo, 18 de arbóreo y 866 de arbustivo. </t>
  </si>
  <si>
    <t xml:space="preserve">En 2021 se reportaron un total de 32  incendios, con 1878 hectáreas afectadas. 1878 de arbustivo. </t>
  </si>
  <si>
    <t>09/04/2021. Se registró incendio forestal en el Predio El Milagro, ANP Real de Guadalcázar, municipio Guadalcázar. No se reportó riesgo a la población.
12/04/2021. Se combatió el incendio por 2 frentes: norte y sur. Se mantiene el apoyo con ataque aéreo y en tierra varios combatientes fueron atendidos por golpe de calor. 20:00 horas, se reportó un 50% de control y un 35% de liquidación, con una superficie afectada de 1,500 hectáreas de lechuguilla y palmilla. 16:00 horas-19/04/2021. Se reportó con un 100% de control y 100% de liquidación, son una superficie afectada de 3,201 hectáreas.</t>
  </si>
  <si>
    <t xml:space="preserve">En 2021 se reportaron un total de 23 incendios, con 2785 hectáreas afectadas. 1944 de estrato herbáceo, 91 de arbóreo y 749 de arbustivo. </t>
  </si>
  <si>
    <t xml:space="preserve">En 2021 se reportaron un total de 27 incendios, con 20219 hectáreas afectadas. 12728 de estrato herbáceo, 935  de arbóreo y 6555 de arbustivo.  </t>
  </si>
  <si>
    <t>En 2021 se reportaron un total de 12 incendios, con 12608 hectáreas afectadas. 12568 de estrato herbáceo y 40 de arbóreo.</t>
  </si>
  <si>
    <t>En 2021 se reportaron un total de 25 incendios, con 13433 hectáreas afectadas. 6263 de estrato herbáceo, 808 de arbóreo y 6362 de arbustivo.</t>
  </si>
  <si>
    <t>En 2021 se reportaron un total de 275 incendios, con 2259 hectáreas afectadas. 1619 de estrato herbáceo, 32 de arbóreo y 607 de arbustivo.</t>
  </si>
  <si>
    <t>En 2021 se reportaron un total de 155 incendios, con 2674 hectáreas afectadas. 364 de estrato herbáceo, 154 de arbóreo y 2156 de arbustivo.</t>
  </si>
  <si>
    <t>En 2021 se reportaron un total de 15 incendios, con 892 hectáreas afectadas. 11 de estrato herbáceo, 11 de arbóreo y 870 de arbustivo.</t>
  </si>
  <si>
    <t>En 2021 se reportaron un total de 90 incendios, con 10222 hectáreas afectadas. 7730 de estrato herbáceo, 127 de arbóreo y 2365 de arbustivo.</t>
  </si>
  <si>
    <t xml:space="preserve">En 2021 se presentaron dos casos por intoxicación.  </t>
  </si>
  <si>
    <t>En 2021 se presentaron 56 casos por bajas temperaturas: 3 casos de hipotermia, 44 por intoxicación y 9 por quemadura . Siete perdieron la vida por intoxicación.</t>
  </si>
  <si>
    <t>En 2021 se presentaron tres casos por intoxicación.</t>
  </si>
  <si>
    <t>En 2021 se presentaron 3 casos de intoxicación. Tres personas perdieron la vida por intoxicación.</t>
  </si>
  <si>
    <t>En 2021 se presentaron dos casos por intoxicación y uno por quemadura.</t>
  </si>
  <si>
    <t xml:space="preserve">En 2021 se presentaron dos casos por intoxicación. </t>
  </si>
  <si>
    <t>En 2021 se presentó un caso por intoxicación.</t>
  </si>
  <si>
    <t>En 2021 se presentó un caso por hipotermia.</t>
  </si>
  <si>
    <t>En 2021 se presentaron 2 casos por hipotermia.</t>
  </si>
  <si>
    <t>En 2021 se presentaron 31 casos por bajas temperaturas: 4 por hipotermia, 24 por intoxicaxión y 3 por quemadura. Cinco personas perdieron la vida 2 por hipotermia y 3 por intoxicación.</t>
  </si>
  <si>
    <t xml:space="preserve">En 2021 se presentaron 58 casos: 7 por hipotermia y 51 por intoxicación.Siete personas perdieron la vida:4 por hipotermia y 3 por intoxicación. </t>
  </si>
  <si>
    <t xml:space="preserve">En 2021 se presentaron 6 casos por intoxicación. </t>
  </si>
  <si>
    <t>En 2021 se presentaron 431 casos por altas temperaturas: 51 por golpe de calor y 380 por deshidratación. 19 personas perdieron la vida por golpe de calor.</t>
  </si>
  <si>
    <t>En 2021 se presentaron 15 casos por altas temperaturas: 10 por golpe de calor y 5 por deshidratación. Una persona perdió la vida por golpe de calor y dos por deshidratación.</t>
  </si>
  <si>
    <t xml:space="preserve">En 2021 se presentaron 8 casos por altas temperaturas:  2 por golpe de calor, 5 por deshidratación y uno por quemadura. </t>
  </si>
  <si>
    <t>En 2021 se presentaron 2 casos por altas temperaturas: 1 por golpe de calor y 1 por deshidratación.</t>
  </si>
  <si>
    <t xml:space="preserve">En 2021 se presentaron 19 casos por altas temperaturas:  14 por golpe de calor, 4 por deshidratación y uno por quemadura. </t>
  </si>
  <si>
    <t>En 2021 se presentaron 7 casos por altas temperaturas: 5 por golpe de calor y 2 por deshidratación.</t>
  </si>
  <si>
    <t>En 2021 se presentó un caso por deshidratación.</t>
  </si>
  <si>
    <t>En 2021 se presentaron 3 casos por altas temperaturas: 1 por golpe de calor y 2 por deshidratación.</t>
  </si>
  <si>
    <t xml:space="preserve">En 2021 se presentó un caso por golpe de calor. Una persona murió por golpe de calor. </t>
  </si>
  <si>
    <t xml:space="preserve">En 2021 se presentaron 24 casos por altas temperaturas:  20 por golpe de calor,3 por deshidratación y uno por quemadura. </t>
  </si>
  <si>
    <t>En 2021 se presentó por golpe de calor.</t>
  </si>
  <si>
    <t>En 2021 se presentaron 12 casos por altas temperaturas: 2 por golpe de calor y 10 por deshidratación.</t>
  </si>
  <si>
    <t>En 2021 se presentó un caso por golpe de calor.</t>
  </si>
  <si>
    <t>En 2021 se presentó un caso por golpe de calor y uno por quemadura.</t>
  </si>
  <si>
    <t>En 2021 se presentaron 3 casos por altas temperaturas:  1 por golpe de calor y 2 por deshidratación.</t>
  </si>
  <si>
    <t>En 2021 se presentaron 4 casos por altas temperaturas:  1 por golpe de calor y 3 por deshidratación.</t>
  </si>
  <si>
    <t>En 2021 se presentaron 44 casos por altas temperaturas:  13 por golpe de calor,30 por deshidratación y uno por quemadura. Una perona perdió la vida por golpe de calor.</t>
  </si>
  <si>
    <t>En 2021 se presentaron 109 casos por altas temperaturas:  36 por golpe de calor,72 por deshidratación y uno por quemadura.Cinco personas perdieron la vida por golpe de calor.</t>
  </si>
  <si>
    <t>En 2021 se presentaron 146 casos por altas temperaturas:  89 por golpe de calor, 56 por deshidratación y uno por quemadura. Una persona perdió la vida por golpe de calor.</t>
  </si>
  <si>
    <t>En 2021 se presentaron 5 casos por altas temperaturas:  4 por golpe de calor y 1 por deshidratación.</t>
  </si>
  <si>
    <t>En 2021 se presentaron 9 casos por altas temperaturas:  6 por golpe de calor, 3 por deshidratación. Una persona perdió la vida por golpe de calor.</t>
  </si>
  <si>
    <t>En 2021 se presentaron 21 casos por golpe de calor y dos por deshidratación. Dos personas perdieron la vida por golpe de calor.</t>
  </si>
  <si>
    <t>A las 23:57 horas/ 04 de enero, se tuvo conocimiento de incendio al interior de un predio ubicado en calle Mar Mediterráneo y Av. Azcapotzalco, colonia Tacuba, alcaldía Miguel Hidalgo. No se reportan daños humanos, únicamente 40 personas evacuadas, 12 viviendas de material endeble, colindantes afectadas y líneas eléctricas.</t>
  </si>
  <si>
    <t>A las 11:27 horas, se registró explosión por acumulación de gas Lp en un inmueble de planta baja (Panadería “La Campanilla”) y un nivel (Salón de Fiestas “Las Ruedas”), sobre Av. Montevideo No. 9461 esquina Recife, colonia Lindavista Sur, alcaldía de Gustavo A. Madero. En el primer nivel, se suscitó la explosión, debido a la acumulación de gas Lp proveniente de un cilindro de 10 kg. 6 personas (4 masculinos y 2 femeninas) fueron valoradas por paramédicos en el lugar. Se verificó el inmueble, descartando daños en la panadería. Se realizó la limpieza de la vialidad por presentarse cristales rotos.</t>
  </si>
  <si>
    <t>A las 17:22 horas, se registra accidente múltiple entre 1 autobús de transporte público y 4 vehículos particulares, sobre el km 24 de la autopista México - Pachuca, en dirección a Pachuca, caseta de cobro a 500 m carriles centrales, municipio de Ecatepec de Morelos. Se desconocen las causas. Se reportan 12 lesionados, de los cuales 4 fueron trasladados a un Hospital por una ambulancia concesionada a la caseta.</t>
  </si>
  <si>
    <t xml:space="preserve">A las 19:40 horas se registra incendio en sótano Arenal y Club de Golf, colonia Fraccionamiento Club de Golf, alcaldía Tlalpan. Se quemaron 2 vehículos particulares  y una pequeña bodega que contenía madera y plásticos. Se evacuaron a 20 personas.   </t>
  </si>
  <si>
    <t>A las 05:48 horas se tuvo conocimiento de incendio en una subestación eléctrica en el Centro de Control 1 del STC Metro, ubicado en la calle Delicias, colonia Centro, alcaldía Cuauhtémoc. Derivado del incidente se reporta 01 mujer  fallecida de la Policía Bancaria e Industrial y 30 evacuados, 30 intoxicados por humo. Debido a incendio, las Líneas 1, 2, 3, 4, 5 y 6 se encuentran momentáneamente fuera de servicio. Hay 4 transformadores afectados.</t>
  </si>
  <si>
    <t>Accidente vehicular de unidad de la Policía Municipal que impactó contra un muro de contención, en  Blvd. Adolfo López Mateos e Ignacio Allende, colonia Centro. Se reportaron 5 oficiales, atendidos y trasladados por unidades médicas al Hospital MAC.</t>
  </si>
  <si>
    <t>Omitlán de Juárez</t>
  </si>
  <si>
    <t>Se registró la volcadura, explosión e incendio de pipa de gas Lp, sobre el km 16 de la carretera México – Tampico, a la altura del poblado El Aviadero. Se reportó al chofer fallecido (calcinado). Se evacuaron 60 familias</t>
  </si>
  <si>
    <t>Se registró impacto contra un árbol de un microbús de transporte público de la ruta 88, placas 554-EC-005. El incidente se originó debido a que el conductor perdió el control. Derivado de lo anterior, se reportaron personas lesionadas, que fueron atendidas por unidades de emergencia.</t>
  </si>
  <si>
    <t>Se registró colisión de autobús con número económico 1497, de la ruta 25, contra un árbol en Av. Acueducto de Guadalupe. Derivado del incidente, se tiene un saldo de 8 pasajeros lesionados, ninguno de gravedad, mismos que fueron valorados por paramédicos de la UGIRPC.</t>
  </si>
  <si>
    <t>A las 04:47 horas, se registró choque de tráiler y un camión de trabajadores de Maquilas, número económico 89, perteneciente a la empresa SETES, placas 5-UAZ-45, sobre el km 65, de la carretera México 15, dirección Ciudad Obregón. Se reportaron 30 personas lesionadas que fueron trasladadas al IMSS de Ciudad Obregón y a CRUM de Hermosillo.</t>
  </si>
  <si>
    <t>Xalapa, Emiliano Zapata y Huatusco</t>
  </si>
  <si>
    <t>Derivado de las fuertes lluvias que se están presentando en el estado de Veracruz se registran afectaciones en los siguientes municipios:
- Xalapa: Registra anegaciones sobre vialidades de 12 colonias, se rescató un vehículo
- Emiliano Zapata: Registra 30 viviendas afectadas por anegaciones, 40 cm de tirante. No hay reporte de personas lesionadas.
- Huatusco: Registra la caída de un árbol sobre un poste de TELMEX, en la cabecera municipal. No hay reporte de personas lesionadas.</t>
  </si>
  <si>
    <t>A las 18:22 horas, se registró un conato de incendio de un departamento en el segundo piso No. A -205, Torre A. No hay reporte de daños humanos. De manera preventiva, se realizó la evacuación de personas aledañas a la vivienda.</t>
  </si>
  <si>
    <t>A las 04:10 horas tiempo local, se recibe reporte de daños en 8 casas por el desbordamiento de aguas negras del canal Tulichek,  a la altura  de la estación Barcelona. La causa las compuertas del canal se encontraban cerradas.</t>
  </si>
  <si>
    <t>A las 09:14 horas, se reportó una aparente deflagración por acumulación de gas en casa habitación, al interior de un fraccionamiento ubicado en Calle Travertino 1800, Colonia Los Encinos, Comunidad Jesús María. Derivado del incidente se reportaron 3 lesionados (Masculino de 13 años, Fémina de 27 años y Masculino de 32 años), trasladados al Hospital de Especialidad del Niño y la Mujer en El Marqués, en estado grave, para su atención médica. Como medida preventiva, 200 personas de las viviendas cercanas fueron evacuadas en una zona segura en el lugar. 2 viviendas sufrieron daño estructural por lo que continúan los trabajos de revisión y peritaje por parte de las autoridades correspondientes, para determinar la causa precisa del incidente y evitar que el edificio colapse.</t>
  </si>
  <si>
    <t xml:space="preserve">Evento: Se registró choque de una ambulancia y una unidad de transporte público. Se desconocen las causas que originaron el incidente. Derivado de lo anterior, se reportó 12 personas lesionadas no de gravedad, que fueron trasladadas al IMSS (Hospital de Traumatología y Ortopedia) y al Hospital Rafael Moreno Valle, para su valoración. </t>
  </si>
  <si>
    <t>Se registra explosión en un polvorín de la comunidad de Cochoapa, dejó como saldo 3 lesionados con quemaduras de segundo y tercer grado, los cuales fueron trasladados a un Hospital para su atención. Daños en una bodega de 20 metros cuadrados.</t>
  </si>
  <si>
    <t xml:space="preserve">Municipio de Tecate: 
• Se reportaron cierres carreteros por nevada y cristalización de la cinta asfáltica en la carretera libre Rumorosa – Tecate del km 62 al 92 y en Mexicali - Tecate del km 20 al 62. A las 11:00 horas (tiempo local)  de hoy, Protección Civil Municipal atiende 01 albergue temporal en el poblado La Rumorosa, al momento cuenta con 180 personas.  </t>
  </si>
  <si>
    <t xml:space="preserve">Se registró una fuga encendida en un cilindro, y posterior incendio al interior de una vivienda ubicada en Catania y Hong Kong, Col. Pueblo de San Juan de Aragón  Alcaldía Gustavo A. Madero. Se reportan 4 personas lesionadas las cuales se trasladaron para recibir la atención médica correspondiente. </t>
  </si>
  <si>
    <t>A las 10:27 horas, se registró explosión en polvorín en La Saucera, municipio de Tultepec, con permiso de la Sedena, el cual se produjo en el área de terminado, derivado de lo anterior, se tiene una fémina de 48 años lesionada, con quemaduras de 3° en 90% de la superficie corporal, la cual fue trasladada al Hospital de Alta Especialidad de Zumpango, en el trayecto la persona falleció.</t>
  </si>
  <si>
    <t>A las 10:37 horas, se registró el deslizamiento de tierra en la colonia 3 de Octubre la cual se encuentra asentada en un cañón, en el Municipio de Tijuana, esto es a causa de lluvias que se presentaron el día de ayer en el Municipio, al momento se reportan, 30 familias, un aproximado de 90 personas evacuadas, 35 viviendas afectadas, de las cuales 5 se encuentran parcialmente afectadas, 26 se encuentran inhabitables y 4 se encuentran colapsadas.</t>
  </si>
  <si>
    <t>Al interior de una cisterna que abastece de la Escuela Superior de Economía del IPN, 5 trabajadores que realizaban labores de mantenimiento y pintura al interior de una cisterna, resultaron con síntomas de intoxicación. Paramédicos del E.R.U.M., Cruz Roja y de la UGIRPC, valoraron a los hombres, de los cuales, 4 de ellos, ameritaron traslado al Hospital con diagnóstico de intoxicación por inhalación de solventes.</t>
  </si>
  <si>
    <t>Se reporta la volcadura de una camioneta de redilas en el Tramo carretero Apatzingán-Aguililla, entre las comunidades de Catalina y División del Norte, Municipio de Apatzingán; del cual, resultaron 2 personas fallecidas y 20 personas lesionadas, de las cuales 14 fueron trasladadas al Hospital General de Apatzingán, para su valoración médica.</t>
  </si>
  <si>
    <t>Evento: Se reporta deslizamiento de tierra en la colonia 3 de Octubre, esto es a causa de lluvias que se presentaron el día 29 de enero en el municipio, se reportan 30 familias evacuadas  (90 personas), 41 viviendas afectadas, de las cuales 5 se encuentran parcialmente afectadas, 32 se encuentran inhabitables y 4 se encuentran colapsadas.</t>
  </si>
  <si>
    <t>A las 11:26 horas, se reportó el impacto de un vehículo compacto, contra una camioneta tipo Urvan, de transporte público, en Avenida Francisco I Madero, Colonia Lombardo Cancún, Municipio de Benito Juárez la cual resulto volcada, a causa de esto se reportaron 8 personas lesionadas, de las cuales 7 fueron atendidas en el lugar y 1 fue trasladada a un nosocomio para su valoración médica.</t>
  </si>
  <si>
    <t>A las 09:59 se registró fuga e incendio de pipa de gas LP,  con Razón Social Gas Flamamex S.A. de C.V. esto en Guillermo Prieto No.45, esquina con avenida Congreso de la Unión, colonia Jamaica. Afectando 4 locales del mercado de Jamaica, 3 viviendas, 3 locales comerciales y 2 vehículos. De manera preventiva, se realizó la evacuación de 700 personas. Se tiene reporte de 8 personas lesionadas las cuales fueron atendidas en el lugar por elementos de ERUM y de la SSC.</t>
  </si>
  <si>
    <t>San Pedro  San Pablo Ayutla,Teotongo, Heroica Ciudad de Tlaxiaco, San Martín Itunyoso y Santiago Tilantongo,</t>
  </si>
  <si>
    <t>Helada severa del 02 al 22 de febrero de 2021</t>
  </si>
  <si>
    <t xml:space="preserve">Se registró choque por alcance entre un tráiler y una camioneta de transporte de personal de la empresa “Red ambiental”  provocando la salida del camino de la unidad del transporte de personal, se reportan 5 personas lesionadas las cuales fueron trasladadas a la Clínica 21 del IMSS. </t>
  </si>
  <si>
    <t>A las 12:48 horas, se reportó un incendio en un local comercial de venta de carnes con razón social “Carnicería el Origen” ubicada al interior de la Plaza Comercial. Se reportaron 2 fallecidos, 2 lesionados (intoxicados, con heridas en el brazo), trasladados Servicios Médicos de la Cruz Verde Zapopan Norte; así mismo, 60 personas entre trabajadores y visitantes de la plaza, fueron evacuados a una zona sin riesgo por seguridad.</t>
  </si>
  <si>
    <t>Se registró un incendio en casa habitación; se desconocen las causas que originaron el incidente; derivado del mismo se reportaron 15 personas lesionadas en su mayoría masculinos de los cuales 4 fueron trasladados al Hospital Regional y el resto atendidos en el lugar</t>
  </si>
  <si>
    <t>Se registra choque por alcance entre combi de pasajeros con placas A28058E y una pipa de nitrógeno con EC0 283 de la empresa Praxair, lo que provocó que la combi de pasajeros chocara directamente contra un poste. Reportan  6 lesionados de los cuales 2 van a requerir traslado para valoración.</t>
  </si>
  <si>
    <t>Se reportó incendio de fábrica donde laboran con lodos para pisos y solventes, en Miguel Allende y Av Sabino, colonia Santiaguito. Se tuve un área afectada de 5,000 metros cuadrados aproximadamente. De manera preventiva, se realizó la evacuación del personal de la fábrica (sin cuantificar) y con reporte de 2 personas lesionadas trasladadas a un hospital particular para recibir atención médica.</t>
  </si>
  <si>
    <t>Se reportó el incendio en 2 bodegas de autopartes en Mártires de Chicago esquina con Constituyentes del 57, colonia Pablo A. de la Garza. De manera preventiva, se reportaron 400 personas evacuadas. No se reportaron daños humanos. Debido al incidente, se desplomó el techo de la estructura de aluminio.</t>
  </si>
  <si>
    <t xml:space="preserve">Se reportó al 9-1-1 el desplome de avioneta tipo cessna color blanco con rojo con matrícula XB-LDX, sobre una parcela de cultivo, entre una planta formuladora de agroquímicos y fertilizantes y una planta de etanol, sobre carretera a Navolato, poblado de La Cofradía. Se reportaron 3 fallecidos. </t>
  </si>
  <si>
    <t>A las 01:42  horas se reportó  la volcadura de un autobús de pasajeros, a la altura del municipio de Parácuaro. Derivado del incidente se reportan 07 lesionados, mismos que fueron trasladados al IMSS de Apatzingán.</t>
  </si>
  <si>
    <t>A las 00:00 horas se reportó el  impacto de vehículo contra una patrulla de la Policía Municipal, debido a que el sujeto manejaba en estado de ebriedad. Se reportan 6 lesionados los cuales eran trabajadores del ayuntamiento y se encontraban trabajando. Fueron trasladados al Hospital Sanatorio del Carmen.</t>
  </si>
  <si>
    <t>A las 04:45 horas se registra accidente automovilístico por impacto entre patrulla de la Secretaria de Seguridad de la Ciudad de México y Auto Particular, impactándose en el No. 752  de la Avenida Camino a San Juan de Aragón, se reportan 2 fallecidos y 2 lesionados los cuales fueron trasladados a un Hospital para su atención.</t>
  </si>
  <si>
    <t>A las 20:39 horas Se registró una choque de tren contra vehículo particular  en el municipio de Tepic. Derivado del incidente se reportan 02 personas lesionadas, mismas que fueron trasladadas para su valoración médica.</t>
  </si>
  <si>
    <t>Ascensión, Juárez, Ahumada y Temósachic</t>
  </si>
  <si>
    <t>Desde las 05:30 horas:
• Se registra la caída de nieve desde las 05:30-06:00 horas y al momento en los municipios de Madera, Ascensión, Juárez, Ahumada y Temósachic, caída de aguanieve en la Sierra Tarahumara, al momento sin afectaciones. 
• En el municipio de Juárez, se reporta activo con 22 personas (17 masculinos y 5 femeninas) el albergue en la estación de Bomberos de Juárez para personas en situación de calle; también se reportan cristalizadas ya varias vialidades, lo que causó la muerte de 1 persona por el derrapamiento de su motocicleta.</t>
  </si>
  <si>
    <t>A las 10:30 horas, se reportó el choque entre una combi del transporte público con placas P/120-270-k y Pontiac de color gris con placas P/391-VYH, en el Km 014+500 Ctra. (1910) Naucalpan-Toluca, mismo tramo, dirección Naucalpan, Municipio de Naucalpan. Los pasajeros del vehículo particular iban en estado de ebriedad. Se reportó 1 fallecido y 4 lesionados atendidos por paramédicos.</t>
  </si>
  <si>
    <t>A las 18:45 horas, se registró accidente vehicular entre patrulla MX-467-C1 de la Secretaría de Seguridad Ciudadana del agrupamiento Ocelot contra Chevy con placas 405-WHU, que terminó su trayectoria impactando 3 vehículos más, Mitsubishi con placas NWZ-5668, Creta con placas NRX-9613 y Mercedes Benz con placas 933-YZZ, en Av. Cuauhtémoc esquina Dr. García Diego, colonia Roma. Se reportó 1 fallecido (conductor del Chevy) y 5 lesionados (3 adultos y 2 menores) atendidos por paramédicos de ERUM.</t>
  </si>
  <si>
    <t>Piedras Negras, Acuña, Allende, Sabinas, Monclova y Saltillo</t>
  </si>
  <si>
    <t>Se reporta caída de nieve en los municipios de Piedras Negras, Acuña, Allende, Sabinas, Monclova y Saltillo desde las 19:00 horas/14 de febrero, con un espesor de 12 cm. Se habilitaron albergues con un total de 36 personas.
Se realizó el cierre temporal de las carreteras 57, 2, y la 29, así como la Autopista Premier en el tramo de Allende a San Juan de Sabinas. de manera preventiva se cerraron puentes vehiculares.</t>
  </si>
  <si>
    <t xml:space="preserve">A las 06:19 horas, se presentó  una volcadura de un camión de transporte de personal y una camioneta, sobre la carretera Zamora - Carapan, a la altura de Lomas de Noroto. Derivado del incidente se reportan 27 lesionados y 1 fallecido. </t>
  </si>
  <si>
    <t>A las 22:18 horas/ 18 de febrero se registra volcadura de autobús de pasajeros en  la Autopista Puebla-Córdoba a la altura del kilómetro 243 en el trébol de Maltrata, municipio de Maltrata. Se reportan 2 fallecidos y 6 lesionados los cuales fueron trasladados a un  Hospital para su atención.</t>
  </si>
  <si>
    <t>A las 06:28 horas, se registró incendio de 3 viviendas, construidas de madera y lámina galvanizada sobre calle principal, colonia Nueva Alborada, Las viviendas al igual que 1 vehículo, fueron pérdida total. Se realizó la evacuación de 22 personas (20 adultos y 2 bebés). No se reportaron fallecidos y/o lesionados</t>
  </si>
  <si>
    <t>Se registró incendio de 2 habitaciones en departamento, en Peña y Peña esquina Eje 1 norte, colonia Centro. Se desconocen las causas. De manera preventiva, se realizó la evacuación de 15 personas del inmueble. Se atendieron a 5 personas por presentar cuadro de crisis nerviosa e inhalación de humo, por parte de paramédicos de ERUM.</t>
  </si>
  <si>
    <t>Nava</t>
  </si>
  <si>
    <t xml:space="preserve">A las 02:00 horas, se registró el descarrilamiento de 11 furgones que transportaban maíz propiedad de Ferromex Grupo México, sobre el Km de vía 029+396, a un costado de la Carboeléctrica José López Portillo. Se desconocen las causas. No se reportaron fallecidos y/o lesionados. </t>
  </si>
  <si>
    <t>Se registró el derrame de aproximadamente 800 litros de peróxido de hidrogeno (ONU 2015 – Guía 143) al interior de la Empresa PMPS Químicos S.  R. L de C.V., Av. Nopaltepec, Número 24, Col. Bella Vista. Hizo reacción en el lugar donde lo tenían almacenado, se realizó la evacuación de aproximadamente 10 viviendas (30 personas) de la parte trasera del inmueble. No se reportaron personas lesionadas y/o fallecidas.</t>
  </si>
  <si>
    <t>Incendio en un almacén de suministros de limpieza, ubicado en la planta alta del nosocomio, al interior de las instalaciones del Hospital Regional del Valle del Mezquital, en carretera Pachuca – Ixmiquilpan km 64 sin número, localidad de Taxadhó, municipio de Ixmiquilpan en el segundo piso del área COVID-19. Se evacuaron 28 pacientes y personal médico. Sin reporte de personas fallecidas y/o lesionadas. Se trasladaron 5 pacientes a clínicas de la región para continuar con su atención médica.</t>
  </si>
  <si>
    <t xml:space="preserve">00:30 horas/ 20 de mayo  accidente carretero entre un tráiler y camión turístico de pasajeros que se dirigía de Reynosa, Tamaulipas a Mazatlán, Sinaloa. Se reportan 2 fallecidos y 15 lesionados, quienes fueron trasladados a hospitales del municipio de Ramos Arizpe para su atención médica. </t>
  </si>
  <si>
    <t>Se reporta el desplome de una aeronave en el  Aeropuerto el Encero en las inmediaciones del municipio de Emiliano Zapata. Se trata de una aeronave de la Fuerza Aérea Mexicana, que no logró despegar, debido a una falla mecánica. Se reportan 06 fallecidos.</t>
  </si>
  <si>
    <t>Se reportó flamazo e incendio en un cilindro de gas LP al interior de una vivienda, en calle Alemanes, colonia Paraíso. Derivado del incidente se reportan se reportan 225 personas evacuadas y 4 personas lesionadas, las cuales no ameritaron traslado.</t>
  </si>
  <si>
    <t>A las 13:43 horas se registra explosión en una fábrica de muebles ubicada en Colonia Alcalde Barranquitas, en los  cruces de Pino Suarez y Arista, municipio de Guadalajara, el incidente se originó por sobrecalentamiento en una caldera, de manera preventiva se evacuaron a 30 personas. Se reporta 1 lesionado.</t>
  </si>
  <si>
    <t>A las 16:26 horas se registró explosión de pirotecnia en un cuarto de 30 metros cuadrados de una vivienda de aproximadamente 120 metros cuadrados. En Calle Buenavista, esquina Itzcóatl, colonia La Morita. Derivado del incidente se reportó 2 lesionados que no ameritaron traslado.</t>
  </si>
  <si>
    <t xml:space="preserve">A las 16:39 horas se registró la volcadura de un camión de la SEDENA en el municipio de Uruapan. Se reportan 13 elementos lesionados, 7 fueron trasladados al Hospital Regional de Pátzcuaro y posteriormente al Hospital Star Médica de Morelia. En el vehículo viajaban 20 efectivos militares pertenecientes al 65 Batallón de Infantería de la 43 Zona Militar; el camión de marca Mercedes-Benz, con matrícula 0865283, quedó volcado a un costado de la carpeta asfáltica. </t>
  </si>
  <si>
    <t>A A las 19:30 horas se registró accidente vehicular de unidad de la Guardia Nacional, en el Km 00+00 del Boulevard Puerto Aéreo Aquiles Serdán, municipio de Puebla. Derivado del incidente se reportan 07 lesionados, de los cuales, 06 fueron trasladados al Hospital Militar Regional en Puebla.</t>
  </si>
  <si>
    <t>Se registró impacto de una unidad de transporte público de la empresa "Paulino Navarro", contra un vehículo particular. En Carretera 16, a la altura del puente Cahuacán. Se desconocen las causas que originaron el incidente. Derivado de lo anterior, se reportaron 15 lesionados que fueron trasladados a diferentes hospitales para su valoración.</t>
  </si>
  <si>
    <t>A las 07:00 horas, se reportó la volcadura y salida de camino de un autobús que transportaba a 40 trabajadoras de la caña originarios de Jalapa, en el Paraje las delicias, carretera 145 Tierra Blanca-Sayula de Alemán; se reportaron 40 personas lesionadas, 24 fueron trasladadas a un nosocomio para su valoración médica, las 16 personas restantes fueron atendidas en el lugar.</t>
  </si>
  <si>
    <t xml:space="preserve">Se registró la salida de carpeta asfáltica y posterior impacto de autobús de pasajeros de la línea Select con ruta de Tijuana - Chiapas a 10 km de llegar a Caborca, sobre la  carretera 2 km 126 tramo Sonoyta - Caborca. Se desconocen las causas. Se reportó 1 fallecido y 15 personas lesionadas, trasladadas a diferentes hospitales de la región por ambulancias de la Cruz Roja. </t>
  </si>
  <si>
    <t>Se  reporta incendio  en casa habitación en  Calle Apio No. 354 esquina Tomate Colonia Mandarina, se reportan 2 menores fallecidas y 3 lesionados los cuales fueron trasladados a la clínica del IMSS No. 21 en León.</t>
  </si>
  <si>
    <t>A las 21:00 horas Se presentó  aterrizaje de emergencia, esto en las inmediaciones del municipio de Pánuco. Derivado de incidente se reportó 01 persona lesionada (piloto), el cual fue trasladado a un Hospital para su valoración.</t>
  </si>
  <si>
    <t xml:space="preserve">Se registra incendio en vivienda ubicada en calle Pensador Mexicano, colonia Guerrero, se realizó la *evacuación de 30 vecinos, no se reportaron lesionados. Se quemaron en su totalidad dos recamaras en un área total de 15m2. </t>
  </si>
  <si>
    <t>Se registró el incendio de una casa de 3 niveles, en la que el primer nivel se operaba como carpintería, Calle Agua Fría cruce con Rivera Casanova, colonia Agua Fría. Se desconocen las causas. Por la propagación del fuego los niveles superiores colapsaron. Se atendieron a 5 personas por quemaduras y se trasladaron a la Cruz Verde Federalismo.</t>
  </si>
  <si>
    <t>Zongolica</t>
  </si>
  <si>
    <t xml:space="preserve">Se presentó la volcadura de una camioneta pickup, con número de placas 1-XEY-427, utilizado como taxi rural, en la localidad de Loma Zomajapa, ubicada en el municipio de Zongolica. Derivado de lo anterior, se reportan 15 personas lesionadas, entre ellas 2 mujeres y menor de un mes de nacido, todos ellos fueron trasladados al hospital Rural de Zongolica. </t>
  </si>
  <si>
    <t xml:space="preserve">Se reporta el impacto de un microbús contra una vivienda, a causa del accidente se reportan 3 personas fallecidas y 16 lesionadas, de las cuales 11 fueron trasladadas a diferentes nosocomios, para su valoración médica  y 5 atendidas en el lugar. </t>
  </si>
  <si>
    <t>Se reporta el impacto frontal entre una unidad de transporte público tipo Urvan y un vehículo compacto, a causa de esto se reportan 7 personas lesionadas, las cuales fueron trasladadas al Hospital General y a la Clínica del IMSS de Tlaxcala para su valoración médica.</t>
  </si>
  <si>
    <t xml:space="preserve">A las 10:09  horas se reportó la UMPC Paraíso la caída de un helicóptero de la empresa Pegaso en la Terminal Marítima de Dos Bocas, no hay bajas solo dos heridos y daños materiales. </t>
  </si>
  <si>
    <t>A las 05:05 horas se presentó accidente e incendio entre autobús urbano del transporte público de la Ruta 685 y autotanque que transportaba diésel (se estiman 40,000 L). Se reportan 11 fallecidos (el conductor del autotanque y 10 pasajeros del autobús) y 7 personas lesionadas trasladadas a hospitales por ambulancias particulares. Se reporta la quema total del autotanque.</t>
  </si>
  <si>
    <t>A las 06:02 horas, se reportó la volcadura de un camión de transporte de personal en Boulevard 200, Colonia Bodegas la Encantada, Municipio de Tecate, se reportaron 24 personas lesionadas trasladadas a diferentes nosocomios para su valoración médica.</t>
  </si>
  <si>
    <t>Se presentó la volcadura de autobús de pasajeros razón social iDC (independientes) marca International de color blanco con placas 491HX4, enfrente del Destacamento de la Guardia Nacional y a la altura del Hotel INN, sobre la Autopista México - Puebla km 119+700 dirección Puebla. Se reportaron 23 personas lesionadas, 2 de ellas ameritaron traslado por SUMA al Hospital de Cruz Roja y al Hospital de Traumatología y Ortopedia del IMSS, las otras 21 personas fueron atendidas en el sitio</t>
  </si>
  <si>
    <t>Tomatlán</t>
  </si>
  <si>
    <t>A las 10:00 horas, se reportó la salida del camino de camión de pasajeros, de la empresa Terra Nova, a causa de esto se reportaron 11 personas lesionadas, las cuales fueron trasladadas al Hospital del IMSS de Coscomatepec, para su valoración médica.</t>
  </si>
  <si>
    <t>Volcadura de una unidad tipo Cheyenne de la Guardia Nacional con número económico 323351GN. En Boulevard Solidaridad y calle Benito Juárez, colonia Rancho Grande, municipio de Irapuato.  La volcadura es consecuente de un choque entre la Unidad Policíaca y un automóvil particular tipo sedán. Resultan lesionados 7 elementos de la Guardia Nacional  de los cuales 6 son trasladados al Hospital Regional Militar de Irapuato y uno más es atendido en el sitio.</t>
  </si>
  <si>
    <t>Volcadura de un autobús con razón social “IDC” a la altura del km 119 de la carretera México-Puebla en el municipio de San Martín Texmelucan, resultando 23 lesionados de los cuales 2 requirieron traslado a un hospital del municipio de San Martín Texmelucan.</t>
  </si>
  <si>
    <t xml:space="preserve">Choque entre un autobús con razón social “ORIENTE” y una camioneta particular en Carretera Mérida-Valladolid. Kilómetro 98 del tramo Libre Unión-Yodkzonot, municipio de Valladolid. Se reportan 15 lesionados atendidos en lugar. </t>
  </si>
  <si>
    <t>A las 08:30 horas Se registró el desplome de una avioneta tipo Cessna, con número de matrícula XB-MQA, la cual sólo trasladaba al piloto de la nave. El incidente se presentó en el kilómetro 101+700 de la Maxipista, tramo Culiacán-Mazatlán, en el municipio de Elota.No se tiene reporte de lesionados y/o fallecidos. La causa del incidente, se debió a fallas en el motor de la aeronave.</t>
  </si>
  <si>
    <t xml:space="preserve">Se recibió notificación de accidente carretero en donde se vieron involucrados un autobús de pasajeros con razón social Tour Social y una camioneta de carga. Se reporta 1 fallecido, así como 15 pasajeros lesionados, quienes fueron trasladados para su atención médica. </t>
  </si>
  <si>
    <t>Tecpatán </t>
  </si>
  <si>
    <t>Lluvia severa el 18 de marzo de 2021</t>
  </si>
  <si>
    <t xml:space="preserve">FONDEN: insumos </t>
  </si>
  <si>
    <t>Magnitud 5.7 a 59 km al sureste de San Marcos Guerrero, Latitud 16.45 Longitud -98.97 , Profundidad 19 km Guerrero: percibido por la población de moderado a fuerte en Costa Chica, Acapulco, Centro y Montaña. Sin reporte de afectaciones.
Oaxaca: percibido de moderado a fuerte en Pinotepa Nacional, Huayápam, Costa, Valles Centrales y Mixteca. Sin reporte de afectaciones.
Morelos: percibido de forma moderada. Sin reporte de afectaciones.
CDMX, Estado de México, Puebla, Veracruz y Michoacán: percibido de forma ligera por la población. Sin reporte de afectaciones.</t>
  </si>
  <si>
    <t>Se reportó la volcadura de un autobús de pasajeros de la  línea Chihuahuenses, en la carretera Chihuahua-Ciudad Juárez. Se reportan 7 personas lesionadas (3 masculinos, 3 femeninas y 1 menor), los cuales fueron trasladados a la clínica 66 del IMSS y al Hospital General Regional del IMSS, todos en código amarillo.</t>
  </si>
  <si>
    <t>San Andrés Ahuahuastepec</t>
  </si>
  <si>
    <t>Se reportó incendio en bodega donde se almacenaba madera ubicada en Calle Adrián Vázquez Sánchez, Colonia San José,   Municipio de San Andrés Ahuahuastepec. No se reportan lesionados, se evacuaron a 12 personas.</t>
  </si>
  <si>
    <t>A las 12:11 horas se reportó la caída de una avioneta tipo Cessna con número económico 401 y matrícula XBHSW. Se reportan 4 personas fallecidas en el lugar y 2 en el hospital, la persona lesionada se encuentra en el Hospital de Hermosillo.</t>
  </si>
  <si>
    <t>A las 11:56 horas, se reportó el choque entre 1 vehículo marca Nissan Tsuru (taxi de la línea Monarcas) y 1 unidad de la Guardia Nacional Chevrolet Cheyenne con número 327312 (color camuflado). Se reportaron 5 lesionados.</t>
  </si>
  <si>
    <t>Se reportó la volcadura de una camioneta de transporte público y un automóvil compacto impactándose en la parte trasera del colectivo ocasionando que volcara sobre su costado izquierdo, a causa de esto se reportan  10 personas lesionadas , laboraron cuerpos de emergencia para la valoración y traslado al Hospital de la Cruz Roja.</t>
  </si>
  <si>
    <t>Huitziltepec</t>
  </si>
  <si>
    <t xml:space="preserve">Se reportó explosión de una camioneta que transportaba pirotecnia. En Cabecera municipal Santa Clara Huitziltepec municipio Huitziltepec. Se reportan 2 lesionados que fueron trasladados a una clínica particular del municipio de Molcaxac. </t>
  </si>
  <si>
    <t>A las 06:30 horas, se presentó la volcadura de autobús de pasajeros con número Eco 6363 de la empresa OMEX VIP, en km 009+200 de la carretera Toluca - Palmillas tramo Libramiento Acambay. Se reportaron 7 fallecidos, 5 lesionados trasladados al hospital y 31 personas valoradas en el lugar por presentar crisis nerviosa.</t>
  </si>
  <si>
    <t>Se registró fuga de amoniaco al interior de la empresa Agua Cryspura, en la comunidad Santa Elena, sobre la carretera federal libre Irapuato-Abasolo km 8, debido a la ruptura de soldadura en un tanque. Se reportaron 3 lesionados por intoxicación (inhalación), uno de ellos fue trasladado a un hospital cercano y los otros dos se trasladaron por sus medios, se evacuaron  a 111 personas de la empresa</t>
  </si>
  <si>
    <t>A las 18:15 horas se registró incendio en el edificio INTRA, localizado en la Av. Independencia, colonia Centro, municipio de Veracruz. Se realizó la evacuación de 250 personas de 20 locales comerciales cercanos al edificio y de la Catedral de Veracruz.  Se acordona 3 cuadras a la redonda. Se reportan 11 lesionados (1 mujer rescatada, 7 bomberos y 3 civiles por sofocamiento), de los cuales solamente 1 persona fue trasladada a Hospital.  Reportan que el edificio presenta daños estructurales considerables.</t>
  </si>
  <si>
    <t>A las 21:09 horas Evento: Se registró la explosión de una bomba de pirotecnia (la cual no alcanzo a subir) resultando 10 personas lesionadas las cuales fueron trasladas a la clínica del municipio de Temixco, ninguna requirió hospitalización.</t>
  </si>
  <si>
    <t>Se registró el desplome de una avioneta en la Laguna Nichupté, enfrente de la zona hotelera de Cancún, km 13 frente al restaurante Green Bay Marina y Plaza Kukulcan. Se reportaron 2 personas fallecidas y 2 lesionadas las cuales fueron trasladadas a un hospital cercano.</t>
  </si>
  <si>
    <t>Se registró la caída de una avioneta particular con matrícula XB-AUQ en las inmediaciones de un campo de sembradío de nuez. En calle 1000 entre calle 1 y tierras de siembra. municipio Cajeme. No se reportan personas lesionadas.</t>
  </si>
  <si>
    <t>Se registra un accidente tipo choque frontal ente una camioneta particular Chevrolet color plata y un autobús de pasajeros con número económico 326 en carretera México 15, a la altura del kilómetro 209, entre los municipios de Rosario y Escuinapa. Se reporta 1 fallecido y 6 lesionados los cuales se trasladaron a un hospital para su atención.</t>
  </si>
  <si>
    <t>Se registró un choque entre autobús de pasajeros y camión de tres toneladas, volcándose posteriormente el camión de tres toneladas, sobre la carretera a Chapala en el crucero a El Zapote Del Valle. Derivado de lo anterior se reportan 18 personas lesionadas atendidas en el lugar, de los cuales 4 ameritaron ser trasladados para continuar con su atención.</t>
  </si>
  <si>
    <t>A las 07:55 horas, se reportó un incendio en casa habitación de dos niveles, en Calle 2 de Abril al cruce con Cisne, colonia Morelos, este comenzó en la cocina, extendiéndose a 2 recámaras. Se reportaron 3 lesionados, de los cuales, 1 por quemaduras de 2 grado en el brazo, trasladado al Centro Médico, 1 por intoxicación, trasladado a la clínica 45 del IMSS y 1 por intoxicación, trasladado a la Cruz Roja. A las 08:49 horas, el incendio quedó sofocado y liquidado.</t>
  </si>
  <si>
    <t>A las 16:40 horas, se reportó el impacto de un autobús de la empresa TRV y una camioneta particular, en el puente antes de llegar a la caseta de cobro de la Antigua, carretera Veracruz-Jalapa. Se reportan 11 personas lesionadas, de las cuales 10 fueron trasladadas al Hospital regional de Cardel y 1 fue atendida en el lugar.</t>
  </si>
  <si>
    <t>San Roberto</t>
  </si>
  <si>
    <t>A las 06:20 horas, se reportó la volcadura de un autobús de transporte público,  en carretera Matehuala – Saltillo, kilómetro 132 + 150. Se reportan 15 lesionados, que fueron trasladados a un hospital para su valoración; durante el trayecto 1 de los lesionados falleció.</t>
  </si>
  <si>
    <t>Rosamorada</t>
  </si>
  <si>
    <t>A las 07:56 horas  Se registró la volcadura de un autobús de pasajeros (jornaleros de diversas nacionalidades) que viajaba de Chiapas a Tijuana. Esto sobre la autopista Tepic-Mazatlán a la altura del poblado de Rosamorada. Se reportan 4 fallecidos (tres adultos y un menor de 7 años, de los cuales se desconoce la nacionalidad)  y 12  lesionadas (7 Haitianos y 5 Méxicanos).</t>
  </si>
  <si>
    <t>Se registró el deslave de cerro en calle Piñitas, colonia Lomas de la Presa, municipio de Tijuana, afectando a 27 viviendas. Se evacuaron las viviendas, (sin contar con el número de personas que las habitan). Se reportan 3 viviendas con daño estructural y 10 viviendas están en la calle Encantada Norte y 17 en la calle Piñitas se encuentran en zona de alto riesgo.</t>
  </si>
  <si>
    <t>Durante la madrugada se registró accidente entre un camión que transportaba trabajadores de la mina y un vehículo tipo Van, a la altura del kilómetro 156 de la Carretera Internacional, tramo Caborca-Sonoyta, en el entronque a la entrada a la Mina Noche Buena, municipio de Caborca. Se reportan 16 personas fallecidas y 14 lesionados.</t>
  </si>
  <si>
    <t>A las 17:50 horas, del día de hoy se presentó un tornado, en la colonia Lomas del Pedregal, municipio de Apan, situación que ocasionó daños en los techos de lámina de 4 viviendas, 6 bardas afectadas, 2 vehículos y varios cortes de energía eléctrica.</t>
  </si>
  <si>
    <t>A las 16:40 se presentó incendio en la casa de bombas de transferencias, incendiándose el rack de tuberías a nivel de piso, así como incendio y explosión del tanque de gasolina amarga TV-310, el cual contenía alrededor de 23 mil barriles (bbl) de gasolina primaria. Se reportan 07 lesionados con heridas leves (01 trabajador por quemaduras y 01 por intoxicación; y 05 bomberos que participaban en controlar el incidente).</t>
  </si>
  <si>
    <t>Se registró choque entre una camioneta Ford particular y una patrulla de la Policía Municipal con número económico 006, sobre la carretera federal México - Tuxpan en el Paraje La Herradura, municipio de Xicotepec. Se reportaron 7 lesionados, 3 de ellos (policías) trasladados al Hospital rural Ávila Camacho.</t>
  </si>
  <si>
    <t>A las 19:00 horas se registró una explosión dentro de un inmueble de planta baja y dos niveles, donde se ubica un establecimiento de venta de oxigeno medicinal e industrial con razón social INFRA, mismo que se ubica en avenida Hidalgo, colonia Jacarandas. Después de la explosión se presentó el incendio de varios cilindros de oxígeno. Se reporta 01 fallecido y la evacuación de 150 vecinos del lugar.</t>
  </si>
  <si>
    <t>A las 11:00 horas  se presentó una explosión al interior de un domicilio, ocasionada por acumulación de gas, esto al interior del Fraccionamiento San Armando en Torreón. Se reportó 01 persona lesionada con quemaduras de 1er y 2do grado, se presentó daño estructural en el inmueble; otras viviendas aledañas también resultaron afectadas en sus cristales</t>
  </si>
  <si>
    <t xml:space="preserve">A las 18:11  Se registró la carambola de 10 vehículos (entre ellos 01 pipa de gas Lp, que transporta 45,000 litros de producto, 01 tractocamión, 05 vehículos particulares, 01 de transporte público y 02 motocicletas) El incidente se originó en el kilómetro 96, de la carretera México-Acapulco, dirección norte-sur, colonia El Polvorín, en el municipio de Cuernavaca. Se reporta 1 fallecido y 7 lesionados, mismos que fueron trasladados al IMSS. No se reporta fuga de la pipa. </t>
  </si>
  <si>
    <t>17:20 horas-09/04/2021. Se presentó el deslizamiento de talud de un cerro en Del Refugio y 2a Cerrada de Capulines, colonia San Bartolo Ameyalco, alcaldía de Álvaro Obregón, cuando se realizaba una excavación tipo zanja de 1.70 m de profundidad y 2.50 m de ancho, para la construcción de un muro de contención. El deslizamiento de material sepultó a 3 hombres que laboraban en el sitio.</t>
  </si>
  <si>
    <t>A las 10:58 horas, se reportó incendio en los baños de vapor "La Saturadora" en Av. Juárez No. 33, Colonia Centro como resultado del incendio de un contenedor de diésel. Se reportan 2 personas intoxicadas, las cuales fueron atendidas en el lugar.</t>
  </si>
  <si>
    <t>A las 11:48 horas,  Se reportó  incendio de vivienda ubicada en calle Jaime Austury, colonia Fraccionamiento Palominu Dena resultando 2 personas fallecidas y 3 lesionadas, las cuales fueron trasladadas a un nosocomio para su valoración médica.</t>
  </si>
  <si>
    <t>De las 19:00 a 22:00 horas, se presentó lluvia moderada con granizo en los municipios de Toluca y Metepec, se tuvieron encharcamientos en vialidades y avenidas, así como afectaciones en techumbres:
Municipio de Toluca: 
•         1 colapso de techo por granizada de un taller mecánico con razón social "Automotriz Marluc” de 49 m² aproximadamente.
•         2 casas afectadas en su techo de láminas en el dormitorio de aproximadamente 15 m², entre ambas casas 20 personas afectadas.
•         1 casa afectada en su techo de tejas del segundo piso en dormitorio, con una dimensión de 18 m², en donde habitan 4 personas.
•         2 casas afectadas por filtraciones en su techo de concreto y caída de láminas en su área de patio y garaje con dimensiones de 20 m² aproximadamente donde habitan 12 personas.
•         1 auto lavado junto al 7-Eleven, ubicado en Paseo Tollocan esquina Av. Tecnológico, donde resultó 1 femenina de aproximadamente 60 años con una contusión frontal atendida en el lugar.</t>
  </si>
  <si>
    <t>Se reportó el choque de un tracto camión contra 1 unidad de transporte publico (urban), 1 camioneta particular y 1 vehículo particular. Se reportan 8 personas lesionadas, mismas que fueron trasladadas a diferentes Hospitales del municipio. Las causas probables , se debieron a que el tracto camión se cruzó el semáforo.</t>
  </si>
  <si>
    <t>Se presentó aterrizaje de emergencia de una aeronave ligera Halcón 1, con matrícula XB-PMZ, esto se dio en un campo a 200 metros de la comunidad de Galeras, municipio de Colón (cerca del Aeropuerto Internacional de Querétaro). Se reportan 02 lesionados, de los cuales únicamente 1 fue trasladado al Hospital General de Querétaro, en código amarillo.</t>
  </si>
  <si>
    <t>Se reporta incendio en vivienda provocado por la explosión de un tanque de gas L.P. Se trata de un inmueble de 10 x 10 metros. En calle Vicente Guerrero, esquina con Miguel Hidalgo, de la colonia Covadonga, municipio de Chalco. Se reportan 3 adultos fallecidos y 4 lesionados (ente ellos 3 menores de edad) trasladados al Hospital General de Chalco y el Hospital de Especialidades de Ixtapaluca.</t>
  </si>
  <si>
    <t>Se reporta colapso de una loza y estructura, de una obra en construcción, ubicada en la entrada del andén de descarga, al interior de la Tienda Comercial denominada ALL Súper en Av. 5 de mayo Esquina José Reyes, Col. Centro. Se reportaron 8 lesionaos (2 en código rojo y 6 en amarillo), todos trasladados a la Clínica del IMSS en Calera para su atención médica.</t>
  </si>
  <si>
    <t>Se registra impacto de Tren con número económico 2077, contra un tráiler cargado con 20 toneladas de plástico con placas 050-A-N4 a la altura de las Américas. Se reportaron 2 transeúntes fallecidos (1 menor de edad y 1 masculino adulto).</t>
  </si>
  <si>
    <t>Se reportó el impacto entre una camioneta tipo VAN de transporte público y un taxi. En Crucero de la chacona, San Fernando Municipio: Tuxtla Gutiérrez. Resultaron 1 persona fallecida y 12 lesionadas, las cuales fueron trasladadas al Hospital Gómez Maza e IMSS no.5 de Mayo para su valoración médica.</t>
  </si>
  <si>
    <t>Reportan volcadura de unidad de Seguridad Publica en el tramo carretero Laguna Seca y Copitero, en el municipio de Villa Madero; reportan 3 elementos lesionados trasladados al IMSS del municipio de Charo.</t>
  </si>
  <si>
    <t>Se reporta un flamazo, cuando realizaban trabajos de mantenimiento en una línea dispensadora de gasolina, dentro de una estación de servicio, ubicada en avenida López Mateos, Colonia Miguel de la Madrid. Derivado de lo anterior, se reporta 1 trabajador con quemaduras, por lo cual fue trasladado a un hospital cercano.</t>
  </si>
  <si>
    <t>Cerca de las 17:00 horas, se registró la volcadura de un camión de pasajeros, en 20 sur y 7 oriente, colonia Azcarate. Al momento se reportan 5 personas lesionadas.</t>
  </si>
  <si>
    <t>A las 15:25 horas reportan choque de frente entre un tráiler y un autobús de pasajeros sobre carretera libre Mazatlán - Culiacán km 17, municipio de Mazatlán. Se reportan 13 personas lesionadas trasladadas a diferentes hospitales cercanos sin reporte de fallecidos</t>
  </si>
  <si>
    <t>A las 17:13 horas, se registró la volcadura de un camión de pasajeros, en 20 sur y 7 oriente, colonia Azcarate. Se reportan 11 personas lesionadas que fueron trasladadas al hospital de Traumatología y Ortopedia del Seguro Social, así como al hospital Betania.</t>
  </si>
  <si>
    <t>A las 13:26 horas Evento: Se presentó caída de helicóptero y posterior incendio sobre el km 19 de la carretera Laredo, municipio de Apodaca. Se reporta 01 persona fallecida. La aeronave AgustaWestland AW119 Koala, con matrícula N119 AA, cayó sobre una línea eléctrica de carga de la CFE, cual afectó a 684 usuarios.</t>
  </si>
  <si>
    <t>A las 21:41 horas, se registró volcadura de autobús de pasajeros, sobre la carretera Sahuayo - Cojumatlán km 17, por la bajada del Rayo Sahuayo y a orilla del Lago de Chapala, municipio de Sahuayo, Michoacán, límites con Jalisco. En el autobús viajaban 36 personas. Se reportaron 5 fallecidos y 31 lesionados de diferentes prioridades.</t>
  </si>
  <si>
    <t>Accidente múltiple, donde interviene unidad de transporte público tipo Urvan, camión de la empresa Sanirent y 1 tráiler doble plancha.  Se reporta 1 fallecido y 16 lesionados. de los cuales 3 fueron trasladados a un Hospital para su atención.</t>
  </si>
  <si>
    <t>Medelllín de Bravo</t>
  </si>
  <si>
    <t>A las 05:30 horas, se registró choque entre autobús y camioneta pick up Chevrolet Silverado, sobre la carretera Paso del Toro - La Laguna km 4+400, municipio de Medellín de Bravo. Se  reportan, 2 fallecidos y 6 personas lesionados, quienes fueron trasladados al Hospital General de  Boca del Río, IMSS y Cruz Roja.</t>
  </si>
  <si>
    <t>Ciudad Acuña y Zaragoza</t>
  </si>
  <si>
    <t xml:space="preserve">Se registró cerca de las 16:30 horas, caída de granizo en el ejido Balcones, en el municipio de Acuña, donde el hielo alcanzó los 5 centímetros de diámetro. Se tiene reporte de 10 personas lesionadas atendidas que no requirieron traslado. Se registran daños en los vidrios de varios vehículos, caída de postes y cables de energía eléctrica. En la tienda departamental “El Sol”, se tienen afectaciones en su plafón.
</t>
  </si>
  <si>
    <t>A partir de las 16:30 horas se presentó granizo y viento fuerte en el municipio de Ciudad Acuña, derivado de lo anterior se reporta: Caída de granizo de 5 cm de diámetro, lluvias y vientos fuertes.
• 10 lesionados (ninguno de gravedad) 
• Afectaciones en vidrios de vehículos y viviendas (se sigue contabilizando) 
• Caída de postes y cables de energía eléctrica. 
• Tuberías de gas rotas (ya controladas)
• 1 tienda departamental  afectada por caída de plafón.
• 1 tienda departamental  afectada por fuga de gas y caída de plafones con 41 evacuados</t>
  </si>
  <si>
    <t>Azcapotzalco, Benito Juárez, Coyoacán, Cuauhtémoc, Gustavo A Madero, Miguel Hidalgo, Iztacalco, Iztapalapa y Venustiano Carranza</t>
  </si>
  <si>
    <t>Desde las 18:30 se presentó lluvia de ligera a fuerte acompañada de granizo, lo anterior provocó:
Templo Mayor:  A consecuencia de la acumulación de granizo en una estructura metálica instalada sobre la ruinas del Templo Mayor. Al momento no se reportan lesionados.
En un inmueble ubicado en Calz. de la Viga, Paulino Navarro, se colapsó parcialmente una techumbre de lámina galvanizada y estructura metálica por la carga de granizo. No hubo lesionados.
Alcaldía Benito Juárez. Por acumulación de granizo Colapso de la techumbre del Mercado Moderna, no se reportan lesionados.</t>
  </si>
  <si>
    <t>Ciénega de Flores</t>
  </si>
  <si>
    <t>Momentos después de las 09:55 se reporó  el desplome de avioneta tipo Piper en el km 24 de la carretera Ciénega de Flores a Laredo. La aeronave con matrícula N15349 se dirigía a Laredo, Texas. Impactó 2 tractocamiones al interior de la empresa de transportes Mon-Ro (en las inmediaciones del Aeropuerto del Norte). Derivado del incidente se tiene conocimiento de 06 personas fallecidas (3 femeninas y 3 masculinos), así como 1 persona lesionada trabajador de la empresa y se encontraba al interior del tractocamión, se evacuaron 150 trabajadores de la empresa.</t>
  </si>
  <si>
    <t>15:00 horas/ 30 de abril Incendio de un auto-tanque (vagón de tren) que transportaba 115,000 litros de gasolina, de la empresa Kansas City, sobre las vías entre los ejidos Palma Gorda y La Angostura, en el municipio de Saltillo. No se tiene reporte de daños humanos, fue necesario evacuar a 33 personas de 11 viviendas que se encontraban cerca del lugar del incidente.</t>
  </si>
  <si>
    <t>Teocelo, Acajete, Xalapa</t>
  </si>
  <si>
    <t>Tarde/ 30 de abril 
Teocelo Se reporta una 1 vivienda destechada en la comunidad Texín, con 1 persona con lesiones menores atendida en el punto.
Xalapa Reporta anegamientos en 9 avenidas
• Así como en 7 colonias (Estibadores, Magisterial, Rafael Hernández Ochoa, Obrero Campesina, Rafael Lucio, Veracruz y Revoución)
•  12 viviendas afectadas por anegamiento</t>
  </si>
  <si>
    <t>A las 22:15 horas se reporta desplome de estructura del metro Olivos de la Línea 12 Dorada en los límites de las Alcaldías Tláhuac e Iztapalapa, cayendo vagones del Sistema Colectivo Metro, entre la estación Tezonco y Olivos, sobre Av. Tláhuac. Se desconocen las causas.
DAÑOS HUMANOS:
Se reportan 24 fallecidos (21 en el lugar y 3 en hospitales) y 79 personas lesionadas trasladadas
• 3 grúas, 2 vagones
•490 autobuses RTP apoyarán al servicio alterno de los usuarios en la Línea 12.
•Se utilizaron dos grúas, una de 500 toneladas y una más de 700 toneladas, proporcionadas por la Empresa Cargo.
FUERZA DE TAREA:
•SEDENA 28 vehículos
•Guardia Nacional: 28 vehículos
•Cruz Roja CDMX: 46 ambulancias
•Cruz Roja Estado de México: 20 ambulancias
•ERUM: 21 unidades médicas
•SSC CDMX: 21 unidades de transporte 
•CFE: 4 torres de iluminación                                             
•SEMAR: 4 vehículos terrestres
•PC-Alcaldía Xochimilco:
-3 vehículos  de rescate urbano
•PC- Alcaldía Iztapalapa:
-11 Ambulancias
•PC- Alcaldía Tláhuac:
-2 Unidades Médicas
-3 Grúas
•PC-Naucalpan, Estado de México:
-2 Vehículos de rescate 
-1 Ambulancia 
•PC- Ecatepec, Estado de México:
-2 Unidad de Rescate 
-1 Unidad médica</t>
  </si>
  <si>
    <t>A las 13:40 horas, 04/05/2021 horas, se reportó la explosión de una vivienda donde almacenaban pólvora ubicada en Calle Emiliano Zapata y Calle Francisco I. Madero, Colonia La Presa; resultando 3 lesionados de gravedad trasladados al Hospital Regional de Tula Tepeji; se evacuaron 6 viviendas aledañas (18 evacuados) por posibles daños estructurales.</t>
  </si>
  <si>
    <t>San Pedro Totolapa</t>
  </si>
  <si>
    <t>A las 12:09 horas, se reportó la volcadura de un camión tipo Kodiak de la Guardia Nacional en el Km 88 de la Carretera Internacional 190, Oaxaca – Istmo. Derivado del incidente se reportaron un total de 30 lesionados, trasladados al Hospital Militar de Oaxaca para su atención médica.</t>
  </si>
  <si>
    <t>A las 00:09 horas (tiempo local) Se presentó la volcadura de un camión de pasajeros en el km 23 de la carretera Mexicali-San Felipe, Ejido La Puerta, municipio de Mexicali. Se reportan 08 lesionados, 04 de ellos en estado grave. En el autobús viajaban 20 personas.</t>
  </si>
  <si>
    <t>A las 07:05 horas, se presentó la explosión provocada por pirotecnia a un costado del Templo San Isidro Labrador, ubicado en calle Mar Rojo, comunidad del Chiquihuitero, municipio de Calvillo. Se reportaron 2 personas fallecidas y afectaciones a inmuebles aledaños.</t>
  </si>
  <si>
    <t>A las 03:00 horas, se reportó incendio en una planta de la empresa NESTLÉ ubicada en la Localidad Santa Fe en el Municipio de Veracruz. Se reportan 60 personas evacuadas y 2 lesionadas, las cuales fueron trasladada a un Hospital para su valoración médica.</t>
  </si>
  <si>
    <t>A las 13:25 horas, se reportó una carambola entre 1 camioneta tipo Van, 1 camioneta Nisán, 1 pipa de agua y 1 camión de pasajeros de la ruta 3B, y el impacto a una vivienda en la Colonia Plutarco Elías Calles; a causa de esto se reportan 12 personas lesionadas, de las cuales solo 4 fueron trasladadas a un nosocomio de Ciudad Juárez.</t>
  </si>
  <si>
    <t xml:space="preserve">19:00 horas/ 11 de mayo Lluvia fuerte en la calle López Cotilla cruce con López rayón y Zaragoza, municipio de Lagos de Moreno. Se reportan las siguientes afectaciones:
• 28 viviendas con penetración de agua de 5 a 50 cm.
• 2 locales comerciales
• 20 vehículos </t>
  </si>
  <si>
    <t>23:47 horas se registró el impacto de un autobús de la compañía Cenda City que transportaba personal, a la altura de la colonia Emiliano Zapata, se reportan 13 personas lesionadas que fueron trasladadas al hospital de la zona.</t>
  </si>
  <si>
    <t>Ayer a las 16:30 horas Evento: El día de hoy cerca de las 16:30 horas, se registraron lluvias de moderadas a fuertes acompañadas de vientos fuertes en la comunidad de Pilaxtla, en el  municipio de Matlapa, situación que ocasionó que un árbol cayera sobre un grupo de trabajadores del campo, donde se reporta 1 fallecido y 6 personas lesionadas, mismas que fueron trasladadas en la Unidad Familiar de Matlapa y después trasladados al hospital General de Ciudad Valles.</t>
  </si>
  <si>
    <t>13 de mayo. Alcaldía Iztapalapa detalló que se han cuantificado alrededor de 140 viviendas afectadas y, de ellas, 80 presentan pérdidas de muebles y enseres, pero son 50 las que más afectaciones sufrieron en sus artículos del hogar, debido a la inundación que alcanzó los interiores de los domicilios.</t>
  </si>
  <si>
    <t>A las 15:10 horas se reporta accidente entre unidad de transporte público y tráiler en la Carretera Cuautitlán Zumpango a la altura de la Laguna, municipio de Zumpango. Se reportan 7 lesionados los cuales fueron trasladados al Hospital General de Zumpango y al Hospital de Alta Especialidad.</t>
  </si>
  <si>
    <t>Izúcar de Matamoros</t>
  </si>
  <si>
    <t>A las 12:28 horas, se reportó volcadura de autobús de pasajeros sobre la carretera Federal Puebla - Huajuapan de León a la altura del municipio de Izúcar de Matamoros. Se reportan 5 fallecidos (3 en el lugar y 2 en el hospital)  y 26 lesionados, los cuales fueron trasladados a hospitales cercanos.</t>
  </si>
  <si>
    <t xml:space="preserve">A las 21:09 horas, se reporta explosión por acumulación de gas en planta baja de una vecindad, ubicada en  Calle norte 94 No. 6006, colonia Gertrudis Sánchez, Alcaldía Gustavo a Madero, resultando afectado un cuarto de 4X4, 02 personas lesionadas (01 masculino y 01 femenina) trasladados al Hospital Magdalena de las Salinas y Hospital General Dr. Rubén Leñero. </t>
  </si>
  <si>
    <t>7 casas con penetración de agua con tirante de 10 cm.
• 4 calles con anegaciones con tirante máximo de 20 cm.
• Cables caídos de postes de TELMEX y CFE con reporte de 3 incendios de transformadores y fallas en el suministro eléctrico en algunas zonas del municipio.
• Daños en vidrios de viviendas y automóviles (sin cuantificar)
• Daños en vidrios de Hospital del IMSS y en los cristales de ambulancias, sin suspender la operación del nosocomio.</t>
  </si>
  <si>
    <t>Reynosa, Matamoros y Valle Hermoso</t>
  </si>
  <si>
    <t>Entre las 16:00 y 17:00 horas, se registraron lluvias con granizo en  las colonias Vista Hermosa y Las Lomas, Municipio de Matamoros; Lluvias fuertes en el Municipio de Valle Hermoso, se reportaron encharcamientos en calles, afectación vehicular y suspensión intermitente del servicio de energía eléctrica.
Municipio de Reynosa:
• En la Colonia Jacinto López se apoyó a 6 personas a salir de su vivienda, se les informo de un refugio temporal ubicado en la Unidad Deportiva.
• En la Colonia las Fuentes en las avenidas Boulevard Hidalgo y Fuente Diana, se reportó un camión de transporte público varado por la inundación de la avenida; se desconoce el tirante del nivel del agua registrado; 10 personas del interior del camión, fueron evacuadas sanas y salvas.
• En la colonia Aztlán, en la calle 11 y oriente 2 , se rescató a 1 persona en un vehículo varado por inundación. 
•Como medida preventiva se habilito un refugio en caso de que alguna familia requiera hacer uso del mismo.</t>
  </si>
  <si>
    <t>Durante la tarde-noche, se presentaron lluvias fuertes y vientos, en las ranchería Dos Cruces y Chacaljemel Jatón, municipio de Comitán de Domínguez, dejando afectaciones en 6 viviendas por destechamiento (desprendimiento de láminas). No se reportaron evacuados, lesionados y/o fallecidos</t>
  </si>
  <si>
    <t>San Pedro Totolapa, Tlacolula, Magdalena Yodocono, Nochixtlán, San Juan Bautista Tuxtepec, San Marco Tlapazola</t>
  </si>
  <si>
    <t>Derivado de las fuertes lluvias en el estado de Oaxaca, al momento se tienen las siguientes afectaciones:
• San Marco Tlapazola: Fue localizado el cuerpo sin vida de 1 persona, la cual fue arrastrada por la corriente del río.
• Magdalena Yodocono: 4 Viviendas afectadas y fallas en la energía eléctrica
• San Juan Bautista Tuxtepec: se habilitó un refugio temporal, sin embargo, al momento, no ha sido utilizado, se reporta el desprendimiento de láminas en 1 jardín de niños y 10 viviendas.</t>
  </si>
  <si>
    <t>A las 11:23 horas se reportó el incendio de una pipa que se dedica al transporte de combustible dentro de la empresa COMEMSA, que renta su terrero para el resguardo de carros tanque del tren y llenado de pipas de doble remolque. Al estar cargando la pipa de 60,000 litros aproximadamente, se presentó un incendio y posterior derrame de combustible (50,000 litros). Como manera preventiva, se realizó la evacuación de 120 trabajadores.</t>
  </si>
  <si>
    <t>San Pedro Totolapan, San Marco Tlapazola, Tlacolula, Magdalena Yodocono, Nochixtlan, San Juan Bautista Tuxtepec</t>
  </si>
  <si>
    <t>20:00 horas/ 17 de mayo Derivado de las fuertes lluvias en el estado de Oaxaca, al momento se tienen las siguientes afectaciones:
• San Pedro Totolapan: Se presentó un deslizamiento de suelo y arrastre de material pétreo sobre la carretera que conecta la Ciudad de Oaxaca y el Istmo (Tramo San Pedro Totolapa-El Camarón Yautepec). A la 01:00 horas del día de hoy se recibió el reporte en relación a la desaparición de un masculino de entre 40 y 45 años en la localidad de San Pedro Totolapan, esto luego de un deslave.  Fue localizo el cuerpo sin vida de la persona desaparecida
• San Marco Tlapazola: Fue localizado el cuerpo sin vida de 1 persona, la cual fue arrastrada por la corriente del río.
• Magdalena Yodocono: 4 Viviendas afectadas y fallas en la energía eléctrica
• San Juan Bautista Tuxtepec: de manera preventiva se habilitó un refugio temporal, sin embargo, al momento, no ha sido utilizado, se reporta el desprendimiento de láminas en 1 jardín de niños y 10 viviendas; 15 árboles caídos, suspensión de agua potable en 15 colonias.</t>
  </si>
  <si>
    <t>300 postes de luz caídos 
22 cables al piso
10 volcaduras durante las lluvias sin reporte de lesionados
02 bardas caídas
14 colonias inundadas (Longoria, Centro, Vieja Aduana, Roma, Viveros, Infonavit I,II y III, FOVISSSTE, Hidalgo, Alianza, Militar, Reservas Territoriales I y II)
01 incendio a casa habitación (se desconoce la causa no se reportan lesionados)
14 Estructuras de CFE colapsadas
1 Antena de radiocomunicación caída.
1 Carretera obstruida parcialmente</t>
  </si>
  <si>
    <t>A las 11:59 horas se registró explosión por material Pirotécnico en un domicilio particular en Calle Jesús Ortega, Colonia San Mateo, Axapusco,   se desconoce el motivo que la originó resultando 2 personas fallecidas en el lugar el cuarto quedó destruido sin daños  a inmuebles aledaños.</t>
  </si>
  <si>
    <t>San Antonio Cañada, Zinacantepec y Esperanza</t>
  </si>
  <si>
    <t xml:space="preserve">Municipio de Esperanza:
A las 18:00 horas, derivado de las fuertes lluvias en el municipio de Esperanza, se reportó el desbordamiento de la barranca “Toro Pinto” por rompimiento de bordo a la altura de la colonia El Maestro, reportándose afectaciones en aproximadamente 40 viviendas por penetración de agua y lodo, así como acumulación de lodo en calles. Ya laborando maquinaria para su retiro. No se reportan personas evacuadas, lesionadas y/o fallecidas. Se habilitó 1 albergue en el municipio.
</t>
  </si>
  <si>
    <t>Córdoba, Coscomatepec, Tomatlán, Huatusco, Fortín de Las Flores, Ixtaczoquitlán, Zongolica, Cosamaloapan y Otatitlán</t>
  </si>
  <si>
    <t xml:space="preserve">Durante el transcurso de la tarde-noche, se registraron lluvias y vientos fuertes en 9 municipios provocando las siguientes afectaciones:
Municipio de Córdoba: (6) Viviendas afectadas por destechamientos parciales (en atención).
Municipio de Tomatlán: 7 Viviendas afectadas por destechamientos parciales (en atención) y 1 por caída de pino.
Municipio de Otatitlán: (5) Viviendas afectadas por destechamientos parciales (en verificación). </t>
  </si>
  <si>
    <t>San Pedro Totolapan, Villa de Zaachila, Región Sierra Norte y Región de la Cuenca del Papaloapan</t>
  </si>
  <si>
    <t>Durante la tarde-noche, se registraron fuertes lluvias en diversas zonas del estado, reportando las siguientes afectaciones:
Municipio de Villa de Zaachila:
6 viviendas resultaron con inundaciones.
Región de la Cuenca del Papaloapan:
Daños en techos de viviendas, suspensión de la energía eléctrica y árboles caídos.</t>
  </si>
  <si>
    <t>Se registró lluvia y vientos fuertes con velocidades de 120 km/h en el municipio de Nuevo Laredo, derivado de lo anterior se reportan las siguientes afectaciones:
• 156 viviendas afectadas
• 325 negocios dañados en techumbres, anuncios y ventanales
• 6 personas en albergue del Auditorio Municipal, (1 familia con 1 mascota)
• 10 volcaduras de tracto-camiones con carga
• 01 fallecido por arrastre a causa de la lluvia.
• 1 Antena de radiocomunicación caída.
• 1 localizado en la calle, el cual fue trasladado a las instalaciones del DIF municipal.
• Fallecidos: 01
• Lesionados: 52
• Evacuados: 11</t>
  </si>
  <si>
    <t>Carrillo Puerto, Ayahualulco, Ixhuatlán del Café, Chocaman, Naranjal, Amatlán de los Reyes, Tequila, Zongolica, Cosamaloapan, Atoyac, Otatitlán, Córdoba, Coscomatepec, Tomatlán, Huatusco, Fortín de las Flores e Ixtaczoquitlán.</t>
  </si>
  <si>
    <t>Durante el transcurso de la tarde-noche, se registraron lluvias y vientos fuertes en 17 municipios del estado, con las siguientes afectaciones:
• Viviendas destechadas: 288
• Población afectada: 1,152
Municipio de Ayahualco: 
• Viviendas destechadas: 164
• Población afectada: 652
Municipio de Ixhuatlán del Café: 
• Viviendas destechadas: 4
• Población afectada: 16
Municipio de Chocaman: 
• Viviendas destechadas: 10
• Población afectada: 40
Municipio Naranjal: 
• Viviendas destechadas: 1
• Población afectada: 4
Municipio de Cosamaloapan: 
• Viviendas destechadas: 44
• Población afectada: 176
Municipio Atoyac: 
• Viviendas destechadas: 3
• Población afectada: 12
Municipio de Otatitlán: 
• Viviendas destechadas: 41
• Población afectada: 164
Municipio de Córdoba: 
• Viviendas destechadas: 3
• Población afectada: 12
Municipio de Coscomatepec: 
• Viviendas destechadas: 6
• Población afectada: 24
Municipio de Tomatlán: 
• Viviendas destechadas: 10
• Población afectada: 44
Municipio de Fortín de Las Flores: 
• Viviendas destechadas: 2
• Población afectada: 8</t>
  </si>
  <si>
    <t>Durante el transcurso del día, se registró lluvia fuerte y caída de granizo en el municipio de Vega de Alatorre, provocando las siguientes afectaciones:
Municipio de Vega de Alatorre:
• Viviendas afectadas: 56 (anegamientos y destechamientos parciales).
• Población afectada: 224
No se reportan evacuados, fallecidos y/o evacuados.</t>
  </si>
  <si>
    <t>Reynosa y Matamoros</t>
  </si>
  <si>
    <t xml:space="preserve">Municipio de Matamoros
Se registró lluvia fuerte acompañadas de tormenta eléctrica desde las 11:40 horas, Se reportan 13 vehículos varados.
Municipio de Reynosa
Se registró lluvia fuerte a partir de las 10:30.
Se habilitaron 2 refugios temporales.
</t>
  </si>
  <si>
    <t>Cosautlán de Carvajal y Carrillo Puerto</t>
  </si>
  <si>
    <t>Durante el transcurso del día se presentaron afectaciones en 2 municipios del estado por caída de granizo y lluvias fuertes, provocando:
Municipio de Cosautlán de Carvajal
o             Viviendas destechadas: 72
o             Población afectada: 211
o             Persona fallecida: 1 (mujer)</t>
  </si>
  <si>
    <t>09:00 horas/ 21 de mayo, accidente entre un tráiler y una unidad de transporte público de la ruta 65. En México-Puebla, antes de llegar al puente de la María con sentido a Veracruz. Se reportan 17 lesionados, quienes fueron trasladados al hospital de ortopedia del municipio para su atención médica.</t>
  </si>
  <si>
    <t xml:space="preserve">A partir de las 18:00 horas, se presentaron lluvias muy fuertes en el municipio de Macuspana, provocando las siguientes afectaciones: 
o Colonia El Castaño: Penetración de agua en aproximadamente 400 viviendas, un tirante de agua en calles de 80 cm y 2 vehículos varados.
o Colonia Josefa Ortiz de Domínguez: Se presentan inundaciones en calles y penetración de agua a viviendas (sin cuantificar).
o Colonias 20 de Noviembre, Independencia y Colosio: Se presentan de 30 a 60 cm de tirante de agua en calles y viviendas (sin cuantificar).
No se reportan evacuados, lesionados y/o fallecidos.
</t>
  </si>
  <si>
    <t>A las 18:28 horas, se registró el desplome de parte del techo del comercio “Fantasías Miguel”, ubicado en calle 59 entre calle 58, colonia Centro, municipio de Mérida. Se desconocen las causas. De manera preventiva, se realizó el desalojo de 42 empleados del lugar. No se reportaron lesionados y/o fallecidos.</t>
  </si>
  <si>
    <t>A las 06:49 horas. Se reportó incendio al interior de un asilo de ancianos en Col. Ciudad del Sol calle Coliman y Cuauhtémoc donde un adulto de 72 años. Se evacuaron a 14 ancianos más del asilo.</t>
  </si>
  <si>
    <t>A las 04:10 horas, se registró incendio en la habitación del Hotel Villahermosa, sobre calle Juventino Rosas No. 1, colonia Ex-Hipódromo de Peralvillo, alcaldía de Cuauhtémoc. Se realizó la evacuación de 20 personas (personal del hotel, huéspedes y vecinos de la vecindad contigua). No se reportaron lesionados y/o fallecidos. Se quemó en su totalidad una habitación con una dimensión de 4x4 metros.</t>
  </si>
  <si>
    <t>Sanctorum de Lázaro Cárdena</t>
  </si>
  <si>
    <t>A las 18:25 horas se registró la explosión e incendio de un polvorín en el km 197 de la carretera Apizaco-Calpulalpan, en el paraje Los Llorones, municipio de Sanctorum de Lázaro Cárdenas. Se reportaron 7 fallecidos y 3 lesionados.</t>
  </si>
  <si>
    <t>A las 05:14 horas, se registró accidente por alcance de un autobús de pasajeros contra un tractocamión, sobre la carretera 57 km 127, municipio de Galeana. Se reportó 1 fallecido (chofer) en el lugar y 6 personas lesionadas, trasladadas al Hospital General de Galeana.</t>
  </si>
  <si>
    <t>A las 14:50 horas se registró un incendio dentro de un taller de textiles, ubicado en la calle 14, colonia Ejidal, municipio de Solidaridad. Se reporta 1 bombero fallecido y 1 persona con quemaduras de primer grado, atendida en el lugar, asimismo, se realizó la evacuación preventiva de 8 personas.</t>
  </si>
  <si>
    <t>Municipio de Monclova: A las 22:15 horas, se registró lluvia fuerte, caída de granizo de hasta 1 pulgada y vientos fuertes con rachas de hasta los 60 km/h en el municipio durante 1 hora, provocando afectaciones:
• Penetración de agua a viviendas: 10 (atendidas).
• Refugio temporal: 1 (sin personas al momento) en instalaciones de la estación de Bomberos  
Municipio de San Buenaventura: A las 23:00 horas, el Ayuntamiento reportó fuerte granizada.</t>
  </si>
  <si>
    <t>A las 11:20 horas, Se reportó el deslizamiento de alud en una obra de construcción a la entrada de la localidad de Cubanicuilco Municipio de Los Reyes. Resultando 2 personas atrapadas. A las 12:50 horas, se reporta el rescate de las 2 personas con vida, siendo trasladados al Hospital mas cercano para su valoración.</t>
  </si>
  <si>
    <t>A las 19:10 horas. Se reportó el choque de una camioneta tipo Urban y un vehículo particular, sobre Prol. Vasco de Quiroga y Prol. Paseo de la Reforma, col. Lomas de Santa Fé Alcaldía Álvaro Obregón. Resultando 9 lesionados (8 con lesiones leves atendidas en el lugar, 1 trasladado a un hospital para su atención medica).</t>
  </si>
  <si>
    <t>San Juan Río Colorado</t>
  </si>
  <si>
    <t>Se informa que el día 01 de Junio a las 12:00 horas se notificó el volcamiento de una pipa de combustóleo en la esquina de la Av. Ruiz Cortines y la calle Buenos Aires, San Juan del Río Colorado. Se reporta que el conductor de la pipa está mal herido y que el derrame de combustóleo ha alcanzado aproximadamente los 10,000 Litros.</t>
  </si>
  <si>
    <t>Hecelchakán</t>
  </si>
  <si>
    <t>A las 20:30 horas, se registró choque por alcance entre un tráiler y autobús de pasajeros, sobre el km 73 de la carretera Campeche – Mérida, municipio de Hecelchakán. Se reportaron 5 personas lesionadas (1 en estado grave).</t>
  </si>
  <si>
    <t>A las 07:30 horas Evento: Se registra accidente múltiple en la Carretera Texcoco - Lechería, a la altura de Venta de Carpio (Plaza Sendero), se encuentran involucrados 6 vehículos y una unidad de transporte público de la linea "Transportes Teotihuacanos, reportan 8 lesionados y 1 fallecido.</t>
  </si>
  <si>
    <t>A las 15:55 horas Evento: Se registró accidente vehicular de un autobús de pasajeros. Se reportaron 18 lesionados (13 mujeres y 5 hombres) que fueron trasladados a diferentes hospitales para su valoración médica.</t>
  </si>
  <si>
    <t>Ecatepec de Morelos, Atizapán de Zaragoza y Cuautitlán Izcalli</t>
  </si>
  <si>
    <t>Derivado de las intensas lluvias que se presentaron en el estado, se reportan las siguientes afectaciones: 
Municipio de Ecatepec
•         Se reportó anegación dentro del Hospital General Dr. José María Rodríguez del Instituto de Salud del Estado de México afectando el área interna del hospital, área de hemodiálisis, medicina interna y área COVID 19. El tirante registrado es de aproximadamente 20 cm. El nivel del agua ya disminuyó y se realizaron las tareas de limpieza y saneamiento.
•         Anegaciones en el Centro Comercial Plaza Aragón donde la parte baja registró un tirante de agua de aproximadamente 80 cm.
Municipio de Atizapán de Zaragoza
•         Desbordamiento del canal San Miguel, en la colonia Ejido San Miguel Chalma, afectando 17 viviendas en la calle Guatemala, 8 viviendas en la calle México, 5 viviendas y 2 vehículos en la calle Luis Donaldo Colosio.</t>
  </si>
  <si>
    <t>La Perla</t>
  </si>
  <si>
    <t>A las 22:55 horas, se registró el deslave afectando a una vivienda derivado de las fuertes lluvias, presentadas en la zona de la comunidad el Zapote, como referencia entrando por el camino conocido como “La Cumbre del Español”, municipio de La Perla. Al momento del incidente, en el interior de la vivienda se encontraba 1 femenina, que fue trasladada al Hospital de San Miguel Arcángel de la Cd. de Orizaba por crisis nerviosa.</t>
  </si>
  <si>
    <t>04 de junio 12:50 horas. La Secretaría del Trabajo de Coahuila recibió el reporte de un accidente en una mina de arrastre de carbón mineral y con razón social MICARAN, sobre la carretera El Sauz - Paláu km 22, comunidad de Rancherías, municipio de Múzquiz. Según las investigaciones preliminares, hay indicios de que el accidente se debió a un desbordamiento e inundación en la mina, cuando los trabajadores golpearon un “velero” (cuerpo de agua subterráneo). En el reporte se manifestó que 7 trabajadores que realizaban labores quedaron atrapados; los 7 cuerpos de los mineros ya fueron rescatados.</t>
  </si>
  <si>
    <t>A las 17:40 horas,  se reportó el desbarrancamiento de un autobús de pasajeros en Loma de Vista Hermosa y Cda. Retorno de la Orquilla, col. Lomas de Vista Hermosa Alcaldía Cuajimalpa resultando  19 lesionados de los cuales 2 fueron trasladados a hospitales para su atención. Cuerpos de emergencia laboraron en el lugar con el apoyo de un helicóptero. En el lugar trabajan grúas para el rescate de la unidad.</t>
  </si>
  <si>
    <t>Zapopan, Guadalajara y Tlaquepaque</t>
  </si>
  <si>
    <t>A partir de las 21:30 horas, inician lluvias de ligeras a fuertes en diferentes puntos del Área Metropolitana de Guadalajara, principalmente en los municipios de Guadalajara, Tlaquepaque, Tlajomulco de Zúñiga, Zapopan y Tonalá.
Municipio de Tlaquepaque:
Colapso de techumbre (lámina de asbesto) de un tejabán de 3x3 metros, provocado por la acumulación de agua en un plástico situado arriba de las láminas.  
Municipio de Zapopan:
Se registraron lluvias intensas en el municipio, provocando al momento:
•         Encharcamientos de 40-50 cm en la colonia Estancia, en Av. Patria y Av. Ludwig Van Beethoven con 5 vehículos varados.
•         En colonia Las Águila, en la Av. López Mateos y Palma se reportaron 8 vehículos varados que fueron orillados y penetración de agua a viviendas con un tirante de hasta 40 cm (sin cuantificar). 
•         En la colonia Los Paraísos, desgajamiento del Cerro Colli, afectando a 3 domicilios. En uno de los cuartos de un domicilio, ingresó parte de la tierra y piedras del deslave, provocando lesiones leves en 1 masculino, el cual fue rescatado y trasladado a un hospital para su valoración médica.</t>
  </si>
  <si>
    <t>San Lorenzo Texmelúcan</t>
  </si>
  <si>
    <t>Movimiento de ladera del 6 al 7 de julio</t>
  </si>
  <si>
    <t>FONDEN: reconstrucción</t>
  </si>
  <si>
    <t>A las 22:00 horas se registra lluvia con caída de granizo con duración de 20 minutos en las colonias Villa Posadas y  González Ortega, se presentan encharcamientos en algunos puntos de la ciudad por acumulación de basura y granizo. Protección Civil realiza labores para el desazolve de alcantarillas.
A las 00:15 horas personal de Rescate Urbano de Protección Civil realizan labores con el uso de bombas para retirar agua con tirante de 30 cm. en 8 domicilios ubicados en la calle 27 poniente y 13 sur. A las 00:40 horas se reporta como servicio concluido sin personas lesionadas ni evacuadas.</t>
  </si>
  <si>
    <t>A las 21:50 horas se reporta explosión y posterior incendio en vivienda ubicada en calle  Cuauhtémoc s/n Colonia Junta Auxiliar en el municipio de San Martín Texmelucan. La causa fue por acumulación de gas L.P. derivado de una falla en un tanque de gas LP de 20 kilogramos, el domicilio tiene daños estructurales del 100% por lo cual ya no es habitable. Se reportan 4 lesionados los cuales son trasladados al Hospital Integral de San Martín Texmelucan.</t>
  </si>
  <si>
    <t>Se presentó una explosión y posterior incendio al interior de un restaurante de comida china en la colonia Centro, municipio de Hermosillo. Derivado del incidente se reportan 05 lesionados de forma ligera, mismos que fueron evaluados y trasladados por Cruz Roja por quemaduras de primer y segundo grado.</t>
  </si>
  <si>
    <t>A las 21:49 horas, se registró el impacto de microbús contra una camioneta y zaguán de una vivienda, sobre Miguel Barragán esquina Gral. Miguel Miramón, colonia Martín Carrera, alcaldía de Gustavo A. Madero. Se reportaron 6 pasajeros lesionados atendidos en el lugar. Se labora en el retiro de los vehículos con grúas y se realizará verificación en la vivienda para conocer si no tuvo daño estructural.</t>
  </si>
  <si>
    <t xml:space="preserve">20:29 hora local-08/06/2021. Se registró salida de camino y volcadura de autobús de pasajeros con razón social Coordinadora de Viajes Turísticos que transportaba empleados de una empresa (aproximadamente 50 personas), sobre el km 034+000 carretera (2650) Tijuana - Ensenada, tramo Rosarito - San Miguel, dirección Ensenada, colonia Estudios Fox, municipio de Playas de Rosarito. Se reportan 7 fallecidos y 35 lesionados, de ellos 20 trasladados a la (3) Clínica 20 del IMSS, (1) Hospital General Tijuana, (13) Hospital General Rosarito, (1) ISSSTE Palmas, (1) Hospital General Tecate y (1) Clínica 1 IMSS.
</t>
  </si>
  <si>
    <t>Alrededor de las 10:02 horas, se registró el descarrilamiento de una grúa que va enganchada al tren, en el km 699+800 por el fraccionamiento Tahona en Zacatecas. Derivado de lo anterior se reportó  lesionada una persona (el maquinista), quien fue trasladada al hospital para su atención y valoración.</t>
  </si>
  <si>
    <t>08:31 horas/ 11 de junio
Salida de camino  de una unidad de transporte público y posterior caída a un barranco, en la carretera Emiliano Zapata, a un kilómetro de Real del Bosque, municipio de Tuxtla Gutierrez. Se reportan 23 personas lesionadas. Se tiene el apoyo de un helicóptero para el traslado de los lesionados a un hospital para su atención médica.</t>
  </si>
  <si>
    <t>14:57 horas/ 11 de junio Volcadura de un autobús de pasajeros de la línea de transporte Ómnibus Cristóbal Colón (OCC), en el tramo carretero Teopisca - Comitán km 165+500 municipio de Comitán. Se reportó 1 fallecido y 22 lesionados, mismos que fueron trasladados al Hospital Regional María Ignacia Gandulfo y al Hospital del Niño y la Mujer.</t>
  </si>
  <si>
    <t>Villa de Reyes</t>
  </si>
  <si>
    <t>12:30 horas/ 11 de junio fractura y caída de una losa de 200 metros, de una obra en construcción dentro del Complejo Ciudad Maderas, propiedad de la empresa IMPRO, ubicada en avenida  Súper Carretera Villa de Reyes a Guadalajara, Villa de Reyes. Se reportaron 13 trabajadores lesionados, 10 trasladados a la clínica 50 del IMSS y 3 más atendidos en el lugar.</t>
  </si>
  <si>
    <t>A las 22:00 horas (tiempo local), se registra conato de incendio en Hospital Regional 30 del IMSS, Av. Lerdo de Tejada S/n, Colonia Nueva. Un corto circuito en el techo del hospital provocó la salida de humo, H.C de Bomberos acudió al lugar donde controlo el fuego, se evacuaron a 28 personas a la explanada del nosocomio, No se reportan lesionados.</t>
  </si>
  <si>
    <t>19:00 horas/ 12 de junio
Se presentaron lluvias de moderadas a fuertes en varias colonias del municipio de Uruapan, con duración aproximada de 60 minutos.  Reportándose las siguientes afectaciones:
- Penetración de agua en 1 vivienda, Calle 5 de Mayo 8. Barrio La Magdalena. 
- Penetración de agua en 1 vivienda, Prol. Oriente 26. Col. Casa Del Niño
- Desprendimiento de un techo de lámina obstruyendo la vialidad).</t>
  </si>
  <si>
    <t>Jiutepec, Xochitepec, Cuernavaca, Xoxocotla</t>
  </si>
  <si>
    <t>18:30 horas/ 12 de junio
Lluvias de moderadas a fuertes con caída de granizo a las 18:30 horas con duración aproximada de 40 minutos.  Reportándose las siguientes afectaciones:
• Jiutepec. 1 Vehículo varado se apoyó a los tripulantes a salir de la unidad).
• Xochitepec. 3 viviendas con penetración de agua a nivel de patio con un tirante de 15 cm. 1 árbol caído sobre 1 vehículo estacionado. Sin lesionados.</t>
  </si>
  <si>
    <t>San Andrés, San Pedro Cholula, Puebla, Cuatlalcingo</t>
  </si>
  <si>
    <t xml:space="preserve">20:30 horas/ 12 de junio
Se registró desbordamiento del Río Atoyac  a la altura del municipio de San Andrés, San Pedro Cholula, Puebla, Cuatlalcingo, derivado de las fuertes lluvias ocurridas durante la tarde de hoy.
• Viviendas con penetración de agua (sin cuantificar) con tirantes de 10 a 30 cm máximo, </t>
  </si>
  <si>
    <t>• Viviendas afectadas (10): 8 Con anegamientos por colapso de drenaje, en la colonia Ruíz Cortines y 2 en la colonia Melchor O Campo.</t>
  </si>
  <si>
    <t>Chocamán, Misantla, Yecuatla, Cosoleacaque, Emiliano Zapata, Oteapan, Veracruz, Totutla, Huatusco, Tenampa, La Perla, Tonayán, Chontla, Coatepec, Xalapa y Martínez de la Torre</t>
  </si>
  <si>
    <t xml:space="preserve">• Cosoleacaque: 6 viviendas afectadas con anegamientos de 20 a 30 cm de agua en su interior. 
• Emiliano Zapata: 2 viviendas afacetadas por ingreso de tierra a patios. 
• Oteapan: 1 vivienda afectada por ingreso de lodo y 1 barda caída en colonia Barrio Apalan. 
• Veracruz: 1 socavón en el Fraccionamiento Moderno y 1 taxi involucrado. 
• Xalapa: 2 viviendas afectadas en la comunidad 6 de Enero.
• Coatepec: 105 viviendas con penetración de agua (tirante de 50 cm), 3 bardas colapsadas y 2 personas lesionadas (menores de edad), trasladados al Hospital Civil de Coatepec y a la Clínica 17 del IMSS.
• Chontla: 10 viviendas afectadas por escurrimientos en la comunidad de Las Cruces.
• Martínez de la Torre: 10 viviendas afectadas por colapso de drenaje.
</t>
  </si>
  <si>
    <t>Se reportó el incendio de un restaurante, se reportó 1 persona intoxicada trasladada a un Hospital para su valoración médica, fueron evacuadas 250 personas, el incendio se encuentra controlado y sofocado</t>
  </si>
  <si>
    <t>A las 01:50 horas del día de hoy, se registró la volcadura de un autobús de pasajeros en la Carretera Libre Valle de Gpe. - Jalostotitlán a la altura de la curva "el chubasco". El autobús cayó a un barranco de 10 metros de profundidad. Derivado del incidente, se reportan 28 lesionados, 5 de ellos graves.</t>
  </si>
  <si>
    <t xml:space="preserve">San Juan Guichicovi, Santiago Niltepec, El Barrio de la Soledad, Juchitán de Zaragoza, Reforma de Pineda, Santo Domingo Zanatepec, Santa María Petapa, San Juan Guichicovi, Matías Romero y Ciudad Ixtepec. </t>
  </si>
  <si>
    <t xml:space="preserve">22:00 horas/ 15 de junio
Municipios: 10
Desde la noche – madrugada, se han registrado fuertes lluvias en la Zona norte y oriente del Istmo de Tehuantepec, donde se han presentado encharcamientos viales y el crecimiento de los ríos. 
- 32 viviendas afectadas
- 73 personas afectadas
o Municipio de San Juan Guichicovi: 1 vivienda afectada por el desgajamiento de 1 cerro y afectación a 1 habitante. 
o Municipio de El Barrio de la Soledad: 1 comunidad incomunicada (El Guapinol) con un total de 20 viviendas y 12 familias. 
o Municipio de Santa María Petapa: 6 viviendas afectadas por inundaciones.
o Municipio de San Juan Guichicovi: 5 viviendas afectadas. </t>
  </si>
  <si>
    <t>A las 02:50 horas, se reportó la volcadura de un autobús de transporte foráneo de pasajeros de la línea Futura Select con placa 80-HA- 8J y carro 1167, en el km 036 +100 carretera (1540 L) Libramiento Reynosa Sur II, municipio de Reynosa. En el autobús viajaban 20 pasajeros y 2 choferes. Se reportaron 12 fallecidos (9 en el lugar y 3 en hospitales) y 10 personas lesionadas.</t>
  </si>
  <si>
    <t>A las 07:54 horas se registró choque múltiple de un camión de transporte público de la ruta 15, placas 0150161, el cual impacta al menos a 3 vehículos particulares, un poste de alumbrado público y un árbol, en Av. Del Rosal y Alta Tensión, colonia Molino de Rosas, Alcaldía Álvaro Obregón. Se reportan 7 lesionados (usuarios del transporte público), de los cuales 2 fueron trasladados a un hospital para su atención.</t>
  </si>
  <si>
    <t>Tacotalpa y Teapa</t>
  </si>
  <si>
    <t>• Municipio de Tacotalpa: Se registró un deslizamiento de talud afectando a 1 vivienda, en el ejido Emiliano Zapata, provocando la entrada de tierra en la vivienda, dejando únicamente daños materiales. Por la madruga del día de hoy, se desbordó el Arroyo de nombre Zunu del Pob -  Zunu y Patastal, afectando a 8 viviendas con el ingreso de agua en su interior, al momento el nivel de agua descendió.
• Municipio de Teapa: 19:00 horas, se reportó el desbordamiento del Arroyo Ogoiba que atraviesa la Ciudad de Teapa. Debido a la acumulación de basura que impidió la fluidez del agua, resultaron afectadas 200 viviendas afectadas con hasta 80 cm de tirante.</t>
  </si>
  <si>
    <t>Durante la tarde-noche (16/06/21) y madrugada (17/06/2021), se registraron lluvias de moderadas a fuertes (161.9 mm), en el municipio de Progreso, ocasionando encharcamientos y penetración de agua en diversas viviendas. Se reportaron 400 viviendas con penetración de agua, por lo que se activó un refugio temporal en la Escuela Candelaria Ruz Patrón, ubicado en calle 30 s/n y calle 31 con 22 personas instaladas.  
16:00 horas-18/06/2021.</t>
  </si>
  <si>
    <t>A las 18:40 horas  Se tuvo conocimiento de la volcadura de un autobús de pasajeros que transportaba migrantes en Km 075+030 de la carretera Tampico-Ciudad Mante, municipio de Tampico. Se reportan 25 personas lesionadas, las cuales fueron trasladadas a distintos hospitales.</t>
  </si>
  <si>
    <t>Alrededor de las 07:56 horas se registró el choque por alcance entre un auto tanque que transportaba diesel y un autobús ómnibus Turistas TUR con 43 pasajeros a la altura del  km 168+600 de la autopistas Durango-Gómez Palacios, municipio de Lerdo. Se reportan 9 personas lesionadas (8 en código amarillo y 1 prensado color rojo),  trasladados al Hospital Regional y a la Cruz Roja de Gómez Palacios, Dgo, respectivamente.</t>
  </si>
  <si>
    <t>Acapulco de Juárez, Chilpancingo de los Bravo, Técpan de Galeana, Atoyac de Álvarez, Benito Juárez, Ometepec, Cuautepec, Igualapa, Metlatonoc, Marquelia, Ajuchitlán del Progreso, Zihuatanejo de Azueta, Petatlán, San Marcos y Azoyú</t>
  </si>
  <si>
    <t>Huracan Enrique Municipios: (15) 
Otras afectaciones:
- 54 viviendas afectadas
- 2 vehículos afectados
• Acapulco de Juárez: 1 vehículo; 6 viviendas afectadas por penetración de agua.
• Chilpancingo de los Bravo: 2 viviendas afectadas por ingreso de tierra.
• Técpan de Galeana: 14 viviendas resultaron con ingreso de agua.
- Zihuatanejo: 1 vehículo (taxi).
• Atoyac de Álvarez: 20 viviendas con ingreso agua • Benito Juárez: 1 vivienda de madera y láminas.
• Ometepec: 1 vivienda afectada por deslave.
• Metlatonoc: Reblandecimiento de pared de adobe de 1 vivienda, 8 viviendas afectadas en la colonia Guadalupe y San José, 4 inundaciones menores y 3 por deslaves.
• San Marcos: 1 vivienda afectada por deslave.</t>
  </si>
  <si>
    <t>Apatzingán de la Constitución, Lázaro Cárdenas, Coahuayana, Aquila, Arteaga, Chinicuila del Oro Villa Victoria, Tumbiscatío y Uruapan</t>
  </si>
  <si>
    <t>Huracan Enrique Municipios: 8.
Chinicuila: Desbordamiento de Rio en la localidad Villa Victoria, 1 domicilio afectado en techedumbre.
•         Coahuayana: Evacuación de 12 personas 1 refugio temporal activado en Albergue Estudiantil “Miguel Hidalgo”.</t>
  </si>
  <si>
    <t>Cuauhtémoc, Colima, Villa Álvarez, Manzanillo y Tecomán</t>
  </si>
  <si>
    <t>Municipios: 5
- Viviendas afectadas (sin cuantificar).
- 4 refugios temporales activos (178 personas).
• Tecomán: 164 personas en refugio Temporal.</t>
  </si>
  <si>
    <t>Atzalan, Puente Nacional, San Andrés Tuxtla, Huatusco, Altotonga, Juan Rodríguez Clara y Cotaxtla</t>
  </si>
  <si>
    <t xml:space="preserve">Derivado de las fuertes lluvias que se han presentado en el estado durante el día, se reportan las siguientes afectaciones:
• Juan Rodríguez Clara: desbordamiento del Río La Unión con 2 tractocamiones varados, 1 vía de comunicación afectada en el km 129+300 de la carretera (145-D) La Tinaja – Cosoleacaque.   
• Cotaxtla: 1 vehículo afectado.
</t>
  </si>
  <si>
    <t>A las 09:30 horas, Se reportó el choque por alcance de 2 camionetas de transporte público en la Carretera Tulum- Playa del Carmen, frente al Hotel Mérida. Resultaron 9 personas lesionadas, 1 de gravedad la cual fue trasladada al Hospital Costamed y las otras 8 fueron atendidas en el lugar.</t>
  </si>
  <si>
    <t>22:00 horas, 19/06/2021. Derivado de las lluvias, se reportó el desbordamiento del Río San Juan a la altura de la Comunidad El Bellaco, afectando 250 viviendas por incomunicación, sin reporte de lesionados o fallecidos.</t>
  </si>
  <si>
    <t>A las 07:43 horas, se reportó el accidente vehicular entre una camioneta tipo Van de transporte público y un auto compacto particular sobre la Autopista México-Tuxpan, tramo Zapotillo a Veracruz. Resultando 7 personas lesionadas las cuales fueron trasladadas al Hospital General de Tuxpan, para su atención y valoración médica.</t>
  </si>
  <si>
    <t>Guadalupe, Santiago, Santa Catarina, Escobedo, Apodaca, Monterrey y San Nicolás de los Garza</t>
  </si>
  <si>
    <t>Desde las 05:00 horas, se han presentado lluvias fuertes (85.8 mm Estanzuela) en 7 municipios del Estado. Se reportan las siguientes afectaciones:
- 4 Viviendas inundadas. 
- 3 Vehículos varados.
• Municipio de Santa Catarina: 
4 Viviendas inundadas en Zona de Bosque de La Huasteca y Palmar.
3 Vehículos varados.</t>
  </si>
  <si>
    <t>Zacualtipán de Ángeles</t>
  </si>
  <si>
    <t xml:space="preserve">A las 18:00 horas, se registró lluvia fuerte en las colonias Cosapa y La Camelia, municipio de Zacualtipán de Ángeles, reportándose las siguientes afectaciones:
• 76 viviendas afectadas por penetración de agua con tirantes de 75-100 cm.
• 76 familias afectadas.
• 1 refugio temporal habilitado en el Auditorio Municipal.
• 6 familias albergadas (ya regresaron a sus hogares). </t>
  </si>
  <si>
    <t>Tierra Blanca, Amatlán de los Reyes, Cuitláhuac, Atoyac, Totutla, Zongolica, Papantla, Espinal y Xalapa</t>
  </si>
  <si>
    <t xml:space="preserve">Derivado de las lluvias que se han presentado en el estado durante el día, se reportan las siguientes afectaciones: 
- 7 viviendas afectadas
- 25 personas afectadas
22 de Junio - 
• Cuitláhuac: 1 vivienda afectada. 
• Espinal: 6 viviendas afectadas, 24 personas.
</t>
  </si>
  <si>
    <t>A las 12:00 horas se reporta accidente de patrulla Estatal en la carretera Federal Felipe Carrillo Puerto- Tulum a la altura del Km 180, misma que se impactó con poste de luz; resultando 01 fallecido y 02 lesionados, siendo trasladados al Hospital General de Felipe Carrillo Puerto.</t>
  </si>
  <si>
    <t> Huixtla </t>
  </si>
  <si>
    <t xml:space="preserve"> Lluvia severa el 25 de junio</t>
  </si>
  <si>
    <t xml:space="preserve">FONDEN: insumos, reconstrucción </t>
  </si>
  <si>
    <t>A las 12:24 hora local, se registró la volcadura, explosión e incendio de una pipa doble remolque con un total de 32 mil litros de gasolina regular en un tanque, frente al centro comercial Los Álamos, sobre el Boulevard Insurgentes, Distrito Colorado, municipio de Tijuana. No se reportan lesionados y/o fallecidos. Se realizó la evacuación de 150 personas de locales comerciales.</t>
  </si>
  <si>
    <t xml:space="preserve">Juchitán de Zaragoza   </t>
  </si>
  <si>
    <t>A las 03:35 horas, se presentó lluvia fuerte en el municipio, reportándose las siguientes afectaciones:
•         195 Viviendas con penetración de agua. 
•         1 Vivienda incendiada por caída de un rayo derivado de la tormenta eléctrica.
•         2,000 Personas afectadas. 
Colonia Mártires 31 de Julio (25 viviendas).
Colonia Gustavo Pineda (30 viviendas).
Col. Infonavit Zapandú (24 viviendas).
Fraccionamiento I.V.O. (26 viviendas).
Séptima Sección Calle Constitución (32 viviendas).
Séptima Sección Calle Libertad (28 viviendas - 1 por incendio). 
Novena Sección Laguna Yupi (30 viviendas).</t>
  </si>
  <si>
    <t>A las 18:50 horas, se registró la explosión al interior de domicilio donde se almacenaba pirotecnia, ubicada en calle Pensamientos s/n, colonia Santa Rita, municipio de Tultepec. Se reportó 1 fallecido en el lugar (femenina) y 4 personas lesionadas, trasladadas al Hospital de Alta Especialidad de Zumpango.</t>
  </si>
  <si>
    <t xml:space="preserve">Chihuahua, Juárez y Camargo  </t>
  </si>
  <si>
    <t xml:space="preserve">De las 17:00 a 18:00 horas, se registró lluvia fuerte y caída de granizo en el municipio de Chihuahua y de 19:00 a 23:30 horas, se registró lluvia intensa en el municipio de Juárez, provocando en ambos municipios encharcamientos viales y vehículos varados (sin cuantificar), sin afectaciones mayores.
Municipio de Camargo: De las 18:00 a 02:00 horas, se registraron lluvias fuertes, provocando encharcamientos viales a nivel de banqueta y penetración de agua a viviendas a nivel patio (sin cuantificar). 00:13 horas, el rescate de 2 personas con vida (que quedaron agarradas de una rama) cuando su vehículo fue arrastrado por la corriente del río en la Ranchería Ortegueño. Al momento, ya sin lluvia.NOTA FONDEN insumos mas cenacom poblacion afectada 580 insumo y 2 de fonden 
</t>
  </si>
  <si>
    <t xml:space="preserve">CENACOM/FONDEN: insumos </t>
  </si>
  <si>
    <t>A las 14:30 horas, se reportó el impacto de un autobús de pasajeros contra un auto compacto en el Kilómetro 2 de la carretera Alpuyeca-Taxco resultando 2 personas fallecidas y 4 lesionadas trasladadas a diferentes nosocomios para su valoración médica.</t>
  </si>
  <si>
    <t>Chihuahua </t>
  </si>
  <si>
    <t>Lluvia severa e inundación pluvial del 27 al 30 de junio de 2021</t>
  </si>
  <si>
    <t>A las 16:10 horas, se registró el impacto y volcadura de una camioneta del servicio público, contra un vehículo particular, esto en avenida Madero Poniente, esquina Puente de Calderón, colonia Tres Puentes, en el municipio de Morelia. Derivado de lo anterior se reportan 15 personas lesionadas, de las cuales 12 fueron trasladados al IMSS regional, Hospital Civil y Cruz Roja.</t>
  </si>
  <si>
    <t>07:16 horas. Se registró el impacto entre camión de personal propiedad de la empresa Pirelli  y un vehículo particular tipo sedán,  sobre  la Carretera San Felipe - Silao,  a la altura El Paxtle. Se reporta 1 persona fallecida y  6 lesionados, quienes  venían dentro del auto compacto y fueron trasladados al hospital IMSS de Silao. El autobús transportaba 14 pasajeros, de los cuales ninguno presento lesiones de consideración.</t>
  </si>
  <si>
    <t>Ixtlahuacán de los Membrillos</t>
  </si>
  <si>
    <t>A las 11:20 horas. Se recibe reporte de la volcadura de un camión de pasajeros con razón social Turística Sureña, en km 24+600 de la carretera a Chapala – Guadalajara, crucero Santa Rosa – La Barca, municipio de Ixtlahuacán de los Membrillos, se reportan 10 personas lesionadas que fueron trasladadas al Hospital “Arboledas” para su atención médica.</t>
  </si>
  <si>
    <t>Carlos A. Carrillo y Cosamaloapan</t>
  </si>
  <si>
    <t>Derivado de las lluvias fuertes reportadas en el transcurso de la noche, se reportaron las siguientes afectaciones:
•              Viviendas afectadas: 179
•              Personas afectadas: 716</t>
  </si>
  <si>
    <t>A las 15:30 horas, se registra lluvia con caída de granizo con duración aproximada de 50 minutos en el Municipio de Huamantla, se reportan las siguientes afectaciones:
• 7 viviendas afectadas por penetración de agua en patios.</t>
  </si>
  <si>
    <t>A las 07:09:00 horas, se reportó el impacto por alcance de un Autobús de pasajeros perteneciente a la línea ETN turista con número económico 2260 proveniente de Pinotepa Nacional, contra la parte trasera de una góndola de materiales para construcción cerca de la Caseta de cobro Palo Blanco, Carretera del Sol Acapulco – Chilpancingo; se reportaron 1 fallecido (conductor) y 11 lesionados de los cuales 3 fueron trasladados al Hospital General en Chilpancingo.</t>
  </si>
  <si>
    <t>Tepic y Ahuacatlán</t>
  </si>
  <si>
    <t>Derivado de las lluvias fuertes reportadas en el transcurso de la tarde-noche, se reportaron las siguientes afectaciones:
•         Viviendas afectadas: 8
•         Vehículos afectados: 1
Municipio de Tepic:
o    1 vehículo varado en Av. Independencia. 
o    1 barda caída por acumulación de agua en el Fraccionamiento Villas del Roble.
o    1 vivienda con penetración de agua en su interior de aproximadamente 40 cm en la localidad Armadillo.
Municipio de Ahuacatlán:
o    7 viviendas con penetración de agua con una altura de 50 cm.</t>
  </si>
  <si>
    <t>A las 23:46 horas, se registró accidente ferroviario, en el que un vehículo sedan Yaris color negro quiso ganarle el paso al tren, impactándose contra la máquina con el número económico (4843) sobre el km 002+500 carretera (1110) Irapuato- Zapotlanejo, tramo Ramal Corralejo, dirección Manuel Doblado, municipio de Pénjamo. Se reportaron 2 personas fallecidas (masculinos de 39 y 10 años) del vehículo.</t>
  </si>
  <si>
    <t>A las 19:39 horas del día 03 de julio, se registraron lluvias de moderadas a fuertes en el municipio de Hermosillo, reportándose:_x000B_
- 2 fallecidos
- 2 caída de barda
- 4 vehículo afectados y 1 camión de transporte de personal.
- 12 viviendas afectadas
- 12 personas rescatadas
- Personas evacuadas (sin cuantificar).
1.- Zona Uno (Centro):
- 2 caída de barda en la Col. San Luis.
2.- Zona Dos (Choyal):
-1 fallecido atrapado bajo el agua acumulada en el puente a desnivel ubicado en Luis Encinas y Américas.
-1 vehículo arrastrado por la corriente en Saturnino Campo y Juan de Dios 
3.- Zona Tres ( Villa de Seris):
- 1 fallecido por descarga eléctrica en la Col. Real de Minas.
- 2 vehículo arrastrado por la corriente en Col. Las Villas y calle Félix Gómez.
- Carros varados( sin cuantificar)
- 12 viviendas con inundaciones en calles Toscana,  Torre de Greco, Seteros y Sotalvo.
5.- Zona Cinco ( Hermosillo):
- vehículos arrastrados por corriente en colonia Cuauhtémoc ( sin cuantificar).
- 2 personas salvadas en colonia Cuauhtémoc.
6.- Zona Seis ( San Boscoso)
- 1 Vehículo arrastrado en Carlos Balderrama y Manuel M. Diéguez.</t>
  </si>
  <si>
    <t>22:58 horas/ 04 de julio Se reporta el  choque frontal entre un camión de pasajeros con razón social Denver y una pickup Cheyenne 2002. Se reportan 16 lesionados de los cuales 6 fueron trasladados a un Hospital del IMSS para su atención y el resto se entendió en el lugar por contusiones leves, adicionalmente en el lugar se atendieron a 9 personas por presentar crisis nerviosa.</t>
  </si>
  <si>
    <t>Durante la mañana, se registró el arrastre de un menor de edad (13 años) por el río Las Agujas, municipio de Balleza. Iniciaron labores de búsqueda y rescate. 17:00 horas, fue localizado sin vida.</t>
  </si>
  <si>
    <t>San Mateo Atenco, Toluca, Zinacantepec, Almoloya de Juárez, Naucalpan, Atizapán de Zaragoza, Zumpango, Cuautitlán Izcalli y Tlalnepantla de Baz</t>
  </si>
  <si>
    <t xml:space="preserve">Derivado de las fuertes lluvias, granizo y fuertes vientos, se tienen las siguientes afectaciones:
• Municipios afectados: 9
• Personas fallecidas: 1
• Personas lesionadas: 2
• Personas rescatadas: 1
• Personas replegadas: 70
• Personas evacuadas: Sin cuantificar
• Viviendas afectadas: 331
• Negocios afectados: 15
• Vehiculos afectados: 12
• Escuelas: 1
• Hospitales: 1
------------------------
Municipio de Zinacantepec:
o 2 vehículos y 5 viviendas construidas al margen del río, por penetración de agua con tirante de hasta 1.5 m. Al momento, el nivel del agua descendió en su totalidad.
o Árbol caído que afectó 2 vehículos
Municipio Atizapán de Zaragoza: 
o Afectaciones en 165 viviendas y 15 negocios: 
o 1 vehículo varado por inundación en Av. Santa Mónica, con tirante de 50 cm. 
o Instalaciones de UNITEC afectadas por penetración de agua, con tirante de hasta 40 cm. 
o Hospital General de Atizapán de Zaragoza "Dr. Salvador González Herrejón", afectación por penetración de agua con tirante de hasta 30 cm. 70 personas replegadas a la parte alta del hospital, se labora en el desalojó del agua y se coordinan acciones con el Instituto de Salud del Estado de México y Cruz Roja Mexicana (7 ambulancias) para el traslado de 17 pacientes a los hospitales cercanos. 
Municipio de Zumpango:
o Fraccionamiento CADU, 161 domicilios afectados por penetración de agua.
 Municipio de Tlalnepantla de Baz
o Av. Lago de Guadalupe, presenta inundación de 50 cm ocasionando que 1 camión del transporte público quedará varado.
o 1 automóvil cubierto por agua bajo el paso a desnivel de Mario Colín y Boulevard Manuel Ávila Camacho. 
Rosarios.
o A las 22:00 horas se realiza rescate de 1 cuerpo sin vida de un masculino de aproximadamente 40 años, el cual se encontraba en el interior de un vehículo Honda color negro, en Av. Mario Colín, en el puente que atraviesa el Periférico; en el punto el tirante de agua alcanzó 4 metros cubriendo 4 vehículos, además con un bloque de hielo de 80 cm. Se rescató a una persona con vida de otro vehículo, valorada por personal de PC Tlalnepantla y se atendió a 2 elementos de bomberos ya que presentaban hipotermia.
</t>
  </si>
  <si>
    <t>A las 17:35 horas, derivado de las fuertes lluvias registradas en el municipio de San Fernando, se registró:
• Deslizamiento de ladera en la colonia Viva Cárdenas, Barrio San Miguel Dos, que ocasionó el desprendimiento de un muro de contención, provocando que 1 casa quedara sepultada por tierra y lodo. Se reportaron 6 menores de edad y 1 mujer (madre de los menores), quienes quedarían sepultados. Se realizan labores de rescate y se trasladan a 3 menores y a la mamá al Centro de Salud de San Fernando, los cuales ya no contaban con signos vitales. Se trasladan a 3 menores más al Hospital Gómez Maza en estado crítico.</t>
  </si>
  <si>
    <t xml:space="preserve">Hundimiento </t>
  </si>
  <si>
    <t>A las 20:00 horas, derivado de las lluvias presentadas, se registró el reblandecimiento de suelo y colapso de una barda perimetral de una cancha de básquetbol en el poblado de San Francisco Yosocuta, municipio de Huajuapan de León. Se reportaron 2 fallecidos (masculinos de 23 y 7 años) y 6 lesionados, de los cuales 2 fueron trasladados al hospital de la zona y 4 más atendidos en el lugar.</t>
  </si>
  <si>
    <t>Durante la madrugada, se registró incendio de una habitación al interior de un hotel, ubicado en calle 31 esquina calle 8, colonia Lomas de Casa Blanca, municipio de Santiago de Querétaro. Se desconocen las causas. De manera preventiva, se evacuaron a 33 personas. No se reportaron lesionados y/o fallecidos. El incendio quedó controlado y sofocado.</t>
  </si>
  <si>
    <t>Durante la mañana 06 de julio. Se registró salida de camino de un camión de transporte público, que transportaba a 43 pasajeros aproximadamente. Derivado de lo anterior se tiene reporte de 5 lesionados, que fueron trasladados al Hospital General de Ixtlahuaca.</t>
  </si>
  <si>
    <t>Pihuamo</t>
  </si>
  <si>
    <t>13:15 horas, se registró la volcadura de un camión de pasajeros de la línea “Sur de Jalisco”, en la km. 175, de la carretera Federal 110 Jiquilpan Manzanillo, a la altura de la comunidad Santa Cruz. Se reportaron 5 personas lesionadas trasladadas a un hospital cercano.</t>
  </si>
  <si>
    <t>14:00 horas . Se registró incendio de 2 contenedores que contenían Etanol y otro Metanol  cada contenedor contenían 100,000 litros, se realizó la evacuación de personas (sin cuantificar). A las 15:30 horas cuerpos de emergencia liquidaron el incendio. No se reportan personas lesionadas.</t>
  </si>
  <si>
    <t>San Pedro Jicayán</t>
  </si>
  <si>
    <t>13:04 horas. Se registró el impacto frontal entre dos vehículos para el traslado de pasajeros, una Nissan verde con blanco, de la unión de Permisionarios de San Juan Colorado, con número económico 00-866 PC-JAMIL-171, con placas 3RTP641 del estado de Oaxaca y una camioneta de la Unión de Transportistas Alza del Caído del Pacífico que cubría la Ruta de San Pedro Atoyac, con número económico 01-161 PC-JAMIL-162 y placas de circulación 4-RTN-453 del estado de Oaxaca. Se reportan  11 lesionados, canalizados al hospital Regional.</t>
  </si>
  <si>
    <t>A las 18:10 horas, se registró incendio de una nave industrial donde se almacenaba pintura en aerosol, refacciones plásticas para autos y telas, sobre Av. 11 #51 y Canarias, colonia San Simón Ticumac, alcaldía de Benito Juárez. Se realizó la evacuación y repliegue de 250 personas. Se reportan al momento, 8 lesionados (7 bomberos y 1 elemento de Protección Civil de la alcaldía) por intoxicación y quemaduras, unos atendidos en el lugar y otros trasladados a diferentes hospitales para su atención médica. 00:26 horas, se reporta liquidado el incendio.</t>
  </si>
  <si>
    <t>Atizapán de Zaragoza, Cuautitlán Izcalli, Tultitlán de Mariano Escobedo y Naucalpan de Juárez</t>
  </si>
  <si>
    <t xml:space="preserve">Derivado de las lluvias de moderadas a fuertes, se reportan las siguientes afectaciones:
•         Municipios afectados: 4
•         Personas rescatadas: 2
•         Viviendas afectadas: 25
•         Inmuebles afectados: 1
•         Vehiculos afectados: 1
------------------------
Municipio Atizapán de Zaragoza: 
o 1 vehículo quedó varado con 2 personas a bordo, mismas que fueron rescatadas por bomberos del municipio.
o    24 viviendas resultaron afectadas por penetración de agua con tirante de hasta 20 cm; el nivel del agua ya disminuyó.
Municipio de Naucalpan de Juárez
o Deslizamiento de tierra, afectando el patio trasero y 1 habitación del domicilio ubicado en calle Mar de la Felicidad N° 132, colonia Ciudad Brisa.
No hay reporte de evacuados, lesionados y/o fallecidos.
</t>
  </si>
  <si>
    <t>Zacualpan y Minatitlán</t>
  </si>
  <si>
    <t>Durante la tarde, se registró lluvia y vientos fuertes provocando las siguientes afectaciones:
• Municipios afectados: 2
• Viviendas afectadas: 11
• Negocios afectados: 1
• Vehiculos afectados: 1
------------------------
Municipio de Zacualpan
o    10 viviendas afectadas.
Municipio de Minatitlán
o 1 vehículo afectado por caída de árbol en colonia Insurgentes Norte.
o 1 vivienda afectada por caída de árbol en colonia Las Fuentes.</t>
  </si>
  <si>
    <t>A las 23:00 horas, se registró volcadura de autobús de transporte de personal empresarial (Ruta: Tlalnepantla de Baz – Ecatepec de Morelos), sobre Av. López Portillo en el puente vehicular elevado, a la altura de Villa de las Flores y Eje 8, municipio de Coacalco de Berriozábal. Se reportaron 18 personas lesionadas trasladadas a la Clínica 98 del IMSS del municipio.</t>
  </si>
  <si>
    <t>De 19:00 a 20:00 horas, se presentaron lluvias fuertes en el municipio de Villa de Tezontepec, reportándose:
• 4 viviendas afectadas por penetración de agua con tirante hasta los 25 cm en Av. La Paz, colonia Centro.
• 4 viviendas afectadas por penetración de agua con tirante hasta los 30 cm, en Margarita Maza de Juárez esquina Benito Juárez.</t>
  </si>
  <si>
    <t>Cuautla, Cd Ayala, Yautepec, Temixco, Emiliano Zapata y Jiutepec</t>
  </si>
  <si>
    <t>A partir de las 02:00 horas, se registran lluvias fuertes en los municipios de Cuautla, Cd Ayala, Yautepec, Temixco, Emiliano Zapata y Jiutepec, provocando las siguientes afectaciones:
•         Municipios afectados: 6
•         Personas evacuadas: 8
•         Viviendas afectadas: 69
------------------------
Municipio de Cuautla
o    50 viviendas afectadas por inundación. en las colonias Santa Inés, Vicente Guerrero, Tepeyac, Otilio Montaño, Amilcingo, Martinez de la Peña (tirante de 1 m o más) y Casasano (tirante de 1 m o más).
Municipio de Ayala
o    Desbordamiento del río Ayala a la altura de la colonia La Haciendita, se procedió a la evacuación de 2 familias por el riesgo que implica. 
o    15 domicilios afectados por inundación (tirante de 2 m), por lo que se realiza la evacuación de personas. 
Municipio de Temixco
o    2 domicilios afectados por penetración de agua (tirante de 20 cm) en la colonia La Parota sobre Av. Emiliano Zapata #9.
Municipio de Emiliano Zapata
o    2 domicilios afectados por penetración de agua (tirante de 20 cm) en colonias Prohogar y Rinconada La Misión.</t>
  </si>
  <si>
    <t>Jamay, Guadalajara, Zapopan, San Pedro Tlaquepaque, Tonalá y Acatlán de Juárez</t>
  </si>
  <si>
    <t xml:space="preserve">A las 19:45 horas, se presentaron lluvias fuertes en los municipios de Jamay, Guadalajara, Zapopan, San Pedro Tlaquepaque, Tonalá y Acatlán de Juárez, reportándose las siguientes afectaciones: 
• Municipios afectados: 6
• Viviendas afectadas: 115
• Vehiculos afectados: 12
Municipio de Jamay
o 1 vehículo arrastrado por la corriente del arroyo.
Municipio de Acatlán de Juárez
o 115 viviendas afectadas por penetración de agua. </t>
  </si>
  <si>
    <t>A las 07:30 horas se registra volcadura de autobús de personal con razón social LIPU, en el Km 33 de la carretera a Zacatecas a la altura del ejido la Angostura, Saltillo. Transportaba a 41 trabajadores de la empresa FCA, se reportan 12 lesionados trasladados a un hospital privado.</t>
  </si>
  <si>
    <t xml:space="preserve">A partir de las 03:00 horas, se registraron lluvias fuertes en el municipio de Matamoros, reportándose las siguientes afectaciones:
• Viviendas afectadas: 21 (14 con penetración de agua con daño a menaje y 7 por derrumbe).
• Vehiculos afectados: 7
• 1 refugio temporal habilitado en la “Alberca Chávez” (sin utilizar). 
• No se reportan lesionados y/o fallecidos.Nota vehiculos dañados cifras de cenacom </t>
  </si>
  <si>
    <t xml:space="preserve">CENACOM-FONDEN </t>
  </si>
  <si>
    <t xml:space="preserve">Esta noche se registra tormenta local en la región Montaña, en los municipios de Tlapa de Comonfort, Alpoyeca y Copanatoyac.
Municipio de Tlapa de Comonfort
• 1 masculino arrastrado con su motocicleta por la creciente de una barranca en la colonia Lázaro Cárdenas, rescatado con vida. 
• 1 vehículo arrastrado por la creciente de una barranca en la colonia Aviación.
• 1 camioneta estacionada arrastrada por la creciente súbita de agua en la colonia San Francisco, sólo daños materiales.
• 4 viviendas afectadas por penetración de agua (tirante de 70 cm).
• 19 personas afectadas. </t>
  </si>
  <si>
    <t>A las 23:00 horas, se registró accidente entre autobús de pasajeros con razón social Omnibus de México y un tráiler, sobre el km 115+700 de la carretera (2715) Tulancingo – Tihuatlán, tramo Tulancingo - Tejocotal, dirección México, a la altura de la comunidad Tepepa, municipio de Acaxochitlán. Se reportó 1 fallecido y 26 lesionados, trasladados al Hospital General e IMSS del municipio de Tulancingo.</t>
  </si>
  <si>
    <t>A partir de las 20:30 horas, se registraron lluvias fuertes en el municipio de Múzquiz, reportándose:
• 24 viviendas afectadas con penetración de agua (6 en colonia Centro y 18 en colonias Luis Donaldo.</t>
  </si>
  <si>
    <t>A las 11:20 horas, se registra perforación de un tanque de 10,000 litros que almacenaba ácido clorhídrico, de una empresa con razón social Fertilizantes Campo Nuevo, ubicada en el parque industrial de Agua Prieta, Sonora. Se reportan 2 personas que sufrieron daños respiratorios.</t>
  </si>
  <si>
    <t xml:space="preserve">A las 17:00 horas del 10 de julio Se reportó lluvia moderada en el centro del estado y caída de granizo en la zona norte.
Afectaciones:
- 4 Vehículos dañados por inundación
- 2 lesionados
-----------
- 1 lesionado quien fue trasladada de emergencia a la clínica 50 del IMSS.
- Árbol caído sobre la vialidad sobre un auto en Segunda Privada Del Sol, colonia Rural Atlas
- Caída de segmento de techo laminado en el C. Comercial "El Dorado". Se procedió a acordonar el área, se reportó 1 lesionada quien fue atendida en el lugar.
</t>
  </si>
  <si>
    <t>17:30 horas/ 10 de julio
Derivado de las lluvias, se reportó:
- 6 viviendas afectadas por penetración de agua.
- 34 personas afectadas.
- 4 lesionados.
———————————
Comunidad Tacuro: 
- 4 viviendas afectadas por penetración de agua.
- 24 personas afectadas.
- 4 lesionados.
Comunidad Zopoco
- 2 viviendas afectadas por penetración de agua.
- 10 personas afectadas.</t>
  </si>
  <si>
    <t>00:25 horas/ 12 de julio
Choque entre tráiler y autobús de pasajeros sobre autopista Tepic_ Guadalajara km 27 a la altura del municipio de Tequila. Se reportan 6 fallecidos y 41 lesionados de los cuáles 10 son trasladados al Hospital Privado Arboledas en el municipio de Guadalajara.</t>
  </si>
  <si>
    <t>Jamay y Acatlán de Juárez</t>
  </si>
  <si>
    <t>Afectaciones por lluvias Jalisco
• 2 municipios afectados
• 50 viviendas con penetración de agua a nivel de patio, se continua cuantificando.
• 5 Vehiculos varados y arrastrados
-----------------------------
Municipio de Jamay
Se registra caída de lluvia fuerte a las 22:00 horas con duración de 1 hora, se reporta el desbordamiento del arroyo Jamay, se presentan las siguientes afectaciones:
• 5 Vehículos arrastrados
• Viviendas afectadas en proceso de cuantificación. 
Se habilitó 1 refugio temporal el cual no fue utilizado.
Municipio de Acatlán de Juárez
Se registra caída de lluvia fuerte a las 21:30 horas con duración de aproximadamente 2 horas, se presentan las siguientes afectaciones:
• Vehiculos varados (sin cuantificar)
• 50 viviendas con penetración de agua a nivel de patio.</t>
  </si>
  <si>
    <t>Tlajomulco de Zúñiga y Acatlán de Juárez</t>
  </si>
  <si>
    <t>A partir de las 19:30 horas, se registraron lluvias fuertes de 85 mm en los municipios de Tlajomulco de Zúñiga y Acatlán de Juárez, provocando: 
•         Municipios afectados: 2
•         Viviendas afectadas: 215
•         Vehiculos varados (sin cuantificar)
•         Caída de muro perimetral: 1
-------------------------
Municipio de Tlajomulco de Zúñiga
o 190 viviendas afectadas por penetración de agua. 
o 1 muro perimetral caído, por lo que se labora en la rehabilitación del Arroyo La Hacienda con desazolve a vaso regulador con apoyo de camión tipo volteo de 5 m3 y retroexcavadora 360.
o    Vehiculos varados (sin cuantificar). 
Municipio de Acatlán de Juárez
o    25 viviendas con penetración de agua. 
o    Vehiculos varados (sin cuantificar).</t>
  </si>
  <si>
    <t>A las 17:40 horas/ 13 de junio. Se registró hundimiento de embarcación turística de nombre Rosa Coral,  en Punta Sur, municipio de Isla Mujeres, al parecer una falla mecánica y el alto oleaje provocó el accidente, 15 personas eran las que estaban a bordo, se reportan 3 fallecidos.</t>
  </si>
  <si>
    <t>Alrededor de las 12:00 h (tiempo local) ocurrió la volcadura de una pipa de la empresa Transportes del Norte de Sonora, la cual transportaba 10,000 litros de cloro. Esto ocurrió en el cruce de la avenida 6 y la calle 13, colonia Nueva Industrial en Agua Prieta, Sonora.
El conductor se encuentra lesionado y se produjo la fuga de 1,000 litros de cloro.</t>
  </si>
  <si>
    <t>19:38 horas/14 de julio. Derivado de las lluvias fuertes en zona de la Sierra y crecida del río en la localidad de El Arenal, tenencia de Atécuaro, municipio de Morelia, se reporta:
•         Penetración de agua en 10 viviendas.</t>
  </si>
  <si>
    <t>A las 06:45 horas se reporta accidente por alcance entre 3 tractocamiones y camión de transporte público el cual se dirigía al Metro Politécnico, en Kilómetro 44+500 de la Autopista México-Querétaro, se reportan 6 fallecidos y 9 lesionadas trasladados al Hospital de Traumatología de Lomas verdes.</t>
  </si>
  <si>
    <t>Chimaltitán</t>
  </si>
  <si>
    <t>Durante la madrugada, se presentaron lluvias fuertes en el municipio de Chimaltitán, provocando penetración de agua a 90 viviendas (45 con afectaciones a enseres y 45 a nivel de patio). 8 personas de la tercera edad evacuadas de un asilo (por condiciones higiénicas, ya que se tuvo penetración de agua en el lugar). Sin reporte de lesionados y/o fallecidos.</t>
  </si>
  <si>
    <t>A las 17:20 horas, se presentaron lluvias fuertes en la Zona norte del municipio de Guadalajara, reportándose las siguientes afectaciones:
•         12 vehículos varados.
•         2 locales con penetración de agua (tirante 40 cm).
•         3 personas rescatadas (lesionadas): el primer rescate de 1 femenina que quedó al interior de su vehículo cuando fue arrastrado por la corriente (Bomberos lograron rescatarla con leves lesiones) y el segundo rescate fue de 1 femenina de 16 años de edad y 1 masculino de 18 años de edad que se encontraban resguardándose de la lluvia en una cabaña a las faldas del cerro conocido como La Barranca de Huentitán, cuando ocurrió el derrumbe de piedras y tierra (Bomberos Municipales lograron rescatar a ambas personas; el masculino con fracturas en brazo derecho y la femenina con lesiones graves en varias partes de su cuerpo incluyendo posible fractura de cráneo).</t>
  </si>
  <si>
    <t>Durante la tarde, se registró lluvia de ligera a moderada en el municipio de Agua Prieta, reportándose: 
• 48 viviendas con penetración de agua (tirante de 10-30 cm). 
• 13 vehiculos arrastrados por la corriente (rescatados y remolcados). 
• 1 puente afectado en calle 28 y Av. 6, el cual será evaluado el día de hoy (los puntos de contacto de la cinta asfáltica perdieron contacto con la estructura del puente).</t>
  </si>
  <si>
    <t xml:space="preserve">Jesús María </t>
  </si>
  <si>
    <t>Se presentaron lluvias fuertes en la comunidad de El Cenizo, municipio de Jesús María, reportándose las siguientes afectaciones:
•         5 viviendas afectadas
•         15 personas apoyadas para la limpieza de sus domicilios
•         Se habilitó 1 refugio temporal en la cabecera municipal Sin personas instaladas.</t>
  </si>
  <si>
    <t>20:00 horas/ 17 de julio se reporta el choque y volcadura de un camión de pasajeros con un vehículo particular y salida de camino. En Avenida Morelos, Carretera Salamanca, Col. Ampliación La Soledad, Municipio Morelia. Se reportan 5 lesionados trasladados a un hospital para su atención.</t>
  </si>
  <si>
    <t>03:08 horas/ 17 de julio Choque y volcadura de vehículo particular de VW Polo con placas PMB-61-94 con patrulla de tránsito de la SSC con placas MX-279D-1, sobre Paseo de la Reforma esquina Lieja, colonia Juárez, alcaldía de Cuauhtémoc. Se reportaron 4 lesionados, 2 civiles atendidos y trasladados al Hospital Ángeles por ambulancia Advanced Medical Assistance y 2 policías atendidos y trasladados al Hospital Ángeles Mocel por la ambulancia Medic Red 3.</t>
  </si>
  <si>
    <t>15 viviendas  con penetración de agua en la cabecera municipal.</t>
  </si>
  <si>
    <t xml:space="preserve">El día 20/07/2021 23:00 horas (tiempo local)  Se registró desplome e incendio de avioneta tipo CESSNA, matrícula XB-RKI. Se reportaron 2 fallecidos. Se presume que la aeronave era utilizada para actividades ilícitas. </t>
  </si>
  <si>
    <t>A las 06:37 horas (tiempo local) se registró volcadura de un camión de pasajeros. Derivado de lo anterior, se reportan 15 lesionados (4 de gravedad), que fueron trasladados al Hospital General del IMSS para su valoración y atención médica.</t>
  </si>
  <si>
    <t xml:space="preserve">• 4,854 viviendas afectadas (10 viviendas con pérdida total de techo y lámina) 
• 48 comercios afectados
• 18,976 personas afectadas
• 36 vehículos afectados (118 personas rescatadas de vehículos)
• 10 Edificio públicos afectados
• 1 puente peatonal con daño total
• Colapso del sistema de drenaje
• Daños en el sistema de comunicación del C5 y estación de Bomberos (antenas) NOTA: Cifra de CENACOM vhiculo dañados </t>
  </si>
  <si>
    <t>Guadalajara, Tlajomulco de Zúñiga y Zapopan</t>
  </si>
  <si>
    <t xml:space="preserve">Durante la tarde del 22 de julio y derivado de las lluvias y vientos fuertes registradas en las últimas horas en la Zona Metropolitana de Guadalajara, en los municipios de Guadalajara, Tlajomulco de Zúñiga y Zapopan, se reporta:
Municipio de Zapopan
o 2 personas rescatadas de 1 vehículo varado. </t>
  </si>
  <si>
    <t>A partir de las 17:00 horas/ 24 de julio, se registró lluvia intensa en el municipio de Zapopan, resultando:
• 2 personas y 1 mascota rescatadas con vida de 1 vehículo. 
• 310 viviendas afectadas por penetración de agua.
• 12 Vehiculos varados.
§ Sobrevuelo de valoración de daños.</t>
  </si>
  <si>
    <t>A las 13:30 horas, se registró un derrumbe de talud, sobre la carretera Tetelcingo – Xaltenango, lugar conocido como El Arenal, municipio de Coscomatepec. Se reportó 1 fallecido (masculino de 26 años) quien quedó atrapado bajo tierra. Maquinaria rentada por parte del H. Ayuntamiento realizó las labores de búsqueda y recuperación del cuerpo.</t>
  </si>
  <si>
    <t>25 de julio se registró lluvia fuerte  a las 18:00 horas en el municipio de Zapopan, Tlajomulco de Zúñiga y Tlaquepaque  se reportan las siguientes afectaciones:
192 viviendas con penetración de agua
-------
Municipio de Zapopan
•  180 viviendas con penetración de agua
• Rescate de 56 personas que quedaron atrapadas en sus viviendas.
Municipio de Tlajomulco
• 6 viviendas con penetración de agua
Municipio de Tlaquepaque
• 6 viviendas con penetración de agua
- Fallecidos: 0
- Lesionados: 0
- Evacuados: 56
- Rescatados: 56</t>
  </si>
  <si>
    <t>Cananea y Nogales</t>
  </si>
  <si>
    <t xml:space="preserve">A las 13:00 horas, se presentaron lluvias de hasta 26.9 mm y vientos moderados en los municipios de Cananea y Nogales, reportando las siguientes afectaciones:
MUNICIPIO DE NOGALES
• Viviendas y negocios afectados por entrada de agua temporal, sin contabilizar 
• 20 vehículos arrastrados por la corriente
• 1 persona fallecida por arrastre al interior de su vehículo
• 2 bardas colapsadas 
MUNICIPIO DE CANANEA
• Taponamiento de alcantarillado 
• Anegaciones de hasta 50 cm
• 8 negocios con ligera introducción de agua NOTA: cifra de vehiculos dañados de CENACOM </t>
  </si>
  <si>
    <t xml:space="preserve">A las 06:17 horas del 17 de julio, Se presentó la caída a un barranco de un autobús de pasajeros en el km 120+000 autopista Tepic-Guadalajara, municipio de Tepic. Se reportaron 19 personas lesionadas, (3 de ellas en estado grave).  El autobús de la compañía TAP y con ruta a Hermosillo, quedó a 20 metros de la cinta asfáltica. </t>
  </si>
  <si>
    <t xml:space="preserve">
Personal de Protección Civil estatal brindó atención a un reporte ciudadano sobre un hombre que quedó sepultado por arena durante sus labores en la excavación de una zanja en Cuautlancingo.</t>
  </si>
  <si>
    <t>Derivado de las fuertes lluvias durante la madruga del día de hoy, se reporta el desborde del canal Sabino, frente a la clínica 24  del IMSS, informan que el agua no entra a la unidad, solo las calles se reportaron con anegaciones, sin reporte de evacuados, ni daños humanos. El arroyo que pasa por la localidad de 6 de enero, rebasó su nivel y se desbordó, lo que causó daños en 2 casas con pérdidas materiales y 28 casas con inundaciones mínimas.</t>
  </si>
  <si>
    <t>A las 08:56 horas, se reportó una explosión por acumulación de gas LP en calles Monte Everest y Monte Aconcagua, col. Reforma Política, Alcaldía Iztapalapa. Se reportaron 2 lesionados (Adulto y menor). El adulto presentó quemaduras de 2do grado en 80% de su cuerpo y fue trasladado vía aérea por el cuerpo de emergencia CONDOR al Hospital General de Iztapalapa Rubén Leñero, mientras que el menor fue trasladado al Hospital Pediátrico Infantil de Tacubaya.</t>
  </si>
  <si>
    <t xml:space="preserve">Durante el día de ayer, se registraron lluvias fuertes en el municipio de Cómala, reportándose las siguientes afectaciones:
•         1 vivienda con penetración de agua.
•         Penetración de agua en el Centro de Salud de la localidad de Suchitlán, sin personas afectadas.
No se reportan evacuados, lesionados y/o fallecidos.
</t>
  </si>
  <si>
    <t xml:space="preserve">Alrededor de las 09:57 horas, se reportó la caída de una avioneta fumigadora Esquinca con número de matrícula XB-JUGN, en el Rancho Ilusión de la Ranchería Manuel Buelta, municipio de Teapa. Se reportó el fallecimiento del piloto.  </t>
  </si>
  <si>
    <t>A las 06:20 horas, se registró explosión en un taller de pirotecnia, ubicado en calle Morelos No. 59, Barrio San Rafael, municipio de Tultepec. Se reportaron 2 personas lesionadas, trasladadas al Hospital de Especialidades de Zumpango. En la zona se realizaron labores de reencarpetamiento asfáltico de la calle y banqueta afectada por la explosión.</t>
  </si>
  <si>
    <t xml:space="preserve">15:39 horas-02/08/2021. Se registró lluvia fuerte acompañada de vientos de moderados a fuertes en el municipio de Naco, ocasionando las siguientes afectaciones:
• Crecida de un arroyo que por la obstrucción de basura se desbordó afectando 23 viviendas (tirante de 50 cm).
</t>
  </si>
  <si>
    <t>Derivado por las fuertes lluvias 44 mm (14 mm de 20:00-21:00 horas), que se presentaron desde las 19:00 horas en el municipio de Torreón, se reportaron las siguientes afectaciones:
• 125 familias afectadas.
• 4 viviendas afectadas (con mayores afectaciones). 
• 2 vehiculos arrastrados desde la colonia Camilo Torres hasta La Polvorera.
• 1 barda caída de Escuela Primaria General Álvaro Obregón. 
No se reportan lesionados y/o fallecidos.</t>
  </si>
  <si>
    <t>Gómez Palacio y Mapimí</t>
  </si>
  <si>
    <t>Municipio de Gómez Palacio
Se presentó lluvia fuerte en el municipio, provocando las siguientes afectaciones: 
• 2 vehículos quedaron varados, por lo que fue necesario rescatar a las personas a bordo (sin cuantificar).
• 13 viviendas afectadas por penetración de agua (tirante de 1.5 metros) en el Ejido Poanas.
Municipio de Mapimí
• 2 refugio temporales activados en el DIF municipal (6 personas) y Refugio del Templo (18 personas). 
• 240 viviendas afectadas por penetración de agua.
No se reportaron lesionados y/o fallecidos.</t>
  </si>
  <si>
    <t xml:space="preserve">Apatzingán  </t>
  </si>
  <si>
    <t>A las 05:00 horas, derivado de las fuertes lluvias en la cabecera Municipal y parte alta en la sierra de Acahuato, municipio de Apatzingán, se provocaron las siguientes afectaciones: 
• 15 viviendas afectadas por penetración de agua sobre la Av. Tepalcatepec, colonia Miguel Hidalgo, por lo que las familias se resguardaron en casas de vecinos y familiares. Ningún domicilio sufrió daño en su estructura.</t>
  </si>
  <si>
    <t xml:space="preserve">Durante el transcurso de la madrugada, se presentaron lluvias de moderadas a fuertes en el municipio de Gómez Palacio, reportándose:
• 3 vehiculos afectados que quedaron varados en desnivel (cubiertos en su totalidad por agua), en Blvd. Miguel Alemán. 
• 12 viviendas afectadas por penetración de agua y daño por caídas de barda en Ejido Poanas. </t>
  </si>
  <si>
    <t xml:space="preserve">15:15 horas-07/08/2021. Se registraron lluvias fuertes en la localidad de San Juanito, municipio de Bocoyna, reportándose las siguientes afectaciones:
• 315 viviendas afectadas con tirantes de hasta 1.5 metros (100 se consideran las más afectadas con daños en la totalidad de enseres domésticos). 
• 1 caída de barda de taller mecánico, donde la corriente arrastró un aproximado de 15 vehiculos de su interior.
• Arrastre de 5 vehiculos más por el cauce de arroyo.
• 1 refugio temporal habilitado, sin ser necesaria su activación ya que las personas se fueron con familiares y amigos. 
Personal de Protección Civil y Bomberos laboran en el desazolve de alcantarillas, limpieza y saneamiento de viviendas. </t>
  </si>
  <si>
    <t xml:space="preserve">A partir de las 16:00 horas, se registraron fuertes lluvias (tromba) en la comunidad de Tabelojeca, municipio de Ahome, reportándose las siguientes afectaciones: 
• 40 viviendas afectadas por penetración de agua 
• 40 familias evacuadas a refugio temporal 
• 1 refugio temporal activado en la Escuela Primaria Canuto Ibarra Guerrero con 31 personas (9 menores y 22 adultos), con la instalación de 3 salones.
</t>
  </si>
  <si>
    <t>Durante la madrugada del 10 de agosto, se registraron lluvias fuertes en el municipio de Escuinapa, reportándose:
• 74 viviendas con penetración de agua ubicadas en zonas bajas. 
• Personas que se fueron con familiares y amigos (sin cuantificar).</t>
  </si>
  <si>
    <t>Gustavo A. Madero, Coyoacán, Benito Juárez, Álvaro Obregón, Iztacalco, Iztapalapa, Azcapotzalco, Tlalpan, Tláhuac, Cuauhtémoc, Xochimilco, Miguel Hidalgo y Cuajimalpa</t>
  </si>
  <si>
    <t>Durante la tarde-noche, se han registrado lluvias de ligeras a fuertes y vientos moderados en la Ciudad, provocando las siguientes afectaciones:
•         Viviendas afectadas: 2
•         Vehiculos afectados: 5</t>
  </si>
  <si>
    <t>Se reportó un choque de autobús de la línea "Genesis," procedente de Ometepec y con destino a la Ciudad de México, en autopista del Sol, México-Acapulco, km 330, con dirección a la ciudad de México, municipio Juan R. Escudero, el cual se impactó contra un tracto camión, resultando 07 personas lesionadas, las cuales fueron trasladadas para recibir atención médica.</t>
  </si>
  <si>
    <t>03:50 horas Se registró el impacto entre un autobús de pasajeros de la línea TLA número ECO 4406 y un tracto camión Kenworth en Km  173 + 00 de la Carretera La Isla-Cosoleacaque, municipio de Acayucan. Derivado de lo anterior, se reportan  15 personas lesionadas, trasladadas al Hospital Regional Oluta.</t>
  </si>
  <si>
    <t>A las 14:15 horas, se presentó un explosión e incendio de la empresa Protexa donde se fabricaba recubrimientos y aislantes térmicos; se realizó la evacuación de 305 personas entre todo el personal de la empresa, del Hotel Hi, de la tienda Sam’s Club, KFC, Autozone, LADESA, Sherwin Williams y de la escuela Open English. Se reportan 2 fallecidos, que fueron encontrados en el interior de la empresa y 4 lesionados, que fueron trasladados al Hospital del IMSS; así mismo 2 bomberos fueron atendidos por golpe de calor.</t>
  </si>
  <si>
    <t>Tepic, Amatlán, Ahuacatlán, Ixtlán del Río, Del Nayar, Rosamorada, Tuxpan y Acaponeta</t>
  </si>
  <si>
    <t xml:space="preserve">A las 20:00 horas, se presentó lluvia fuerte en el estado de Nayarit, derivado de lo anterior, al momento se reportan las siguientes afectaciones:
Municipio de Tepic:
• 10 Vehículos varados
• Viviendas afectadas (sin contabilizar) 
Municipio de Amatlán:
• Vehículos varados
• Viviendas afectadas (sin contabilizar) 
Municipio de Ixtlán:
• Vehículos varados
• Viviendas afectadas (sin contabilizar) </t>
  </si>
  <si>
    <t>Panindícuaro</t>
  </si>
  <si>
    <t>A las  02:12 horas se reporta accidente carretero de autobús de pasajeros de la Empresa LA LINEA a la altura del Km 290 de la Carretera Federal 15D Guadalajara- Morelia, municipio de Panindícuaro, se reporta 1 fallecido y 10 lesionados de los cuales 5 se trasladaron a un Hospital para su atención.</t>
  </si>
  <si>
    <t>A las 17:14 horas, se reportó accidente de autobús de transporte de personal con razón social ETS y No. económico 5010, en km 182+900 carretera (2080) Poza Rica - Veracruz, tramo Poza Rica - Cardel, dirección Poza Rica, municipio Actopan. Se vieron involucrados 1 autobús de personal de la marca Volvo el cual transportaba personal de la CFE, 1 tractocamión tipo plana con placas 03-TZ-4M que transportaba PET y 1 camioneta CRV color gris con placas YKR-90-68. Se reportaron 2 fallecidos y 19 lesionados, 18 trasladados al Hospital Regional de Cardel y 1 trasladado al IMSS de Veracruz.</t>
  </si>
  <si>
    <t xml:space="preserve">San Pedro Cholula  </t>
  </si>
  <si>
    <t>A las 19:47 horas, se registró explosión en las instalaciones de la Fiscalía General del Estado de Puebla, ubicadas en la Recta Cholula y Calzada Zavaleta, municipio de San Pedro Cholula. Se desconocen las causas. Se reportaron 2 fallecidos y 3 lesionados (1 atendido en el sitio y 2 trasladados por sus medios).</t>
  </si>
  <si>
    <t>Derivado de las lluvias fuertes registradas durante la tarde-noche, se registran las siguientes afectaciones:
•         12 viviendas con penetración de agua en cocheras de viviendas.</t>
  </si>
  <si>
    <t>A las 20:25 horas, se registró reblandecimiento de un alud de tierra, sobre la carretera Tuxpan a Pueblo Viejo, a la altura de las instalaciones de la DMPC, municipio de Pueblo Viejo. Se produjo ya que se realizaban labores de mantenimiento y desazolve en la línea de abasto del servicio de agua potable, dejando a 2 trabajadores sepultados y a 1 maquinaria pesada. Se reportó 1 fallecido y 1 lesionado.</t>
  </si>
  <si>
    <t>El día de ayer 15 de agosto, se registró la volcadura de una pipa de la empresa Karso Transportes, S. de R. L. de C. V., con 32,000 litros de gasolina, esto en el kilómetro 16 del Libramiento Sur 2, en el municipio de Reynosa, Tamaulipas.
No se tiene reporte de daños humanos, pero se presentó el derrame de 19,000 litros del producto.</t>
  </si>
  <si>
    <t>A las 10:20 horas, se registró explosión por acumulación de gas Lp en edificio, ubicado en Av. Coyoacán No. 1900 casi esquina con Amores, colonia Acacias, alcaldía de Benito Juárez. La explosión se originó en el segundo piso del inmueble, reportándose:
• 26 lesionados (8 trasladados a: Hospital de Xoco, Hospital Ruben Leñero, Hospital Médica Sur, Sanatorio Adventista y Hospital San Angel Inn Chapultepec; 2 personas con COVID trasladadas al Hospital Enrique Cabrera y 16 atendidas en el lugar).
• 300 personas evacuadas.  
• 63 departamentos de 3 edificios del conjunto habitacional presentaron algún tipo de afectación, por lo que se realizará dictamen estructural del edificio; así como daños menores en edificios aledaños, como vidrios rotos en ventanas. 
• 1 persona que había sido trasladada para su atención médica, perdió la vida (14:30 horas).</t>
  </si>
  <si>
    <t>El día de hoy, se presentó un derrumbe de tierra en la colonia Loma Bonita, en el municipio de Tlapa de Comonfort, donde se vieron afectadas 3 viviendas con daños parciales (una vivienda con daños en un baño construido con mampostería y una cocina de madera y lámina; las otras dos viviendas con presencia de tierra y piedras. No se tiene reporte de daños humanos, pero fue necesario evacuar las 3 viviendas (aproximadamente 12 personas), mismas que fueron trasladadas con familiares y/o amigos.</t>
  </si>
  <si>
    <t xml:space="preserve">A las 19:00 horas de ayer, se presentó  lluvia ligera 27.6 mm, misma que se intensificó a las 20:30 horas, en el municipio de Guadalupe. Derivado de lo anterior se reportan las siguientes afectaciones:
• 7 viviendas afectadas en el tejado  en la comunidad La Cuartilla
• 2 vehículos varados Ya atendidos 
• 2 personas rescatadas de vehículos varados
• 2 bardas colapsadas </t>
  </si>
  <si>
    <t xml:space="preserve">Álamo Temapache, Alto Lucero de Gutiérrez Barrios, Castillo de Teayo, Cerro Azul, Chiconquiaco, Chicontepec, Chumatlán, Coacoatzintla, Coahuitlán, Coxquihui, Coyutla, Espinal, Filomeno Mata, Huayacocotla, Ilamatlán, Ixhuatlán de Madero, Mecatlán, Miahuatlán, Misantla, Naolinco, Nautla, Platón Sánchez, San Rafael, Tantoyuca, Tempoal, Tenochtitlán, Texcatepec, Tlachichilco, Tonayán, Tuxpan, Vega de Alatorre, Xalapa, Zacualpan, Zongolica, Zontecomatlán de López y Fuentes, Zozocolco de Hidalgo, Alto Lucero de Gutiérrez Barrios, Banderilla, Coacoatzintla, Coatepec, Xalapa, Jilotepec , Vega de Alatorre, Álamo Temapache , Tuxpan, Herrera y Poza Rica de Hidalgo, Chalma y Chicontepec, Tempoal, Ilamatlán y Platón Sánchez (43 municipios) </t>
  </si>
  <si>
    <t>Huracán “Grace” (Lluvia severa), Inundación pluvial y fluvial del 20 y el 24 de agosto</t>
  </si>
  <si>
    <t>Huayacocotla, Jilotepec, Miahuatlán, Texcatepec, Tlilapan y Zontecomatlán de López y Fuentes </t>
  </si>
  <si>
    <t>Movimiento de ladera del 20 al 24 de agosto</t>
  </si>
  <si>
    <t xml:space="preserve">Alto Lucero de Gutiérrez Barrios, Cerro Azul, Chiconquiaco, Misantla, Naolinco, Nautla, Tantoyuca, Texcatepec, Tlachichilco, Tonayán , Zacualpan, Banderilla, Coatepec y Jilotepec,Coacoatzintla, Vega de Alatorre , Xalapa, Chalma, Chicontepec,Tempoal, Ilamatlán,Platón Sánchez, Huayacocotla, Miahuatlán y Zontecomatlán de López y Fuentes </t>
  </si>
  <si>
    <t>Lluvia severa, inundación fluvial y pluvial y movimiento de ladera del 20 al 23 de agosto de 2021</t>
  </si>
  <si>
    <t>Ahuacatlán, Ahuazotepec, Amixtlán, Aquixtla, Ayotoxco de Guerrero, Camocuautla, Caxhuacan, Chiconcuautla, Chignahuapan, Honey, Coatepec, Cuautempan, Cuetzalan del Progreso, Cuyoaco, Hermenegildo Galeana, Huauchinango, Huehuetla, Hueyapan, Hueytamalco, Huitzilan de Serdán, Atlequizayan, Ixtacamaxtitlán, Ixtepec, Jalpan, Jonotla, Jopala, Juan Galindo, Naupan, Nauzontla, Olintla, Pahuatlán, San Felipe Tepatlán, Tenampulco, Tepango de Rodríguez, Tepetzintla, Tetela de Ocampo, Tlacuilotepec, Tlaola, Tlapacoya, Tlatlauquitepec, Tuzamapan de Galeana, Venustiano Carranza, Xicotepec, Xiutetelco, Xochiapulco, Xochitlán de Vicente Suárez, Yaonáhuac, Zacapoaxtla, Zacatlán, Zapotitlán de Méndez, Zautla, Zongozotla , Zoquiapan, Pantepec  y Francisco Z. Mena</t>
  </si>
  <si>
    <t xml:space="preserve">Huracán categoría 2 "Grace" (lluvia severa) e inundación fluvial los dias 21 y 22 de agosto de 2021 55 municipios. El número de viiviendas 17916 se obtuvo de los boletines  de la página de Secretaria de Bienestar </t>
  </si>
  <si>
    <t xml:space="preserve">Secretaria de bienestar, FONDEN: insumos, reconstrucción </t>
  </si>
  <si>
    <t>Acaxochitlán, Agua Blanca de Iturbide, Calnali, Chapulhuacán, Eloxochitlán, Huautla, Huazalingo, Huehuetla, Huejutla de Reyes, Lolotla, La Misión, Molango de Escamilla, San Felipe Orizatlán, Pisaflores, San Bartolo Tutotepec, Tenango de Doria, Tepehuacán de Guerrero, Tianguistengo, Tlanchinol, Xochiatipan, Xochicoatlán , Yahualica, Mineral de la Reforma, Cuautepec de Hinojosa, Zacualtipán de Ángeles, Atlapexco y Metztitlán.</t>
  </si>
  <si>
    <t xml:space="preserve">Huracán Grace, inundación fluvial, inundación pluvial y lluvia severa del 21 al 23 de agosto. El número de viiviendas 45318 se obtuvo de los boletines de la página de Secretaria de Bienestar </t>
  </si>
  <si>
    <t xml:space="preserve">Secretaria de bienestar, FONDEN: recostruccion </t>
  </si>
  <si>
    <t>Tolimán</t>
  </si>
  <si>
    <t>A las 13:50 horas, se reportó la volcadura de un autobús de pasajeros de la empresa Flecha Azul en la Carretera  federal Tolimán-vernal. Resultaron 11 personas lesionadas, 2 de ellas de gravedad trasladadas al Hospital General de Cadereyta, no se reportan fallecidos.</t>
  </si>
  <si>
    <t>A las 12:50 horas, se reporta el impacto de un vehículo tipo Camión Unitario Pesado, marca Freightliner, color blanco balizado de la Guardia Nacional número económico GN313470, en el km 041+000 del Ramal CompostelaSe reportan 09 lesionados, trasladados al Hospital General Comunitario de Compostela, Nayarit.</t>
  </si>
  <si>
    <t xml:space="preserve">A las 15:10 horas se reporta incendio en una plataforma  E KU A2 del activo de producción MALOOB-ZAAP de Petróleos Mexicanos (Pemex), ubicada en el Golfo de México frente a Ciudad del Carmen. Se procedió al cierre de válvulas y al monitoreo en espera de que se consumiera el remanente. El reporte del estado de los trabajadores que se encontraban al momento de los hechos en la plataforma es el siguiente:
• 6 lesionados (3 Trabajadores de PEMEX y 3 de la compañía COTEMAR
• 1 fallecido (trabajador de PEMEX)
• 5 desaparecidos (3 de la compañía COTEMAR y 2 de Bufete de Monitoreo de Condiciones e Integridad. </t>
  </si>
  <si>
    <t>Pedro Ascencio Alquisiras</t>
  </si>
  <si>
    <t xml:space="preserve">A las 21:55 horas, se reportó la volcadura de una combi del servicio de transporte público, en la comunidad de Rancho Nuevo, municipio de Pedro Ascencio Alquisiras. Se desconocen las causas. Se reportó 1 fallecido (menor de 3 años) y 8 lesionados trasladados al Hospital General de Taxco para su atención médica. </t>
  </si>
  <si>
    <t>Ixmatlahuacan</t>
  </si>
  <si>
    <t>A las 12:00 horas del 23 de agosto, derivado de la lluvia y vientos fuertes en el municipio de Ixmatlahuacan, se registró el destechamiento parcial y total de 6 viviendas y afectación al servicio de energía eléctrica (restablecido) en la comunidad Las Cuatas. No se reportaron evacuados, lesionados y/o fallecidos.</t>
  </si>
  <si>
    <t>A las 20:00 horas se registra incendio de camioneta que transportaba productos de pólvora en avenida 5 de mayo casi esquina con 20 de noviembre, San Bartolo Cuautlalpan, municipio de Zumpango,  se realizaba una procesión religiosa y una chispa alcanzó el material pirotécnico que transportaba la camioneta. Se reporta 1 menor de edad fallecido y 4 lesionados de los cuales 3 fueron trasladados al Hospital de Alta Especialidad de Zumpango.</t>
  </si>
  <si>
    <t>Se presentó el  desplome de una avioneta tipo Cessna en las inmediaciones del predio la Hierbabuena, municipio de Canelas. En la aeronave con matrícula XB-RQI, viajaban 2 tripulantes, los cuales resultaron ilesos. El incidente se presentó por una falla mecánica.</t>
  </si>
  <si>
    <t>Tlacotalpan, Saltabarranca, Jáltipan, Minatitlán, Hueyapan de Ocampo, Santiago Tuxtla, Tehuipango, Amatitlán, Texistepec, Naranjal, San Juan Evangelista, Isla, José Azueta, Los Reyes, Tlapacoyan, Jalacingo, Atzalan, Altotonga, Calcahualco, Rafael Lucio, Jesús Carranza, Cosamaloapan, Atlahuilco y San Andrés Tuxtla</t>
  </si>
  <si>
    <t>Derivado de las fuertes lluvias registradas en días pasados, por el paso de la onda tropical No. 23 y 24, se reportan las siguientes afectaciones: 
• Viviendas afectadas: 4,865 (Minatitlán 100, Amatitlán 102, Texistepec 857, San Juan Evangelista 274, Isla 567, José Azueta 997, Tlapacoyan 1, Altotonga 5, Jesús Carranza 1,590, Cosamaloapan 106, Atlahuilco 1 y San Andrés Tuxtla 265) 
• Población afectada: 19,460
• Escuelas: 6
• Personas refugiadas: 53
• Personas evacuadas: 15</t>
  </si>
  <si>
    <t xml:space="preserve">A las 09:40 horas, se recibió el reporte del desplome e incendio de una avioneta de fumigación en el predio “San Antonio Fernández”, municipio de Atotonilco el Alto. Se reporta al piloto lesionado con quemaduras en el 60% de su cuerpo, requirió su trasladado a un hospital para atención médica. Se quemó un área de pastizal de 100 x 100. </t>
  </si>
  <si>
    <t>Lázaro Cárdenas, Arteaga</t>
  </si>
  <si>
    <t xml:space="preserve">Huracán categoría 1 "Nora" (lluvia severa) e inundación fluvial y pluvial los dias 27, 28 y 29 de agosto de 2021 </t>
  </si>
  <si>
    <t>Comala, Tecomán,Armería, Coquimatlán, Minatitlán, Villa de Álvarez y Manzanillo</t>
  </si>
  <si>
    <t>Huracán Nora  (lluvia severa), Inundación fluvial y pluvial el 28 y 29 de agosto</t>
  </si>
  <si>
    <t> San Blas, Huajicori, Rosamorada ,  Santiago Ixcuintla, Acaponeta, Tecuala y Tuxpan</t>
  </si>
  <si>
    <t xml:space="preserve">Huracán Nora Categoría 1 (lluvia severa) e inundación fluvial del 28 al 30 de agosto 7 Municipios </t>
  </si>
  <si>
    <t>Los Mochis</t>
  </si>
  <si>
    <t>A las 11:43 horas, se reportó el desplome de una avioneta de fumigación, la cual cayó a un canal de agua de riego en el Ejido Primero de mayo. Resultaron 4 personas lesionadas, quienes fueron trasladadas al Hospital de los Mochis</t>
  </si>
  <si>
    <t>Concordia,Mazatlán, Rosario,Escuinapa, Elota, San Ignacio y Culiacán</t>
  </si>
  <si>
    <t>Lluvia severa y vientos fuertes los días 28, 29 y 30 de agosto de 2021 (Huracán "Nora")</t>
  </si>
  <si>
    <t xml:space="preserve">Cabo Corrientes, Talpa de Allende , Tomatlán,  Puerto Vallarta, Cihuatlán , La Huerta y Autlan de Navarro </t>
  </si>
  <si>
    <t xml:space="preserve">Huracán categoría 1 "Nora" (lluvia severa y vientos fuerte) e inundación fluvial los dias 28 y 29 de agosto de 2021 </t>
  </si>
  <si>
    <t>A las 09:50 horas, se reportó el desplome de una avioneta fumigadora en Poblado de Cucuyulapa, municipio de Cunduacán. Se reporta 1 persona fallecida (piloto).</t>
  </si>
  <si>
    <t>Chahuites</t>
  </si>
  <si>
    <t>A las 20:21 horas, se registró la volcadura de autobús de pasajeros con razón social Viajes Aury y placas 821 HT8 del servicio público Federal de Turismo de color rojo, sobre el km 013+500 carretera (2530) carretera Tapanatepec - Talismán con Ramales a Unión Juárez y Cd. Hidalgo, tramo Tapanatepec - Arriaga, dirección Tapanatepec. Se reportó 1 mujer fallecida y 17 lesionados trasladados para su valoración médica al Hospital de Tapanatepec. En el autobús iban un total de 25 personas.</t>
  </si>
  <si>
    <t>Rafael Lucio y Saltabarranca</t>
  </si>
  <si>
    <t>Derivado de las lluvias fuertes de las últimas horas en los municipios de Rafael Lucio y Saltabarranca, se reportaron las siguientes afectaciones:
Municipio de Rafael Lucio
•         10 viviendas con anegaciones (hasta 1 metro)</t>
  </si>
  <si>
    <t>Desde las 19:00 horas, se registraron lluvias fuertes acompañadas de tormenta eléctrica y vientos de moderados a fuertes en los municipios de Centro, Huimanguillo y Nacajuca, provocando al momento:
Municipio de Centro
• 3 viviendas afectadas 
• 5 vehículos afectados por caída de árboles.
Se reportaron 2 personas lesionadas trasladadas al ISSSTE.</t>
  </si>
  <si>
    <t>Tlalnelhuayocan, Alpatláhuac, Texhuacán, Tlaquilpa, Tlaltetela y Fortín de las Flores</t>
  </si>
  <si>
    <t>Derivado de las fuertes lluvias registradas durante los días 01 y 02 de agosto, se reportan las siguientes afectaciones:
• Viviendas afectadas: 12 
• Población afectada: 48
• Personas evacuadas: 23</t>
  </si>
  <si>
    <t xml:space="preserve">o 08:00 horas-01/09/2021. Debido a que se abrió la compuerta de la presa La Soledad, ubicada en la Junta Auxiliar de Mazatepec, municipio de Tlatlauquitepec, se reportaron 3 trabajadores que operaban maquinaria en la zona, como desaparecidos.
o 08:00 horas-03/09/2021. Fue localizado 1 de los cuerpos de los desaparecidos 07:00 horas-09/09/2021. Se localizó un cuerpo más de los trabajadores desaparecidos. 18:00 horas-28/09/2021. Informa Protección Civil Estatal que al no localizar a la persona desaparecida la búsqueda fue suspendida el 20 de septiembre
</t>
  </si>
  <si>
    <t>Rescate de 11 personas*que quedaron atrapadas calle Cempoaltecas. Entre las calles de Chalchiutlicue, 2 de marzo, Alfredo del Mazo, Juan Fernández Albarrán, Benito Juárez y Tulipanes,  un aproximado de 80 domicilios con afectaciones  en patios. Calle Purépechas esquina con Chalchihueiticue 26 domicilios afectados con un tirante de 0 a 120 cm de profundidad. Callejón Purépecha 5 domicilios afectados con un tirante de 0 a 1 metro de profundidad.  Calle Yaquis 30 domicilios de 0 a 1 metro de profundidad.</t>
  </si>
  <si>
    <t>Plutarco Elías Calles</t>
  </si>
  <si>
    <t>A las 05:20 horas (tiempo local)  Se presentó un choque múltiple entre 2 tráileres y 1 camión de pasajeros en la carretera Sonoyta-San Luis Río Colorado, municipio de Plutarco Elías Calles. Se reportan 16 fallecidos y 22 lesionados, ( 6 de ellas de gravedad).</t>
  </si>
  <si>
    <t>Jojutla, Cuernavaca, Xochitepec, Emiliano Zapata y Jiutepec</t>
  </si>
  <si>
    <t>Desde las 00:00 horas, se registran lluvias moderadas en varios municipios del estado, sin reportar afectaciones. Se mantiene monitoreo del río Apatlaco (Zona baja del estado), que pasa por los municipios de Jojutla, Zacatepec y Apatlaco.
Municipio de Jojutla
• 14 viviendas con penetración de agua (20-30 cm).
 Municipio de Cuernavaca
• 1 vivienda afectada
 Municipio de Xochitepec
• 2 personas rescatadas de su vehículo
 Municipio de Emiliano Zapata
• 1 vehículo varado
 Municipio de Jiutepec
• 3 viviendas afectadas</t>
  </si>
  <si>
    <t>Morelia, Indaparapeo y Uruapan</t>
  </si>
  <si>
    <t>Derivado de las lluvias presentadas en el estado, se reportaron las siguientes afectaciones:
             Personas rescatadas: 3
             Viviendas afectadas: 100
             Desbordamiento de cauces: 2
Municipio de Indaparapeo (17:00 horas)
•              Penetración de agua a viviendas (30 cm).
Municipio de Uruapan (06:41 horas) 
•        100 viviendas con penetración de agua (60 cm)
•          3 personas (1 adulto y 2 menores) rescatadas del interior de su domicilio (80 cm)</t>
  </si>
  <si>
    <t>Chalco, Nezahualcóyotl, Jocotitlán, Luvianos, Apaxco, San Mateo Atenco y Tenancingo</t>
  </si>
  <si>
    <t>Debido a las lluvias presentadas desde la madrugada se reportan las afectaciones:
             Viviendas afectadas: 166
             Rescatados: 11
             Evacuados: 8
             Vehiculos afectados: 2
Infraestructura: DIF municipal de Tenancingo
Municipio de Chalco
 • 11 personas rescatadas atrapadas en calle Zempoaltecas, colonia Culturas.
• 141 viviendas con penetración de agua: 80 viviendas a nivel de patios, sobre las calles mencionadas anteriormente, 26 viviendas con penetración de agua (0-120 cm), 5 viviendas con penetración de agua (0-100 cm) y 30 viviendas en calle Yaquis (0-100 cm).
Municipio de Luvianos
 • 1 vehículo con daños por derrumbe, sin personas lesionadas. 
Municipio de Apaxco
• 10 viviendas afectadas por penetración de agua (5-20 cm).
• 1 camioneta arrastrada por la corriente, sin lesionados. 
Municipio de San Mateo Atenco
 • 15 viviendas con penetración de agua.</t>
  </si>
  <si>
    <t>A las 18:47 horas, se registró deslave de tierra en la localidad Loma Bonita, municipio de Zihuateutla, afectando a 3 viviendas, por lo que de manera preventiva 39 personas fueron evacuadas al refugio temporal del municipio.</t>
  </si>
  <si>
    <t>A las 16:25 horas, se registró una explosión generada por la combinación de ácido clorhídrico (ONU 1789 – Guía 157) y thinner, en las Antiguas instalaciones de la empresa cervecera Modelo, sobre calle Melchor Ocampo, colonia La Calzada, municipio de Cortázar. Se reportaron 7 lesionados (masculinos) trasladados al IMSS de Celaya y al Hospital General de Celaya. Se tuvo daños estructurales del inmueble por el colapso de la cisterna y una techumbre.</t>
  </si>
  <si>
    <t>Tlayacapan, Yautepec, Cuautla, Ayala, Yecapixtla y Tlalnepantla</t>
  </si>
  <si>
    <t xml:space="preserve">Derivado de las fuertes lluvias se reportan:
              Personas fallecidas: 3
             Personas desaparecidas: 2
             Personas rescatadas: 16
             Viviendas afectadas: 234
             Vehiculos afectados: 60
Municipio de Tlayacapan
•              60 viviendas con penetración de agua
•              Vehiculos arrastrados por la corriente
•   Instalación de refugio temporal en el Módulo de Seguridad Pública, carreta Oaxtepec - México s/n
•              3 fallecidos (confirmado por PC estatal) 
•              2 desaparecidos en la colonia El Plan
•              13 personas albergadas, se retiraron
Municipio de Cuautla
•              114 viviendas con penetración de agua. 
•              60 vehiculos varados 
•              10 personas rescatadas
•              2 albergues habilitados 
Municipio de Ayala
•              53 viviendas con penetración de agua
•              1 albergue habilitado
•              2 personas rescatadas 
Municipio de Yecapixtla
 •              6 viviendas con penetración de agua
Municipio de Jiutepec
• 114 viviendas con penetración de agua.
</t>
  </si>
  <si>
    <t>Zapopan, Tlajomulco de Zúñiga, Guadalajara, Ejutla y El Limón</t>
  </si>
  <si>
    <t>A partir de las 19:45 horas, se registraron lluvias de moderadas a fuertes en gran parte de la Zona Metropolitana de Guadalajara, reportándose: 
•              91 viviendas afectadas
•              25 evacuados.
•              1 telesecundaria afectada: 1 El Limón.
•              3 vehiculos afectados.
Municipio de Zapopan
• 52 viviendas con penetración de agua, de las cuales ya 34 contaban con afectaciones por lluvias pasadas.
• 1 vivienda colapsada, que ya contaba con dictamen de inhabitabilidad por daño estructural.
Municipio de Tlajomulco de Zúñiga
•              Inundaciones en vialidades de 1.5 m en colonias Nueva Aurora y Santa Cruz del Valle.
Municipio de Guadalajara
•              Inundaciones viales (1 m).
•              3 vehiculos varados.
Municipio de Ejutla
•              30 viviendas afectadas.
•              25 evacuados.
Municipio El Limón
•              8 viviendas afectadas.
•              1 Telesecundaria afectada.</t>
  </si>
  <si>
    <t>Cutzamala de Pinzón y Tixtla de Guerrero</t>
  </si>
  <si>
    <t>Municipio de Cutzamala de Pinzón: A las 23:00 horas del 05 de septiembre, la Dirección Municipal de Protección Civil informó al Centro de Atención a Emergencias región Tierra Caliente, que 30 viviendas resultaron con inundaciones en la cabecera municipal, lo anterior debido a que el río Cutzamala subió su nivel, al recibir el derrame controlado que realiza la Conagua en la presa del Gallo.</t>
  </si>
  <si>
    <t>Tuxtla Gutiérrez, Coapilla, Simojovel, Pueblo Nuevo Solistahuacán y Tapachula</t>
  </si>
  <si>
    <t>Derivado de las lluvias presentadas en los municipios de Tuxtla Gutiérrez, Coapilla, Acacoyagua, Simojovel y Tapachula, se reportaron las siguientes afectaciones:
•           Colonias afectadas: 4
•           Comunidades incomunicadas: 25
•           Desbordamientos: 3
•           Derrumbes / deslaves / hundimientos: 28</t>
  </si>
  <si>
    <t>Abasolo, Cuerámaro, Irapuato, Guanajuato y Pénjamo</t>
  </si>
  <si>
    <t>Derivado de las lluvias que se presentaron durante la tarde-noche del 5 de septiembre y madrugada del 6 de septiembre, se han reportado las siguientes afectaciones:
             Viviendas afectadas: 432
             Personas evacuadas: 1,763
             Refugio temporal activo: 1
             Personas albergadas: 19
             Escuela: 1 
Municipio de Abasolo
• 1,200 personas evacuadas de 300 viviendas. Estancia de Abasolo 350 personas evacuadas de 84 viviendas. Huitzatarito 93 personas evacuadas de 18 viviendas. Canoa 25 personas evacuadas de 5 viviendas. La Maraña 12 personas evacuadas de 3 viviendas. Los Pintores 15 personas evacuadas de 5 viviendas. San Cayetano 10 personas evacuadas de 2 viviendas. Mogotes 50 personas evacuadas de 8 viviendas. La Mora 8 personas evacuadas de 2 viviendas. 
o 1 refugio temporal activado con capacidad para 70 personas, al momento es ocupado por 19 personas.
o 1 refugio temporal habilitado en el Poliforum Miguel Hidalgo con capacidad para 150 personas, sin ocupación.
o Se dotó de 200 costales para la colocación de dique. 
Municipio de Guanajuato
• Penetración de agua en el patio de 1 vivienda, 
Municipio de Pénjamo
• 5 viviendas con penetración de agua (50-70 cm)</t>
  </si>
  <si>
    <t>Chalco, San Matero Atenco, Lerma, Ecatepec de Morelos, Tultitlán, Tultepec, Nezahualcóyotl, Coacalco de Berriozábal, Otzolotepec, Coyotepec, Huehuetoca, San José del Rincón, Acambay, Ocoyoacac, Cuautitlán Izcalli, Tenango del Valle, Hueypoxtla, Teoloyucan, Papalotla, Acolman y Apaxco</t>
  </si>
  <si>
    <t>Afectaciones presentadas por el temporal de lluvias ocurrido entre el 06 y 08 de septiembre:
- Fallecidos: 2
- Personas afectadas: 4,941
- Viviendas afectadas: 1,205
- Escuelas: 1
- Hospitales: 2
- Inmuebles: 2 (Palacio Municipal y balneario) 
Municipio de Chalco
o Entrega de kits de limpieza, colchonetas y cobertores.
Municipio de Ecatepec de Morelos
• 1,120 viviendas afectadas. 
• 4,941 personas afectadas. 
• 2 personas fallecidas: femenina y masculino.
• 2 hospitales afectados por penetración de agua: Hospital José María Rodríguez y el Centro de Salud de Jardines San Gabriel.
• Palacio Municipal penetración de agua y lodo. 
Municipio de Tultitlán
• 40 viviendas afectadas
Municipio de Coacalco de Berriozábal
• 5 viviendas afectadas en colonia Los Actuales. 
Municipio de Coyotepec
• 20 viviendas afectadas por penetración de agua en patios.
• 1 refugio temporal habilitado en el deportivo municipal. 
Municipio de Huehuetoca
• 1 escuela primaria afectada por penetración de agua.
• 20 domicilios con penetración de agua. 
• 1 albergue habilitado en las instalaciones del DIF Municipal. 
Municipio de Apaxco
•              1 inmueble afectado: Los Bañitos (balneario).</t>
  </si>
  <si>
    <t>Tlaxcoapan,Tula de Allende, Ixmiquilpan, Tezontepec de Aldama, Chilcuautla, Tasquillo, Tlahuelilpan, Tepeji del Río de Ocampo y Mixquiahuala de Juárez</t>
  </si>
  <si>
    <t>Derivado de las lluvias que se presentaron durante la tarde-noche del 06 de septiembre en los municipios de Tepeji del Río y Tula de Allende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   Tlahuelilpan : Durante la noche-madrugada, derivado de las lluvias presentadas en el municipio de Tlahuelilpan, se reporta lo siguiente:
• 950 viviendas afectadas por penetración de agua.
• 1,500 personas afectadas.
• 3 refugios temporales habilitados.
• 2 refugios temporales activo.
• 49 personas refugiadas: 
• 560 personas evacuadas. Se obtuvieron datos de la página secretaria de bienestar, se adicionaron 2899 viviendas afectadas .</t>
  </si>
  <si>
    <t xml:space="preserve">Secretaria de bienestar,FONDEN: insumos, reconstrucción </t>
  </si>
  <si>
    <t>Tepeji del Río y Tula de Allende</t>
  </si>
  <si>
    <t>Derivado de las lluvias que se presentaron durante la tarde-noche del 06 de septiembre en los municipios de Tepeji del Río y Tula de Allende, así como las lluvias y escurrimientos del Valle de México,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t>
  </si>
  <si>
    <t>Acapulco de Juárez, Chilpancingo de los Bravo, Coyuca de Benítez, Atoyac, Petatlán, Chilapa de Álvarez, Tierra Colorada, Juan R. Escudero, Eduardo Neri, Mártir de Cuilapan, Tixtla de Guerrero, Chilapa de Álvarez, San Marcos, San Luis Acatlán, Ayutla de los Libres, José Joaquín de Herrera, Ometepec, Acatepec, Huitzuco de los Figueroa, General Heliodoro Castillo, Mochitlán, Zitlala, Ahuacuotzingo, Leonardo Bravo, Tlacoapa, Metlatonoc, Xalpatlahuac, Chalpatlahuac, Ileatenco, Copanatoyac, Cochoapa el Grande, Iguala de la Independencia, Taxco de Alarcón, Copalillo, Pilcaya, Arcelia, Malinaltepec</t>
  </si>
  <si>
    <t xml:space="preserve">NOTA: Cifra de CENACOM traslados, vehiculos dañados.  Percepción: Regiones Acapulco, Costa Grande, Costa Chica, Centro, Norte, Tierra Caliente y Montaña.
Resumen de afectaciones Guerrero
•              3 fallecidos  
•              1 lesionado (1 Acapulco de Juárez) 
•              2 refugios temporales activos
•              74 personas refugiadas
o             7,727 viviendas afectadas 
o     603 departamentos / Unidades Habitacionales 
•              27 hospitales afectados
•              47 planteles educativos
•              13 hoteles / plazas
•              5 vehículos dañados
Acapulco de Juárez: 1 fallecido (tras el colapso de un muro, falleció en una Clínica de Xialtianguis), 1 fallecido (lesionado por colapso de muro en el poblado La Poza, murió en el Hospital Vicente Guerrero), 1 lesionado por caída (elemento de la Policía Estatal en el Cereso de Acapulco), 4 refugios temporales activos con 24 personas en la Unidad deportiva Acapulco, Unidad deportiva Vicente Suárez, Unidad deportiva Jorge Campos, 4,549 viviendas afectadas, 600 departamentos afectados, 7 bardas caídas,  8 hospitales afectados, 5 planteles educativos afectados, 5 edificios públicos afectados, 5 vehículos dañados, 3 centros religiosos, 5 hoteles/plazas y 2 postes caídos. 
Hospital Militar Regional Acapulco SEDENA: Afectaciones estructurales del inmueble, los pacientes han sido evacuados.
Hospital General del ISSSTE: Afectaciones estructurales del inmueble, los pacientes han sido evacuados
Hospital General del Renacimiento: Afectaciones estructurales del inmueble, los pacientes han sido evacuados
Chilpancingo de los Bravo: 107 viviendas afectadas, *3 departamentos afectados. 4 planteles educativos afectados, 1 centro religioso, 8 edificios públicos afectados, 2 derrumbes carreteros.
             Hospital del ISSSTE: Afectaciones estructurales del inmueble, los pacientes han sido evacuados.
             Zona Habitacional del INFONAVIT: Resultaron 3 edificios con alto daño estructural, quedando inhabitables. Evacuación preventiva de 8 familias, las cuales optaron por acudir con familiares.
Coyuca de Benítez: 1 fallecido (masculino de 19 años) que cayó de su motocicleta al perder el control durante el sismo, en la localidad de Luces del Mar, 1,154 viviendas afectadas y 1 derrumbe carretero.
Atoyac: 17 viviendas afectadas y *1 derrumbe carretero.
Benito Juárez: 1 derrumbe carretero.
Petatlán: 1 derrumbe carretero. 
Tlapa de Comonfort: 2 viviendas.
Chilapa de Álvarez: 3 viviendas afectadas Derrumbe en la carretera Chilapa - Chilpancingo.
Tierra Colorada: Derrumbe en la carretera Tierra Colorada-Ocotito.
Juan R. Escudero: 3 derrumbes en carretera federal Acapulco – Chilpancingo, a autopista del Sol México Acapulco km 326 (afecta la circulación hacia Acapulco) y carretera federal Tierra Colorada - Cruz Grande,  171 viviendas afectadas.
Eduardo Neri: 36 viviendas afectadas, 5 bardas caídas, 1 hospital afectado, 2 planteles educativos afectados, 6 derrumbes carreteros y 1 centro religioso.
Mártir de Cuilapan: 1 vivienda afectada y 2 bardas caídas.
Tixtla de Guerrero: 1 plantel educativo.
Chilapa de Álvarez: 38 viviendas afectadas, 14 hospitales, 12 planteles educativos, 6 centros religiosos y 4 derrumbes carreteros.
San Marcos: 634 viviendas.
San Luis Acatlán: 5 viviendas. 
Ayutla de los Libres: 1 centro religioso. 
José Joaquín de Herrera: 61 viviendas afectadas. 
Ometepec: 2 hospitales afectados.  
Acatepec: 9 planteles educativos afectados, 824 viviendas afectadas y 1 centro religioso.
Huitzuco de los Figueroa: 1 hospital afectado. 
General Heliodoro Castillo: 1 vivienda afectada y 1 plantel educativo.
Mochitlán: 7 viviendas afectadas y 3 planteles educativos.
Quechultenango: 1 derrumbe. 
Zitlala: 1 derrumbe.
Ahuacuotzingo: 1 derrumbe.
Leonardo Bravo: *2 planteles educativos. 
Tlacoapa: 23 viviendas afectadas.
Metlatonoc: 13 viviendas afectadas. 
Xalpatlahuac: 1 vivienda afectada.
Chalpatlahuac: 1 viviendas afectadas
Ileatenco: 1 vivienda afectada.
Copanatoyac: 4 viviendas afectadas.
Cochoapa el Grande: 3 viviendas afectadas.
Iguala de la Independencia: 3 viviendas afectadas.
Taxco de Alarcón: 2 viviendas afectadas y 1 plantel educativo afectado.
Copalillo: 13 viviendas afectadas.
Pilcaya: 10 viviendas afectadas y 9 planteles educativos.
Arcelia: 1 hospital afectado.
Malinaltepec: 1 derrumbe. </t>
  </si>
  <si>
    <t xml:space="preserve">CENACOM, FONDEN: insumos, recosntruccion </t>
  </si>
  <si>
    <t xml:space="preserve">SSC: 4 sobrevuelos de cóndores para evaluar daños. </t>
  </si>
  <si>
    <t>Toluca, Metepec, San Gaspar Tlahuelilpan, Valle de Chalco, Temascalcingo, Naucalpan, Mexicaltzingo, Zinacantepec, San Antonio La Isla, San Mateo Atenco, Tenancingo</t>
  </si>
  <si>
    <t>Metepec: 2 personas lesionadas. 1 barda caída sobre 1 vehículo. 
Zinacantepec: Caída de 1 barda, sin lesionados en colonia Ojo de Agua.
San Mateo Atenco: 1 caída de barda, sin lesionados en Barrio de Guadalupe.
Tenancingo: 3 inmuebles con daños menores no estructurales.</t>
  </si>
  <si>
    <t>Morelia, Uruapan</t>
  </si>
  <si>
    <t xml:space="preserve">Morelia: 1 vivienda con daño estructural en el No. 41 de la calle Carlos Torres, colonia Solidaridad.
Uruapan: 1 derrumbe sobre la carretera Uruapan - Gabriel Zamora. 50 vehículos varados sobre este tramo carretero.
</t>
  </si>
  <si>
    <t>Nopalucan, Región Tepexi de Rodriguez, Región Tehuacán, Chila de las Flores, Santa Inés Ahuatempan, San Jerónimo Xayacatlán, Axutla, Molcaxac, La Magdalena Tlatlauquitepec, Acatzingo, Región Huauchinango, Región Ciudad Serdán, Tecamachalco, Soltepec, Región Cuetzalan, Región Teziutlán.</t>
  </si>
  <si>
    <t xml:space="preserve">Hospital Traumatología y Ortopedia de IMSS: Afectaciones menores en fachadas vidrios y puertas. Personal y pacientes replegados. 
Hospital General de Libres: Afectaciones por cristales rotos.
</t>
  </si>
  <si>
    <t>Huimilpan</t>
  </si>
  <si>
    <t>Noche-07/09/2021. Derivado de las fuertes lluvias presentadas en el municipio de Huimilpan, se presentó
• 1 vehículo quiso cruzar la corriente en la presa de San Pedro, siendo arrastrado por la fuerte corriente. Cuerpos de emergencia iniciaron labores de búsqueda y rescate.  Fue localizado el cuerpo del masculino a 150 metros de donde se localizó el vehículo.
• 7 viviendas con penetración de agua de la comunidad de El Vegil.
• Penetración de agua a algunos establecimientos.</t>
  </si>
  <si>
    <t>Límites de Chalco e Ixtapaluca</t>
  </si>
  <si>
    <t>A las 14:50 horas, se registró el impacto de un tráiler contra la caseta de cobro y varios vehículos, sobre el km 032+200 autopista (1710) México – Puebla, límites de los municipios de Chalco e Ixtapaluca. Se tiene reporte 2 fallecidos (trabajadores de CAPUFE) y 6 lesionados, de los cuales 2 fueron trasladados al Hospital de Magdalena de las Salinas.</t>
  </si>
  <si>
    <t>Derivado de las lluvias registradas desde las 20:00 horas en el  municipio de Puebla , se reportan las siguientes afectaciones:
• Afectaciones en 40 viviendas</t>
  </si>
  <si>
    <t>A las 07:00 horas, se registró un accidente vehicular entre un vehículo particular, un autobús de pasajeros y un tractocamión, sobre la carretera federal Abasolo - Pénjamo, municipio de Pénjamo. Derivado del percance, una de las unidades se incendió (se desconocen características). Se reportaron 2 fallecidos (ambos operadores de las unidades pesadas) y 8 lesionados, trasladados al Hospital Regional de Guanajuato para su atención médica.</t>
  </si>
  <si>
    <t>A las 11:00 horas, se registró un deslave en parte de un cerro, sobre la calle de Buenos Aires, Barrio El Coquito, Agencia Municipal de San Juan Chapultepec, municipio de Oaxaca de Juárez. Al arribar los cuerpos de emergencia, se encontraron con el colapso de ladera con caída de barda perteneciente a Servicios de Agua Potable y Alcantarillado de Oaxaca (SAPAO) sobre una vivienda, por lo que se procedió a la evacuación de la familia afectada (sin cuantificar) hasta que se haga un dictamen y se estabilice la ladera, ya que se corre el riesgo de pérdidas humanas.</t>
  </si>
  <si>
    <t xml:space="preserve">La paz y los cabos </t>
  </si>
  <si>
    <t>Huracán "Olaf" (lluvia severa y vientos fuertes) e inundación pluvial el 9 y 10 de septiembre de 2021</t>
  </si>
  <si>
    <t xml:space="preserve">A las 14:00 horas aproximadamente, se registró un deslave de Cerro del Chiquihuite, sobre Calle Club de Exploradores de Chimalhuacán esquina con calle Alacranes, colonia Lázaro Cárdenas 2 Sección, municipio de Tlalnepantla de Baz. Se reporta al momento:
• 2 fallecidos
•  1 lesionado, atendida por Cruz Roja, trasladada a Cruz Roja Zona Oriente
• 2 desaparecidos 
• 3 viviendas afectadas
• 141 viviendas en zona de riesgo
• 6 refugios temporales activos
• 112 refugiados
Equipo de trabajo: 70 vehículos, 11 binomios, 1 retroexcavadora y 2 camiones de volteo. NOTA: Costo de traslado de hospital y 3 casas afectadas en el momento del incidente </t>
  </si>
  <si>
    <t>Por medio de llamada 9-1-1, se tiene conocimiento del derrumbe de un domicilio. Derivado de  lo anterior, se reportan 3 personas rescatados del interior (2 menores de edad y 1 femenina con discapacidad, que fue atendida en el lugar por crisis nerviosa y uno de los menores fue trasladado policontundido al Hospital de San Agustín), no se reportan personas fallecidas.</t>
  </si>
  <si>
    <t>Matías Romero, Juchitán de Zaragoza, Salina Cruz, San Blas, Santiago Jocotepec, Unión Hidalgo, San Francisco Ixhuatán, San Dionisio del Mar, Santo Domingo Tehuantepec, Villa de San Juan Guichicovi, San Miguel Suchixtepec, Santo Domingo Ingenio, Asunción Ixtaltepec, San Miguel Tenango, Magdalena Tequistitlán, El Espinal, Reforma de Pineda, El barrio de la Soledad, Santiago Lachiguiri y San María Petapa</t>
  </si>
  <si>
    <t>Derivado de las lluvias intensas registradas durante los días 11 y 12 de septiembre, ocasionadas por la Onda Tropical número 29, se reportan:
•              Vehículos dañados: 1
•              Rescatados: 1
•              Viviendas afectadas: 9
•              Refugios temporales activos: 5
•              Refugiados: 252
Juchitán de Zaragoza: 
- Se rescató 1 camioneta de redilas, que intento cruzar el vado del río en la 1a.sección, 1 rescatado.
San Blas Atempa:
- 2 viviendas afectadas por inundación en la colonia Campo Torre
Unión Hidalgo: 
- 1 refugio temporal en Salón Mi fiesta Av. 16 de Septiembre y Vicente Guerrero con 12 personas.
Santo Domingo Ingenio
- 5 familias afectadas por ingreso de agua en sus viviendas trasladadas a un refugio temporal en instalaciones municipales.
El Espinal
- 2 familias desalojadas.
- 1 refugio temporal en instalaciones municipales.</t>
  </si>
  <si>
    <t>Tierra Blanca, Amatitlán, Papantla, Jesús Carranza, Xico, Texhuacán, Zongolica, Tlacotalpan, Santiago Tuxtla, Saltabarranca, Teocelo, Xalapa, José Azueta, Coscomatepec, Córdoba, Atzalan, Ayahualulco, Tequila, Veracruz, Rafael Delgado, Calcahualco y Los Reyes.</t>
  </si>
  <si>
    <t>Derivado de las fuertes lluvias registradas por el paso del Ciclón Tropical “Nicholas”, se reportan las siguientes afectaciones: 
•              Viviendas afectadas: 1,021
•              Escuelas: 1
•              Personas rescatadas: 1
•              Vehículos afectados: 2
•               Puentes afectados: 1
Tierra Blanca
- 1 Puente afectado
Jesús Carranza
- 80 viviendas afectadas por anegamiento en la cabecera municipal.
 Xico
- 15 viviendas afectadas por anegamientos.
 Texhuacán
- 3 viviendas afectadas por lluvias y riesgo de deslave.
- 1 escuela afectada.
 Zongolica 
- 1 vivienda afectada en la localidad La Alianza.
 Santiago Tuxtla
- 371 viviendas
 Saltabarranca
- 163iviendas
 Teocelo
- 20 viviendas
 Xalapa
- 1 mujer rescatada el día sábado al quedar atrapada en su vehículo 
- 1 vehículo afectado. 
 Veracruz
- 1 vehículo afectado.</t>
  </si>
  <si>
    <t>Derivado de las lluvias reportadas en la mañana en el municipio de José Azueta, se reporta:
- 20 viviendas afectadas por anegamiento en interior.</t>
  </si>
  <si>
    <t>Temixco, Emiliano Zapata, Jiutepec y Cuernavaca.</t>
  </si>
  <si>
    <t>A las 18:45 horas, se reportaron de lluvias de moderadas a fuertes en zona oriente, centro y sur-oriente del estado con una duración de 30 min. Se reportaron encharcamientos en calles, carreteras y vehículos varados en avenidas principales._x000B_
Afectaciones:
- 5 viviendas
- 1 vehículo dañado por inundación
Temixco: 
- 1 vehículo inundado.
Jiutepec
- 5 viviendas con penetración de agua</t>
  </si>
  <si>
    <t>Cuernavaca, Temixco, Emiliano Zapata, Jiutepec, Tlalnepantla, Cuautla, Xochitepec y Tepoztlán</t>
  </si>
  <si>
    <t>A las 18:45 horas del 12 de septiembre, se reportaron lluvias de moderadas a fuertes en las Zonas oriente, centro y sur-oriente del estado con una duración de 30 min, reportándose lo siguiente:
- 58 viviendas con penetración de agua
- 2 personas lesionadas por arrastre 
- 11 personas rescatadas de vehiculos arrastrados 
- 7 vehiculos afectados por arrastre 
- 1 vehículo dañado por inundación</t>
  </si>
  <si>
    <t>Unión Juárez</t>
  </si>
  <si>
    <t>A las 17:59 horas, se registró el deslizamiento de ladera por lluvias en la entrada del Cantón Chiquihuite afectando a 2 viviendas, municipio de Unión Juárez. Se reportaron 2 personas atrapadas dentro de sus hogares que colapsaron por el derrumbe. Se recuperó el cuerpo de 1 masculino de 20 años y se localizó  y rescato con vida a la otra persona atrapada el día 12/09/2021 por la mañana</t>
  </si>
  <si>
    <t>Acapulco de Juárez, Atoyac de Álvarez, Técpan de Galeana, Petatlán, Coyuca de Benítez, Zihuatanejo de Azueta, Leonardo Bravo, Chilpancingo de los Bravo, Chilapa de Álvarez, Malinaltepec, Acatepec y Coyuca de Catalán</t>
  </si>
  <si>
    <t>Debido a las fuertes lluvias que se han registrado en las últimas horas, se han registrado las siguientes afectaciones: 
• Viviendas afectadas: 11 - Inundación: 10, Colapso de barda: 1</t>
  </si>
  <si>
    <t xml:space="preserve">A las 08:50 horas, se recibió reporte de un incendio/explosión al interior de la casa club “Campestre del Valle”, con domicilio en calle Leona Vicario 838-B y José María Morelos, municipio de Metepec. Fue originado por el almacenamiento de tanques de gas Lp y garrafas de gasolina para la caldera de la alberca. Resultando 5 personas lesionadas, trasladadas al Hospital “Nicolás San Juan”, Clínica No. 251 del IMSS y al Hospital “Adolfo López Mateos”. </t>
  </si>
  <si>
    <t>Se registró la caída de una placa en una obra en construcción, ubicada en la calle Valle Verde, colonia San Ángel Sur, en el municipio de Monterrey. Derivado de lo anterior se reporta 1 fallecido y 1 lesionado.</t>
  </si>
  <si>
    <t>A las 06:32 horas (tiempo local), se reportó un derrumbe dentro de una mina de la “Minera Real de Ángeles”, ubicada en el km 123 de la carretera a San Felipe, municipio de Mexicali. Derivado de lo anterior, se reportó 1 persona fallecida y 1 lesionado, trasladado al IMSS de San Felipe.</t>
  </si>
  <si>
    <t>Se registró la explosión de un polvorín, con número de permiso ante la Sedena NPG 1196, ubicado en camino a Peñuelas, en comunidad de Peñuelas. Derivado de lo anterior se reporta 1 persona fallecida y 4 lesionados, mismos que fueron trasladados a un hospital cercano. Al parecer, el incidente se debió al mal manejo de la pólvora</t>
  </si>
  <si>
    <t>Municipio de Salto de Agua: A las 10:40 horas, se registró el desbordamiento del río Misol-Ha, en el Ejido Jerusalén, municipio de Salto de agua. Derivado de lo anterior, se reportó penetración de agua de 30 cm en 12 viviendas. No hubo reporte de evacuados, ni lesionados. Protección Civil atendió la emergencia.</t>
  </si>
  <si>
    <t>Cuauhtémoc y Genaro Codina</t>
  </si>
  <si>
    <t xml:space="preserve"> Inundación fluvial del 16 y 17 de septiembre</t>
  </si>
  <si>
    <t>o 20:30 horas-16/09/2021. Se registró derrumbe en la carretera Minatitlán - Villa de Álvarez a la altura del km 34, municipio de Minatitlán. La carretera se encuentra cerrada en su totalidad. 
o 01:37 horas-17/09/2021. Se reportaron 3 fallecido, 1 persona lesionada (policontundida) trasladada al Hospital Regional. 18/09/2021.</t>
  </si>
  <si>
    <t>17/09/21. Aproximadamente a las 19:00 horas comenzaron lluvias moderadas en el municipio de San Miguel de Allende, se presentaron las siguientes afectaciones:_x000B_
• 1 camioneta arrastrada por un arroyo
• 2 personas rescatadas
• 3 viviendas afectadas por penetración de agua
• 1 escuela con penetración de agua</t>
  </si>
  <si>
    <t>Peribán</t>
  </si>
  <si>
    <t>Derivado de las lluvias se reportaron las siguientes afectaciones: 
MUNICIPIO DE PERIBÁN
•   Pérdida de ganado (se desconoce cantidad) 
•   9 viviendas con introducción de agua ( 1 m de altura) 
•    1 vivienda colapsada por la creciente del río
•   2 personas no localizadas (se presume que estaban al interior de la vivienda)
•   3 personas rescatadas de su domicilio
•   Vehículos y maquinaria arrastrados por la creciente del río.</t>
  </si>
  <si>
    <t>A las 07:30 horas, se reportó la volcadura de 1 camioneta de pasajeros particular en la autopista Tepa-Zapotlanejo. El chofer de la unidad siniestrada comentó que un vehículo pesado golpeó la unidad, dándose a la fuga; se reportaron 3 fallecidos y 11 lesionados trasladados a diferentes nosocomios cercanos.</t>
  </si>
  <si>
    <t>Yautepec, Jiutepec, Cuernavaca y Jojutla</t>
  </si>
  <si>
    <t>08:00 horas aproximadamente. Derivado de la lluvias de las últimas horas, se reporta:
Yautepec:_x000B_
- 150 viviendas afectadas por la penetración del agua alcanzando un tirante  de 1.50 metros hasta 2.00 metros.
Jiutepec:
- 30 Viviendas afectadas</t>
  </si>
  <si>
    <t>Derivado de las lluvias reportadas en el transcurso de la tarde del día 18 de septiembre se reportó:
60 viviendas afectadas con anegación de agua y tirantes de 40 cm a 1 metro en Comunidad Pancho Viejo (50) y Comunidad San Alfonso (10).
- 1 lesionado que cayó a una alcantarilla
- 1 escuela afectada
- 2 refugios temporales habilitados</t>
  </si>
  <si>
    <t>San Luis Potosí, Mexquitic de Carmona y Huehuetlan</t>
  </si>
  <si>
    <t>Durante la madrugada se reportaron lluvias constantes en el estado de San Luis Potosí reportando:
San Luis Potosí:
- 1 lesionado quien fue arrastrado por la corriente en camino  a la Presa San José, iba a bordo de su motocicleta. 
Mexquitic de Carmona:
- 1 persona fallecida por arrastre de agua 
Huehuetlan:
- 1 camioneta arrastrada por la corriente en la localidad de San José.</t>
  </si>
  <si>
    <t>Se reportó el impacto de una camioneta de la Guardia Nacional, contra una camioneta particular en el municipio de Tuxtla Gutiérrez resultando 4 personas lesionadas, las cuales fueron trasladadas a un nosocomio, para su valoración médica.</t>
  </si>
  <si>
    <t>Se reportó explosión por acumulación de gas de una vivienda en alcaldía Cuauhtémoc. Causada por acumulación de gas. Resultado 1 lesionado con quemaduras de primer grado, sin ameritar traslado al hospital. Se realizó la evacuación de las viviendas aledañas (sin cuantificar). El inmueble sufrió daños severos en muros, colapso parcial de una losa, y daños menores en dos inmuebles contiguos.</t>
  </si>
  <si>
    <t>A las 19:00 horas, se reportó la volcadura de 1 camioneta con 9 pasajeros a bordo. El conductor perdió el control debido al asfalto mojado, lo que originó el accidente; derivado del incidente se reportaron 1 fallecido y 8 lesionados trasladados a nosocomios cercanos.</t>
  </si>
  <si>
    <t>A las 9:27 horas se registró un accidente vehicular en la carretera Banderilla Xalapa, a la altura de la Colonia 21 de Marzo, un autobús embistió varios vehículos, las fuerzas de tarea reportan 6 unidades involucradas: 1 autobús de turismo, 2 vehículos particulares, 1 camioneta de redilas y 2 taxis. Al momento del accidente, un vehículo se incendió, siendo ya liquidado. Se reportan 2 personas fallecidas y 14 lesionadas, 8 ameritaron traslado a hospital para su valoración y atención médica.</t>
  </si>
  <si>
    <t>Rincón de romos</t>
  </si>
  <si>
    <t xml:space="preserve">19:00 horas. Sólo  2 viviendas (con 15 personas), presentaron anegaciones en su interior, ocasionado daños en enseres domésticos. Ante esta situación, personal de varias dependencias acudieron al lugar, para realizar labores de limpieza y desinfección de las viviendas, asimismo, apoyaron a las familias afectadas con colchones, cobijas, catres, refrigeradores y estufas. No hubo reporte de daños humanos y las personas evacuadas ya regresaron a sus viviendas.
</t>
  </si>
  <si>
    <t xml:space="preserve">Se registraron lluvias fuertes y tormenta eléctrica en el municipio de San Luis Río Colorado, derivado de lo anterior, se reportó un fallecido por caída de rayo en el techo de un planta ubicada en Avenida Revolución y Samuel Ocaña.  </t>
  </si>
  <si>
    <t>Huetamo y Tzintzuntzan</t>
  </si>
  <si>
    <t>Se han presentado lluvias de moderadas a fuertes con actividad eléctrica en Huetamo y Tzintzunzan, reportándose al momento:
Huetamo
• 1 fallecido (masculino de 19 años) por caída de rayo (22:27 horas). 
Tzintzuntzan
• 15 viviendas afectadas por anegamientos, por el tramo carretero de La Vinata - Cucuchucho (por el panteón).</t>
  </si>
  <si>
    <t>Durante el transcurso de la mañana del 25/09/2021 y derivado del paso del Frente Frio no.1, se reportó:
- 1 deslave en Calle Río Lerma, en el Oasis afectando 1 vivienda y 5 viviendas afectadas en la Col. Manuel Ramírez por anegamiento, las cuales fueron atendidas. Personal de la DMPC apoyó a las familias afectadas para levantar sus muebles y sacar algunas pertenencias sin evacuados; así también, dejó disponible una pipa de agua potable en caso de que se requiera para lavar pisos.</t>
  </si>
  <si>
    <t>A las 07:00 horas, se reportó la salida de camino de un autobús ADO (número económico 8216) en el Km 43+200 del tramo carretero El Barrio-La Barahunda. Autopista 145D La Tinaja-Cosamaloapan municipio de Cosamaloapan. El conductor de la unidad se quedó dormido hasta terminar arriba de un montículo de tierra. Resultando 10 lesionados, trasladados al Hospital IMSS de Cosamaloapan para su atención médica.</t>
  </si>
  <si>
    <t>Tlalixtac de Cabrera</t>
  </si>
  <si>
    <t xml:space="preserve">A las 16:10 horas, se registraron lluvias y vientos fuertes en el municipio de Tlalixtac de Cabrera, provocando:
• 10 viviendas afectadas por penetración de agua a nivel de patio, sin daño a enseres domésticos. </t>
  </si>
  <si>
    <t>Se reporta un deslazamiento de ladera, afectando un vehículo, el cual resulta 1 persona lesionada y cierre total de la circulación. Por la tarde del día 27 de septiembre, reportaron a una enfermera desaparecida, se piensa que pudo haber sido afectada por el derrumbe. 15:30 horas, fue recuperado el cuerpo sin vida, de la persona que se encontraba como desaparecida.</t>
  </si>
  <si>
    <t>A las 15:10 horas se reportó el incendio de unas bodegas (ferretería) en Boulevard Revolución entre Periférico, colonia Carlos Román, municipio de Torreón  No se reportan personas lesionadas ni fallecidas, como medida preventiva se evacuaron aproximadamente a 25 personas, así mismo no se reporta riesgo a la población. Derivado del incidente anterior, cuerpos de emergencia controlaron y liquidaron dicho incendio a las 16:15 horas.</t>
  </si>
  <si>
    <t>A partir de las 21:00 horas, se presentaron lluvias de ligeras a fuertes en los municipios de Corregidora, reportándose al momento:
Corregidora:
•              10 viviendas con penetración de agua en calle El Jaral, colonia Los Olvera.</t>
  </si>
  <si>
    <t>A las 02:00 horas, se registraron lluvias fuertes en el municipio de Cosamaloapan, reportándose las siguientes afectaciones:
• 17 viviendas con anegamientos en su interior con tirantes de 15 a 30 cm.</t>
  </si>
  <si>
    <t xml:space="preserve">A partir de las 17:30 horas, se reportaron lluvias intensas (algunas zonas con granizo) en la parte alta de la sierra de Guadalupe, municipio de Ecatepec de Morelos, provocando:
• Deslave de cerca de dos toneladas de tierra y rocas de una parte del cerro (30 metros de altura), en calle Salinas de Gortari, esquina Maya, colonia La Palma, municipio de Ecatepec de Morelos. El talud afectó en total a 2 viviendas, 1 de ellas afectada por la caída de tierra y piedras sobre un techo de lámina. Se reportó 1 persona lesionada (adulto de 67 años), será trasladado al Hospital General Dr. Jose María Rodríguez. La zona afectada se trata de un asentamiento irregular.
</t>
  </si>
  <si>
    <t>Derivado de los escurrimientos del estado de Guanajuato y las lluvias en la zona norte de la Capital, se presenta en el municipio de Santiago de Querétaro:
•              20 domicilios afectados por penetración de agua en la vialidad de Arroyo Pileta.</t>
  </si>
  <si>
    <t>San Juan Mixtepec</t>
  </si>
  <si>
    <t>18:00 horas-01/10/2021. Se reportó que el río de respuesta rápida (avenida) se llevó un vehículo tipo Tsuru con placas GZF-343-C del estado de Guerrero, municipio de San Juan Mixtepec, desapareciendo a 3 jóvenes de entre los 25 y 30 años.
03/10/2021. 18:16 horas, se recuperan los 3 cuerpos.</t>
  </si>
  <si>
    <t>Vallecito</t>
  </si>
  <si>
    <t>A las 20:35 horas, se reportó el desplome de aeronave, a 15-20 metros de la carretera Sabinas - Parás, a la entrada del Ejido Colorados de Arriba, municipio de Vallecito. En la aeronave viajaban 2 pilotos.
o             Tipo de la aeronave: Beechcraft 55 Baron (de dos pistones) BE-55.</t>
  </si>
  <si>
    <t>A las 21:33 horas, se registró volcadura de camioneta de la Guardia Nacional, sobre la carretera Picacho - Ajusco esquina 21 de Diciembre, colonia Héroes de 1910, alcaldía de Tlalpan. Se reportó 1 fallecido y 3 lesionados (2 femeninas y 1 masculino) trasladados al Centro Militar por ERUM.</t>
  </si>
  <si>
    <t>El Llano</t>
  </si>
  <si>
    <t>Derivado de las lluvias presentadas durante los últimos días se reportaron escurrimientos del cerro de "Juan grande" afectando el municipio de El Llano con 61 personas afectadas y 19 viviendas afectadas por escurrimientos. Se estableció un refugio temporal en la escuela “Guadalupe Victoria”.</t>
  </si>
  <si>
    <t>Explosión de un cilindro al interior de una habitación por acumulación de gas; resultando 3 lesionados, (1 femenina de 37 años con quemaduras de segundo grado en el 75% de superficie corporal, trasladada en condición grave al Nuevo Hospital General, 1  femenina de 15 años con quemaduras de segundo grado en rostro y manos y 1 femenina de 4 años  con quemaduras de segundo grado, ambas, trasladadas en condición delicada al Hospital de Especialidades del Niño y la Mujer.</t>
  </si>
  <si>
    <t>Deslave de 8 metros cúbicos de un cerro en Tarango y Cerrada Tarango, colonia las Águilas. La causa por las lluvias presentadas los últimos días. Resultando 1 caía de barda perimetral y malla ciclónica. No se reportaron lesionados ni fallecidos. Como medida preventiva se acordono el área, los habitantes de la vivienda fueron evacuados (5 personas). La UGIRPC confirma que tendrán que evacuar los departamentos de manera permanente hasta que se ejecuten los trabajos de mitigación de riesgos; se activará un albergue.</t>
  </si>
  <si>
    <t>Incendio de una fábrica de hule espuma (polímeros) con razón social “ASSA ACOJINAMIENTOS SINTÉTICOS";  en el municipio de Tlalnepantla. No se reportaron daños humanos. Resultando una afectación de 1,000 m². Se usaron 10,000 lts de agua.</t>
  </si>
  <si>
    <t>Explosión al interior de una casa en Pino Suárez y La Villa municipio de Zapopan. Resultaron 2 personas lesionadas, las cuales fueron trasladadas al nosocomio más cercano para su valoración. No se reportaron personas evacuadas.</t>
  </si>
  <si>
    <t>Rio Seco, Huimilpan, Santiago de Querétaro, Corregidora, El Marqués, San Juan del Río, Jalpan de Serra, Peñamiller, Tequisquiapan, Colón, Pinal de Amoles, Landa de Matamoros y Ezequiel Montes</t>
  </si>
  <si>
    <t>A partir de las 19:00 horas, del día sábado 02 de octubre, se reportaron lluvias de moderadas a muy fuertes al norte, sur y zona centro de la Capital del estado, resultando:
• 5 fallecidos (2 Corregidora, 2 Querétaro y 1 Huimilpan)
• 3,610 viviendas afectadas
• 18 inmuebles afectados por penetración de agua 
• 43 negocios afectados 
• 2 caminos / puentes
• 9 vehículos varados y/o arrastrados
• 19 personas rescatadas
• 1,714 personas evacuadas y 50 animales 
• 42 personas refugiadas 
-----------------------------
Municipio de Humilpan
o 1 masculino sin vida en la zona en la comunidad de Santa Teresa, por arrastre de su tractocamión
Municipio de Santiago de Querétaro
o 1 masculino sin vida en el parque industrial Querétaro, delegación de Santa Rosa Jáuregui.
o 1 camión varado, el cual intentó cruzar quedando atrapado con 9 pasajeros los cuales fueron rescatados
o Asistencia a 1 ciudadano que presentó dificultades con su vehículo, sobre la Av. Pasteur
o Carretera 430, km 5 , se reportan 3 vehículos arrastrados por la crecida de un dren natural
Municipio de Corregidora
o Afectación al dren, 1 vehículo cayó resultando 2 fallecidos.
o Apoyo a 1 conductor de 1 vehículo que cayó a canal en Av. Candiles
El día de hoy 7 de septiembre, fue localizado a las 09:15 horas, el cuerpo de la persona que se reportó como desaparecida, por el arrastre de su vehículo en el dren Santa María Magdalena.
Municipio de San Juan del Rio
o La Rueda: evacuación preventiva de 1,650 personas y 40 animales.
o Se habilitan refugios temporales en San Isidro y El Carrizo, el Anexo al CECUCO, la Deportiva Oriente "Maquío" con medidas COVID y medidas sanitarias.
o Falla en el drenaje pluvial, evacuando a 6 domicilios
o En el Refugio San Isidro actualmente 16 mujeres, 6 hombres y 7 menores (4 niñas, 3 niños) todos residentes de la Comunidad de Nogales. Así mismo, en el Albergue del CECUCO pernoctaron 13 personas.
Acciones:
Reparten 2,000 despensas de gobierno del estado, 1,000 kits de limpieza y *1,730 cobijas
Municipio de Jalpan de Serra
o 1 puente afectado
o 20 viviendas afectadas
o 1 albergue habilitado
Municipio de Tequisquiapan 
o 3 escuelas
o 1 clínica Médica
o 11 hoteles
o 3 edificios públicos
o 43 negocios comerciales
o 50 personas evacuadas
Acciones:
Se repartieron 300 costales
Servicios Municipales realiza la entrega de 600 costales en apoyo de Los Claustros, Francisco Marqués, Sabinos, Mercado de Artesanías y San Nicolás
Municipio de Pinal de Amoles
o Varios deslaves, se encontraba en riesgo una familia a quienes se les indicó que era necesario que desalojaran su vivienda, se trasladan con sus familiares.
o En el albergue se encuentran 2 personas.</t>
  </si>
  <si>
    <t>Noche-03/10/2021. Derivado de las lluvias fuertes que se presentaron en la Zona de la Huasteca, municipio de Tamazunchale, se reportaron las siguientes afectaciones:
• *Evacuación preventiva de 7 domicilios* (17 personas) ubicados a las orillas del río en calles 16 de Septiembre y Tatiano. Los habitantes decidieron irse con familiares.
• Se habilitó un albergue temporal en la Escuela Primaria “Macedonio” con 29 personas.
• 42 familias evacuadas con familiares.</t>
  </si>
  <si>
    <t>A las 06:10 horas se registró la volcadura de camión de transporte de personal en el bulevar Ejército Mexicano colonia Bugambilias en el municipio de Gómez Palacio, la causa aparente fue por el exceso de velocidad y el asfalto mojado, se reportan 11 lesionados de los cuales 7 fueron trasladados a la clínica 51 de IMSS.</t>
  </si>
  <si>
    <t>Tlajomulco de Zúñiga, Zapopan y Tlaquepaque</t>
  </si>
  <si>
    <t>A partir de las 02:00 horas, se han registrado lluvias de ligeras a fuertes en la Zona Metropolitana de Guadalajara, reportando al momento: 
o             Viviendas afectadas: 5 
San Lucas Evangelista
• 4 viviendas afectadas por penetración de agua, sobre el Circuito Metropolitano Sur
• 1 femenina rescatada después de quedar atrapada en su vivienda con inundación. 
• 1 vivienda con penetración de agua (1 m) y 2 bardas caídas en la colonia Balcones de la Calera</t>
  </si>
  <si>
    <t>Tierra Blanca y Los Reyes</t>
  </si>
  <si>
    <t>Derivado de las fuertes lluvias registradas durante la noche del 05 de octubre y madrugada del 06 de octubre en los municipios de Tierra Blanca y Los Reyes, se reportaron las siguientes afectaciones: 
•              Viviendas afectadas: 83
Espinal
- 83 viviendas afectadas por anegamientos (30 cm)</t>
  </si>
  <si>
    <t>Chapala, Tlaquepaque, El Salto, Jocotepec, Tuxcueca, Ixtlahuacán de los Membrillos y Tlajomulco de Zúñiga</t>
  </si>
  <si>
    <t>A partir de las 02:00 horas, se registraron lluvias de ligeras a fuertes en el estado de Jalisco, reportando al momento: 
 o             Viviendas afectadas: 272
o             Refugios temporales: 1
o             Personas en refugios temporales: 20
o             Vehículos arrastrados: 6
Municipio de Chapala
•              98 viviendas afectadas 
Municipio de Tlaquepaque
•              60 viviendas afectadas 
•          1 refugio temporal activado con 20 personas
Municipio de El Salto
•              40 viviendas afectadas 
Municipio de Jocotepec
•              25 viviendas afectadas 
Municipio de Tuxcueca
•              24 viviendas afectadas
•              6 vehículos arrastrados
Municipio de Ixtlahuacán de los Membrillos
•              20 viviendas afectadas
Municipio de Tlajomulco de Zúñiga
•              5 viviendas afectadas 
•       1 femenina rescatada atrapada en su vivienda.</t>
  </si>
  <si>
    <t>Se recibió el reporte de la localización de un cuerpo sin vida de una femenina entre 18 y 21 años de edad, entre las calles Nardo y Oro con el cruce de Francisco I. Madero, col. La Piedrera, municipio de El Salto. La localización se suscita después de que los niveles del canal Las Pintas han ido a la baja derivado de los trabajos de desfogue por las lluvias de días anteriores.</t>
  </si>
  <si>
    <t>Tenango del Valle y Calimaya</t>
  </si>
  <si>
    <t>Derivado de las fuertes lluvias registradas en varios puntos del estado, se registraron las siguientes afectaciones:
Tenango del Valle
• 40 viviendas afectadas por penetración de agua en su interior (30-60 cm).
Municipio de Calimaya:
• 1 vivienda a la orilla del río, que fue afectada ya que la creciente se llevó parte de la casa, quedando una parte con bardas fracturadas.</t>
  </si>
  <si>
    <t>El día de hoy, se presentó la fuga de 1,000 litros de cloro de un tanque con capacidad de 5,000 litros, ubicado en las instalaciones de la fábrica de hielos La Moderna, ubicada en la calle Allende, colonia Centro, en el municipio de Nogales. Se reportan 3 personas intoxicadas, mismas que fueron trasladadas a un hospital cercano. Asimismo, se realizó la evacuación de un total de 50 empleados del lugar.</t>
  </si>
  <si>
    <t>El pasado 06 de octubre, se reportó un menor lesionado por caída de rayo en el paraje La Hacienda, municipio de Tepetlixpa. El menor fue trasladado con vida al hospital, sin embargo falleció al llegar al nosocomio.</t>
  </si>
  <si>
    <t>A las 21:horas, tiempo del centro  Se reporta  volcadura de autobús de transporte turístico con razón social “ECOSUR”  procedente de Chiapas con destino a Sonora, en el kilómetro 4 de la autopista Mazatlán-Culiacán,  municipio de Mazatlan. Se reporta 1 fallecido y 46 lesionados, 5 de ellos fueron trasladados al Hospital  General de Mazatlan para su atención.</t>
  </si>
  <si>
    <t>Se presentó la caída de una avioneta en las inmediaciones del Ejido Mamulique, municipio de Salinas Victoria. Derivado del incidente, se reportan 03 lesionados, con heridas menoras,  mismos que fueron trasladados al (1) Hospital Militar y (2) al Hospital Oca.</t>
  </si>
  <si>
    <t>Angel R. Cabada, San Andres Tuxtla, Santiago Tuxtla, Alvarado, Tres Valles, Cosamaloapan, Santabarranca, Tlacotalpan, Lerdo de Tejada, Catemaco, Zaragoza, Santiago Sochiapa, Cosoleacaque y Soteapan</t>
  </si>
  <si>
    <t>Derivado de las lluvias reportadas durante la tarde del 08 de octubre y madrugada del 09 de octubre se reporta:
Afectaciones:
-7,228 viviendas afectadas (anegación).
-28,912 población
- 2 refugios temporales activo con 139 refugiados
- 2 fallecidos ( Saltabarranca y San Andrés Tuxtla)
- 2 Puente afectado
- 4 escuelas afectadas
San Andrés Tuxtla:
- 1 fallecido (ahogado, pasajero de taxi).
- Saltabarranca:
- 20 viviendas afectadas por anegamientos, con tirantes de 5 cm. de agua.
-1 fallecido (ahogado en el Predio de la Ranchería.</t>
  </si>
  <si>
    <t>A las 00:27 horas, se registraron lluvias fuertes en el municipio de Pichucalco, reportándose:
•    4 viviendas afectadas por penetración de agua. 
•   Afectación a puente vehicular, que presenta hundimiento y socavamiento en los muros de soporte.
•    1 refugio temporal activado con 4 familias en el Centro Integrador Bienestar.</t>
  </si>
  <si>
    <t>El día 9 de octubre, se reportó el derrumbe de una mina abandonada en el municipio de Santa Bárbara. Se desconoce la causa. Resultando 2 personas fallecidas. 10/10/2021 A las 12:00 horas, se rescatan los cuerpos.</t>
  </si>
  <si>
    <t>Se reportó incendio en el aérea de estacionamiento de la Unidad Habitacional El Arbolillo en la alcaldía Gustavo A. Madero. No se reportan daños humanos. Resultaron únicamente daños materiales, 6 automóviles dañados y la evacuación preventiva de 70 personas.</t>
  </si>
  <si>
    <t>Se reportó un choque por alcance entre dos unidades del Metrobús sobre Paseo de la Reforma a la altura del Metrobús Hidalgo. La causa por falla en el sistema de frenado. Resultando 10 lesionados, los cuales fueron atendidos en el lugar.</t>
  </si>
  <si>
    <t>Se reportó choque entre una camioneta de transporte público y una camioneta Van en el km 184+750 autopista (2240) Reforma Agraria-Puerto Juárez, tramo Reforma Agraria-Tulum, municipio de Tulum. La causa la camioneta van intento rebasar un vehículo colisionando de frente con la camioneta de transporte público. Resultando 5 fallecidos y 11 lesionados los cuales fueron trasladados al Hospital General de Tulum para su valoración médica.</t>
  </si>
  <si>
    <t>Mazatlán,Ahome, Rosario y Escuinapa</t>
  </si>
  <si>
    <t>Presencia del Huracán Pamela (Lluvia severa y Vientos fuertes) los días 12 y 13 de octubre de 2021</t>
  </si>
  <si>
    <t>Acaponeta, Huajicori, Tecuala, Tuxpan, Rosamorada, Ruiz y Santiago Ixcuintla </t>
  </si>
  <si>
    <t xml:space="preserve">Derivado del aumento del nivel del río Acaponeta por efectos del Ciclón Tropical Pamela se reportan 2 personas desaparecidas en el municipio de Huajicori. Los masculinos de 34 y 47 años, se encontraban en labores de pastoreo y fueron arrastrados por la corriente el pasado 13 de octubre. Asimismo se reporta que fueron arrastrados 2 elementos de la policía de Tecuala y 1 civil, mismos que fueron rescatados en el lugar. 
También se efectuó el rescate en el km 118 de la autopista Tepic – Mazatlán de personas a bordo de 1 tráiler y 1 camioneta familiar 
• 26/10/2021 Fue encontrado 1 de los masculinos sin vida, en el poblado del Zapote, en el municipio de Tecuala. Continúan con la búsqueda del otro desaparecido.
• 10/12/2021 Protección Civil del municipio de Huajicori informó, que después de realizar una revisión exhaustiva por los márgenes del río Acaponeta, tanto en el municipio de Huajicori, como en los municipios por donde fluye  él mismo y no encontrar a la persona desaparecida, se determinó suspender las labores de búsqueda. El número de vivinedas 14201 se obtuvo de los boletines de  la página de Secretaria de Bienestar 
</t>
  </si>
  <si>
    <t xml:space="preserve">FONDEN/Secretaria  de Bienestar </t>
  </si>
  <si>
    <t>El día 14 de Octubre alrededor de las 17:00 horas, se reportó el arrastre de 4 integrantes de una familia (2 adultos y 2 menores). Se realizó la búsqueda los días 14 y 15 de octubre informando que por la mañana del día 15 se localizó el cuerpo de una femenina de 4 años y continuando con la búsqueda de 2 adultos y 1 menor. El día 17 de octubre se reporta la localización de tres cuerpos (2 adultos y un menor) en la presa del paraje “Tres Molinos”.</t>
  </si>
  <si>
    <t>El día de hoy, a la 11:00 horas (tiempo local), se presentó el impacto de una pipa que trasportaba 30,000 litros de gas cloro, de la empresa Transportes Norte de Tamaulipas, contra un poste. El accidente ocurrió en la avenida del Niño, No. 7, colonia Villa Hermosa, en el municipio de Matamoros. Se registró la fuga del gas por la válvula de la pipa. Se reportan 5 personas intoxicadas atendidas en el lugar.</t>
  </si>
  <si>
    <t>Santiago Tuxtla y Catemaco</t>
  </si>
  <si>
    <t>Derivado de las fuertes lluvias registradas durante la madrugada del 17 de octubre, en los municipios de Santiago Tuxtla y Catemaco, se reportan las siguientes afectaciones: 
•              Viviendas afectadas: 177
•              Inmuebles afectados: 1
•              Refugios temporales habilitados: 1
Santiago Tuxtla
•   175 viviendas afectadas: 170 viviendas afectadas por inundación con tirantes de aprox. 60 cm, y 5 viviendas por deslave.
•  1 inmueble afectado por inundación: Recinto Ferial.
•  1 refugio temporal habilitado: Asociación Ganadera (sin personas al momento).
Catemaco 
•  2 viviendas afectadas (atendidas) por anegamientos con tirantes de 20 cm aprox., por taponamiento del drenaje.</t>
  </si>
  <si>
    <t>21:30 horas-17/10/2021. Se presentó la salida del camino y posterior incendio de un autobús de pasajeros en la  Carretera El Güiro-Sahuayo, a la altura del municipio de Sahuayo. Se reportan 13 pasajeros lesionados, 7 fueron trasladados a centros médicos para su atención médica y 6 fueron atendidos en el lugar. En el autobús procedente de Jalisco, viajaban 32 personas, de las cuales 25 fueron trasladados a la estación de Protección Civil de Sahuayo.</t>
  </si>
  <si>
    <t>Pichucalco y Juárez</t>
  </si>
  <si>
    <t xml:space="preserve">Durante la noche del 17 de octubre y hasta las 02:00 horas del 18 de octubre, se registraron lluvias de moderadas a fuertes en los municipios de Pichucalco y Juárez, reportándose:
•              Viviendas afectadas: 10
•              Personas afectadas: 44
Juárez
•    10 viviendas afectadas por penetración de agua.
•    44 personas afectadas. </t>
  </si>
  <si>
    <t>Municipio de Huimanguillo: A consecuencia de las lluvias de la madrugada al sur del municipio, se reportó que los niveles pluviales alcanzaron hasta 1 metro de altura, reportando afectaciones a 20 viviendas, sin afectaciones a vidas humanas, solo quedando en daños materiales.</t>
  </si>
  <si>
    <t>A las 07:30 horas, se reportó el desplome de avioneta fumigadora tipo Cessna, propiedad de Servicio Muvarqui, en la 3ra. sección de Tinaja, municipio de Tapachula. En la aeronave viajaba el piloto, el cual falleció al momento del impacto.</t>
  </si>
  <si>
    <t>A las 14:08 horas, se reportó incendio en vivienda, ubicada en Av. Centenario esquina Loma Nueva, colonia de Lomas de Tarango, alcaldía de Álvaro Obregón. Se realizó la evacuación de las viviendas aledañas (sin cuantificar). Se valoraron a 4 personas (2 adultos y 2 menores). Se quemó en su totalidad un cuarto de madera y objetos varios. Se procedió a extinguir el incendio y se realizaron labores de remoción de escombros.</t>
  </si>
  <si>
    <t>El día de hoy, a la 14:20 horas (tiempo local), se presentó la volcadura de una pipa que transporta gasolina, el vehículo propiedad de la empresa Transportes de Coahuila, con número de tanque 199AG, el incidente ocurrió en el Libramiento Venustiano Carranza, en el municipio de Piedras Negras.
Derivado de lo anterior, se reportan 4 personas lesionadas y un derrame de 10,000 litros.</t>
  </si>
  <si>
    <t>San Gabriel Mixtepec</t>
  </si>
  <si>
    <t>A las 05:00 horas se registró Volcadura de Camioneta de Transporte de Personal con razón social Villa Escondida, en el Municipio de San Gabriel Mixtepec, Se reportó 1 fallecido y 7 lesionados.</t>
  </si>
  <si>
    <t>San Salvador</t>
  </si>
  <si>
    <t>A las 11:10 horas, se reporta explosión de un taller de polvorín ubicado en la  sección Paraje, de la localidad Lagunilla, en el municipio de San Salvador. Se reportan 2 lesionados quienes se trasladaron por sus propios medios a algún hospital para su atención médica.</t>
  </si>
  <si>
    <t>Derivado de las lluvias fuertes presentadas el día 23 de octubre se reportaron las siguientes afectaciones: 
• 1 fallecido por arrastre (masculino de 36 años en calle Nezahualcóyotl, Barrio La Santísima) 
• 18 viviendas afectadas (15 con anegación a nivel de patio y 3 con penetración de agua). 
• 1 barda colapsada del Museo Ex Convento de Tepoztlán
• 4 vehículos arrastrados</t>
  </si>
  <si>
    <t>Benito Juárez, Coahuayutla de José María Izazaga, Zihuatanejo de Azueta, Petatlán, Técpan de Galeana y La Unión de Isidoro Montes de Oca</t>
  </si>
  <si>
    <t>Huracán "Rick" categoría 2, vientos fuertes, lluvia severa e inundación fluvial y pluvial ocurrida del 23 al 25 de octubre de 2021</t>
  </si>
  <si>
    <t>A las 10:00 horas, se recibió el reporte de la volcadura de un camión de transporte público, con número económico 5, sobre el km 13 de la carretera Morelia – Pátzcuaro, a la altura de Uruapilla. Se desconoce el total de pasajeros, se reportan 20 lesionados quienes fueron trasladados al Hospital de la Mujer, Hospital Civil y Hospital Infantil, para su atención médica.</t>
  </si>
  <si>
    <t xml:space="preserve">A las 09:00 horas, se recibe reporte de accidente de unidad de transporte público, en la Autopista México- Pachuca Km 23, esquina Avenida Revolución, Colonias Sauces, dirección Ciudad de México. Refieren que la unidad de transporte público se impactó contra el muro de contención, resultando 9 lesionados, 2 de los lesionados fueron trasladados al Hospital Privado de Ecatepec y 7 atendidos en el lugar. </t>
  </si>
  <si>
    <t>A las 07:10 horas, se registró volcadura de un autobús de pasajeros, sobre la carretera federal 307, tramo Andrés Quintana Roo - Uh May, municipio de Felipe Carrillo Puerto. Se reportaron 2 fallecidos y 12 lesionados.</t>
  </si>
  <si>
    <t>Luis Ángel Vidal</t>
  </si>
  <si>
    <t>A las 04:00 horas, se recibió llamada de auxilio por derrumbe sobre carretera que había sepultado a un vehículo, sobre el tramo carretero de la comunidad Llano Grande al Ejido Laguna del Cofre, municipio de Montecristo de Guerrero. Se registró el deslave de un cerro, cuando un vehículo transitaba y fue arrastrado y sepultado. Se reportó 1 fallecido (Presidenta Municipal de Capitán Luis Vidal) y 3 lesionados (esposo, chofer y mujer desconocida), trasladados a una clínica del municipio de Capitán Luis Vidal y son reportados como estables.</t>
  </si>
  <si>
    <t>A las 13:25 horas se recibió reporte de un accidente carretero en la Autopista México – Toluca, a la altura de la caseta La Marquesa, antes de llegar a Lerma, con dirección a Toluca. En el incidente se vieron involucrados un autobús de la Secretaría de Seguridad del Estado de México SSEM con número económico 00340 y 3 vehículos. Se reportan 12 lesionados, 9 cadetes de la SSEM y 3 de una camioneta particular. Los cadetes lesionados fueron llevados al Centro Médico ISSEMyM, 2 de ellos fueron trasladados en helicóptero.</t>
  </si>
  <si>
    <t>A las 07:30 horas se reporta el choque de una camioneta tipo van que se impactó en la parte trasera de un tráiler en la Autopista Zapotlanejo-Guadalajara km10 a la altura de la caseta “La Joya”, Municipio de Zapotlanejo. Se reportan 10 lesionados de los cuales 8 son atendidos en el punto y dos trasladados a unidades médicas sin especificar, de igual manera se reporta 1 fallecido.</t>
  </si>
  <si>
    <t>• 01:34 horas. Se reportó fuga de gas Lp por toma clandestina, en el km 588+800 del LPG Ducto de 24” Cactus-Guadalajara, poblado de San Pablo Xochimehuacán, municipio de Puebla.
• 02:50 horas. Se registraron  4 explosiones de diferentes magnitudes en el lugar con un radio de 800 metros, originadas por la acumulación de gases. Se informa que se incendió al tener contacto con algún punto de ignición.
Afectaciones:
- 1 civil fallecido derivado de una barda caída
- 17 lesionados (9 en estado grave, de ellos 3 intubados), hospitalizados en:
• 12 Hospital General del Norte 
• 2 Hospital de Trauma y Ortopedia 
• 3 Unidad de Quemados del Hospital del Niño Poblano
- 54 viviendas aproximadamente con daños
- Daños no estructurales en el Hospital de Traumatología (caída de plafones en planta baja y primer piso, y vidrios rotos en el primer piso); se evacuaron a 37 pacientes. 
- Daños en empresas cercanas: 1 gasera y 1 tlapalería.
- De manera preventiva, se realizó la evacuación de 2,000 personas en 1 km a la redonda de las colonias: Benito Juárez y La Guadalupana.
- 116 personas albergadas.
- Se establecen 3 refugios temporales</t>
  </si>
  <si>
    <t>A las 18:30 horas, se registró un incendio al interior de una habitación del Hotel Dreams Sands Cancun Resort &amp; Spa, ubicado en el km 8.5 de la Zona Hotelera de Cancún, municipio de Benito Juárez. La causa fue un corto circuito en cables de alta tensión. Se evacuaron 650 personas, entre huéspedes y personal del hotel. Se reportaron 4 lesionados por intoxicación (2 adultos y 2 menores) trasladados para su atención médica. Se presentaron vidrios rotos de algunos pisos.</t>
  </si>
  <si>
    <t>A las 06:36 horas, se registró choque de autobús de pasajeros en Autopista a Los Altos Km. 105, municipio de San Juan de los Lagos, el accidente ocurrió al impactarse contra la parte trasera de un camión de carga. Se reportan 30 lesionados solo uno de ellos trasladado a un hospital para su atención.</t>
  </si>
  <si>
    <t>A las 13:55  horas, se registró la volcadura de un camión de pasajeros de la ruta 063, Guadalajara-El Salto, en la calle Papaloapan, esquina Poza Rica, colonia San Pedritos, en el municipio de Tlaquepaque. En vehículo se transportaban 40 pasajeros, se reportan 20 personas lesionadas, de las cuales 12 fueron trasladadas a distintos hospitales, las demás fueron atendidas en el lugar.</t>
  </si>
  <si>
    <t>Se reportó la volcadura y salida de camino de 1 autobús de jornaleros sobre la carretera Guasave-Bachoco; se reportaron 25 lesionados, de los cuales, 13 fueron trasladados al IMSS en Guasave y el resto atendidos en el lugar.</t>
  </si>
  <si>
    <t>Se reportó choque entre dos autobuses urbanos en el municipio de Salinas Victoria. Se desconoce la causa. Resultando 15 lesionados de los cuales solo 5 fueron trasladados por los cuerpos de auxilio al Hospital de Zona 21 del IMSS.</t>
  </si>
  <si>
    <t>Tuzamapan de Galeana</t>
  </si>
  <si>
    <t>Se reportó el impacto frontal de 1 autobús de pasajeros de la línea VÍA con número económico 3722 y 1 camioneta de transporte público tipo Urvan (Ruta 4, placas SI96SSH) perteneciente a la ruta Zacapoaxtla-Huehuetla, sobre la carretera Equimita- Huehuetla a la altura del Mirador Tuzamapan Km 59. Se reportaron 10 lesionados, los cuales fueron trasladados al Hospital General de la Localidad de Xalacapan del Municipio  de Zacapoaxtla.</t>
  </si>
  <si>
    <t>Se reporta incendio entre la zona de alimentos, animales y mística del mercado de Sonora ubicado en la colonia Merced Balbuena.
• De manera preventiva se realiza la evacuación de personas de toda la nave (600 locatarios). 
• Se realizó sobrevuelo del helicóptero Cóndor de la SSC.
• H.C. de Bomberos informa el incendio con 80% de confinamiento, estiman 2 horas más de labores, incluidas las labores de enfriamiento.
• Sin personas lesionadas solo 5 personas atendidas por crisis nerviosa.
• A las 11:55 horas se informa que el incendio ha sido liquidado al 100%, se reportan 10 locales afectados con un área afectada de 100 m2.</t>
  </si>
  <si>
    <t xml:space="preserve">Se reportó derrumbe de un talud de tierra, en la obra de ampliación de la carretera federal México- Tampico, en el kilómetro 98; se reportan a dos trabajadores sepultados de la empresa RAFEGAS S.A de C.V. Protección Civil del municipio, así como policías municipales lograron sacar de los escombros, un cuerpo sin vida y un lesionado trasladado al Hospital del IMSS para su atención médica. </t>
  </si>
  <si>
    <t>A las 16:26 hora local, se registró un incendio dentro de una bodega de solventes, ubicada en Av. Ángel del Campo, entre calle Diego José Abad y Francisco Javier Clavijero, colonia Aeropuerto, sector Bachigualato, municipio de Culiacán. Se realizó la evacuación de 39 familias (150 personas aproximadamente). Se reportaron 2 bomberos lesionados atendidos por intoxicación. Al momento, el incendio se reporta controlado y sofocado.</t>
  </si>
  <si>
    <t>A las 08:20 horas, se registró el impacto de una unidad de la Línea 6 del Metrobús de la Ciudad de México, chocó contra un vehículo particular y un árbol, en el cruce de la avenida Francisco Morazán y Calle 1505, en la colonia San Juan de Aragón VI Sección, alcaldía Gustavo A. Madero, Se reportan 7 personas lesionadas, de las cuales 5 fueron atendidas en el lugar y 2 más trasladados reportados como delicados al Hospital Magdalenas de las Salinas para su atención médica.</t>
  </si>
  <si>
    <t>A las 12:23 horas se reporta  accidente vehicular de Impacto de un camión de la línea Laser contra una camioneta en la Carretera Federal Jojutla-Alpuyeca Col La Pintora,  Municipio de Xochitepec, Se reporta 1 fallecido y  6 lesionados atendidos en el lugar.</t>
  </si>
  <si>
    <t>Se reportó el impacto de un tráiler (placas 348DE1) de la empresa Fletes Chihuahua S. A. De C. V. que transportaba 9 contenedores de capacidad de 1,100 kilogramos de pegamento textil contra 11 vehículos que se encontraban en la Caseta de Cobro San Marcos en la autopista México- Puebla km 33, perteneciente al municipio de Ixtapaluca. La causa el tráiler se quedó sin frenos.  Al momento se reportan 5 lesionados (4 dados de alta, 1 hospitalizado) y 17 fallecidos (10 femeninas y 7 masculinos).</t>
  </si>
  <si>
    <t>El día de hoy se registró la explosión de un contendor de gasolina, mismo que se ubica dentro de las instalaciones de la estación de servicio No. 521 de Pemex, ubicada en la  calzada Monterrey, esquina calle Tlaxcala, colonia Ruiz Cortines, San Luis Río Colorado. Se reportan 2 personas lesionadas y 50 más evacuadas.</t>
  </si>
  <si>
    <t xml:space="preserve">Se reportó la volcadura de una unidad de transporte público de la ruta “ATSUZI” entre las calles de Niños Héroes y  Avenida Vicente Lombardo, colonia La Crespa, Municipio de Toluca de Lerdo. Se reportan 6 lesionados con heridas menores y atendidos en el lugar por personal SUEM sin ameritar traslado. </t>
  </si>
  <si>
    <t>Ascensión</t>
  </si>
  <si>
    <t>El día de hoy se registró la volcadura, derrame e incendio de una pipa que transportaba 20.000 litros de gasolina. El accidente ocurrió en la avenida México, colonia Centro, en el municipio de Ascensión. Derivado de lo anterior, se reporta una persona lesionada, misma que fue trasladada a un hospital cercano, para su atención médica.
Se tiene un derrame de aproximadamente 10,000 litros de gasolina.</t>
  </si>
  <si>
    <t>A las 05:00 horas, se recibió reporte de un accidente vehicular e incendio de dos transportes tipo Urvan, en el tramo carretero Palenque- Playas de Catazajá en el lugar conocido como Corralón de las Grúas del Pino perteneciente al municipio de Palenque. Se reportan 10 personas fallecidas y 3 lesionadas que fueron trasladadas al Hospital General de Palenque.</t>
  </si>
  <si>
    <t xml:space="preserve">A las 07:45 horas, se reporta posible fuga de gas en una vivienda entre calles Oscar Aguilar Urbina y Tecate, Colonia Estrella, Municipio de Ciudad Juárez. Localizan 2 cuerpos sin signos vitales en el baño de la vivienda, en el lugar se atienden 3 lesionados por intoxicación, sin ameritar traslado. Se reporta como posible causa del deceso, intoxicación por monóxido de carbono, por mala instalación en el boiler de la vivienda. </t>
  </si>
  <si>
    <t>Se reporta el impacto de una unidad del Macrobús contra una camioneta particular Pick up, el incidente ocurrió en la calzada Independencia y calle Juan Manuel, colonia Centro, en el municipio de Guadalajara. Se reportan 5 personas lesionadas, de las cuales sólo 1 fue trasladada a la Cruz Roja de Guadalajara, las demás fueron atendidas en el lugar.</t>
  </si>
  <si>
    <t>A las 17:30 horas del 09 de noviembre, se reporta el flamazo por fuga y acumulación de un cilindro de gas LP, al interior de un departamento en Av. de la Unidad y Solidaridad en Col. Valle de Infonavit 1, municipio de Monterrey. Se reportan 2 lesionados con quemaduras trasladados a la unidad médica más cercana del Municipio. Se evacuaron 45 personas.</t>
  </si>
  <si>
    <t>Explosión dentro de predio particular donde se almacenaban material de pirotecnia (500 metros cuadrados), ubicado en la calle Francisco Sarabia, entre Miguel Allende y José Ma. Morelos y Pavón, colonia Guadalupe Tlazintla, municipio de Tultepec. Se reporta una persona lesionada (femenina), con quemaduras del 1ero. 2do. Y 3er. grado en el 30% en brazos, cara y pierna, la cual fue trasladada al hospital de Alta Especialidad de Zumpango. Asimismo, se atendió una persona en el lugar, la cual presentó crisis nerviosa.
Cabe mencionar que después de la explosión se registró un incendio de 4 vehículos, mismo que se encuentra controlado y extinguido.</t>
  </si>
  <si>
    <t>Ixtapangajoya</t>
  </si>
  <si>
    <t xml:space="preserve">Se registraron lluvias de moderadas a fuertes en el municipio de Ixtapangajoya, de la Región Norte, provocando:
• 82 Viviendas afectadas por penetración de agua (50 cm).
No se reportaron evacuados, lesionados y/o fallecidos. Se reportaron únicamente daños materiales en enseres domésticos. 
</t>
  </si>
  <si>
    <t xml:space="preserve">A las 05:49 horas, se registró el choque de un camión de transporte público (Línea Ometochtli) contra árbol y barda de vivienda, en el poblado de San Juan, municipio de Tepoztlán. El choque se originó, ya que se quedó sin frenos la unidad. Se reportan 20 personas lesionadas, trasladados al IMSS, ISSSTE y Hospital General de Cuernavaca. Se realizó el retiro de la unidad siniestrada. </t>
  </si>
  <si>
    <t>Se reportó un incendio que afectó 8 viviendas construidas de material endeble en la Comisaría de Dzununcán; se reportó la evacuación de 9 familias (32 personas) que se dirigieron con familiares; no se reportaron fallecidos y/o lesionados. Elementos del DIF estatal, brindaron fardos de láminas de cartón junto con paquetes alimenticios, así como, catres, cobertores y colchonetas, entregados en apoyo a las familias damnificadas.</t>
  </si>
  <si>
    <t>A las 09:30 horas, se reportó explosión y derrumbe de una vivienda de un nivel en Lago Ammer y 3a. cerrada de Lago Ammer, Col. Pensil, Miguel Hidalgo. Resultaron 1 fallecido (femenina de 20 años) y 12 lesionados (7 atendidos en el lugar y 5 son trasladados. Así mismo la afectación de 2 viviendas aledañas y 3 vehículos. Se realizó el acordonamiento del área y la evacuación preventiva de 100 personas. 
Se brinda el apoyo a 22 familias por distintas dependencias de gobierno. Se habilitó un Centro de Acopio del Deportivo Pavón y un refugio temporal en Hogar CDMX, ubicado en Col. Tabacalera, sin personas albergadas.</t>
  </si>
  <si>
    <t>Se reportó volcadura de una unidad de la Secretaria de Defensa Nacional (número 0872313) en la carretera libre de Villa Juárez a Carlos Real, a la altura del ejido Las Cuevas, municipio de Lerdo. Resultaron 5 fallecidos y 1 lesionado el cual fue trasladado al Hospital Militar de la ciudad de Torreón.</t>
  </si>
  <si>
    <t>A las 07:30 horas, se reportó el impacto de 2 camionetas de transporte de personal, una de ellas perteneciente a la empresa Commscope y la otra a la empresa Sepsisa, en el municipio de Ciudad Juárez. Resultaron 11 personas lesionadas, de las cuales 7 fueron atendidas en el lugar y las otras 4 fueron trasladadas a un nosocomio para su valoración médica.</t>
  </si>
  <si>
    <t>Volcadura de camión de transporte de personal a 1 km de la carretera San Luis en dirección al Ejido Jiquilpan, municipio de Mexicali. Se reportan que viajaban 40 personas, de las cuales se presentan 14 lesionados, los cuales son trasladados al IMSS de San Luis Río Colorado.</t>
  </si>
  <si>
    <t>Jaltocán</t>
  </si>
  <si>
    <t>18:00 horas-16/11/2021. Se reportó explosión por material pirotécnico e incendio en una vivienda, ubicada en el Barrio Tlalnepantla, municipio de Jaltocán, sin permiso de SEDENA. Se reportaron 2 personas lesionadas y como 80% de daños ocasionados en la vivienda.</t>
  </si>
  <si>
    <t>A las 10:37 horas, se reportó el fallecimiento de 2 personas al interior de una vivienda por intoxicación por inhalación de monóxido de carbono, sobre calle 34 Mz. 29 Lt.33 esquina Av. Santa Lucía, colonia Olivar del Conde 2ª. Sección, alcaldía de Álvaro Obregón. Se debió a una mala combustión de un boiler.</t>
  </si>
  <si>
    <t xml:space="preserve">se reportó el impacto entre una camioneta de transporte público y un tráiler, sobre la carretera Morelia - Salamanca km 11+800, a la altura de la segunda entrada a Tarímbaro, municipio de Tarímbaro. Se reportaron 9 lesionados trasladados a los hospitales del IMSS, Civil, de la Mujer y de la Salud, para su atención médica. </t>
  </si>
  <si>
    <t>Se reporta explosión de producto pirotécnico que se elaboraba de manera clandestina en un domicilio particular, ubicado sobre la carretera Santiago - Chalma, localidad de Mextitla,  municipio de Santiago Tianguistenco. Se reportó 1 lesionado (masculino de 48 años) con quemaduras de segundo grado en un 60% de superficie corporal, trasladado al Hospital Dr. Nicolás San Juan.</t>
  </si>
  <si>
    <t>Nautla, Tenochtitlán, Martínez de la Torre, Misantla, Tlapacoyan, Boca del Río y Veracruz</t>
  </si>
  <si>
    <t>Derivado de las lluvias fuertes por el Frente Frío No. 10 registradas el 22 y 23 de noviembre, se reportan las siguientes afectaciones: 
•              Municipios afectados: 7 (Nautla, Tenochtitlán, Martínez de la Torre, Misantla, Tlapacoyan, Boca del Río y Veracruz)
•              Viviendas afectadas: 298 (50 Nautla, 5 Tenochtitlán, 1 Martínez de la Torre, 233 Misantla, 8 Tlapacoyan y 1 Veracruz)
•              Personas afectadas: 1,192 (200 Nautla, 20 Tenochtitlán, 4 Martínez de la Torre, 932 Misantla, 32 Tlapacoyan y 4 Veracruz)
•              Locales comerciales: 2 (2 Veracruz) 
•              Vías de comunicación afectadas: 12 (5 Nautla, 1 Tenochtitlán y 6 Misantla)
•              Puente afectado: 3 (3 Misantla). 
•              Escuela afectada: 1 (1 Nautla).
•              Refugio temporal habilitado (sin ocupar): 3 (3 Nautla) 
•              Afectación a cultivos: 1 (1 Nautla - cultivos de limón, naranja y plátano en la localidad Troncones).</t>
  </si>
  <si>
    <t>Se registró volcadura de tráiler que transportaba 2 isotanques con polímero (se desconoce tipo), sobre el km 087+850 autopista (140) Armería – Manzanillo, a la altura del puente Tepalcates, municipio de Manzanillo. Se registró el derrame de 21,000 L de polímero. Se reportó al conductor del tráiler prensado, por lo que falleció en el lugar.</t>
  </si>
  <si>
    <t>A las 03:58 horas, se reportó choque por alcance entre autobús de pasajeros (44 personas) y tráiler de caja seca vacía, sobre el libramiento norponiente (a San Miguel de Allende) km 25, en dirección a la carretera federal 57, municipio de El Marqués. Se reportaron 33 lesionados leves y 11 que ameritaron traslado (1 grave) al Hospital General y al Hospital del ISSSTE.</t>
  </si>
  <si>
    <t>A las 16:45 horas, se presentó la explosión y posterior incendio de una bomba en la gasolinera dentro de la Plaza Comercial  Revolución en Av. Revolución No.910, colonia Tamulte de las Barrancas, municipio de Centro. Derivado de lo anterior, se reporta 1 lesionado trasladado en estado grave por quemaduras al IMSS del municipio y la evacuación de  1,000 personas de la zona.</t>
  </si>
  <si>
    <t>Se reportó la volcadura de una camioneta tipo Urban de transporte público, con razón social ANAZA, que cayó en un barranco en la Carretera Nicolás Romero-Villa del Carbón, colonia San José El Vidrio. Se reportan 11 personas lesionadas trasladadas al Hospital Juan Aldama para su revisión y atención, así mismo 6 personas fallecidas.</t>
  </si>
  <si>
    <t xml:space="preserve">A las 18:55 horas, se reportó la explosión al interior de un domicilio particular donde se almacenaba pirotecnia de 25x25 metros, en calle Libertad y Jazmín, Barrio La Piedad, municipio de Tultepec. Se reportó:
•              2 fallecidos (masculinos de 21 y 60 años)
•              6 lesionados
-              3 atendidos en el lugar por contusiones a causa de los proyectiles de la explosión y crisis nerviosa (femeninas de 61 años, 66 años y 9 años)
-              3 con quemaduras graves trasladadas al Hospital de Alta Especialidad de Zumpango (femeninas de 8 meses, 26 años y 45 años) 
•              3 inmuebles con afectaciones estructurales
•              6 vehículos dañados
</t>
  </si>
  <si>
    <t>A las 02:30 horas, se registró la volcadura de microbús de transporte de pasajeros con placas 04ESS99, en la carretera La Herradura, entre las comunidades de Isaac Arriaga y La Soledad de Santa Ana, en el predio conocido como La Nopalera, municipio de Puruándiro. Se reportaron 10 personas lesionadas, 5 requirieron atención médica urgente y fueron trasladadas al Hospital Regional de Puruándiro, mientras entregan los respectivos pases para trasladarlos al "Hospital Mac" ubicado en la ciudad de Irapuato, ya que mencionan que la aseguradora de la unidad se hará cargo de los lesionados.</t>
  </si>
  <si>
    <t>Se reporta el aterrizaje forzoso de una avioneta, tipo Cubcrafters carbón club SS, con número de matrícula N70CC, color negro con naranja. El descenso ocurrió en la comunidad de Mamulique, en el municipio de Salinas Victoria. Se reporta 1 persona fallecida y 1 lesionada (con fractura de extremidad inferior inmovilizada y trasladada al Hospital Zambrano.</t>
  </si>
  <si>
    <t>El día 25 de noviembre,  se registra incendio dentro de la empresa, con razón social Flex-Oil lubricantes, ubicada en Círculos y Rectángulos, parque Industrial Arco Vial, municipio de García. Se realizó la evacuación de 216 empleados de 11 empresas del lugar. Se reportan 2 personas atendidas por quemaduras y signos de intoxicación. Se consumieron 4 bodegas en su totalidad. El incendio inició debido a una explosión al momento de encender una bomba de aceite.</t>
  </si>
  <si>
    <t>A las 08:38 horas se tuvo conocimiento del choque de 1 autobús de pasajeros contra 1 vivienda en la comunidad el Guarda, municipio de Joquicingo. Derivado de lo anterior, se reportan 19 fallecidos y 32 lesionados, los cuales fueron trasladados a los Hospitales Generales de Tenancingo, Malinalco y al Dr. Nicolás San Juan en Toluca. En la unidad de la línea Tejeda, placas de circulación 976RJ8, procedentes de Ciudad Sahuayo, Michoacán  viajaban 53 personas, las cuales tenían como destino el poblado de Chalma, municipio de Ocuilán. Cabe mencionar que en el lugar participaron  2 aeronaves del Grupo Relámpagos y 10 ambulancias de las Delegaciones Toluca, Lerma, Metepec, Tenancingo, Ixtapan de la Sal y Huixquilucan. El incidente se presentó cuando el autobús se quedó sin frenos.</t>
  </si>
  <si>
    <t>A las 07:20 horas, se registró volcadura de pipa que transportaba 35,000 litros de gasolina, perteneciente a la empresa AUTO TRANSPORTES LA PALMA S.A. DE C.V, en Fraccionamiento Floresta y Margarita Maza Juárez, municipio de Morelia. Se reporta 1 lesionado (policía de la caseta). Se realizó la evacuación de 35 familias.  La pipa presentó 3 fugas de combustible, se desconoce la cantidad derramada. Al lugar llegaron grúas para reincorporar la unidad.</t>
  </si>
  <si>
    <t>A las 11:33 horas, se registró explosión por liberación de un tanque de gas de 20 kg en un domicilio ubicado en Calle 53 sur y Calle 19 Poniente de la colonia Reforma Sur, municipio de Puebla resultando 14 lesionados (6 personas trasladadas al Hospital de Traumatología y Ortopedia "Doctor y General Rafael Moreno Valle"), 2 vehículos afectados, daños al inmueble y afectaciones en inmuebles circundantes. Se realizó la evacuación de las personas de las viviendas aledañas (sin cuantificar).</t>
  </si>
  <si>
    <t>A las 18:18 horas, se registró el desplome de estructura y gradería de un torín portátil (plaza de toros móvil) que había sido instalado para un evento, en calle Javier Mina s/n, poblado Buenos Aires, municipio de Ameca. Se reportaron 30 lesionados, 6 trasladados al Hospital Regional para toma de rayos X y 24 atendidos en el lugar.</t>
  </si>
  <si>
    <t>Teotihuacán</t>
  </si>
  <si>
    <t>A las 11:00 horas, se registró un mal aterrizaje de un globo aerostático, esto en camino a San Isidro, en el municipio de Teotihuacán. Derivado de lo anterior, se reportan 8 personas lesionadas, entre ellas dos personas de nacionalidad Estadounidense, todas ellas trasladadas al Hospital General de Axapusco.</t>
  </si>
  <si>
    <t xml:space="preserve">A las 16:00 horas Se reporta incendio en taller de pintura de autos en Calle Herreros Esquina Grabados Colonia Venustiano Carranza, Alcaldía Venustiano Carranza  En el lugar se encuentran tanques de acetileno y gas LP.  Se realizó la evacuación de personas (sin cuantificar) de las viviendas aledañas al lugar.   Se aislaron 5 cilindros de gas. Se calcinaron 4 vehículos y 120 metros cuadrados de área afectada. No se reportan lesionados.     </t>
  </si>
  <si>
    <t>Se reportó explosión de pirotecnia dentro de una vivienda particular, ubicada en calle San Bernardo, colonia Libertad, municipio de Tijuana. Se reportó 1 lesionado (estable) y 1 persona más atendida por crisis nerviosa, no ameritaron traslado.</t>
  </si>
  <si>
    <t xml:space="preserve">• 01:34 horas. Se reportó fuga de gas Lp por toma clandestina, en el km 588+800 del LPG Ducto de 24” Cactus-Guadalajara, poblado de San Pablo Xochimehuacán, municipio de Puebla. Se registraron aproximadamente 4 explosiones de diferentes magnitudes en el lugar con un radio de 800 metros, originadas por la acumulación de gases. Se informa que se incendió al tener contacto con algún punto de ignición (probablemente un transformador eléctrico).
• 04:53 horas. Concluyen los trabajos de soldadura de well cap 6" de la toma clandestina.
• 5 fallecidos (1 civil masculino derivado de una barda caída y 4 personas por quemaduras en hospital).
1. Masculino de 32 años en sitio
2. Femenina de 62 años en hospital
3. Femenina de 17 años en hospital
4. Femenina de 43 años en hospital
5. Masculino de 43 años en hospital
•  4 lesionados hospitalizados (1 grave y 3 delicados) 
•  257 viviendas dañadas: 117 con daños menores, 76 con moderados y 64 se demolieron.
•  42 personas albergadas en 1 refugio temporal en la Escuela Técnica N. 44, “Adolfo López Mateos”.
</t>
  </si>
  <si>
    <t>A las 13:01 horas del 02 de diciembre, se registró incendio en 8 domicilios de material endeble (madera y láminas de cartón) construidos en un terreno irregular, sobre la calle Aguascalientes esquina Baja California, colonia Las Margaritas, municipio de Santiago de Querétaro. Paramédicos de CRUM valoraron a 1 femenina de 38 años con quemaduras provocadas por radiación, resultando en código verde sin ameritar traslado. Se instalará un albergue temporal.</t>
  </si>
  <si>
    <t>Se reportó el incendio de un inmueble (Taller Mecánico y carpintería), ubicado en calle Árbol de Fuego y Av. Canal Nacional, colonia Valle del Sur. Se realizó la evacuación de 70 personas. Se reportaron 2 lesionados atendidos en el lugar con afectaciones materiales en 5 vehículos del taller mecánico.</t>
  </si>
  <si>
    <t>A las 06:30 horas, se registró choque entre camión de carga que llevaba 35 toneladas de mineral (se desconoce el tipo) y un autobús de pasajeros, sobre Av. López Mateos, a la altura de San Agustín con dirección a Morelia, municipio de Tlajomulco de Zúñiga. Se reportaron 6 lesionados, trasladados al hospital más cercano por lesiones regulares.</t>
  </si>
  <si>
    <t>A las 13:00 horas, se reportó el colapsó de una cimbra en una construcción ubicada en Carretera Federal y Paseo de Los Tamarindos, colonia Paseo de Las Lomas, Alcaldía Cuajimalpa. El incidente se dio cuando trabajadores de la obra estaban en labores para colar una marquesina, cuando la cimbra de 10 por 2 metros colapsó desde una altura de 6 metros, resultando 2 trabajadores lesionados, mismos que fueron trasladados por paramédicos de la Cruz Roja y ERUM al Hospital más cercano para su valoración y atención.</t>
  </si>
  <si>
    <t>A las 15:30 horas, se reportó el impacto entre un microbús y una unidad del Metrobús, en Avenida Tláhuac, colonia Santana Poniente de la Alcaldía Tláhuac. Se indicó como causa del incidente invasión al carril del Metrobús por parte del microbús, a consecuencia del suceso se reportan 7 personas lesionadas, las cuales fueron trasladadas a un nosocomio, para su valoración y atención médica.</t>
  </si>
  <si>
    <t>A las 19:30 horas, se presentó la explosión de material pirotécnico en un taller clandestino de pirotecnia al interior de una vivienda en la junta auxiliar de Santa María Zacatepec, municipio de Juan C. Bonilla. Derivado de lo anterior, se reporta:
• 1 fallecida femenina de 19 años 
• 3 lesionados masculino de 39 años y 2 menores de edad 
La explosión provocó el colapso de una pared de la vivienda.</t>
  </si>
  <si>
    <t xml:space="preserve">Se reportó explosión de polvorín con Permiso General 1741, en Av. Chichipilco, zona de la Saucera, municipio de Tultepec, se desconocen las causas, se registran 3 personas lesionadas trasladadas al Hospital de Alta Especialidad en Zumpango. </t>
  </si>
  <si>
    <t>Se reporta accidente de un microbús de transporte público en calle Guadalajara esquina Tamaulipas, colonia Buenavista 2da sección, municipio de Tultitlan,  se desconocen las causas del accidente, se reportan 8 personas lesionadas, mismas que fueron trasladadas al Hospital de Traumatología de Lomas Verdes.</t>
  </si>
  <si>
    <t>A las 19:54 horas, se registró choque de una camioneta de transporte público contra la parte trasera de una camioneta de carga de 3 ½, sobre el km 020+300 autopista (1710) México - Puebla (directo), dirección Puebla, colonia Emiliano Zapata, alcaldía de Iztapalapa. Se reportaron 7 pasajeros lesionados (2 con fracturas).</t>
  </si>
  <si>
    <t>Ceylan</t>
  </si>
  <si>
    <t>A las 21:23 horas, se reportó explosión al interior de vivienda, ubicada en la colonia Del Parque, municipio de Celaya. Se debió por un cilindro de gas Lp y acumulación de gas. Se valoraron a 6 personas de las cuales, se trasladó a 1 lesionado del sexo femenino al ISSSTE del municipio de Celaya. Se tuvo daños estructurales en la vivienda reportada, así como daños materiales en 2 viviendas, se realizó evacuación preventiva de 9 personas de 3 viviendas.</t>
  </si>
  <si>
    <t>General Felipe Ángeles</t>
  </si>
  <si>
    <t>20:10 horas-06/12/2021. Se registró explosión e incendio de polvorín clandestino, ubicado en Av. Central, Barrio de San Juan, localidad de Santiago Tenango, municipio de General Felipe Ángeles. Se tiene un aproximado de 16 personas lesionadas y por parte del Presidente Municipal se confirman 6 personas fallecidas. Se reportan daños a un total de 11 viviendas (4 total y 7 parcial) y 5 vehículos.</t>
  </si>
  <si>
    <t>El día de hoy a las 12:00 horas (tiempo local), se registró el impacto de una pipa de la empresa “Transportes Fronterizos de Sonora, S. A. de C. V., cargada con 10,000 litros de combustóleo, contra 3 vehículos particulares en la avenida Francisco I. Madero, esquina calle Álvaro Obregón, colonia Reforma, municipio de Naco. Se reporta derrame de 1,000 litros del producto, 1 fallecido y 4 lesionados.</t>
  </si>
  <si>
    <t>A las 17:45 horas, se registró explosión de material pirotécnico, en calle 20 de noviembre, zona centro del municipio de Xiutetelco, cuando una pareja trasladaba el material en un diablito de carga y de manera repentina explotó. Se reportaron 2 lesionados (1 mujer y 1 hombre), trasladados al Hospital Regional de Teziutlán.</t>
  </si>
  <si>
    <t>Durante la noche del 08 de diciembre, se registró choque de autobús de pasajeros de la línea Adelas con número económico 129 y vehículo particular, sobre Oriente 27 con Norte 14, colonia Pluviosilla, como referencia en la contra esquina de abarrotes La 27, municipio de Orizaba. Una vivienda fue dañada parcialmente con el impacto del autobús de pasajeros. Se reportaron 9 lesionados, 5 mujeres que viajaban en el camión de pasajeros y 4 hombres que viajaban en el vehículo particular, además 2 hombres que habitaban en la vivienda afectada fueron atendidos en el lugar por crisis nerviosa.</t>
  </si>
  <si>
    <t>A las 22:38 horas, se registró explosión e incendio en terreno de 100 x 80 m aproximadamente, en donde existían 2 viviendas en su interior: una con dimensiones de 15 x 5 m y la segunda con dimensión de 30 x 30 m aproximadamente, de la cual en la parte trasera se localizó lo que fue un taller para elaboración de productos elaborados a base de pólvora con una dimensión de 30 x 6 m aproximadamente, sobre Ángel Leaño y Prolongación 1º de Noviembre, colonia Hogares de Nuevo México, municipio de Zapopan. La explosión dañó muros laterales y techumbre de lámina galvanizada de lo que fue el taller, resultando con daños en su estructura parte de la vivienda. Se reportaron 4 lesionados, 3 (masculinos de aprox. 40-45 años) en condición grave trasladados al Hospital Civil y a la Clínica No. 46 del IMSS, 1 más trasladado por sus propios medios.</t>
  </si>
  <si>
    <t xml:space="preserve">a las 09:00 horas, se recibió reporte de un accidente carretero, sobre Carretera Nacional, colonia el Faisán, municipio de Santiago. Camioneta tipo van se impactó contra una barda. Se reportan 2 fallecidos y 14 lesionados trasladados al hospital Universitario en Monterrey. </t>
  </si>
  <si>
    <t>A las 15:30 horas del 9 de diciembre, se reportó Choque de tráiler que transportaba migrantes con otra unidad de carga en la carretera Tuxtla Gutiérrez - Chiapa de Corzo, a altura de la Col. El Refugio, municipio de Chiapa de Corzo, Al momento se reportan 49 fallecidos en el lugar, 06 fallecidos en hospitales y 105 lesionados.</t>
  </si>
  <si>
    <t xml:space="preserve">A las 14:15 horas, se reportó incendio de negocio Fábrica de Calzado con razón social “El Botín Rojo”, en calle Zamora Ríos esquina calle Del Trabajo, colonia Allende , municipio de San Miguel de Allende. No se reportaron lesionados, Fallecidos solo como prevención evacuaron 70 personas de las viviendas aledañas .  Debido a lo anterior resultaron daños estructurales severos por el colapso de tres niveles, así como una barda frontal, posteriormente se continúa con el corte de energía eléctrica de la zona por parte de la Comisión Federal de Electricidad. </t>
  </si>
  <si>
    <t>A las 16:15 horas, se reporta explosión de polvorín de un taller de elaboración, producción y almacenamiento de material pirotécnico, con número de permiso 1192, en calle Amado Nervo, Barrio de Guadalupe, Colonia El Mirador, municipio de Tultepec. El área afectada es de 5,000 m² aproximadamente, 2 fallecidos y 15 lesionados:  (12)  DIF Xahuento "Benita Galeana”, (1) Hospital de Alta Especialidad en Zumpango y (2) Hospital General José Vicente Villada.</t>
  </si>
  <si>
    <t>A las 12:23 horas, se reportó choque por alcance entre un tráiler y un autobús de pasajeros en el km 172+800 autopista (1820) Monterrey-Nuevo Laredo, municipio de Anáhuac. Se desconoce la causa. Resultando 13 lesionados los cuales fueron trasladados al hospital San José en Nuevo Laredo, Tamaulipas. Como medida preventiva se realizó cierre parcial de la circulación.</t>
  </si>
  <si>
    <t>A las 15:50 horas, se reportó impacto de unidad de transporte público contra inmueble en Avenida Nezahualcóyotl, Colonia Tres Cruces, municipio de Puebla. Se presume como posible causa que la unidad se quedó sin frenos derivando el impacto contra la vivienda. Se reportan 15 lesionados con heridas leves, los cuales son atendidos por diversos servicios de emergencia y los cuales se han retirado por sus propios medios del lugar. Equipo DRO valorará la estructura para Identificar y/o descartar riesgos.</t>
  </si>
  <si>
    <t>A las 09:55 horas del 12 de diciembre, se reportó un accidente en el juego mecánico “Himalaya” en las instalaciones de la Feria Ganadera, municipio de Tierra Blanca. El incidente se debió a que se desprendió el piso del juego mecánico “Himalaya”, provocando que empezara a brincar y a sacudir a las personas que se encontraban en el mismo. Se reportaron 4 lesionados (3 menores de edad y 1 adulto), brindándoles atención pre hospitalaria y traslado a la Clínica del Seguro Social No. 33 para su valoración y atención médica.</t>
  </si>
  <si>
    <t>CONAGUA: H San Joaquín, Chis., 127.3 mm ubicada en el municipio  de Pichucalco, Chis., con  un umbral de  140 mm (08:00 hora del 12/12/2021 a las 08:00 horas del 13/12/2021).                                                                  
A las 00:44 horas, se reportó el desbordamiento del arroyo Alcocer, en la colonia Luis Donaldo Colosio, municipio de Pichucalco, reportándose:
•              10 viviendas con penetración de agua (tirante de agua de 10 a 20 cm), una de ella con daño total de enseres domésticos. 
•              1 vivienda afectadas por barda colapsada.</t>
  </si>
  <si>
    <t>A las 11:25 horas, se reporta el incendio de una nave industrial de aproximadamente 5,000 m2 de la empresa con razón social “TAMCAS GROUP”, dentro del Parque Industrial Diamante, en Privada Santa Elena, municipio de Santa Catarina. 
• Se reporta el colapso de la nave en su totalidad y la quema de plástico, madera, cartón, llantas, frituras, 12 tanques de gas natural y sustancia líquida. Se realizó la evacuación de 142 personas de empresas aledañas y 145 más de  la colonia Privada San Pedro. 
• 20:00 horas. El incendio se propagó a 2 empresas aledañas (MAGRESA y CRIOTEC), mismas que han sufrido daños considerables. 
• Se reportan 4 bomberos intoxicados que fueron atendidos y que se reportan estables. 
o 07:50 horas. Se reporta que sigue el 90% de control del incendio, cuerpos de emergencias continúan laborando.</t>
  </si>
  <si>
    <t>A las 07:00 horas, se recibió reporte de la explosión de un local comercial (taquería), ubicado en calle Aldama, Zona Luz, municipio de Centro. Se reporta al momento:
•    1 femenina atrapada en la zona siniestrada, por lo que se procedió a su rescate en conjunto con la Unidad Municipal de Protección Civil Centro..
•     A las 11:30 horas, se reportó la desaparición de 3 personas, de las cuales una fue localizada sin signos vitales y se encuentran realizando las labores de búsqueda de las 2 restantes.</t>
  </si>
  <si>
    <t>A las 14:18 hora local, se registró derrumbe de techo de la Plaza Otay, municipio de Tijuana. Al arribo de las unidades, se encuentran con estructura de techo colapsada con 1 persona atrapada que falleció en el lugar, además se reportaron 5 lesionados, 4 que no requirieron traslado y 1 que fue trasladado por Cruz Roja Mexicana. Se realizó la evacuación de 300 personas aproximadamente.</t>
  </si>
  <si>
    <t>Tijuana, Tecate, Playas de Rosarito y Ensenada</t>
  </si>
  <si>
    <t>Durante la tarde-noche del 14 de diciembre, se han registrado lluvias de moderadas a fuertes y vientos fuertes por el paso del Frente Frío No. 14 en los municipios de Tijuana, Tecate, Playas de Rosarito y Ensenada, reportándose al momento:
Municipio de Tijuana
•    14:03 hora local. Se realizó el rescate de 2 personas de su vehículo que quedó varado en la corriente del agua, sin lesiones.
•    14:16 hora local. Fallecimiento de 1 femenina al ser arrastrada por la corriente de agua de un pluvial en calle Mérida, colonia Chapultepec
•    15:08 hora local. Búsqueda de 1 persona arrastrada por la corriente de agua en un desarenador, en Mariano Matamoros Centro
•    Se habilita 1 campamento para albergar hasta 300 migrantes.
• 15:08 hora local. Fallecimiento de 1 femenina arrastrada por la corriente de agua en un desarenador, en Mariano Matamoros Centro, localizada el día 16 de diciembre por cuerpos de emergencia.
Municipio de Playas de Rosarito
•    15:37 hora local. Se reportó el arrastre de una persona del sexo masculino en el arroyo, que pasa por el Puente Kontiki, colonia Crosthwaite. 16:00 hora local. Cuerpos de emergencia se encuentran realizando maniobras de búsqueda.
CFE: Desplegó un equipo integrado por 124 trabajadores electricistas, 32 vehículos y 24 grúas. Restableció el suministro eléctrico al 99% de los 161,959 usuarios afectados.</t>
  </si>
  <si>
    <t>Durante la tarde-noche del 14 de diciembre, se han registrado lluvias de moderadas a fuertes y vientos fuertes por el paso del Frente Frío No. 14 en los municipios de Tijuana, Tecate, Playas de Rosarito y Ensenada, reportándose al momento:
Municipio de Tijuana 
•  Falla en el suministro de la energía eléctrica en colonia Lázaro Cárdenas por caída de cables y postes 
•  Se realizó el rescate de 2 personas, sin lesiones, de su vehículo que quedó varado en la corriente del agua.
•  Fallecimiento de 1 femenina al ser arrastrada por la corriente de agua de un pluvial en calle Mérida.
•  Búsqueda de 1 persona arrastrada por la corriente de agua en un desarenador, en Mariano Matamoros Centro
•  Se habilita 1 campamento para albergar hasta 300 migrantes 
•  Se vieron suspendidas las operaciones del Aeropuerto de Tijuana, debido a condiciones de viento desfavorables.
Municipio de Tecate
•  El 75% de la población de La Rumorosa afectada por falta de energía eléctrica 
Municipio de Playas de Rosarito
•  Se reportó el arrastre de una persona del sexo masculino en el arroyo, que pasa por el Puente Kontiki, colonia Crosthwaite. Cuerpos de emergencia se encuentran realizando maniobras de búsqueda por el área de la colonia San Fernando, donde desemboca la corriente del arroyo.
CFE: Desplegó un equipo integrado por 124 trabajadores electricistas, 32 vehículos y 24 grúas. Restableció el suministro eléctrico al 99% de los 161,959 usuarios afectados que representan el 11% de la totalidad de usuarios en esta región del país.</t>
  </si>
  <si>
    <t>A las 06:25 horas, se recibió reporte de la explosión en inmueble (plata baja - taquería con razón social Tacolandia, 1er piso - 3 cuartos de renta, sala, cocina y baño, 2do piso - piso habilitado como departamento), ubicado en calle Aldama No. 609, Zona Luz, municipio de Centro. La causa probable fue por acumulación de gas Lp. Durante el siniestro, se desplomó el primer piso. Se reportó:
o  1 femenina de 26 años atrapada en el primer piso, fue rescatada y trasladada al Hospital Dr. Gustavo A. Rovirosa.
o  Se localizó el cuerpo de 1 persona del sexo femenino (Italiana) de aprox. 28 años de edad.
o  Se realizó la evacuación (sin cuantificar) de domicilios y locales aledaños al siniestro.</t>
  </si>
  <si>
    <t>Explosión e incendio de tanque de gas, en un departamento, en Fraccionamiento Aquiles Serdán. Se reportaron 2 lesionados que fueron trasladados al Hospital General de Pachuca para su valoración médica. Se realizó la evacuación de aproximadamente 100 personas.</t>
  </si>
  <si>
    <t>Se registró la explosión de un polvorín, ubicado en la calle de Puente de la Umaran esquina calle Colegio. Se reportó 1 lesionado, trasladado al Hospital General del Municipio de San Miguel de Allende.</t>
  </si>
  <si>
    <t xml:space="preserve">San Fernando </t>
  </si>
  <si>
    <t>A las 05:45 horas, se reporta accidente carretero e incendio entre un autobús Transpaís (2 pisos), una camioneta particular y un tráiler de plataforma con contenedores (se desconoce el contenido) en el km 151 de la carretera Victoria a Matamoros, altura Ejido las Norias, municipio De San Fernando resultando 4 fallecidos y 20 lesionados (la mayoría lesiones menores) los cuales fueron trasladados al Hospital Gral. de San Fernando. Las 3 unidades fueron totalmente consumidas por el incendio.</t>
  </si>
  <si>
    <t>A las 13:41 horas, se reportó explosión e incendio de bodega de Pirotecnia en Carretera Comalcalco- Cárdenas Ranchería Oriente 4ta Sección, municipio de Comalcalco. No se reportan fallecidos, resultando 5 lesionados de las viviendas aledañas por la onda expansiva, de los cuales uno de ellos fue trasladado al Hospital General de Comalcalco.</t>
  </si>
  <si>
    <t>Durante la madrugada del día de hoy, se presentó una explosión al interior del Complejo Petroquímico Cosoleacaque en el municipio de Cosoleacaque. Se reportan 3 trabajadores lesionados con quemaduras de primer y segundo grado, mismos que fueron trasladados 2 a la enfermería del complejo y 1  al Hospital Regional de Minatitlán.</t>
  </si>
  <si>
    <t>A las 19:16 horas, se registró choque de un camión de pasajeros que transportaba 40 personas, contra un tráiler con razón social SETRAMEX S.A. DE C.V. en la carretera 45, Zacatecas – Aguascalientes, kilómetro 72. Se reportó 1 fémina fallecida y 5 lesionados, que fueron trasladados al IMSS, ISSSTE y al Hospital General para su valoración médica.</t>
  </si>
  <si>
    <t>A las 21:45 horas se registró accidente carretero de vehículo de la Fuerza Civil con placas FC-2618, en Autopista Acayucan - Cd. Isla km. 148 a la altura del municipio de Juan Rodríguez Clara, se reporta 1 fallecido y 5 lesionados los cuales fueron trasladados a un hospital para su atención.</t>
  </si>
  <si>
    <t>A las 01:10 horas se registró salida del camino de autobús de pasajeros  de la línea NAVANI con número económico 1024, en Autopista 150 Córdoba – Veracruz, km. 45, a la altura de la Localidad La Tinaja, por el entronque, con dirección a Veracruz, municipio de Cotaxtla. Se reportan 2 fallecidos y 27 lesionados de los cuales 11 fueron trasladados al  Hospital 20 de Noviembre e ISSSTE en Veracruz; y, Hospital Civil de Yanga.</t>
  </si>
  <si>
    <t>A las 17:45 horas, se presentó la explosión de una camioneta que transportaba artificios pirotécnicos en la lateral de la carretera Estatal libre Villagrán – Celaya, municipio de Villagrán. Se reportan 4 fallecidos (3 en el lugar y 1 en el Hospital) y  6 lesionados (trasladados al Hospital General del Municipio de Celaya y Hospital Comunitario del Municipio de Villagrán). El incidente se presentó por el mal manejo del producto.</t>
  </si>
  <si>
    <t>Tepelmeme Villa de Morelos</t>
  </si>
  <si>
    <t>A las 06:00 horas, se presentó un accidente carretero entre 1 autobús de pasajeros y 1 camioneta sobre la Autopista Cuacnopalan-Oaxaca, en el municipio de Tepelmeme de Villa de Morelos. Se reportan 3 fallecidos y 8 lesionados, trasladados al Hospital Reforma en Oaxaca.</t>
  </si>
  <si>
    <t>A las 14:30 horas, se reportó volcadura de ambulancia de la SEDENA número 8029171 en el km 123 carretera Mexicali-San Felipe, municipio de Mexicali, resultando 2 lesionados los cuales fueron trasladados a una unidad médica cercana para su valoración.</t>
  </si>
  <si>
    <t>A las 17:17 horas (tiempo local), se presentó una fuga de gas en la tortillería al interior del Ley Express de la colonia Manuel R. Bobadilla, municipio de Heroica Guaymas. Se reportan 3 intoxicados (1 requirió traslado y 2 atendidos en el lugar) y 48 evacuados entre empleados y clientes.</t>
  </si>
  <si>
    <t>A las 20:14 horas, se presentó un incendio al interior de 1 vivienda en la colonia La Esperanza, municipio de Tuxpan. Se reportan únicamente daños materiales. La casa fue declarada como pérdida total.</t>
  </si>
  <si>
    <t>A las 18:30 horas, se registró el choque en aire de 2 avionetas fumigadoras y su posterior desplome, en huertas plataneras del ejido Coahuayana, municipio de Coahuayana. Se reportó 1 fallecido (masculino 26 años) y 1 lesionado (masculino 23 años).</t>
  </si>
  <si>
    <t>A las 08:00 horas se registró salida de camino y volcadura de una unidad de la Guardia Nacional en la Carretera 57, kilómetro 101 en el tramo Sabinas - Monclova, municipio de Sabinas. Se reporta 1 persona fallecida y 6 lesionados, los cuales fueron trasladados al Hospital General de Zona número 24 del IMSS en Nueva Rosita.</t>
  </si>
  <si>
    <t>A las 10:18 horas se recibió reporte de explosión de pirotécnica e incendio, al interior de un domicilio, en la comunidad de San Ildefonso, municipio de Amealco. Se reportan 2 personas lesionadas trasladados para su atención médica, uno al Hospital General de Querétaro el cual presenta el 90% de quemaduras en el cuerpo y la otra persona fue traslada al Hospital de San Juan del Río con el 40% de quemaduras.</t>
  </si>
  <si>
    <t>San Martín de las Pirámides</t>
  </si>
  <si>
    <t>Se reportó la explosión de un polvorín, en la calle San Francisco, colonia San Francisco Tlaltica, en el municipio de San Martín de las Pirámides. Se reporta 1 persona fallecida y 1 lesionada, misma que es trasladada en helicóptero, al CENIAQ (Centro Nacional de Investigación y Atención de Quemados), en la Ciudad de México.</t>
  </si>
  <si>
    <t>A las 20:25 horas, se tuvo reporte de incendio de local comercial en la colonia  Gonzalo Ortega 2da Sección. No se reportan daños humanos ni personas evacuadas. Tras combatir el fuego, a las 21:32 horas se sofocó. En el lugar se consumió un vehículo, enseres domésticos y plásticos. Se desconocen las causas que originaron el incidente.</t>
  </si>
  <si>
    <t>A las 22:00 horas, se tuvo reporte de explosión de pirotecnia en la comunidad de Agua Dulce, municipio de Papantla. Derivado de lo anterior, se reporta 1 fallecido y 5 lesionados (4 adultos y 1 menor).</t>
  </si>
  <si>
    <t xml:space="preserve">Durante la noche del día 30 de diciembre y el día 31 de diciembre, se reportaron precipitaciones en el municipio de Guaymas y Puerto Peñasco. 
Municipio de Guaymas:
- Vehículos varados (sin cuantificar).
Municipio de Puerto Peñasco 
- 7 Vehículos varados
- 1 casa inundada 
- Evacuados (sin cuantificar)
- 1 rescatados
- 1 Torre de CFE caída (corte de energía eléctrica por 5 horas el día 31 de diciembre) Restablecido al 100%
</t>
  </si>
  <si>
    <t>A las 15:12 horas, se registró la salida de camino y choque de Urvan del servicio público de la ruta Fraccionamiento Río Azul (No. económico 618 con placas de circulación A618FHC de Guerrero) contra barda de vivienda, en la colonia San Rafael Oriente, municipio de Chilpancingo de los Bravo. Se reportaron 2 fallecidos en el lugar y 3 lesionados, trasladados al Hospital del IMSS y Hospital Privado del Sur.</t>
  </si>
  <si>
    <t>A las 05:10 horas se reporta incendio en departamento ubicado en la unidad Infonavit La Soledad, municipio de Tonalá. Se reportan 4 fallecidos entre ellos 2 menores de edad, y 2 menores rescatados ilesos.</t>
  </si>
  <si>
    <t xml:space="preserve">Veracruz y Tamaulipas </t>
  </si>
  <si>
    <t>Tamalín, Ozuluama, Cerro Azul, Coatepec, Veracruz, Tihuatlán, Gutierrez Zamora, Emiliano Zapata, La Antigua, Puente Nacional, Paso de Ovejas, Úrsula Galván, Xalapa y Tampico Alto, Coacoanzintla, Tlapacoyan, Playa Vicente, Manlio Fabio Altamirano, Lerdo de Tejada, San Andrés Tuxtla, Tlalnelhuayocan, Naranjos Amatlán.</t>
  </si>
  <si>
    <t>Derivado del paso del Frente Frio No. 19, se presentaron fuertes vientos en los estados de Veracruz y Tamaulipas, reportando las siguientes afectaciones:
Municipio Tamalín:
- 1 Caída de domo (Salón de Usos Múltiples de la Comunidad Ejido Rincón). 
Municipio de Ozuluama
- 1 caída de domos (Escuela de San Gregorio). 
Municipio de Cerro Azul
- 1 caída de domo (En terrenos de la Feria).
Municipio de Coatepec 
-  1 vivienda.
Municipio de Veracruz
- 1 inmueble, 2 postes caídos 
Municipio Tihuatlán:
- 1 vivienda afectada por caida de rama
- 2 lesionados trasladados al Hospital Regional de Poza Rica por caída de láminas de techo. 
Municipio de Banderilla
- 1 Caída de de barda (1): Calle Cuauhtémoc #14, Col. Centro.
Municipio Puente Nacional
- 1 Vivienda afectada por destechamiento de láminas (Atendido).
Municipio Paso de Ovejas
- 1 caída de barda
- 1 caída de domo
Municipio de Úrsulo Galván
- 1 vivienda afectada por destechamiento parcial
- 2 postes caídos
Municipio de Tlapacoyan
- 1 vivienda afectada destechamiento parcial por fuerte viento
Municipio de Otontepec
- 15 viviendas con destechamiento parcial
- 1 caída de domo.
Municipio de Manlio Fabio Altamirano
- 1 caídas de poste 
Servicio eléctrico
323,225 usuarios afectados en Veracruz; 99% de restablecimiento.</t>
  </si>
  <si>
    <t xml:space="preserve">A las 06:57 horas, se presentó el choque frontal de 2 autobuses de pasajeros sobre la carretera an Juan-el Colomo, municipio de Bahía de Banderas. Derivado de lo anterior, se reportan 5 lesionados y 1 fallecido. Los autobuses trasportaban a personal de una empresa y el otro a empleados del Hotal Four Seasons. </t>
  </si>
  <si>
    <t>A las 16:00 horas, se presentó la explosión de pirotecnia al interior de 1 vehículo en la colonia Centro, municipio de Silao. Derivado de lo anterior, se reportan 2 lesionados, un masculino de 18 años con quemaduras (sin especificar el grado) en el 31.5% del cuerpo y las segunda una menor de 7 años, ambos trasladados al  Hospital General del Municipio de Silao.</t>
  </si>
  <si>
    <t>A las 05:39 horas del 06 de enero, se reporta un volcadura de camioneta en el Km. 220 de la carretera Hermosillo-Guaymas, municipio de Hermosillo. Se reportan 19 lesionados trasladados en estado estable al Hospital General Zona No. 14 y No. 2.</t>
  </si>
  <si>
    <t>A las 07:40 horas, se reportó el impacto de un tren contra un autobús de pasajeros, de la empresa Alden, en Avenida del Sol, Comunidad Rincón de Tamayo. Se reporta 1 persona fallecida y 17 personas lesionadas, las cuales fueron trasladadas a diferentes nosocomios para su valoración  médica.</t>
  </si>
  <si>
    <t>A las 19:00 horas se reportó lluvia fuerte con granizo en el municipio de Acatzingo, en la Carretera Federal Puebla – Jalapa, a la altura de San Sebastián Villanueva, con las siguientes afectaciones: 
• La carretera se encuentra cerrada parcialmente por granizo con altura de 15 cm, cerca del km 024+000 carretera (2315), se habilitó un carril en cada sentido.
• Daños en techos de 7 viviendas
• Daños en cultivos.</t>
  </si>
  <si>
    <t xml:space="preserve">A las 18:30 horas, se presentó la explosión de pirotecnia en la comunidad La Laborcita, municipio de León. Se reportan 11 lesionados (4 menores y 7 adultos). El incidente se presentó durante una boda, cuando un artificio pirotécnico presentó deficiencias para subir y explotó junto a los demás artificios. </t>
  </si>
  <si>
    <t>A las 16:00 horas, se reportó el flamazo de una máquina de combustión interna, en la Planta Deshidratadora “Ágata”, ubicada en la localidad Arroyo Blanco, municipio de Coatzacoalcos. Se reportaron 4 personas lesionadas trasladadas al Hospital Regional de Pemex de Minatitlán.</t>
  </si>
  <si>
    <t>Perote, Papantla, Yecuatla, Comapa, Ixhuatlán del Café y Misantla</t>
  </si>
  <si>
    <t xml:space="preserve">•         87 viviendas afectadas (2 destechadas y 85 anegadas) 
•         348 personas afectadas  
•         4 derrumbes
•         1 vía de comunicación alterna 
•         2 puentes afectados 
•         2 escuelas afectadas </t>
  </si>
  <si>
    <t>A las 15:10 horas, se registró choque entre autobús de la línea “Metro” y autobús de la línea “13 de Mayo”, en la esquina de la calle 10 y Av. 11, municipio de Córdoba. Se reportan 10 lesionados, trasladados al Hospital Regional de Córdoba para su valoración y atención médica</t>
  </si>
  <si>
    <t>A las 04:30 horas se registró accidente entre autobús de la línea ADO y tractocamión en Carretera Perote - Las Vigas. Se reportan 6 lesionados los cuales fueron trasladados a un Hospital de Xalapa</t>
  </si>
  <si>
    <t>Boca del Río</t>
  </si>
  <si>
    <t>A las 17:20 horas, se registró un incendio en un restaurante de nombre “La Hilacha”, ubicado en calle Viveros sin número, esquina Jardines de Virginia, colonia Jardines de Virginia, municipio de Boca del Río. Se reportó 1 persona lesionada, misma que fue trasladada a un hospital cercano, para valoración. Se evacuaron preventivamente 80 personas del restaurante y de la tienda departamental “Nike Factory”</t>
  </si>
  <si>
    <t>Chucándiro</t>
  </si>
  <si>
    <t>A las 06:54 horas, se reportó la volcadura, salida de camino e incendio de una camioneta tipo URVAN de transporte público en el Kilómetro 260 de la Autopista de Occidente, municipio de Chucándiro. Se reportan 4 personas fallecidas y 10 lesionadas trasladadas a un nosocomio para su valoración médica</t>
  </si>
  <si>
    <t>Se registró el impacto de un microbús contra un vehículo particular, en Calzada de Los Misterios y Donizzeti, colonia Vallejo, alcaldía de Gustavo A. Madero; el microbús se impactó contra la fachada de una vivienda. Se reportaron 17 personas lesionadas,  sólo 1 ameritó traslado al Hospital de La Villa</t>
  </si>
  <si>
    <t>Huayacocotla</t>
  </si>
  <si>
    <t>A las 08:30 horas del 18 de enero, se registró un derrumbe en una Mina de caolín, conocida como "El Polvorín", a la altura del ejido Carbonero y la localidad El Capulín, municipio de Huayacocotla. Al momento del incidente, Se encontraban laborando en el sitio 3 personas que quedaron sepultadas. Se realizaron y labores de rescate de los 3 cuerpos (masculinos)</t>
  </si>
  <si>
    <t>08:00 horas, se reporta volcadura de una unidad de trasporte público, en la autopista México–Puebla Km 24+678, esquina Eje 10, colonia Darío Martínez 1ra Sección. Se informan 18 lesionados atendidos en el lugar y trasladados por diferentes dependencias médicas.</t>
  </si>
  <si>
    <t>Se reportó la volcadura de un camión que transportaba 9 personas (el chofer y 8 profesores de la SEPE-USET), en la carretera Zapata - Cárdenas km 4.1, municipio de Emiliano Zapata. Se reportó 1 persona fallecida y 7 lesionados trasladados al Hospital General del ISSSTE y Hospital Regional de Tzompantepec</t>
  </si>
  <si>
    <t>A las 12:00 horas del 25 de enero, se recibe reporte por desplome elevador de carga, en la clínica “Los Ángeles Tamulté”, ubicada en Av. Gregorio Méndez Magaña 3717, Tamulté de las Barrancas, en el municipio de Centro. Se reportan 5 trabajadores lesionados que realizaban labores de mantenimiento, mismos que fueron trasladados al Hospital Rovirosa, en la capital del estado. En el lugar participaron personal de Cruz Roja y de la misma clínica. Hasta el momento, se desconocen las causas que originaron el incidente.</t>
  </si>
  <si>
    <t xml:space="preserve">Se registró impacto de un autobús de pasajeros contra un objeto fijo, sobre la carretera Jajalpa, colonia San Miguel Ameyalco, municipio de Lerma. Se reportaron 13 personas lesionadas, 3 de ellas trasladadas por SUEM y 2 por Cruz Roja de Toluca y de Lerma a diferentes hospitales para su valoración médica y 8 atendidos en el lugar. </t>
  </si>
  <si>
    <t>Se registró Choque de una combi de transporte contra un poste , sobre Av. Río Consulado Esq. Oceanía, Colonia Pensador Mexicano, Alcaldía Venustiano Carranza, Se reportaron 5 lesionados de los cuales 3 fueron trasladados al Hospital Magdalena de las Salinas y 2 atendidos en el lugar.</t>
  </si>
  <si>
    <t xml:space="preserve">Choque de un autobús de pasajeros de la línea Elite, contra un tráiler (se desconoce que transportaba) y un vehículo tipo Sedan, en el km 3, autopista Tepic – Guadalajara, antes de llegar a la caseta de Santa María del Oro. Derivado de lo anterior, se reportaron 5 lesionados, que fueron trasladados a hospitales cercanos para su valoración médica. </t>
  </si>
  <si>
    <t>En relación a la *explosión y posterior colapso de un domicilio de tres niveles,* presentada el día 25 de enero a las 22:35 horas, en la calle Diagonal Defensores de la República, esquina 25 Norte, colonia Barrio de San Matías del municipio de Puebla, se reportan 4 fallecidos, 15 lesionados (9 masculinos y 6 femeninas, rescatados de los escombros.</t>
  </si>
  <si>
    <t>Tulancingo de Bravo</t>
  </si>
  <si>
    <t>A las 20:00 horas aproximadamente, se registró la salida de carpeta asfáltica e incendio de una pipa que transportaba Grasa Multipropósito Complejo EP-2 denominada “Eduarlube” (grasa elaborada a base de complejo de litio) (ONU 3082 - Guía 171 - sustancias reguladas líquidas), sobre el km 086+900 carretera (2715) Tulancingo - Tihuatlán, tramo Tulancingo - Tejocotal, municipio de Tulancingo de Bravo. Se reportó 1 persona fallecida (chofer de pipa) y 1 persona lesionada (chofer de moto) que fue atendido en el sito.</t>
  </si>
  <si>
    <t>Santiago Ixcuintla</t>
  </si>
  <si>
    <t>A las 22:08 horas del 30 de enero, se registró la volcadura y salida de carpeta asfáltica de un autobús de turismo, mismo que se dirigía de Tuxpan a Talpa (Jalisco), sobre el km 49+500 de la carretera Federal 15 Tepic - Mazatlán, poblado de El Capomal, municipio de Santiago Ixcuintla. En el autobús viajaban 35 pasajeros aproximadamente, de los cuales 1 persona perdió la vida (sexo femenino) y 5 resultaron con lesiones quienes fueron llevados a un nosocomio de Santiago Ixcuintla.</t>
  </si>
  <si>
    <t>A las 19:00 horas, se registró choque por alcance entre un autobús y un tractocamión con remolque que transportaba material de construcción, sobre el km 009+900 carretera (1615) Mérida - Puerto Juárez, tramo Mérida - Kantunil, municipio de Mérida. Se reportaron 5 lesionados, trasladados a diversos hospitales del municipio.</t>
  </si>
  <si>
    <t>El 31 de enero se reporta derrumbe en mina de nombre San Carlos, en la comunidad del Coco, ubicada sobre la carretera México No. 40, tramo Mazatlán – Durango, municipio de Concordia. Una persona masculina de 24 años que se encontraba trabajando, murió en el lugar.</t>
  </si>
  <si>
    <t>A las 18:07 horas, se presentó un choque entre 1 unidad de trasporte público y 1 vehículo particular sobre la carretera Chiapa de Corzo-Tuxtla Gutiérrez, municipio de Chiapa De Corzo. Se reporta 1 fallecido y 16 lesionados, de los cuales, 12 fueron trasladados al Hospital Dr. Jesús Gilberto Gómez Maza.</t>
  </si>
  <si>
    <t>A las 01:20 horas, se presentó un choque entre 1 autobús y 1 vehículo particular sobre la autopista Tehuacán-Oaxaca, a la altura del municipio de Tehuacán. Se reportan 4 fallecidos y 2 lesionados.</t>
  </si>
  <si>
    <t>A las 04:30 horas, se registró la volcadura de una pipa de la empresa “Transportes Rápidos Regionales”, con 32,000 litros de diésel, esto en el km 92 de la carretera Cananea - Imuris, comunidad Cuiteca, municipio de Cananea. Se reportó 1 lesionado trasladado a la clínica 55 del IMSS, municipio de Cananea. Además de que se presentó el derrame de todo el producto.</t>
  </si>
  <si>
    <t>Tlalneplantla</t>
  </si>
  <si>
    <t>Aproximadamente a las 21:00 horas, se registró volcadura de autobús de pasajeros, sobre el km 012+800 autopista (1690) México (Ecatepec) - Ent. Tizayuca (directo) tramo México (Ecatepec) - Ent. Morelos, poblado de San Juan Ixhuatepec, municipio de Tlalnepantla de Baz. Se reportó 1 fallecido (hombre de 45 años) y 5 lesionados, trasladados al hospital.</t>
  </si>
  <si>
    <t xml:space="preserve">A las 04:00 horas, se registró el impacto entre 1 vehículo particular y 1 autobús con 36 pasajeros. El accidente ocurrió en Pilas y Granadas antes de llegar a puente de Venados, municipio de Pachuca de Soto. Se desconocen las causas. Se reportaron 32 lesionados, trasladados al Hospital General e IMSS en Pachuca de Soto. </t>
  </si>
  <si>
    <t>A las 09:30 horas, se reportó el impacto con volcadura y posterior salida de camino de un autobús de pasajeros de la empresa “ADO” en Kilómetro 242 de la carretera Playa del Carmen - Lázaro Cárdenas.  El incidente se originó tras el impacto del autobús contra un torton, originando la volcadura, reportando un total de 8 personas fallecidas y 33 lesionados, 13 atendidos en el lugar y 20 trasladados al Hospital General de Cancún "Jesús Kumate Rodríguez” y al Hospital General de Valladolid para su valoración y atención médica.</t>
  </si>
  <si>
    <t>A las 14:00 horas aproximadamente, se registró choque entre una camioneta de transporte público y un vehículo particular, sobre Av. Central a la altura del metro Nezahualcóyotl, dirección CDMX, municipio de Nezahualcóyotl. Se reportaron 7 lesionados, de los cuales 3 fueron trasladados para valoración médica.</t>
  </si>
  <si>
    <t xml:space="preserve">Durante la tarde, se registró una explosión por aparente acumulación de gas Lp, en un departamento que forma parte de un complejo departamental, ubicado en calle Álvaro Obregón y Leopoldo Ramos, colonia El Choyal, municipio de Hermosillo. Se reportaron 3 lesionados (1 mujer, 1 hombre y 1 menor de edad), trasladados a la Clínica 14 del IMSS y al Hospital Infantil del Estado por quemaduras. El incidente dejó daños materiales y afectaciones a otros inmuebles. </t>
  </si>
  <si>
    <t>En el municipio de Charo en la comunidad de La Escalera, se registró granizada durante la tarde, reportándose 22 domicilios de teja afectados, siendo estas familias evacuadas al albergue habilitado en el municipio y algunas más con familiares.</t>
  </si>
  <si>
    <t>Rincón de Romos</t>
  </si>
  <si>
    <t>A las 05:41 horas accidente entre dos tráileres y un camión de transporte de personal en la carretera 45 norte, en el libramiento de Rincón de Romos, municipio de Rincón de Romos, se reportan 2 fallecidos y 25 lesionados</t>
  </si>
  <si>
    <t>Aproximadamente a las 21:00 horas, se registró incendio de un departamento, ubicado en Av. del Castillo y Canek, colonia Guadalupe Victoria, alcaldía de Gustavo A. Madero. El incendio pudo ser originado por una flamazo en un cilindro de gas Lp. Se realizó la evacuación de 80 personas. Paramédicos atendieron a 1 mujer y después fue trasladada al hospital por quemaduras de segundo y tercer grado en el 80% de su cuerpo.</t>
  </si>
  <si>
    <t>A las 11:30 horas se registró el impacto entre 2 vehículos particulares y 1 camioneta tipo Urvan de transporte público, en Boulevard Luis Donaldo Colosio a la altura de la "Toyota", municipio de Benito Juárez. Se reportaron 8 lesionados, trasladados al Hospital General del Municipio</t>
  </si>
  <si>
    <t xml:space="preserve">Derivado de las lluvias moderadas que se presentaron durante la madrugada, se reportan las siguientes afectaciones:
•              1 vivienda de material endeble destechada
•              2 viviendas que presentaron entrada de lodo (ya en limpieza) </t>
  </si>
  <si>
    <t>A las 11:30 hora local, se registró derrumbe de un domo de tierra (tierra que se acumula por trabajos de extracción transportados por una banda) al exterior de la Mina San Francisco, propiedad de la empresa Magna Gold, municipio de Santa Ana. Se reportaron 3 fallecidos (empleados masculinos).</t>
  </si>
  <si>
    <t>A las 14:51 horas, se registró explosión e incendio de un polvorín, ubicado en Av. México y 20 de Noviembre, cerca de la iglesia de Santiago, comunidad de Santiago Yancuitlalpan, municipio de Huixquilucan. Se reportó 1 fallecido y 2 personas lesionadas atendidas en el lugar.</t>
  </si>
  <si>
    <t xml:space="preserve">A las 06:19 horas, se tuvo conocimiento de un incendio de 1 vivienda de material endeble en las inmediaciones de la colonia Infonavit Iztacalco. La vivienda se encontraba en un área irregular (área verde), derivado de lo anterior, se reporta 1 fallecido y 30 evacuados. Cuerpos de emergencia sofocaron el incendio. Se desconocen las causas que originaron el incidente. </t>
  </si>
  <si>
    <t>A las 07:30 horas, se registró accidente entre 2 unidades oficiales de la Secretaría de Seguridad del Estado de México, sobre la autopista Toluca - Naucalpan, municipio de Lerma de Villada. Se reportaron 7 elementos lesionados, 3 de ellos trasladados al Centro Médico ISSEMYM en Toluca para su atención médica, 2 más vía aérea con apoyo del Grupo Relámpagos debido a la gravedad de las lesiones y 2 atendidos en el sitio, además de 1 civil lesionado (femenina) trasladado por SUEM al Sanatorio Florencia en Toluca.</t>
  </si>
  <si>
    <t>A las 11:38 horas, se registró explosión al interior de una panadería con razón social “Panadería del Sur”, ubicada en Boulevard Océano Ártico esquina calle Tlacopan, colonia Rinconada del Sur, alcaldía de León. Se debió por acumulación de gas Lp por fuga en cilindro de 30 kg. Se reportaron 5 lesionados (3 rojos, 1 amarillo y 1 verde), atendidos en el lugar y trasladados al Hospital General e IMSS T-53 del municipio de León.</t>
  </si>
  <si>
    <t>A las 18:00 horas se registró explosión en el área de calderas  del ingenio San Rafael de Pucté, ubicado entre los ejidos de Pucté y Álvaro Obregón, 63 kilómetros al Sur de Chetumal, municipio de Othón P Blanco, se reportan 7 lesionados de los cuales 2 se reportan graves que fueron trasladados al hospital General del IMSS de Mérida.</t>
  </si>
  <si>
    <t>A las 16:45 horas, se registró el impacto de un camión de pasajeros de la línea Senda contra un camión de mudanzas, en la carretera Rivereña Piedras Negras-Acuña, frente al CERESO, en el municipio de Piedras Negras. Se reporta 1 persona fallecida y 6 lesionados, de los cuales sólo 2 fue necesarios trasladarlos a un hospital cercano.</t>
  </si>
  <si>
    <t>A las 11:00 horas se registró el desplome de una avioneta fumigadora, en el poblado El Alacrán, sindicatura de Higueras de Abuya, en el municipio de Culiacán. Se reporta 1 fallecido (piloto).</t>
  </si>
  <si>
    <t>A las 06:45 horas se registró accidente vehicular entre 1 camioneta de transporte de personal y una motocicleta, la camioneta de transporte de personal volcó en boulevard Aeropuerto esquina calle Sauzalito de la colonia Valle de la Hacienda, municipio de León, se reportan 7 personas lesionadas las cuales fueron trasladadas al Hospital del IMSS 58.</t>
  </si>
  <si>
    <t xml:space="preserve">A las 10:50 horas se registró incendio en el Hospital General de Alta Especialidad de Veracruz ubicado en avenida 20 de noviembre, entre Agustín de Iturbide y Alacio Pérez, municipio de Veracruz, el  incendio ocurrió en la parte de afuera del Hospital en la zona de compresores del aire acondicionado y que alcanzó la zona de gobierno. Se realizó la evacuación de 700 personas aproximadamente.  </t>
  </si>
  <si>
    <t>A las 10:00 horas (tiempo local)  se registró incendio en 8 viviendas de las cuales 4 fueron con daño total y 4 parcialmente, ubicadas en calle 26 de febrero de colonia El Tecolote, municipio de Tijuana. Se reportan 8 fallecidos (entre ellos 4 menores de edad) , se atendieron a 3 personas por crisis nerviosa.</t>
  </si>
  <si>
    <t>18:30 horas-24/02/2022. Se registró incendio en un terreno donde se almacenaban pacas de algodón, ubicado en calle San Isidro, colonia La Conchita, municipio de Chalco. Se tuvo un área afectada de 2,000 m2 (70 toneladas de material) y se emplearor más de 1 millón de litros de agua durante las labores de control y sofocación.</t>
  </si>
  <si>
    <t>A las 01:47 horas, se registró choque entre camión de pasajeros (marca DINA, color azul y placas 28-ESS-12 del Estado de Guanajuato) y camioneta (marca Chevrolet, submarca Blazer, color dorado y placas B49795 de la UDC), contra objeto fijo (muro perimetral de una vivienda), ubicado en calle Revolución esquina calle Guadalupe, colonia Francisco Aguilera, municipio de Tarimoro. Se reportaron 5 fallecidos y 15 lesionados, pertenecientes a la banda musical San Juan Bautista, originarios de Rincón de Tamayo, quienes fueron valorados en el lugar y posteriormente trasladados al Hospital General de los municipios de Salvatierra y Celaya. La vivienda tuvo daño estructural severo, por colapso del muro perimetral.</t>
  </si>
  <si>
    <t>A las 14:05 horas  e registró salida de camino y volcadura de autobús de la línea ADO en la carretera Tampico-Mante a la altura del puente roto en el municipio de Altamirano; se reportan 13 lesionados trasladados al Hospital General de Altamira.</t>
  </si>
  <si>
    <t>A las 11:20 horas, se reportó explosión de auto tanque cargado con combustóleo en las calles Nanchital y Arenque, colonia Diana Laura Riojas de Colosio del Municipio de Altamira. La unidad siniestrada con capacidad de 20,000 litros se encontraba llena al 100%; derivando en 3 fallecidos y 1 lesionado.</t>
  </si>
  <si>
    <t>A las 12:31 horas (tiempo local), se registró la explosión de una caldera, ubicada dentro de las instalaciones de la Cementera Chihuahua, localizada en calle Juan Escutia y avenida de las Industrias, Zona Industrial. Derivado de lo anterior se reportan 1 fallecido en el hospital y 4 lesionados, mismos que fueron trasladados a un hospital cercano, para su valoración.</t>
  </si>
  <si>
    <t>A las 10:10 horas (tiempo local), se registró volcadura de una camioneta de SEDENA con no. 8110308, carretera a La Presa, en el Poblado Hacienda del Tamarindo. Se reportó 1 fallecido y 5 lesionados, que fueron trasladados al Hospital Militar Central de Mazatlán, para su valoración médica.</t>
  </si>
  <si>
    <t>A las 11:30 horas, se tuvo conocimiento de la explosión de material pirotécnico al interior de 1 domicilio particular, en colonia Barrio Santa Isabel, municipio de Tultepec. Derivado de lo anterior, se reporta 1 lesionado, con quemaduras de segundo grado y pérdida de la mano izquierda, mismo que fue trasladado al Hospital de Alta Especialidad en Zumpango</t>
  </si>
  <si>
    <t>A las 12:45 horas, se tuvo conocimiento de la explosión de material pirotécnico en 1 taller clandestino, en colonia Trigotenco, municipio de Tultepec. Derivado de lo anterior, se reporta 1 fallecido.</t>
  </si>
  <si>
    <t>En relación a la volcadura y posterior caída de una camioneta del transporte público del puente de Manzana de Roma, de la ruta 22, en avenida Ávila Camacho, colonia Pirules, en el municipio de Tlalnepantla. Señalan que aumentó a 8 lesionados, mismos que fueron trasladados al hospital de Lomas Verdes. Hasta el momento. Se desconocen las causas que originaron el incidente.</t>
  </si>
  <si>
    <t xml:space="preserve">Alpatláhuac </t>
  </si>
  <si>
    <t>A las 11:22 horas se recibe reporte de explosión de casa habitación usada para almacenar de material pirotécnico en la localidad de Xicola, municipio de Alpatláhuac. Derivado de lo anterior se reportan 6 fallecidos (5 en sitio y 1 en camino al hospital). Se determinó la vivienda como pérdida total y afectaciones en otras 4 viviendas.</t>
  </si>
  <si>
    <t xml:space="preserve">A las 19:30 horas del 05 de marzo, se reporta riña entre aficionados en el Estadio Corregidora, del municipio de Santiago de Querétaro.  Al momento se reportan 22 lesionados trasladados al Hospital General. </t>
  </si>
  <si>
    <t>A las 22:29 horas del 05 de marzo, se registró volcadura de una unidad de transporte del personal, perteneciente a la empresa Eurobus, marca Mercedes Benz, submarca Zafiro, color blanco, placas 53-RB-9A, con número económico 223, en carretera Federal libre Irapuato – Silao, Comunidad Los Nicolases, municipio de Guanajuato. Se desconocen las causas que originaron el incidente. Derivado de lo anterior, se reportó 7 personas lesionadas que fueron atendidas en el lugar y posteriormente trasladadas al IMSS del municipio de Irapuato</t>
  </si>
  <si>
    <t>28/02/2022 Se reportaron deslizamientos de tierra, sobre la calle Victor Islas Parras #12876, colonia Camino Verde, municipio de Tijuana. La causa detectada fue por un movimiento natural de la tierra que ocasionó grietas al interior de las casas y al exterior a la altura del cañón.  
05/03/2022 La mesa de trabajo interinstitucional, determinó emitir una Declaratoria Estatal de Desastre con el fin de reubicar de 120 viviendas. Se utilizará como refugio temporal la Unidad Deportiva Reforma y la Unidad Tijuana, con todos los servicios básicos para que se trasladen 599 personas.</t>
  </si>
  <si>
    <t>A las 15:30 horas, se reportó volcadura de camioneta tipo urvan de trasporte de personal, en la autopista Córdoba - Veracruz km 49, dirección Veracruz, municipio de Córdoba. Se reportan 6 lesionados de los cuales 2 fueron trasladados al Hospital Médico de Medellín, 2 al HGZ No. 71 del IMSS y los 2 restantes fueron atendidos en el lugar.</t>
  </si>
  <si>
    <t>A las 12:10 horas, se registró volcadura de autobús de pasajeros de la empresa “SUR” (destino Juchitán de Zaragoza, Oaxaca), en la carretera Transístmica 185 km 134, a la altura de la gasolinera de Jaltepec, municipio de Jesús Carranza. Se reportaron 17 lesionados trasladados al Hospital de Suchilapan, para su pronta valoración y atención médica.</t>
  </si>
  <si>
    <t>A las 11:32 horas, se registró un incendio al interior de una casa habitación, ubicada entre las calles Riolita y Cuarzo, colonia Pedregal del Topo Chico, municipio de Escobedo. Se desconocen las causas. Se reportaron 4 personas fallecidas en el lugar (1 mujer y 3 menores).</t>
  </si>
  <si>
    <t xml:space="preserve">A las 02:09 horas, se reporta caída de trabe de concreto en Lago de Guadalupe-Texcoco del municipio de Nextlalpan. El incidente ocurrió al momento de instalar la cuarta trabe de concreto, el distribuidor vial se fracturó y a su vez impactó otras tres trabes. Se informa de 1 fallecido, personal de la empresa constructora.
</t>
  </si>
  <si>
    <t xml:space="preserve">13:31 horas del 10 de marzo. Se registró un incendio de vivienda de material endeble, en calle Colibrí entre la calle Zona Federal, Barrio Monte Alto, como referencia junto a las antenas de TV, municipio de Valle de Bravo. Se reportan 2 viviendas con pérdida total, 14 damnificados (mismos que se trasladaron con familiares).
</t>
  </si>
  <si>
    <t>Jamapa, Ignacio de Llave, San Andrés Tuxtla, Catemaco, Santiago Tuxtla, Lerdo de Tejada, Saltabarranca, Tlalixcoyan, Boca del Río, Soteapan, Coatzacoalcos, Tlacolulan, Naolinco, Coetzala, Cosamaloapan, Amatitlán, Otatitlán, Banderilla, Emiliano Zapata, Tierra Blanca, Veracruz, Cotaxtla, Alvarado, Medellín de Bravo, Misantla, Pueblo Viejo, Xalapa, Ozuluama de Mascareñas</t>
  </si>
  <si>
    <t>Durante el transcurso del día 12 de marzo, debido al paso del Frente frío No. 35 y el evento de “Norte” asociado al mismo, se reportó en el Estado:
• Municipios afectados: 28 
• Viviendas afectadas: 48 
• Población afectadas: 192
• Locales comerciales afectados: 11
• Escuelas afectadas: 6 
• Afectaciones en servicios estratégicos (energía eléctrica): 9
------------------------------
• Jamapa:
Viviendas afectadas (destechamiento): 1
Servicio estratégico afectado (energía eléctrica): 1
• Ignacio de Llave:
Viviendas afectadas (destechamiento): 1
• San Andrés Tuxtla:
Viviendas afectadas (destechamiento): 2
• Catemaco:
Servicio estratégico afectado (energía eléctrica): 1
• Santiago Tuxtla:
Viviendas afectadas (destechamiento): 2
• Lerdo de Tejada:
Servicio estratégico afectado (energía eléctrica): 1
• Saltabarranca:
Escuela afectada: 1 (destechamiento) 
• Tlalixcoyan:
Viviendas afectadas (destechamiento): 7
Locales comerciales afectados: 2
Servicio estratégico afectado (energía eléctrica): 1
• Boca del Río:
Viviendas afectadas (destechamiento): 6
Locales comerciales afectados: 7
Servicio estratégico afectado (energía eléctrica): 1
• Soteapan:
Viviendas afectadas (destechamiento): 3
• Cosamaloapan:
Escuela afectada: 1
• Amatitlán:
Escuela afectada: 1
• Otatitlán:
Viviendas afectadas (destechamiento): 12
• Tierra Blanca:
Viviendas afectadas (destechamiento): 3
• Veracruz:
Viviendas afectadas (destechamiento): 2
Locales comerciales afectados: 2
Servicio estratégico afectado (energía eléctrica): 1
Escuela afectada: 1
• Alvarado:
Viviendas afectadas (destechamiento): 4
Servicio estratégico afectado (energía eléctrica): 1
• Medellín de Bravo:
Viviendas afectadas (destechamiento): 4
Escuela afectada: 1
Servicio estratégico afectado (energía eléctrica): 1
• Misantla:
Escuela afectada: 1</t>
  </si>
  <si>
    <t>A las 03:19 hora local, se registró incendio de 10 viviendas de material endeble (madera), ubicadas en la invasión del Alamar, zona del Cañón del Padre, municipio de Tijuana. Fueron evacuadas 32 personas.</t>
  </si>
  <si>
    <t>Pichucalco, Solosuchiapa, Chilón, Amatenango, Palenque</t>
  </si>
  <si>
    <t xml:space="preserve">En el transcurso de la noche del 12 de marzo y madrugada del 13 de marzo, derivado del Frente Frio No. 35 y viento del "Norte" se reportaron afectaciones  sin reporte de lesionados, en los municipios de:
• Pichucalco: 1 vivienda afectada por desprendimiento de lámina y madera
• Solosuchiapa: Desprendimiento de láminas en 1 domo.
• Chilón: 1 vivienda afectada por destechamiento.
• Amatenango: 1 vivienda afectada por destechamiento.
• Palenque: 1 árbol caído sobre una vivienda.
• Mezcalapa: Caída de 1 árbol sobre carretera.
</t>
  </si>
  <si>
    <t>A las 11:58 horas, se registró una fuga de gas Lp de un tanque estacionario de 5,000 litros, el cual se encontraba abastecido al 86% de su capacidad, al interior de la empresa “Vesta Park Guanajuato”, localizada en Av. Mina de Guadalupe No. 575, colonia Santa Fe IV, en la Capital del estado. Se realizó la evacuación de 253 empleados. Personal de la empresa Gas Imperial y de la Coordinación Estatal de Protección Civil, realizaron un desfogue controlado, debido a que la válvula de alivio sufrió una ruptura.</t>
  </si>
  <si>
    <t xml:space="preserve">En relación a la marcha por el "Día Internacional de la Mujer" en la Ciudad de México, se registraron en total: 80 atenciones sin ameritar traslado y 8 atenciones con traslado
ERUM:
•              56 atenciones, sin ameritar traslado.
•              6 atenciones con traslado.
Cruz Roja.
•              24 atenciones sin ameritar traslado.
•              2 atenciones con traslado.
Entre las personas que requirieron traslado hospitalario: una policía por herida de picahielo en el pómulo y 2 civiles (manifestantes) a las que se les cayó una estructura de vidrio del metro Hidalgo que intentaban derribar.
</t>
  </si>
  <si>
    <t xml:space="preserve">Tepeaca </t>
  </si>
  <si>
    <t>A las 14:17 horas, se registró  volcadura de un camión de pasajeros de la ruta Tepeaca-Acatzingo, a la altura de la comunidad de San Hipólito, municipio de Tepeaca, mismo que se habría quedado sin frenos. Se reportó 1 fallecido y 16 lesionados, mismos que fueron trasladados al Hospital General.</t>
  </si>
  <si>
    <t>A las 12:32 horas, se registró un derrumbe al interior de una mina de piedra, ubicada en el cerro El Perico, entre Moctezuma y Emiliano Zapata, colonia San Andrés Cuecontitlán Sección 6, municipio de Toluca. Se reportaron 5 trabajadores atrapados (ya fueron rescatados), de los cuales 4 presentaron algún tipo de lesión, 1 de ellos fue atendido en el lugar y los otros 3 fueron trasladados al Hospital Nicolás San Juan.</t>
  </si>
  <si>
    <t>Coroneo</t>
  </si>
  <si>
    <t>A las 17:21 horas del 9 de marzo, se registró volcadura de un autobús de pasajeros, con razón social “Transportes Coroneo”, marca Mercedes Benz, modelo 2012, placas 749HW8, en carretera Estatal libre Coroneo – Querétaro, como referencia Rancho Santa Julia, municipio de Coroneo. Se desconocen las causas que originaron el incidente. Derivado de lo anterior, se reportaron 7 lesionados, quienes fueron atendidos en el lugar y posteriormente trasladados al Hospital Comunitario del Municipio de Coroneo, para su valoración médica.</t>
  </si>
  <si>
    <t>A las 12:30 horas se recibe reporte de explosión por acumulación de gas por fuga en tanque de gas en la cocina del Restaurante “Kool” ubicado en Playa Mamitas, municipio de Solidaridad, de manera preventiva se realizó el acordonamiento del área y la evacuación de personas (sin cuantificar), en entrevista con el Secretario de Seguridad Pública y Tránsito del municipio informa 2 fallecidos (trabajadores del lugar)  y 19 lesionados de los cuales 8 fueron trasladados a  al Hospitales General del IMSS Solidaridad y al hospital de SESA.</t>
  </si>
  <si>
    <t xml:space="preserve">A las 11:44 horas, se recibió reporte del incendio en una cocina industrial ubicada en  Manuel de la Peña y Peña No. 1734, colonia Garza Nieto, municipio de Monterrey. Se desconocen las causas del incidente. De manera preventiva, se acordonó la zona, se realizó la evacuación de 53 empleados. Se reportan 7 lesionados, de los cuales 4 ameritaron traslado. </t>
  </si>
  <si>
    <t>19:00 horas aproximadamente, se presentó el choque por alcance entre 2 camiones del transporte público en la Lateral de Periférico Sur, colonia Altavista, en la alcaldía de Álvaro Obregón. indican que se registran 15 lesionados, de los cuales 3 fueron trasladados a un hospital cercano.</t>
  </si>
  <si>
    <t>Carlos A. Carrillo</t>
  </si>
  <si>
    <t>A las 05:30 horas, se recibió reporte de la volcadura de una camioneta tipo van en la Autopista Cosamaloapan – Isla Km 89, perteneciente al municipio de Carlos A. Carrillo. Se reportan 3 fallecidos y 23 lesionados de las cuales 16 fueron trasladados a la clínica IMSS N° 35 y Hospital General de Cosamaloapan para su valoración y atención médica.</t>
  </si>
  <si>
    <t>A las 16:45 horas se reporta accidente entre tractocamión y camioneta que transportaba jornaleros en carretera libre Manzanillo-Armería, a la altura de la localidad de Los Reyes, municipio de Armería, se reportan 4 fallecidos y 21 lesionados los cuales fueron trasladados a diversos hospitales para su atención.</t>
  </si>
  <si>
    <t>A las 04:34 hora local, se registró volcadura de tractocamión (Kenworth Kenmex de color blanco y placas 61AA1N) acoplado a tanque cisterna con 40,000 litros de diésel (placas 482XB5) de la empresa Sociedad Cooperativa de Servicios de Transporte de Productos del Petróleo S.C.I. sobre el km 50+100 de la carretera Tecate-Mexicali, localidad de La Rumorosa, municipio de Tecate. Se reportó 1 lesionado (conductor) trasladado por Cruz Roja al Hospital General de Mexicali. La pipa al impactarse contra el muro de contención y volcarse, tuvo un derrame activo por la compuerta del tanque de aproximadamente 20,000 litros de combustible hacia al suelo de una barranca.</t>
  </si>
  <si>
    <t>Villa del Carbón</t>
  </si>
  <si>
    <t>A las 05:20 horas, se registró volcadura y salida de camino de autobús de pasajeros, sobre la carretera Villa del Carbón - Tlalnepantla, como referencia la entrada a San Luis, dirección a Tlalnepantla, municipio de Villa del Carbón. Se desconocen las causas. Se reportaron 12 lesionados trasladados al Hospital General de Villa del Carbón, para su atención médica.</t>
  </si>
  <si>
    <t xml:space="preserve">A las 00:50 horas, se registró volcadura de autobús de pasajeros, sobre el km 051+950 carretera (1760) Monclova - Piedras Negras, tramo Nueva Rosita - Allende, dirección Piedras Negras, localidad de Cuesta de las Codornices, municipio de San Juan de Sabinas. Se desconocen las causas. Se reportaron 15 lesionados trasladados a hospitales de Allende y Nueva Rosita. </t>
  </si>
  <si>
    <t>A las 21:45 horas (tiempo del centro) de ayer, se presentó la volcadura de una camioneta van en la autopista Culiacán-Mazatlán, municipio de San Ignacio. Derivado de lo anterior, se reporta 1 fallecido y 11 lesionados, trasladados a un Hospital de Mazatlán.</t>
  </si>
  <si>
    <t>Se recibe reporte sobre la caída de una avioneta tipo Cessna con matrícula UL-CHC, entre las localidades de San Gaspar y Zacango, municipio de Villa Guerrero. Se confirma 1 persona lesionada de 70 años, (piloto y única persona a bordo) que será trasladado vía aérea por el helicóptero de relámpagos al Hospital López Mateos en Toluca. 16:40 hrs. Personal de la Fiscalía Regional Ixtapan de la Sal, informa del deceso del piloto de la aeronave.</t>
  </si>
  <si>
    <t>A las 10:22 horas, se registró explosión por pirotecnia en una camioneta de doble cabina durante un desfile, en la Calle 3 Sur con Avenida Popocatépetl en el Fraccionamiento “El Refugio”, municipio de Puebla. El incidente se originó por mal manejo del material pirotécnico transportado en la batea del vehículo; derivado del accidente se reportaron 8 lesionados entre ellos 2 menores de edad con quemaduras diversas, atendidos por personal de SUMA y trasladados a un nosocomio cercano.</t>
  </si>
  <si>
    <t>A las 10:22 horas, se registró la volcadura de 1 autobús de pasajeros en la Autopista Río Verde – San Luis Potosí, a la altura de la Caseta de cobro de peaje Río Verde, municipio de Cerritos. Se desconocen las causas que originaron el accidente; se reportó 1 fallecido y 23 lesionados, trasladados a la Clínica 41 del IMSS y al Hospital General Río Verde.</t>
  </si>
  <si>
    <t>A las 16:20 horas, se reporta explosión y posterior incendio en las instalaciones de las FES Zaragoza ubicada en Batalla 5 de Mayo y Fuerte de Loreto, Colonia Ejército de Oriente de la Alcaldía Iztapalapa.
El incidente ocurrió a consecuencia de la acumulación de gas L.P. por una fuga en la instalación del laboratorio; resultando 3 lesionados, empleados de la facultad trasladados al ISSSTE de Zaragoza con quemaduras de primer y segundo grado. A consecuencia de la onda expansiva se afectaron vidrios y ventanas de cinco edificios aledaños.</t>
  </si>
  <si>
    <t xml:space="preserve">A las 17:00 horas, se reportó incendio en departamento ubicado en las calles de Laura Méndez de Cuenca y Capitana Manuela Medina, Colonia Culhuacán CTM de la Alcaldía Coyoacán.
Se reportan 2 lesionados trasladados al Hospital más cercano para su valoración y atención médica. Se evacuaron a 40 personas aledañas al sitio del siniestro, donde se consumieron únicamente muebles del hogar. 
</t>
  </si>
  <si>
    <t>Heroica Ciudad de Juchitán de Zaragoza</t>
  </si>
  <si>
    <t>A las 04:00 horas, se registró volcadura y salida de camino de un autobús de turismo JC (número de placa 184RK8) en el cual viajaban un total de 40 pasajeros con destino a Tijuana, sobre la autopista La Ventosa - La Venta km 89, localidad de La Ventosa, municipio de Heroica Ciudad de Juchitán de Zaragoza. Se reportaron 10 lesionados, 6 atendidos en el sitio y 4 trasladados al Hospital DR Macedonio Benítez Fuentes.</t>
  </si>
  <si>
    <t>A las 01:10 horas, se registró accidente de pipa con razón social Talleres Guadalupanos S.A. de C.V. que transportaba gasolina (capacidad de 20,000 L), sobre el km 2 del Lib. Nte. de Altamira, como referencia cerca de la gasolinera móvil, dirección al Puerto, municipio de Altamira. Después del accidente, se originó la explosión e incendio de la pipa. El chofer salió ileso. De manera preventiva, fueron cerrados ambos sentidos de la vialidad. Bomberos utilizaron espuma sintética FFF, que tiene un efecto de enfriamiento para controlar rápidamente el fuego. Al momento de la explosión, también se registraron unos pequeños incendios de pastizal sobre el camellón, los cuales fueron liquidados. Se registró la quema de todo el combustible transportado.</t>
  </si>
  <si>
    <t xml:space="preserve">A las 12:45 horas se tuvo conocimiento de la explosión de un polvorín sin registro en las inmediaciones de la Saucera, Municipio de Tultepec. Derivado de la explosión se reportaron 3 lesionados, de los cuales 2 resultaron policontundidos con lesiones menores atendidos en el lugar por la Cruz Roja, así como 1 lesionado con traumatismo en el cráneo, el cual fue trasladado al Hospital de Zumpango. </t>
  </si>
  <si>
    <t>A las 12:55 horas, se registró el desplome de aeronave particular (color blanco con café) modelo King Air con matrícula N426EM en tienda de autoservicio Bodega Aurrerá, ubicada en calle Aurora Palacios, colonia Azteca, municipio de Temixco. 
🔺 Afectaciones:
•              Se reportan 3 fallecidos (1 piloto masculino de 47 años, 1 copiloto femenina de 34 años y 1 civil femenina de 46 años, viajaban en la aeronave) y 4 lesionados, quienes fueron trasladados a diferentes nosocomios para su valoración y atención correspondiente.</t>
  </si>
  <si>
    <t>A las 18:10 horas, se registró el impacto por alcance de un camión de pasajeros de la ruta 112, contra un tráiler que transportaba chatarra. El accidente ocurrió en la carretera Chapala-Guadalajara, a la altura de la comunidad del Tapatio. Como resultado de lo anterior, se reportan 35 personas lesionadas, las cuales fueron trasladadas a diversos hospitales.</t>
  </si>
  <si>
    <t>Coicoyán de las Flores</t>
  </si>
  <si>
    <t>A las 05:00 horas se registró incendio en vivienda de madera en la población de Santiago Tilapa, municipio de Coicoyán de las Flores, se desconocen las causas, la fiscalía del estado realizará la investigación. Se reportan 6 fallecidos  todos menores de edad.</t>
  </si>
  <si>
    <t>A las 16:22 horas, se registró incendio en bodega clandestina que almacenaba hidrocarburo, ubicada en la localidad de Gastejhe, municipio de Ixmiquilpan. Se desconocen las causas. De manera preventiva, se realizó la evacuación de 4 viviendas (20 personas) aledañas. No se reportaron lesionados y/o fallecidos. Se reportó una quema de 41,000 L de hidrocarburo clandestino que se almacenaba en una cisterna y bidones.</t>
  </si>
  <si>
    <t>Huatusco</t>
  </si>
  <si>
    <t>A las 15:45 horas, se tuvo conocimiento del choque entre 1 pipa que trasportaba agua y 1 autobús de pasajeros en la carretera Huatusco-Coscomatepec, municipio de Huatusco. Derivado de lo anterior, se reportan 2 fallecidos (tripulantes de la pipa) y 15 lesionados (pasajeros del autobús), mismos que fueron trasladados  de la siguiente forma: 8 a Cruz Roja en Huatusco, 5 a Clínica San Antonio y 2 al IMSS de Córdoba.</t>
  </si>
  <si>
    <t>A las 08:00 horas se registra choque de autobús de pasajeros de la línea Cuauhtémoc, en la carretera México Pachuca, a la altura de la caseta Ojo De Agua, límites de los municipios de Ecatepec y Tecamac, la causa fue por falla en los frenos y se impacta contra la guarnición.  Se reportan 12 personas lesionadas, de los cuales 8 fueron trasladados a la Clínica Futura de Coacalco por unidades de Protección Civil, unidad particular y 4 al IMSS 200 por Cruz Roja</t>
  </si>
  <si>
    <t>A las 12:53 horas, se reportó incendio en negocio ubicado en la carretera Federal libre Salamanca a Celaya, a la altura de la caseta de Valtierrilla, municipio de Salamanca. El incidente se originó en un pastizal, el cual se propagó a la pensión de vehículos con razón social “Grúas Vargas,” donde se consumieron 50 vehículos, 3 tractocamiones, 1 carro tanque y un aproximado de 150 metros cuadrados de pasto realizó la evacuación de 17 personas de 2 viviendas aledañas.</t>
  </si>
  <si>
    <t>A las 14:03 horas, se reportó volcadura de un trenecito en el interior del Bosque de Aragón en Avenida 510 y Avenida 412, colonia San Juan de Aragón IV Sección de la Alcaldía Gustavo A. Madero. El incidente se originó por la volcadura en su último vagón, resultando 11 lesionados de los cuales 2 fueron trasladados al ISSSTE Zaragoza y 1 femenina en estado de gestación al Hospital de Ginecología</t>
  </si>
  <si>
    <t xml:space="preserve">A las 15:30 horas, se reportó la caída de una lona de gran tamaño (se desconocen dimensiones) por colapso de estructura metálica sobre los asistentes de la 41° Muestra Gastronómica del municipio de Santiago de Anaya, ubicada en el Parque de la explanada municipal de la localidad de Santiago de Anaya. </t>
  </si>
  <si>
    <t>se registró choche de autobús del transporte público de la línea Flecha Verde La causa fue por una falla mecánica que ocasionó que el autobús se impactara contra un árbol. Se reportan 14 lesionados de los cuales 3 fueron trasladados a un hospital para su atención</t>
  </si>
  <si>
    <t>se registró la volcadura de un camión de pasajeros, mismo que salió de Playa del Carmen. El accidente se presentó  en la carretera federal Escárcega-Chetumal, en el municipio de Escárcega. En el camión se transportaban 40 pasajeros, de los cuales 11 presentaron diversas lesiones, por lo cual fue necesario trasladarlos a distintos hospitales cercanos. Hasta el momento, se desconocen las causas que originaron el incidente</t>
  </si>
  <si>
    <t>, se registró impacto entre ferrocarril y tráiler de caja seca transportadora de alimentos, sobre la carretera estatal 510 (dirección a Atongo), en la intersección de las vías, comunidad de Atongo, municipio de El Marqués. Las causas, el tráiler le quiso ganar el paso al tren. Se reportó 1 persona con lesiones, por lo que se llevó a cabo la valoración médica prehospitalaria y traslado al Hospital del IMSS en La Pradera</t>
  </si>
  <si>
    <t>se registró un accidente vehicular, tipo  volcadura ,sobre el libramiento Rodolfo Torre de una unidad de transporte de personal de la compañía Mantenimiento y Montajes Industriales de Tamaulipas. Derivado del incidente, se reportan 13 personas lesionadas, quienes fueron trasladados al Hospital Ángeles Tampico para continuar con su atención médica</t>
  </si>
  <si>
    <t xml:space="preserve">Miguel Hidalgo </t>
  </si>
  <si>
    <t>se registra choque entre metrobús y una unidad de transporte público Atrolsa. Se desconocen las causas que originaron el incidente.  Se realizaron 60 atenciones médicas preventivas, cuyos pases fueron otorgadas por la compañía aseguradora correspondiente. Se hace mención que solo 5 personas fueron trasladadas en calidad de prioritarios.</t>
  </si>
  <si>
    <t xml:space="preserve">Iztacalco </t>
  </si>
  <si>
    <t>, se registró incendio de vivienda, de Iztacalco. Se debió a causa de un corto circuito.Se quemó un área de 5 m2 perteneciente a sala de la vivienda. Se logró controlar y sofocar el fuego</t>
  </si>
  <si>
    <t>Tlanalapa</t>
  </si>
  <si>
    <t>Se registraron lluvias fuertes e intensa caída de granizo (por 15 minutos) en gran parte del municipio de Tlanalapa</t>
  </si>
  <si>
    <t>De las 08:00 horas del 07 de abril a las 08:00 horas del 08 de abril, se registraron las siguientes precipitaciones por efectos del Frente Frío No. 41.</t>
  </si>
  <si>
    <t>Se registró incendio de gasolinera con razón social Quick "Q500”, ubicada en Boulevard Juan Alonso de Torres Poniente No. 505 esquina Fuerte de San Diego, colonia Villa Insurgentes, municipio de León. Se desconocen las causas. Se realizó un acordonamiento de cierre de vialidades en ambas direcciones de la parte frontal al establecimiento. Por parte del encargado de la gasolinera se accionó botón de paro de emergencia. Se reportó 1 persona lesionada (masculino de 51 años) por quemaduras de primer grado en ante brazo izquierdo, firmando negativa de traslado y un total de 13 personas más que se valoraron solo por crisis nerviosa. De manera preventiva, se realizó la evacuación de 5 viviendas con 27 personas, las cuales regresaron a sus inmuebles al finalizar la mitigación del incendio. No se reportaron daños estructurales, consumiéndose 2 bombas despachadoras de gasolina y 1 vehículo tipo sedán (marca Isuzu, color blanco y placas GK-4090-C del Estado de Guanajuato</t>
  </si>
  <si>
    <t>Se registró incendio en departamento de edificio de 4 niveles, ubicado en el No. 201 en el tercer nivel de la calle Guillermo Prieto No. 2 esquina Serapio Rendón, colonia San Rafael, alcaldía de Cuauhtémoc. El fuego inició por el incendio de una lona al interior de una recamara</t>
  </si>
  <si>
    <t xml:space="preserve">Se registró incendio de popales (humedales de agua dulce donde dominan herbáceos emergentes) contaminados de crudo y aceite en La Olmeca, Ciudad La Venta, municipio de Huimanguillo. Se desconocen las causas. Cuerpos de emergencia buscaron la forma de llegar, ya que no había acceso al lugar. Aunque no representaba riego, como medida preventiva se evacuó a 2 familias </t>
  </si>
  <si>
    <t>Puente Nacional</t>
  </si>
  <si>
    <t xml:space="preserve">Se presentó una explosión al interior de una empresa que almacena solventes, reactivos químicos y aceite combustible. en el municipio de Puente Nacional. No se reportan daños humanos, únicamente la evacuación 80 personas de 18 viviendas. Asimismo se reportan pérdida total del inmueble de la empresa y  4 viviendas afectadas (3 con daños parciales en las fachadas y 1 en el interior, por radiación de calor). </t>
  </si>
  <si>
    <t>Se registró la volcadura  y posterior caída hacía un barranco de una camioneta pick up con personas indocumentadas , municipio de Amatlán de los Reyes. Se reportaron 2 fallecidos y 7 lesionados (de los cuales 3 fueron trasladados al Hospital General de Córdoba)</t>
  </si>
  <si>
    <t>Calimaya, Mexicaltzingo, Chapultepec, Metepec y San Mateo Atenco</t>
  </si>
  <si>
    <t xml:space="preserve">o             5 municipios afectados. 
o             1 persona lesionada (trasladada por hipotermia).
o             25 domicilios afectados.
o             80 personas afectadas.
o             1 barda colapsada.
o             1 socavón.
o             1 albergue temporal habilitado (sin ocupación)
o             1 desbordamiento del río El Jaral.
</t>
  </si>
  <si>
    <t>Tlacolula de Morelos</t>
  </si>
  <si>
    <t>A las 23:25 horas/ 20 de abril se registró choque frontal entre una camioneta Nissan placas RY-38861 y un taxi en el Km 2 del libramiento al Tule, municipio de Tlacolula de Morelos, se desconocen las causas. Se reporta 1 fallecido y 5 lesionados los cuales fueron trasladados a una clínica particular y al Hospital Civil. En el lugar trabajo Cruz Roja, H.C. de Bomberos del Estado, SAMU, Fiscalía del Estado</t>
  </si>
  <si>
    <t xml:space="preserve">Compostela </t>
  </si>
  <si>
    <t>Se recibe reporte por accidente automovilístico de dos vehículos con señas de impacto, tratándose el primero de un vehículo de la marca Toyota, tipo Combi y el segundo un vehículo particular, en la carretera Federal 200, a la altura del kilómetro 56, esto antes de llegar al poblado de Mesillas, del municipio de Compostela. Derivado de lo anterior, se brindó atención pre-hospitalaria a 16 personas que resultaran lesionadas tras el accidente, para posteriormente ser trasladadas a urgencias médicas del municipio de Compostela. Al lugar acudieron elementos de la Guardia Nacional carreteras, Elementos de la Policía Estatal de Caminos y Protección Ciudadana y Bomberos en coordinación con autoridades municipales y la Cruz Roja. Al momento,  ya se encuentra restablecido el flujo de vialidad en ambos carriles.</t>
  </si>
  <si>
    <t xml:space="preserve"> se registró la volcadura (sobre su costado lateral izquierdo) de autobús de la línea LUSU (con placas federales 52RA8H con número económico 374, procedente de la Cd. de Puebla con destino a la Ciudad de Puerto Escondido), en el tramo carretero Río Grande - Juquila km 34+400, a la altura del lugar conocido como La Lagunilla, municipio de Santa Catarina Juquila. En el autobús se transportaban 32 pasajeros (peregrinos) y 1 chofer. Se reportaron 7 fallecidos y 23 lesionados, 21 de ellos trasladados al Hospital Comunitario de Santa Catarina Juquila y 2 a la Ciudad de Oaxaca. </t>
  </si>
  <si>
    <t xml:space="preserve"> se registró incendio de vivienda,  municipio de Romita. Se desconocen las causas. De manera preventiva, se realizó la evacuación de 30 personas de un total de 10 viviendas. No se reportaron lesionados y/o fallecidos. Se reportó una afectación estructural del inmueble involucrado, consumiéndose un total de 6,000 litros de hidrocarburo almacenado clandestinamente</t>
  </si>
  <si>
    <t>Los Reyes de Juárez, Cuapiaxtla de Madero, Quecholac, Molcaxac, Tochtepec, Huejotzingo, Domingo Arenas, Tepeaca y Tecamachalco</t>
  </si>
  <si>
    <t xml:space="preserve">: Municipio de Reyes de Juárez:
•              Afectaciones en una estructura metálica en la plaza del Palacio Municipal.
•              Daño en techado de parroquia “Los Santos Reyes”. 
•              4 viviendas afectadas.
Municipio de Cuapiaxtla de Madero:
•              6 viviendas afectadas por techumbres colapsadas y 1 por inundación por fallas en el drenaje.
Municipio de Quecholac:
•              1 vivienda afectada por techumbre de aluminio colapsado. 
Municipios de Molcaxac, Tochtepec, Cuapiaxtla de Madero, Los Reyes de Juárez, Huejotzingo, Domingo Arenas, Tepeaca y Tecamachalco:
•              500 hectáreas de cosechas como hortalizas, frutales y otros cultivos de la zona
</t>
  </si>
  <si>
    <t>Se registró explosión  de polvorín razón social “Pirodepot” se desconoce si tenía registro de SEDENA, en la comunidad Cañada Grande de Cotorinas, municipio de Aguascalientes, se desconocen las causas, se reportan 2 fallecidos  de 30 y 34 años de edad. En el lugar participaron Protección Civil y Bomberos Municipales, Cruz Roja, policías preventivos, SEDENA y Guardia Nacional.</t>
  </si>
  <si>
    <t>Se reportó choque por alcance entre 1 autobús turístico y 1 autobús de trasporte de personal en la carretera San José del Cabo - Cabo San Lucas. Se reportó al arribo de los cuerpos de emergencia que diversos lesionados se trasladaron por sus propios medios (sin cuantificar), además de 6 lesionados atendidos en el lugar y trasladados al IMSS Cabo San Lucas para su valoración y atención médica.</t>
  </si>
  <si>
    <t>Se reportó volcadura de 1 camión de recolección de basura e impacto con 5 vehículos particulares en la carretera Nacional a la altura de la comunidad de El Uro, municipio de Monterrey. Se desconoce la causa que originó el incidente, resultando 1 fallecido y 8 lesionados atendidos y trasladados a diversos hospitales para su valoración y atención médica. Cuerpos de emergencia reportaron concluidas las labores de atención a las 13:51 horas, quedando Peritos y SEMEFO a cargo de las labores correspondientes en el sitio.</t>
  </si>
  <si>
    <t xml:space="preserve">Amatán </t>
  </si>
  <si>
    <t xml:space="preserve">Movimiento de ladera el 8 de abril de 2022 y lluvia del 7 de abril . Se emitió declaratioria de emergencia y de desastre </t>
  </si>
  <si>
    <t>DGGR</t>
  </si>
  <si>
    <t xml:space="preserve">Salto del agua </t>
  </si>
  <si>
    <t>A las 08:33 horas, se reportó la volcadura y posterior caída a un barranco de una camioneta tipo Urvan en la Carretera Palenque-Salto de Agua a la altura del  Río Tulijá, municipio de Salto de Agua. La unidad de la ruta de transportes “Tigre Guasimo” con placas A908-VMF y proveniente de Nacajuca, Tabasco donde viajaban 26 pasajeros (17 adultos y 9 menores de edad), se quedó sin frenos y volcó; resultando 3 fallecidos y 23 lesionados, de los cuales 8 fueron trasladados al Hospital Básico Comunitario de Salto de Agua, así como a hospitales de Palenque y Villahermosa y 15 restantes atendidos en el lugar.</t>
  </si>
  <si>
    <t xml:space="preserve">Cuquio </t>
  </si>
  <si>
    <t>Se registra explosión de polvorín en Rancho la Cofradía, municipio de Cuquio, se desconocen las causas, se reporta 1 fallecido y 3 lesionados los cuales fueron trasladados a un hospital para su atención.</t>
  </si>
  <si>
    <t xml:space="preserve">Se presentó un incendio en casa habitación ubicado en la colonia Doctores, alcaldía  Cuauhtémoc. No se reportan daños humanos, únicamente la evacuación de 100 personas y cierre vial desde Dr. José María Vértiz de Arcos de Belén. un corto circuito. Se consumieron enseres doméstico. </t>
  </si>
  <si>
    <t xml:space="preserve">Mazatlan </t>
  </si>
  <si>
    <t>Se registra caída de helicóptero de la Secretaría de la Marina Armada de México al interior del Aeropuerto Rafael Buelna Tenorio de Mazatlán,  el accidente ocurrió cuando el helicóptero que pretendía despegar, giró varias vueltas y se desplomó desde una altura de alrededor de 20 metros,  se reportan 5 personas con lesiones leves. </t>
  </si>
  <si>
    <t xml:space="preserve">Se registraron vientos fuertes en el municipio de Ostuacán, dejando como afectación 13 viviendas de lámina por destechamiento. </t>
  </si>
  <si>
    <t xml:space="preserve">Se registró incendio en un local de venta de regalos al interior de una plaza comercial,. Se desconocen las causas. Como medida preventiva, se evacuó a 10 personas. No se reportaron lesionados y/o fallecidos. Se reportó una quema de 3 locales. </t>
  </si>
  <si>
    <t xml:space="preserve">Cordoba </t>
  </si>
  <si>
    <t xml:space="preserve">🔺 Afectaciones:
•         44 viviendas de material endeble por destechamiento parcial
•         21 cables eléctricos y telefónicos caídos 
•         2 postes telefónicos caídos
•         10 árboles caídos 
•         4 espectaculares caídos 
•         Láminas caídas en el Estadio de Béisbol 
•         Anegaciones viales en varios puntos de la ciudad ya atendidos 
•         Deslizamientos parciales de tierra
</t>
  </si>
  <si>
    <t>Río Grande, Cañitas de Felipe Pescador, Zacatecas y Guadalupe</t>
  </si>
  <si>
    <t xml:space="preserve">4 municipios 
- 1 lesionado (accidente vial en Guadalupe)
- 25 viviendas 
- 4 salones
- 1 gasolinera
- 20 vehículos 
- 2 accidentes viales 
*  3 refugios temporales habilitados
Río Grande (lluvia atípica y granizada) 
•              Penetración de agua en viviendas (sin cuantificar) 
•              25 viviendas afectadas por caídas de techo y penetración de agua (70 cm) 
•              Encharcamientos en vialidades por taponamientos en las coladeras (colapsando el tránsito)
•              Daños en iglesias
•              4 salones ejidales afectados por caída de techos
•              1 gasolinera con daños (caída de techo) 
•              Caída de bardas
•              20 vehículos afectados
•              Aumento en cauce de ríos y cañadas 
Guadalupe:
Guadalupe:
•              2 accidentes viales, en uno en donde 1 vehículo derrapó y se salió del rodamiento asfáltico, resultando 1 persona lesionada atendida en el sitio
3 refugios temporales habilitados (con alimento, medicina y abrigo): Escuela Benito Juárez, Casa Hogar Santa Elena y Base 2 de Protección Civil en el Cerrito del Tepeyac (calle Zaragoza), municipio de Río Grande.
</t>
  </si>
  <si>
    <t>Aguascalientes y San Francisco de los Romo</t>
  </si>
  <si>
    <t xml:space="preserve">Aguascalientes 
•              120 viviendas afectadas por penetración de agua (50 cm)
•              5 vehículos varados
•              Árboles y ramas caídas
•              Caída de espectaculares
San Francisco de los Romo
•              400 viviendas afectadas por penetración de agua (80 cm)
•              32 vehículos varados
•              Árboles y ramas caídas
•              Caída de espectaculares
</t>
  </si>
  <si>
    <t xml:space="preserve">Toluca </t>
  </si>
  <si>
    <t xml:space="preserve">Se recibe reporte de que el tren impacta a autobús de pasajeros de la línea “Insurgentes”, en la carretera Toluca – Atlacomulco km. 198, a. Se reportan 1 fallecido y 23 personas lesionadas. Unidades de SUEM trasladaron a 17 lesionados al Hospital Adolfo López Mateos, Nicolás San Juan y al Hospital General de Ixtlahuaca. Cruz Roja atendió a 4 lesionados en el lugar. Unidades de Bomberos Toluca trasladaron a 2 personas lesionadas al Hospital General de Ixtlahuaca y a la clínica del IMSS 220.  </t>
  </si>
  <si>
    <t xml:space="preserve">Villagran </t>
  </si>
  <si>
    <t>Se registró choque entre autobús de transporte de personal (marca Mercedes Benz, submarca AYCO, color blanco, placas 36-ESS-52 del Estado de Guanajuato, perteneciente a la empresa de transportes con razón social: “D’ Velázquez”) y tráiler (marca Kenworth, color azul, placas 16-AR-9B del Servicio Público Federal, el cual transportaba pollos en un doble semi remolque), sobre la carretera federal libre Panamericana Celaya - Salamanca km 74+900, como referencia a la altura del restaurante "Los Tres Delfines", municipio de Villagrán. Se reportaron 12 lesionados atendidos en el lugar y posteriormente trasladados al IMSS</t>
  </si>
  <si>
    <t>Se presentó la explosión y posterior incendio por acumulación de gas en casa habitación, , alcaldía Cuauhtémoc. Derivado de lo anterior, se reporta 1 fallecido y 3 lesionados, uno de los cuales fue trasladado a las Cruz Roja en Polanco, asimismo, se realizó la evacuación de 100 personas de viviendas aledañas. Al momento los cuerpos de emergencia ya controlaron la situación, únicamente se mantienen en la remoción de escombros.</t>
  </si>
  <si>
    <t xml:space="preserve">Se reportó volcadura de autobús de transporte de pasajeros en el camino el AguacateHuehuetlán, municipio de Puebla. Se desconoce la causa que originó el incidente, la unidad involucrada transportaba 40 peregrinos, resultando 16 lesionados y 1 fallecido, las personas afectadas fueron trasladadas al Hospital de Traumatologia y Ortopedia. 
</t>
  </si>
  <si>
    <t xml:space="preserve">Durante la tarde, se registró lluvia y fuerte granizada en el municipio de Panotla, reportándose:
•              2 techos de terrazas afectados en viviendas
•              1 inundación en calle 15 de mayo hasta El Sifón (ya se puede transitar) 
•              Acumulación de granizo y encharcamientos en vialidades
•              Inundación y granizo en la carretera federal Tlaxcala - San Martín, abanderada por la Guardia Nacional y Policía Estatal 
</t>
  </si>
  <si>
    <t>Se registró incendio en vivienda, ubicada en la colonia Santa Isabel Tola, alcaldía de Cuauhtémoc Se reportaron 5 personas rescatadas y atendidas en el lugar por paramédicos. Se quemó una sala, comedor, refrigerador y objetos varios. Se logró su control y extinción, concluyendo el servicio</t>
  </si>
  <si>
    <t xml:space="preserve">CENACOM  </t>
  </si>
  <si>
    <t xml:space="preserve">A las 00:44 horas se registra volcadura de transporte de personal de una empresa maquiladora en Periférico de la Juventud a la altura del Costco, municipio de Chihuahua, se desconocen las causas. Se reportan 30 lesionados los cuales fueron trasladados al Hospital particular “Las Palmeras” y al Hospital Regional del IMSS. En el lugar laboraron Protección Civil y Bomberos del municipio, Transito Municipal, Seguridad Pública, Cruz Roja. </t>
  </si>
  <si>
    <t xml:space="preserve">Acuña </t>
  </si>
  <si>
    <t xml:space="preserve">50 viviendas (aproximadamente) de material endeble afectadas por destechamiento (daños en láminas) 
•              Caída de ramas y árboles
•              Inundaciones y encharcamientos viales
•              Vehículos varados 
•              Cortes del suministro eléctrico por caída de postes y cables en varios sectores
</t>
  </si>
  <si>
    <t>Azcapotzalco, Coyoacán, Tlalpan, Gustavo A. Madero, Miguel Hidalgo, Cuauhtémoc, Iztapalapa, Iztacalco y Venustiano Carranza</t>
  </si>
  <si>
    <t xml:space="preserve">o             Alcaldías afectadas: 9
o             Encharcamientos / inundación: 23
o             Árboles/ramas caídas: 25
o             Viviendas afectadas: 2 por caída de árbol / sin cuantificar por penetración de agua (Azcapotzalco)
o             Vehículos varados: 1
o             Colapso de domo: 1                                                     Colapso de un domo al interior del Mercado Xochinahuac, colonia San Martín Xochinahuac, a consecuencia de la acumulación de granizo. No hubo lesionados. Como medida de seguridad se acordonó la zona. Se realizarán trabajos de mitigación de riesgos y restablecimiento
</t>
  </si>
  <si>
    <t>Tlalnepantla de Baz, Naucalpan y Aculco</t>
  </si>
  <si>
    <t xml:space="preserve">Municipio de Tlalnepantla de Baz
• Caída de arco techo del deportivo Santa Cecilia, por caída de granizo. 
• 3 árboles caídos.
• Encharcamiento sobre Av. Periférico y Lago de Guadalupe, colonia San Pedro Barrientos, con un tirante de aproximadamente 1.5 metros.
• 6 vehículos varados. 
• Varios puntos afectados por tirantes de 30 cm aproximadamente de inundación por acumulación de granizo. 
• Anegaciones a nivel de banqueta en las avenidas Gustavo Bass y Mario Colín. 
Municipios de Naucalpan
• Encharcamientos viales. 
Municipio de Aculco
• Accidente vehicular debido al granizo en el asfalto, resultando choque entre 7 vehículos. Sin novedad.
</t>
  </si>
  <si>
    <t>Rafael Delgado</t>
  </si>
  <si>
    <t>Se registra explosión en taller de pirotecnia en 2ª Privada Huixastla, a un costado de la carretera federal Orizaba-Zongolica, municipio de Rafael Delgado, se desconocen las causas. Se reportan 6 lesionados los cuales fueron trasladados al Hospital Regional de Río Blanco y al IMSS de Orizaba. El taller quedó completamente destrozado</t>
  </si>
  <si>
    <t xml:space="preserve">Se presentó una fuga de amoniaco (ONU 1005 - Guía 125) al interior de la empresa con razón social Lácteos “La Esperanza”, ubicada en calle Carrera No. 12 esquina calle Héroe de Nacozari, colonia Estación del Ferrocarril, municipio de San Miguel de Allende. Se reporta que la fuga proviene de una bomba de amoniaco, debido a la ruptura de una manguera en mal estado. Derivado de lo anterior, se reportan 4 lesionados (1 por quemaduras de segundo grado y 3 por inhalación directa), todos trasladados para su atención, así como 236 evacuados de la empresa, de igual forma, se presentaron 47 personas con sintomatología por inhalación de producto, las cuales fueron evaluadas y algunas trasladadas a Hospitales IMSS, MAC, La Joya y UNIMED del Municipio de San Miguel de Allende.  </t>
  </si>
  <si>
    <t xml:space="preserve">Se recibió reporte de incendio en el 2° piso de un edificio, ubicado en Oriente No. 233, colonia Agrícola Oriental, alcaldía de Iztacalco. De manera preventiva, se realizó la evacuación de 70 personas. 1 persona fue atendida en el lugar por crisis nerviosa. El incendio ya quedó liquidado. </t>
  </si>
  <si>
    <t xml:space="preserve">Se registró choque de camioneta de transporte de personal contra barra de contención, sobre la carretera federal 57 San Luis de la Paz - San Diego de la Unión km 120, , municipio de San Diego de la Unión. Se desconocen las causas. Se reportan 8 lesionados de los cuales 4 fueron trasladados al Hospital Comunitario. </t>
  </si>
  <si>
    <t>Se recibió un reporte atreves de la línea de emergencia 911, en relación a un derrumbe, en el Callejón Leopoldo Uzarraga en la colonia Jardines del Rubí, municipio de Tijuana.  El incidente fue originado debido a una fuga de agua y derivado de lo anterior informó personal de bomberos que la mitad de la vialidad presenta daños por lo que evacuaran 4 domicilios con afectaciones. Al momento la Comisión Estatal de Servicios Públicos de Tijuana (CESPT), ya se encuentra trabajando en el lugar</t>
  </si>
  <si>
    <t>Catazajá</t>
  </si>
  <si>
    <t xml:space="preserve">El 11 de mayo por la tarde-noche derivado de las lluvias y fuertes vientos, se reportan:
•              5 árboles caídos sobre líneas de tensión eléctrica, 
•              Desprendimiento de láminas de viviendas de material endeble, así como 4 casas con desprendimiento parcial.
•              Se reportaron 2 personas desaparecidas, a las 23:33 horas confirman y recuperan el cuerpo de una persona y a la 01:45 horas del día de hoy se confirma y recupera el cuerpo de la segunda persona fallecida por ahogamiento
</t>
  </si>
  <si>
    <t xml:space="preserve">Se registró incendio en nave industrial del rastro con razón social “Gena Agropecuaria S.A. de C.V. en Km 15 de la carretera Tototlán a Tepatitlán. El incidente se presenta en el área de producción y materia prima, consumiéndose diésel y cartón. Se reportan 13 personas intoxicadas por inhalación de humo, de las cuales 7 se trasladaron a un hospital para su atención. 
</t>
  </si>
  <si>
    <t xml:space="preserve">se registró choque múltiple entre 3 vehículos (Sedan Mazda, Tractocamión y Autobús de pasajeros) , en Libramiento Sur esquina avenida Tecnológico como referencia la glorieta con salida al Municipio de Juventino Rosas del Fraccionamiento Porta Maggiore, municipio de Celaya, se reportan 4 lesionados trasladados al IMSS del Municipio Celaya. </t>
  </si>
  <si>
    <t>se reportó incendio en locales comerciales, el cual se extendió al sótano, utilizado como vivienda en pequeños departamentos, en calle Padre Mier, colonia centro del municipio de Monterrey.  Resultando 1 persona fallecida y 9 lesionadas, de las cuales 2 fueron trasladadas a un nosocomio para su valoración médica y las otras 7 fueron atendidas en el lugar, de manera preventiva se realizó la evacuación de 25 personas. Se desconocen las causas que originaron el incidente, el cual se encuentra controlado y sofocado, cuerpos de emergencia continúan en labores de enfriamiento y remoción de escombros</t>
  </si>
  <si>
    <t xml:space="preserve">Se reportó fuga de gas natural y posterior deflagración en las calle Clemente Aguirre y Gonzalo Curiel, colonia San Marcos del municipio de León. Se indica que en el lugar trabajaba personal de la empresa “Gas Natural SEPAM”, al romper el pavimento se encontraba una acumulación de gas lo que provocó una deflagración, resultando 3 trabajadores lesionados por quemaduras atendidos en el lugar y traslados por sus propios medios. Cuerpos de emergencia evacuaron de manera preventiva 15 viviendas, un total de 60 personas. 
A las 13:20 horas, se dieron por concluidas las labores de reparación, permitiendo el retorno de las personas a sus viviendas
</t>
  </si>
  <si>
    <t xml:space="preserve">Se  registró choque frontal de una unidad de transporte público, marca International, color blanco, contra otra unidad de transporte público, marca Mercedes Benz, color blanco, sobre la carretera Cruz de Huanacaxtle – Punta Nayarit, kilómetro 9, del municipio de Bahía de Banderas. El incidente fue a consecuencia de la invasión del carril contrario de una de las unidades. Derivado de lo anterior, se reportaron 24 lesionados (1 de gravedad), quienes fueron trasladados al Hospital General San Pancho, Hospital Punta Mita y Hospital CMQ Rivera Nayarit, para su valoración médica. </t>
  </si>
  <si>
    <t xml:space="preserve">Chimalhuacán </t>
  </si>
  <si>
    <t>se registró incendio en un taller (polvorín irregular) de pirotecnia, ubicado en Av. Coheteros esquina Riva Palacio, Barrio Lomas de Chocolín, municipio de Chimalhuacán. El incidente se originó por la basura de pirotecnia que se arroja a la barranca. Se reportó 1 lesionado (masculino de 44 años) con quemaduras de segundo y tercer grado, trasladado por sus propios medios al Hospital de Alta Especialidad de Zumpango</t>
  </si>
  <si>
    <t xml:space="preserve">San juan del rio </t>
  </si>
  <si>
    <t>Se registró salida de camino y volcadura de autobús de turismo con razón social “San Luis Rey”, sobre la carretera 45, en la entrada de la comunidad de Paso de Mata, a corta distancia de la caseta, municipio de San Juan del Río. Se desconocen las causas.</t>
  </si>
  <si>
    <t xml:space="preserve">•              7 personas lesionadas, trasladadas al Hospital de Traumatología de Lomas Verdes. 
•              Quema de una pipa que contenía alcohol dentro de inmueble con razón social “Recubrimientos y Máquinas Cañada S.A. de C.V.”.
•              12 vehículos consumidos
•              Diversos contenedores con químicos (se desconocen sustancias) 
•              2,000 m2 de superficie afectada aproximadamente
</t>
  </si>
  <si>
    <t>Explosión dentro de un laboratorio de la secundaria No. 4 Se reportan 3 alumnos y 1 profesora con quemaduras de segundo grado</t>
  </si>
  <si>
    <t>Se reportó choque de una camioneta de transporte público, marca sprinter, en el km. 200, autopista Siglo XXI, en el municipio de Uruapan. Se desconocen las causas que originaron el incidente. Derivado de lo anterior, se reportaron 3 fallecidos y 9 lesionados, de los cuales 2 fueron trasladados vía área y 7 vía terrestre</t>
  </si>
  <si>
    <t>se registró una explosión de material pirotécnico, en una vivienda,, colonia San Antonio Xahuento, en el municipio de Tultepec. Derivado de lo anterior, se reportan 3 personas lesionadas, atendidas en el lugar</t>
  </si>
  <si>
    <t>Tuxcueca</t>
  </si>
  <si>
    <t xml:space="preserve">Se registró impacto frontal de 1 camión de transporte de personal, en km 27, carretera Federal Tuxcueca - Mazanitla, cruce con Citala, municipio de Tuxcueca. Se reportan 14 fallecidos (4 féminas y 10 masculinos) y 19 lesionados (7 féminas y 12 masculinos), que fueron trasladados a hospitales para su valoración médica. Protección Civil refiere que, el incidente se pudo generar cuando el autobús se quedó sin frenos, por lo que el conductor intentó detener la unidad contra un paredón a un costado de la carretera. </t>
  </si>
  <si>
    <t xml:space="preserve">• Se reportó el derrumbe de 3 silos con maíz de la empresa Alimentos Balanceados Simón Bolívar, ubicados en Blvd. Industrial Ferropuertos No. 65, colonia Ferropuertos, municipio de Torreón. Se desconocen las causas. Se reportaron: 
• 3 personas atrapadas, de las cuales 2 han sido rescatadas con vida (de la empresa Ferrogranos) y trasladadas a la Clínica 16 del IMSS para su atención.
•   Personal de Bomberos, Protección Civil, personal de Topos coordenados con personal de la empresa reanudan las labores de búsqueda. A las, 19:30 horas. La secretaria del Ayuntamiento, dio a conocer que elementos de Protección Civil del Estado y del Municipio, encontraron el cuerpo sin vida del desaparecido, así como se realizó el levantamiento del cuerpo para ser trasladado al Semefo
</t>
  </si>
  <si>
    <t>Tulcingo del Valle</t>
  </si>
  <si>
    <t>se tiene conocimiento de una explosión y posteriormente incendio de un polvorín, ubicado en el municipio de Tulcingo del Valle. Derivado de lo anterior, se reportan 4 personas fallecidas y 3 lesionadas, mismas que fueron trasladadas al hospital comunitario del lugar</t>
  </si>
  <si>
    <t>Se registra explosión de polvorín e, municipio Santo Tomás Hueyotlipan se desconocen las causas, se reportan 2 fallecido y 2 lesionados (1 de ellos es elemento de Seguridad Pública el cual fue agredido por los pobladores); los lesionados fueron trasladados al Hospital General de Tecamachalco</t>
  </si>
  <si>
    <t xml:space="preserve">Se registró deflagración por acumulación de gas Lp de un tanque de 10 kilos en vivienda, ubicada en calle Tepalcatepec No. 505 esquina boulevard Vicente Valtierra, colonia Michoacán, municipio de León. La causa, conexión en mal estado. Se reportaron 9 lesionados, atendidos en el lugar y posteriormente trasladados al hospital </t>
  </si>
  <si>
    <t>Se registró el impacto por invasión de carril, entre un tráiler y un camión del transporte de personal,, ruta 2 Balvanera, en  carretera 111 y la carretera 57, dirección a San Miguel de Allende, municipio de Querétaro.  En el transporte de personal viajaban 23 personas, de las cuales 21 de ellas presentaron lesiones menores, las otras 2 fueron trasladadas al IMSS, para su atención médica.</t>
  </si>
  <si>
    <t xml:space="preserve">Se registró volcadura de un camión de jornaleros, sobre camino Escuinapa - Teacapán, km 7, municipio de Escuinapa. Derivado de lo anterior, se reportó 24 lesionados, que fueron trasladados al Hospital General del municipio para su valoración médica. </t>
  </si>
  <si>
    <t xml:space="preserve">Se registró volcadura de un vehículo, sobre la carretera Federal San Miguel de Allende, municipio de San Miguel de Allende. Se desconocen las causas que originaron el incidente. Derivado de lo anterior, se reportó 4 fallecidos (3 masculinos y 1 fémina) y 5 lesionados (2 masculinos y 3 féminas) que fueron trasladados al Hospital General del municipio para su valoración médica. </t>
  </si>
  <si>
    <t>Se registró explosión de pirotecnia durante una procesión en la comunidad de Tecomatlán del municipio de Francisco I. Madero. El incidente se originó por mal manejo del material pirotécnico, que al ser lanzado prendió el material almacenado en un vehículo, resultando 15 lesionados de los cuales 6 fueron trasladados, 3 mediante traslado aéreo y 3 vía terrestre en ambulancias al Hospital Regional de Actopan y al Centro de Salud Francisco I. Madero respectivamente para su valoración y pronta atención médica.</t>
  </si>
  <si>
    <t xml:space="preserve">Saltillo </t>
  </si>
  <si>
    <t>Se registró volcadura de unidad de transporte de personal (se desconoce razón social), sobre Blvd. Venustiano Carranza y Colosio, zona Centro, municipio de Saltillo. Se desconocen las causas. Se reportaron 6 lesionados trasladados al Hospital Christus Muguerza en Saltillo. A las 23:30 horas, concluyen labores en el sitio.</t>
  </si>
  <si>
    <t xml:space="preserve">Se registró choque de camioneta de redilas que transportaba a migrantes, contra parte trasera de un camión de 3 toneladas que estaba estacionado sobre una vereda de terracería, en la localidad de Yalchitom, municipio de Chamula. Se reportaron 2 fallecidos y 16 lesionados, de los cuales 11 trasladados al Hospital Básico Comunitario de San Juan Chamula y 5 más al Hospital de las Culturas en San Cristóbal de las Casas. </t>
  </si>
  <si>
    <t>Campeche  </t>
  </si>
  <si>
    <t>Derivado de las lluvias presentadas en la Capital del estado 2 personas fallecieron al parecer por descarga eléctrica, después de que 1 masculino (indigente) fue arrastrado por la corriente de agua, en contacto con un registro subterráneo de CFE que electrificó los charcos, la persona ya no se movió, por lo que 1 femenina (45 años) al ver lo que ocurría, salió a ayudarlo y comenzó a desvanecerse. Al arribar los cuerpos de emergencia</t>
  </si>
  <si>
    <t xml:space="preserve">Se registra incendio en bodega de tarimas y huacales de madera, 14 viviendas afectadas y predio de la Secretaría de Obras y Servicios, 11 vehículos de la Secretaría de Obras y Servicios, 1 pipa de gas con capacidad para 3,200 L y 2 camionetas con aproximadamente 50 cilindros de gas con capacidades de 30, 20 y 10 kg. </t>
  </si>
  <si>
    <t>Se reportó incendio de una fábrica de químicos,, colonia Ixtapacalco. 
Se desconoce la causa que originó el siniestro, se reportaron 6 viviendas dañadas y de manera preventiva se evacuo a 300 personas entre empleados y habitantes aledaños</t>
  </si>
  <si>
    <t>Toluca y Chimalhuacán</t>
  </si>
  <si>
    <t xml:space="preserve">•             Municipios afectados: 2
•             Árboles / ramas caídas: 7
•             Vehículos afectados: 1
•             Viviendas afectadas: 1
•             Fallecidos y/o lesionados: 2 lesionados
</t>
  </si>
  <si>
    <t xml:space="preserve">Pánuco </t>
  </si>
  <si>
    <t xml:space="preserve">Se registró choque frontal entre un autobús de pasajeros con razón social “Conexión” y una camioneta pick-up,  Se desconocen las causas. Se reportaron 5 lesionados, trasladados al nosocomio más cercano, para su valoración y atención médica. </t>
  </si>
  <si>
    <t>Los Herrera y Santiago</t>
  </si>
  <si>
    <t xml:space="preserve">Municipio de Los Herreras: 
o          Caída de árboles sobre calles
o          1 vivienda afectada por su techo volado
Municipio de Santiago: 
•           Comunidad La Jacinta: 2 vehículos arrastrados por la corriente dejando el saldo de 1 persona (femenina) sin vida.
•           Deslaves en varios tramos carreteros.  
•           Crecientes de ríos y arroyos en la zona alta de la Sierra. 
</t>
  </si>
  <si>
    <t>Durango   </t>
  </si>
  <si>
    <t>Se tuvo conocimiento del desplome y posterior incendio de avioneta, cerca de la carretera a Parral, poblado de Ceballos, municipio de Durango. Se desconocen las causas. Se reportaron 2 fallecidos en el sitio</t>
  </si>
  <si>
    <t>Méxquitic de Carmona</t>
  </si>
  <si>
    <t xml:space="preserve">salida de carretera de un autobús de pasajeros de la Línea Premier, en el kilómetro 2, libramiento carretera San Luis Potosí – Zacatecas, municipio Mexquitic de Carmona. El autobús cayó al fondo de un barranco. Se reportan 6 fallecidos y 30 lesionados que fueron trasladados a diferentes unidades de salud en la ciudad de San Luis Potosí para su atención. </t>
  </si>
  <si>
    <t xml:space="preserve">•              7 viviendas con penetración de agua 
•              13 árboles caídos
•              7 anegaciones en vialidades 
•              1 espectacular caído 
•              Sin evacuados, lesionados y/o fallecidos
</t>
  </si>
  <si>
    <t>Se tuvo conocimiento del incendio de 7 viviendas de material endeble en la colonia Libertad, municipio de Tijuana. No se reportan daños humanos, únicamente la evacuación de 10 viviendas (40 personas aproximadamente).</t>
  </si>
  <si>
    <t>Cuitzeo del Porvenir</t>
  </si>
  <si>
    <t xml:space="preserve">se reportó impacto contra la barra de contención y posterior salida de la cinta asfáltica de autobús de la “línea Futura”, con no. económico 11569, placas 51-HB-7C, en Carretera Cuitzeo - Morelia a la altura de la comunidad de Epifanio Pérez, km 37, municipio de Cuitzeo del Porvenir. Se desconocen las causas del accidente, se reportan 6 personas lesionadas valoradas en el lugar. </t>
  </si>
  <si>
    <t xml:space="preserve">se registró el choque por alcance, de un autobús de pasajeros de la línea “Primera Plus”, contra una unidad de carga, derivado de lo anterior, se reportan 9 personas lesionadas (ninguna de gravedad), traslados al hospital del municipio de Compostela </t>
  </si>
  <si>
    <t>Zumpango de Ocampo</t>
  </si>
  <si>
    <t xml:space="preserve">Se tuvo conocimiento de la explosión de 2 módulos con permiso para la fabricación de material pirotécnico (No. de permisos 1402 y 2255), en las inmediaciones de la Margen derecha del Gran Canal km 44, colonia San Pedro de la Laguna, municipio de Zumpango. Se reportan 02 fallecidos y 06 lesionados (05 trasladados al Hospital Regional de Alta Especialidad de Zumpango y 1 atendido en el lugar). Así mismo, derivado de la explosión se registró un incendio de pastizal, mismo que fue sofocado por personal de emergecnias.  </t>
  </si>
  <si>
    <t xml:space="preserve">Se reportó el impacto frontal de 1 tráiler contra 1 Autobús de pasajeros, , municipio de El Rosario. Se desconocen las causas que originaron el accidente. Derivado del incidente se reportan al momento 4 fallecidos (2 de manera instantánea en el lugar y 2 en un nosocomio cercano del mismo municipio). Así mismo, se reportan 44 lesionados más, quienes están _siendo trasladados a Nosocomios cercanos </t>
  </si>
  <si>
    <t>León      </t>
  </si>
  <si>
    <t xml:space="preserve">se registró choque entre 3 vehículos: 1 camión de pasajeros urbano (perteneciente a la ruta 36 auxiliar Oriente - Poniente y con número económico LE-1422), 1 vehículo particular (Vento con placas GUT-835-D del Estado de Guanajuato) y 1 camión de transporte de personal (con razón Social “Transportes Delgado” y número económico PLE-1730-P), sobre el boulevard Mariano Escobedo esquina calle Arturo Soto Rangel, colonia Complejo La Cima, municipio de León. Se desconocen las causas. Se reportaron 38 personas lesionadas, de las cuales se determinó el traslado de 5 personas al Hospital Médica Poniente del municipio de León, </t>
  </si>
  <si>
    <t xml:space="preserve">San Pedro Pochutla, Santa María Tonameca, Santa María Huatulco, Santa María Colotepec, Villa de Tututepec de Melchor Ocampo, Pluma Hidalgo, Candelaria Loxicha, San Mateo Piñas, San Pedro Mixtepec, San Juan Lajarcia, San Miguel Suchixtepec, Juchitán de Zaragoza, Salina Cruz, San Miguel del Puerto, Santo Domingo Petapa, Santa María Jalapa del Marqués, Santa Catarina Juquila, San Pedro Comitancillo, San Francisco Ixhuatán, San Mateo del Mar, Santo Domingo Ingenio, Santa María Jamixtepec, San Mateo Río Hondo, San Pedro el Alto, Santo Domingo Zanatepec, San Francisco del Mar, Santa Cruz Ozolotepec, San Juan Ozolotepec ( municipios afectados infoemación cenacom)      </t>
  </si>
  <si>
    <t xml:space="preserve">Huracan Agatha,2022. Se emitió declaratoria de emergencia y de desastre 
</t>
  </si>
  <si>
    <t xml:space="preserve">19 362 </t>
  </si>
  <si>
    <t>CENAPRED/DGGR</t>
  </si>
  <si>
    <t>Dolores Hidalgo Cuna de la Independencia Nacional</t>
  </si>
  <si>
    <t>Se registró explosión de polvorín en un taller, El incidente fue a causa de la mala manipulación del compuesto químico clorato de potasio (ONU 1485 – Guía 140). Derivado de lo anterior, se reportó 1 masculino fallecido y 1 masculino lesionado, que fue trasladado a un Hospital, para su valoración médica</t>
  </si>
  <si>
    <t>Se registró volcadura de una combi de pasajeros, Derivado de lo anterior, se reportó 3 fallecidos y 9 lesionados que fueron trasladados al Hospital Rigurosa de Villahermosa</t>
  </si>
  <si>
    <t>Se reportó la salida de camino y caída a un barranco de 1 unidad de la Guardia Nacional con 5 tripulantes a bordo en la Carretera Estatal Pisaflores-Chapulhuacán, Entronque Pisaflores, a la altura de la Comunidad de “La Piedra”, al parecer la unidad se quedó sin frenos lo que provocó el accidente. Derivado del incidente, se reportaron 5 lesionados, quienes fueron trasladados al Centro de Salud de Chapulhuacán para su atención y valoración médica</t>
  </si>
  <si>
    <t>Se recibió reporte sobre la caída de un puente colgante, en Paseo Ribereño, en el Parque Porfirio Díaz en la colonia Miraval, municipio de Cuernavaca. El incidente se originó por la sobrecarga, ya que estaban en un acto de re-inauguración de dicho puente. Se reportan 8 lesionados, algunos fueron trasladados a la Cruz Roja y otros se trasladaron por sus propios medio</t>
  </si>
  <si>
    <t>Se presentó una explosión de material pirotécnico en la fiesta patronal en el municipio de Tlalnepantla, se reportan 4 lesionados (3 menores con quemaduras de primer grado y 1 adulto por caída), mismos que fueron trasladados a la clínica del Ángel para evaluación, sin requerir atención mayor. El incidente se presentó cuando una chispa de un “castillo” cayó en un rollo de artificios pirotécnicos</t>
  </si>
  <si>
    <t xml:space="preserve">A las 14:55 horas de ayer, se registraron lluvias fuertes, en el municipio de San Cristóbal de las Casas. Derivado de lo anterior, se reportan las siguientes afectaciones:
• Viviendas afectadas: 70 (50 colonia Bosques del Sol, 10 colonia del Viento, 5 San Juan de los Lagos y 5 San José del Recuerdo). 
• Escuelas afectadas: 2 (primaria “Gral Miguel Utrilla y preescolar “Victoria Durán de Aguilar”) Por entrada de agua.                                                               Desbordamientos: 1 (comunidad de Rancho Nuevo)
</t>
  </si>
  <si>
    <t xml:space="preserve">Cuernavaca </t>
  </si>
  <si>
    <t>Se registró el impacto de un autobús de la ruta 13, contra un autobús de la ruta 40 y posterior impacto a la escuela preparatoria 1, ubicada sobre  Boulevard Cuauhnáhuac, km 1.5, Colonia Vicente Estrada Cajigal en Cuernavaca, Morelos. Se desconocen las causas y derivado de lo anterior se reportan 11 lesionados, (2 de la tercera edad) quienes fueron trasladados al IMSS</t>
  </si>
  <si>
    <t xml:space="preserve">Bahía de Banderas </t>
  </si>
  <si>
    <t xml:space="preserve">se reportó la volcadura de una pipa de gas Lp propiedad de la empresa Minerva (se desconoce capacidad y cantidad de contenido), municipio de Bahía de Banderas. Derivado del incidente, la pipa presentó fuga, por lo que de manera preventiva se realizó el acordonamiento de la zona, se inhabilitó el paso sobre la carretera y se evacuaron algunos comercios cercanos y se suspendió el servicio de una estancia infantil cercana (sin cuantificar). Se reportó 1 lesionado, trasladado al Hospital General de Bahía de Banderas que falleció en el hospital. </t>
  </si>
  <si>
    <t xml:space="preserve">La Huerta </t>
  </si>
  <si>
    <t xml:space="preserve">Tarde-noche. Se registró la volcadura y salida de camino de pipa de un remolque de 42,000 L con 2 compartimientos para gasolina Magna y Premium, sobre el km 052+900 carretera (1580) Melaque - Puerto Vallarta, dirección Puerto Vallarta, municipio de La Huerta. Se desconocen las causas. Se reportó 1 persona lesionada trasladada al Hospital de Careyes para dar seguimiento a su atención médica. La pipa quedó debajo de la carpeta asfáltica, por el puente de Careyes, donde presentó fuga del producto hacía el canal de un río que estaba seco. </t>
  </si>
  <si>
    <t xml:space="preserve">Se tuvo conocimiento del accidente de un autobús de personal perteneciente a la empresa Congeladora ULTRA sobre la carretera Zacapu-Carapan municipio de Tangancícuaro. Derivado de lo anterior, se reportan 19 lesionados </t>
  </si>
  <si>
    <t>se registró un choque de una patrulla de la Policía de Tulum, contra un coche Honda Civic, color gris, sobre la carretera Felipe Carrillo Puerto - Tulum, municipio de Tulum, Derivado de lo anterior, se reportó 1 fallecido (policía) y 7 lesionados, quienes fueron trasladados a un Hospital para su atención médica.</t>
  </si>
  <si>
    <t xml:space="preserve">Puebla </t>
  </si>
  <si>
    <t>En la colonia Valle de las Flores por filtración de aguas negras en viviendas 8 viviendas con una altura máxima de 30 cm. Cuerpos de emergencia laboraron en el desazolve en drenaje y recorridos para la valoración de daños y afectaciones, sin reporte de lesionados, ni registro de evacuados.</t>
  </si>
  <si>
    <t>Se presentó explosión en 1 vivienda (pérdida total) por posible acumulación de gas, Derivado de lo anterior, se reportan 4 lesionados (2 en código rojo)y 2 atendidos en el lugar. Asimismo, se reportan afectaciones en 5 viviendas aledañas</t>
  </si>
  <si>
    <t>Se registró volcadura y salida de camino de un camión de pasajeros de la línea Omnibus de México, en la carretera Federal 45, se reportaron 5 fallecidos y 10 lesionados, que fueron trasladados al Hospital General del municipio de Río Grande,</t>
  </si>
  <si>
    <t>Derivado de las fuertes lluvias y caída de granizo, que se registraron en la alcaldía de Benito Juárez, se reporta la caída de techo de un supermercado (Tienda Soriana) de aproximadamente 35 x 20 metros, en Av. Revolución, esquina con Caravaggio, colonia San Juan, alcaldía Benito Juárez. Derivado de lo anterior, se reporta 1 persona lesionada (con probable fractura de hombro derecho), trasladada al Hospital del ISSSTE Fernando Quiroz y la evacuación de 200 personas del inmueble</t>
  </si>
  <si>
    <t>Jalpa</t>
  </si>
  <si>
    <t xml:space="preserve">se tuvo conocimiento de la explosión de pirotecnia durante una procesión en la carretera  Jalpa-Calvillo, municipio de Jalpa. Derivado de lo anterior, se reportan 7 lesionados mismos que fueron trasladados a un hospital comunitario y a 2 particulares. El incidente se presentó cuando un chispa cayó en el vehículo a la  vanguardia de la procesión, lo que generó la explosión y posterior incendio del vehículo. </t>
  </si>
  <si>
    <t xml:space="preserve">Se registró un incendio al interior de una vivienda, se reportan 3 menores fallecidos por inhalación de humo, así como 2 adultos lesionados (los padres), quienes fueron trasladados al Hospital General </t>
  </si>
  <si>
    <t>14/06/2022 </t>
  </si>
  <si>
    <t>Tlayacapan </t>
  </si>
  <si>
    <t>Se registró un accidente múltiple, donde se vieron involucrados un tracto camión, una camioneta de tres toneladas y una unidad de transporte público de la ruta 14, esto en a la altura del km 57 de la carretera federal Xochimilco – Oaxtepec, derivado de lo anterior se reportan 5 personas lesionadas, quienes fueron trasladados a la Clínica del Ángel En Cuautla</t>
  </si>
  <si>
    <t>se registró el derrumbe de una barda de 3 metros de alto por 4 metros de largo, la cual al colapsar cae sobre una vivienda construida de material endeble. En dicha vivienda se encontraba un masculino de 30 años, quien falleció en el lugar. Hasta el momento, se desconocen las causas que originaron la caída de la barda.</t>
  </si>
  <si>
    <t>Guadalajara, San Pedro Tlaquepaque, Tonalá y Zapopan</t>
  </si>
  <si>
    <t>4 Municipios afectados, 1 persona lesionadas, 8 personas rescatadas, 24 viviendas afectadas por penetración de agua, 8 colonias afectadas, 7 Inundaciones viales, 3 pasos a desnivel cerrados, 38 vehículos varados, 10 vehículos arrastrados por la corriente, 11 árboles caídos, 2 postes caídos de CFE, 2 deslaves y Siteur Jalisco con servicio provisional.</t>
  </si>
  <si>
    <t xml:space="preserve">Se recibió el reporte en relación a la volcadura de un camioneta colectiva de la ruta 8000 que cubre de Tuxtla Gutiérrez a Copoya El incidente fue provocado derivado de que la unidad se quedó sin frenos y en su intento por detener la unidad, el chófer optó por estrellar la misma contra una poste de energía eléctrica, originando que esta se volcara. Resultando 10 personas lesionadas, quienes fueron trasladadas a diferentes nosocomios del municipio para su atención médica. </t>
  </si>
  <si>
    <t xml:space="preserve">• 13 colonias con afectaciones
• 31 viviendas con penetración de agua con altura no mayor a los 20 cm.
• Inundaciones de vialidades en zonas bajas
• En el Hospital General se presentó desprendimiento de parte del plafón del techo (sin afectar su operación)
Se realizaron labores de desazolve de coladeras y apoyo a los domicilios afectados, culminando labores a las 02:30 horas. Sin personas lesionadas y/o evacuadas. Participan: H. C. de Bomberos del Estado y del Municipio.
</t>
  </si>
  <si>
    <t>Se reportó volcadura de un camión de transporte público precipitándose al vacío, donde se trasladaban peregrinos provenientes del estado de Tabasco derivado de lo anterior se reportaron 9 fallecidos y 40  lesionados, de los cuales 3 fueron trasladados en helicóptero al Hospital Regional de Palenque y el resto traslados al estado de Tabasco</t>
  </si>
  <si>
    <t xml:space="preserve">Se presentó la volcadura de una van de trasporte público, se reportan 11 fallecidos y 9 lesionados, (los lesionados fueron trasladados al  Hospital General de San Juan del Río, Querétaro). Se desconocen las causas que originaron el incidente </t>
  </si>
  <si>
    <t xml:space="preserve">
A las 14:30 horas del 18 de junio, se presentaron lluvias fuertes el municipio de Xalapa, (60 mm de las 08:00 a las 16:00 horas de hoy)   derivado de lo anterior, se reporta lo siguiente: 
•              20 viviendas afectadas por ligera introducción de agua Ya atendidas
•              11 colonias afectadas por anegaciones en calles y avenidas de hasta 50 cm Ya atendidas 
•              4 vehículos varados 
•              2 arroyos con escurrimientos (arroyo papas y carnitas) Ya en su nivel 
•              1 desbordamiento por corriente de río (Garnica) Ya en su nivel 
•              2 árboles caídos
•              1 deslave
•              1 palmera sobre cables de suministro de energía eléctrica
•              1 anegación de vehículo
Las afectaciones ya fueron atendidas por personal de Protección Civil Municipal.
</t>
  </si>
  <si>
    <t>Tenosique y Emiliano Zapata</t>
  </si>
  <si>
    <t xml:space="preserve">Durante la madrugada, se presentaron lluvias fuertes suscitadas por la Depresión Tropical “Celia”Afectaciones:
• 24 viviendas afectadas en el estado.
Municipio de Tenosique:
• Desbordamiento de un arroyo que atraviesa el ejido Rancho Grande.
• Penetración de agua en 14 viviendas: 8 en Ejido Rancho Grande y 6 en los Poblados Arena de Hidalgo e Independencia.
Municipio de Emiliano Zapata:
• Desbordamiento del arroyo Chancala, poblado de Gregorio Méndez.
• Penetración de agua en 10 viviendas.
</t>
  </si>
  <si>
    <t>se registró explosión en un departamento, sobre calle Toledo,. Se presume que fue a causa de acumulación de gas. Derivado de lo anterior, se reportó 2 lesionados, trasladados al Hospital General Dr. Rubén Leñero</t>
  </si>
  <si>
    <t>Zapotlán el Grande</t>
  </si>
  <si>
    <t xml:space="preserve">Alrededor de las 16:00 horas, se registró un desplazamiento por movimiento de las placas de la falla geológica, que inicia en la zona conocida como La Ladrillera en los límites Norte con la Mancha urbana, la cual corre con tendencia hacia el poniente cruzando por áreas emblemáticas como la Base Regional de Protección Civil y Bomberos Jalisco, colonia Mansiones del Real, hasta el sector conocido actualmente como las colonias Las Primaveras, cabecera municipal de Ciudad Guzmán, municipio de Zapotlán el Grande 50 viviendas con algún tipo de afectación (preliminar-dato del Presidente Municipal), 3 de ellas con daños estructurales (ya no son habitables) y sobre la carpeta asfáltica de las vialidades Calzada Madrid, Carranza, Manuel M. Diéguez e Ignacio Mejía.
•              12 personas evacuadas de manera preventiva. 
•              Sin lesionados y/o fallecidos.
•              Sin afectaciones al sistema de agua potable.
</t>
  </si>
  <si>
    <t>Naucalpan de Juárez, Huixquilucan, Valle de Chalco, Ecatepec de Morelos y Tenancingo</t>
  </si>
  <si>
    <t xml:space="preserve">Municipio de Naucalpan de Juárez:
•              49 viviendas afectadas por penetración de agua, por el aumento en el nivel de la presa El Sordo, ya que las viviendas están construidas al interior de la presa, por lo que les ocasionó que el agua ingresará en el primer nivel (tirante de hasta 2 metros de altura), con daños materiales a menaje. Las personas se encuentran en la parte alta de sus domicilios, al no querer evacuar sus viviendas. CONAGUA informa que los niveles de agua están descendiendo. 
•              Encharcamiento en carriles laterales de Perif. Blvd. Manuel Ávila Camacho, a la altura de la Calle Joselillo, Col. El Parque. 
</t>
  </si>
  <si>
    <t>20/06/222</t>
  </si>
  <si>
    <t xml:space="preserve">Tapalapa, Mazatán, Ocosingo, Bochil, San Cristóbal de las Casas y Unión Juárez. </t>
  </si>
  <si>
    <r>
      <rPr>
        <b/>
        <sz val="9"/>
        <color theme="1"/>
        <rFont val="Calibri"/>
        <family val="2"/>
        <scheme val="minor"/>
      </rPr>
      <t xml:space="preserve"> Lluvia severa el 20 de junio. Se emitió declaratioria de desastre. </t>
    </r>
    <r>
      <rPr>
        <sz val="9"/>
        <color theme="1"/>
        <rFont val="Calibri"/>
        <family val="2"/>
        <scheme val="minor"/>
      </rPr>
      <t xml:space="preserve"> Afectaciones
• 8 municipios afectados
•  210 viviendas afectadas
• 2 desgajamiento de tramo carretero
• 1 derrumbe rural
• 2 desbordamientos de ríos
• 4 familias evacuadas
• 2 instalaciones educativas afectadas
• 1 puente dañado
</t>
    </r>
  </si>
  <si>
    <t>CENACOM/DGGR</t>
  </si>
  <si>
    <t xml:space="preserve">Se registra choque de un autobús de pasajeros contra una camioneta pick-up,. Derivado de lo anterior, se reportan  5 fallecidos y 22 lesionados (10 en código verde) atendidos en el lugar y (12 en código amarillo) trasladados a un hospital para su atención médica. </t>
  </si>
  <si>
    <t>Diversos Municipios</t>
  </si>
  <si>
    <r>
      <rPr>
        <b/>
        <sz val="9"/>
        <color theme="1"/>
        <rFont val="Calibri"/>
        <family val="2"/>
        <scheme val="minor"/>
      </rPr>
      <t xml:space="preserve">Lluvia severa, inundación pluvial y fluvial del 21 al 23 de junio. Se emitio declaratoria de desastre. </t>
    </r>
    <r>
      <rPr>
        <sz val="9"/>
        <color theme="1"/>
        <rFont val="Calibri"/>
        <family val="2"/>
        <scheme val="minor"/>
      </rPr>
      <t xml:space="preserve"> Afectaciones:
• 42 municipios afectados
• 546 Viviendas afectadas (1 destechada, 27 derrumbe /deslave y 518 por anegaciones)
• 2,184 personas afectadas 
• 5 colonias afectadas
• 24 localidades afectadas 
• 13 corrientes desbordadas
• 16 deslaves 
• 4 socavones
• 10 colonias con anegamientos
• 11 vialidades con anegamientos
• 10 deslizamientos
• 36 derrumbes
• 21 instalaciones educativas afectadas
• 1 caída de roca
• 27 localidades incomunicadas
• 1 puente afectado
• 27 localidades incomunicadas
• 6 vías de comunicación afectadas
• 17 caídas de árboles
• 6 postes caídos
• 1 persona fallecida (Ixtaczoquitlán)
• 4 personas lesionadas (Sochiapa)
• 1 refugio desactivado
• 1 refugio temporal activo: 36 personas refugiadas
• 10 servicios estratégicos 
• Fallecidos: 1
• Lesionados: 4
• Evacuados: 0
</t>
    </r>
  </si>
  <si>
    <t>Se reportó un incendio al interior de una  bodega, dentro del Parque Industrial Prologis, Derivado de lo anterior Se tiene reporte de 7 personas lesionadas en total (2 empleados con quemaduras en el 100% de su cuerpo, mismos que fueron trasladados al Centro Médico Occidente, 3 bomberos atendidos en el lugar por golpe de calor, 1 bombero atendido por ligeras quemaduras en los pies y 1 más por caída, sin que presentara golpes mayores).</t>
  </si>
  <si>
    <t xml:space="preserve">San Juan Bautista Valle Nacional, San Juan Bautista Tuxtepec, Jocotepec, Ayotzintepec, San Miguel Yotao, San Juan Cotzocon, Ixtlán de Juárez, Santiago Camotlán, San Felipe Jalapa De Díaz, Santa María Jacatepec, </t>
  </si>
  <si>
    <t xml:space="preserve">Afectaciones
• Municipios afectados:10
• Personas fallecidas: 1 por arrastre de corriente en municipio de San Felipe Jalapa De Díaz
• Viviendas afectadas: 133 (1 San Juan Bautista Valle Nacional, 98 San Juan Bautista Tuxtepec, 34 Ixtlán de Juárez)
• Puente colapsado: 1 carretera de Ayotzintepec Rio Chiquito, kilómetro 22
• Puentes artesanales colapsados: 2
• Derrumbes en carreteras: 18
• Postes de luz caídos: 3
• Afectaciones en área de cultivo: 1
</t>
  </si>
  <si>
    <t xml:space="preserve">Se reporta accidente de unidad de transporte público de la ruta 76 contra vehículos estacionados ,e reportan 30 lesionados de los cuales 3 fueron trasladados a un hospital para su atención. </t>
  </si>
  <si>
    <t xml:space="preserve">Nuevo Laredo </t>
  </si>
  <si>
    <t xml:space="preserve">Se reportó derrame de diésel en el centro de inspección de locomotoras y zona de abasto de combustible en la estación ferroviaria Sánchez de la empresa “Kansas City Southern de México, S.A. de C.V.”,el incidente se originó por error humano, al estar abasteciendo de combustible Diésel a una locomotora de número KCSM 4527, ocasionando un derrame en la toma de carga de la locomotora de aproximadamente 2,500 litros del Diésel, que cae sobre un piso de concreto, desplazándose algo de la sustancia peligrosa, hacia un área de tierra en la zona de cargas de locomotoras, se desconoce las dimensiones del área afectada </t>
  </si>
  <si>
    <t xml:space="preserve">se tuvo conocimiento del impacto de 1 camión de pasajeros y 1 tractocamión que trasportaba maíz, A las 13:40 horas (tiempo local), se tuvo conocimiento del impacto de 1 camión de pasajeros y 1 tractocamión que trasportaba maíz sobre la carretera 15 a la altura de la comunidad el Burrión, municipio de Guasave. Derivado de lo anterior, se reportan 15 lesionados, 2 de los cuales fueron trasladados al Hospital General de la Cruz Roja. Tras el impacto de las unidades, el autobús se proyectó hacia una vivienda. Se desconocen las causas que originaron el incidente. </t>
  </si>
  <si>
    <t>Se presentó la  explosión de 1 tanque estacionario en una  vivienda del poblado de San Cristóbal Tepatlaxco, municipio de San Martin Texmelucan. Derivado de lo anterior, se reportan 9 lesionados (6 menores y 3 adultos) y evacuación de viviendas aledañas (sin contabilizar). Los menores lesionados fueron trasladados al Hospital para el niño poblano y los adultos al Hospital de Traumatología y Ortopedia "Doctor y General Rafael Moreno Valle". Se desconocen las causas que orinaron el incidente. Al momento la situación ya está controlada y sin riesgo a las personas</t>
  </si>
  <si>
    <t>Se registra accidente vehicular entre una unidad de Guardia Nacional 335345 y un vehículo particular en la Carretera Federal Pénjamo – Cuerámaro, entronque Hacienda el Balneario, municipio de Pénjamo se desconocen las causas. Se reportan 12 lesionados, 7 elementos de la Guardia Nacional trasladados al Hospital Militar de Irapuato y 5 Civiles trasladados al Hospital General de Pénjamo.</t>
  </si>
  <si>
    <t xml:space="preserve">Gómez Palacio </t>
  </si>
  <si>
    <t>Se registró el descarrilamiento de 7 vagones de un ferrocarril, en la colonia El Consuelo, municipio Gómez Palacio. El incidente se originó a causa de un vandalismo. Derivado de lo anterior, se reportaron 3 lesionados, que fueron trasladados a un Hospital para su atención médica</t>
  </si>
  <si>
    <t>Derivado de las lluvias fuertes que se registraron en el municipio de Tlajomulco de Zúñiga, se reportó el desbordamiento de un canal, mismo que cruza las colonias Colinas del Roble, Fresno, Villas de la Hacienda, Chulavista y Lomas del Sur, municipio Tlajomulco de Zúñiga. Derivado de lo anterior, se reportó penetración de agua de 50 cm en patios de 10 viviendas (se tiene daños de menaje en 2 viviendas) y caída de algunas bardas de patios</t>
  </si>
  <si>
    <t xml:space="preserve">se registró impacto frontal entre un coche particular y una unidad de transporte público, sobre la carretera Santiago Tianguistenco - Chalma, municipio de Ocoyoacac. Se desconocen las causas que originaron el incidente. Derivado de lo anterior, se reportó 4 fallecidos y 3 lesionados, que fueron trasladados por vía área a un Hospital para su atención médica. </t>
  </si>
  <si>
    <t>se reportó la volcadura de 1 unidad de transporte público en la  carretera Pachuca-Ciudad Sahagún a la altura de la localidad de Xochihuacan, municipio de Epazoyucan. Se desconoce la posible causa del accidente, resultando 13 personas lesionadas atendidas en el lugar y de las cuales 5 fueron trasladadas a diversos hospitales de la Ciudad de Pachuca.</t>
  </si>
  <si>
    <t xml:space="preserve">Moctezuma  </t>
  </si>
  <si>
    <t xml:space="preserve">🔺 Afectaciones:
•              2 viviendas con penetración de agua, ubicadas donde se registró bajada de agua. 
•              Encharcamientos viales (30 cm), bajadas y corrientes de agua. 
•              Vehículos varados. 
•              4 comunidades afectadas: San Francisco, San Felipe, La Luz y Revalin.
•              Árboles caídos. 
•              Sin evacuados, lesionados y/o fallecidos
</t>
  </si>
  <si>
    <t xml:space="preserve">Se registró volcadura y salida de camino de pipa cargada con 25,000 L de gasolina misma  fuga de 2,000 L del hidrocarburo en la cuneta de la carretera. Se reportó 1 lesionado (conductor de la unidad), trasladado al Hospital de los Mochis para su atención. </t>
  </si>
  <si>
    <t xml:space="preserve">15 viviendas afectadas por entrada de agua
• 9 colonias afectadas (Constitución, Providencia, Hijos Ilustres, Guayabos, Gándara, Santa Rosa, Constituyentes, San Felipe, La Giralda)
• 12 árboles caídos
• Múltiples anegaciones viales
• 8 vehículos varados y 5 motocicletas arrastradas.
</t>
  </si>
  <si>
    <t>Se registra accidente entre una unidad de transporte público y un auto particular, marca Jetta, color negro, en la carretera 540, a la altura de Santa María Begonias, municipio El Marqués. Se desconocen las causas que originaron el incidente. Derivado de lo anterior, se reportan 2 fallecidos y 16 lesionados que fueron trasladados al Nuevo Hospital General No. 2 del IMSS, para su atención médica</t>
  </si>
  <si>
    <t>se presentó el choque por alcance entre 2 autobuses turísticos, en el km 54+460 de la carretera Culiacán-Mazatlán, municipio de Elota. Se desconocen las causas que originaron el incidente. Derivado de lo anterior, se reportan 8 lesionados, que fueron trasladados a un Hospital para su atención médica</t>
  </si>
  <si>
    <t xml:space="preserve">explosión de un autotanque, con razón social “Transportes Kar-la” en un taller mecánico de diésel ubicado en la Localidad del Llano, 1ra Sección. Se reportan 2 personas lesionadas, que ameritaron su traslado para su atención médica. La explosión se originó porque se estaban realizando trabajos de soldadura en el lugar. </t>
  </si>
  <si>
    <t xml:space="preserve">Nogales </t>
  </si>
  <si>
    <t>Se tuvo conocimiento de una fuga de gas lp proveniente de una pipa . No se reportan daños humanos, únicamente la evacuación aledaña. El incidente se presentó cuando un camión se estrelló con la parte trasera de la pipa y dañó las válvulas de la pipa con carga de 10,000 litros, de los cuales se fugaron 1,000</t>
  </si>
  <si>
    <t>Ascención</t>
  </si>
  <si>
    <t xml:space="preserve">Se reporta choque y posterior volcadura e incendio de un tractocamión con razón social Combustibles Mexicanos S.A de C.V, el auto tanque presentó derrame de Diésel por 62,000 litros, el cual afecto un área de 170 metros cuadrados de tierra, </t>
  </si>
  <si>
    <t>Ecatepec de Morelos, Chalco, Nicilás Romero</t>
  </si>
  <si>
    <t>derivado de la tormenta severa que se presentó en los municipios  de Ecatepec de Morelos, Chalco, Nicilás Romero, resultaron dos viviendas afectadas por penetración de agua</t>
  </si>
  <si>
    <t xml:space="preserve">Se registraron lluvias fuertes, acompañadas de tormenta eléctrica y fuertes vientos en el municipio de Tuxpan, dejando las siguientes afectaciones: 
-12 árboles caídos sobre la autopista Colima - Guadalajara.
- 1 árbol caído sobre un vehículo, en el km 104+500, provocando 2 lesionados, trasladados por sus propios medios a un Hospital.
- 1 árbol caído sobre un vehículo, en el km 69, provocando 2 fallecidos.
- 2 árboles caídos sobre dos vehículos, en el km 90 al 104.
</t>
  </si>
  <si>
    <t>Zapopan, Tlajomulco de Zúñiga, Zapotlán el Grande, Guadalajara, San Pedro Tlaquepaque, Zapotlanejo y Tizapán el Alto</t>
  </si>
  <si>
    <t xml:space="preserve">🔺 Afectaciones:
-              7 municipios afectados
-              15 colonias afectadas (15 Zapopan) 
-              17 viviendas con penetración de agua (5 Zapopan y 10 en Zapotlán el Grande) 
-              1 persona rescatada (1 Zapopan) 
-              2 desbordamientos del “Arroyo Seco” (Zapopan y Tlajomulco de Zúñiga) 
-              12 vehículos afectados
-              19 vehículos varados 
-              44 encharcamientos viales / inundaciones 
-              1 acumulación de granizo en carretera
-              20 árboles caídos 
-              1 espectacular caído 
-              1 caída de estructura 
-              1 socavón 
-              Sin reporte de lesionados, fallecidos y/o evacuados
</t>
  </si>
  <si>
    <t>Se recibió reporte a la torre de control por caída de aeronave privada Piper PA-31-325 con matrícula N28-DF,n. Se desconocen las causas. Se reportaron 2 fallecidos. La aeronave despegó desde el Aeropuerto Internacional de Querétaro (que opera con normalidad) y tenía como destino la Ciudad de Morelia, Michoacán</t>
  </si>
  <si>
    <t>Se presentó un incendio dentro de un departamento, ubicado en la calle Simón Bolívar, en la colonia Álamos. Como medida preventiva fueron evacuadas 50 personas</t>
  </si>
  <si>
    <t>Tlalpan, Cuauhtémoc y Xochimilco</t>
  </si>
  <si>
    <t xml:space="preserve">🔺 Afectaciones:
- 1 persona lesionada
- 3 alcaldías afectadas
- 10 colonias afectadas
- 61 viviendas afectadas
- 6 encharcamientos/inundaciones 
- 3 desbordamientos / escurrimientos (1 Xochimilco y 2 Tlalpan) Ya en niveles normales 
- 2 escuelas afectadas
- 1 hospital afectado
- 1 señalamiento caído
- 1 vehículo afectado
- 1 árbol caído
</t>
  </si>
  <si>
    <t>Jalisco, Guadalajara, San Pedro Tlaquepaque, Zapopan, Tonalá, El Salto, Tlajomulco de Zúñiga y San Francisco Tesistán</t>
  </si>
  <si>
    <t xml:space="preserve">Durante el día de ayer 12 de julio, se registraron lluvias moderadas y fuertes, acompañadas de caída de granizo, actividad eléctrica y viento fuerte en los municipios de Guadalajara, San Pedro Tlaquepaque, Zapopan, Tonalá, El Salto, Tlajomulco de Zúñiga, Jalisco y San Francisco Tesistán con las siguientes afectaciones: Municipio de Guadalajara:
-Se registró lluvia fuerte, con caída de granizo, actividad eléctrica y viento fuerte, principalmente en la zona Oriente, Centro y Norte.
-Encharcamientos viales sobre Glorieta de Tránsito.
- 6 vehículos varados, en Av. Javier Mina con tirantes de 20 cm; en avenida Sierra Mojada afuera del Centro Médico de Occidente, con tirantes de 40; en Hacienda de Tala y Hacienda Ciénega de Mata con tirantes de 40 cm.
-Penetración de agua viviendas (sin cuantificar) en calle Manuel María Ponce y calle San Andrés con un nivel de 40 cm.
- Inundación con tirantes de 60 cm, en av. Gobernador Curiel, a la altura de Artes Plásticas y avenida esculturas.
-Suspensión del sistema del Macrobús, en pasos a desnivel de Av. Washington en sus cruces con 8 de Julio, Héroes Ferrocarrileros, calle Roble y Av. Federalismo.
-Retiro de acumulación de basura de las rejillas pluviales, colonia San Carlos, sobre la calle Azucena en los límites de la colonia Analco. 
-4 árboles caídos
Municipio San Pedro Tlaquepaque:
-Se registró lluvia intensa, viento fuerte y caída de granizo
-Encharcamientos viales momentáneos, en Av. Niños Héroes y Santos Degollado en Zona Centro con tirante de 30 cm; calle Pedro Celestino Negrete entre Revolución y Boulevard Marcelino García Barragán, con tirante de 40 a 45 cm.
- 8 vehículos varados.
-3 árboles caídos sobre vialidad en Calle Progreso y Las Torres en la Col. La Capacha.
-Cierre parcial en vialidades
Municipio Tlajomulco de Zúñiga:
-Se registra lluvia fuerte y caída de granizo en algunos puntos.
- 1 árbol caído sobre una barda, en fraccionamiento Bosque de Santa Anita.
Municipio de Zapopan:
- Se registró lluvia fuerte en las colonias de Puerta del Llano, Zona Industrial y Jardines de Nuevo México.
-Encharcamientos e inundaciones.
- 10 viviendas afectadas por penetración de agua con 1 metro de altura, en Jardines de Nuevo México.
Municipio San Francisco Tesistán
- Desbordamiento del canal Río Blanco, sin penetración de agua en viviendas (el nivel del río ya disminuyo).
- 6 vehículos con penetración de agua.
Al momento no se tiene reporte de lesionados y/o fallecidos. Se mantiene comunicación con Protección Civil ante cualquier eventualidad.
</t>
  </si>
  <si>
    <t>Pajacuarán</t>
  </si>
  <si>
    <t>Se presentaron lluvias intensas en el municipio de Pajacuarán, provocando afectaciones por penetración de agua en 2 viviendas, (1 sin habitar) ubicadas en la calle de Álvaro Obregón #222 y #224. Cuerpos de emergencia atendieron el tema realizando la evacuación preventiva de 5 personas sin reporte de la habilitación de albergue para las mismas</t>
  </si>
  <si>
    <t>Atlahuilco, Los Reyes, Soledad Atzompa, Tequila, Texhuacán y Zongolica</t>
  </si>
  <si>
    <t xml:space="preserve">Movimiento de ladera del 20 al 23 de junio de 2022. Se emitió declaratoria de desastre </t>
  </si>
  <si>
    <t>Cuichapa, Coscomatepec, Amatlán de los Reyes, Omealca, Córdoba, Yecuatla, Martinez de la Torre, Zentla, Huatusco y Hueyapan de Ocampo</t>
  </si>
  <si>
    <t xml:space="preserve">🔺 Afectaciones:
-              1 persona fallecida (por caída de rayo en Martínez de la Torre - fallecido en hospital) 
-              10 municipios afectados
-              46 viviendas afectadas
-              184 población afectada 
-              5 colonias afectadas
-              4 localidades afectadas 
-              1 escuela afectada 
-              3 registro con caída de granizo
-              1 deslizamiento 
-              70 árboles caídos
-              1 caída de rayo
-              3 servicios estratégicos afectados (energía eléctrica) 
</t>
  </si>
  <si>
    <t xml:space="preserve">Se registró la caída de 6 personas a una fosa séptica de una altura de 7 metros aproximadamente, en Vicente Guerrero, No. 35, Primera Norte, colonia Vicente Guerrero, municipio de Zapopan. Se presume que se encontraban dándole mantenimiento cuando perdieron el equilibrio y cayeron. Derivado de lo anterior, se reportaron 2 fallecidos y 4 lesionados (2 en código amarillo) trasladados al Hospital Civil de Guadalajara y 2 trasladados a la Cruz Verde, </t>
  </si>
  <si>
    <t>Juan Rodríguez Clara</t>
  </si>
  <si>
    <t xml:space="preserve">Se registraron lluvias fuertes en la Comunidad del Blanco, en el municipio de Juan Rodríguez Clara. Derivado de esto se registraron las siguientes afectaciones:
🔺Afectaciones:
-13 viviendas destechadas parcialmente 
- 1 corte de energía eléctrica (restablecida)
- 5 árboles caídos
</t>
  </si>
  <si>
    <t>Puerto Vallarta, Zapopan, Guadalajara y Tizapán el Alto</t>
  </si>
  <si>
    <t xml:space="preserve">🔺Afectaciones:
-              4 municipios afectados. 
-              8 viviendas afectadas.
-              30 vehículos varados y/o arrastrado
-              1 vehículo dañado por caída a socavón
-              1 socavón 
-              2 caídas de cableado. 
-              14 puntos con encharcamientos y/o corrientes agua 
-              1 desbordamiento de riachuelo (Puerto Vallarta)
-              1 incremento de río (Tizapán el Alto)
-              15 colonias afectadas 
-              4 árboles caídos
</t>
  </si>
  <si>
    <t>Se reporta caída de helicóptero de la Secretaría de Marina (Black Hawk), cercano al Aeropuerto de Los Mochis sobre la carretera Topolobampo - Los Mochis, municipio de Ahome. Se desconoce la causa del incidente, resultando 14 fallecidos y 1 lesionado el cual se encuentra recibiendo atención médica.</t>
  </si>
  <si>
    <t xml:space="preserve">Irapuato </t>
  </si>
  <si>
    <t xml:space="preserve">Se registraron lluvias moderadas, en el municipio de Irapuato dejando las siguientes afectaciones:
🔺Afectaciones:
4 viviendas por penetración de agua
5 negocios por penetración de agua
3 vialidades con encharcamientos
Municipio Irapuato
- 1 vivienda con un tirante de 30 a 40 cm, en calle Celaya No. 21, colonia Los Pozos, con daños a 1 sala, 2 camas y 1 el motor de un refrigerador.
- 1 vivienda con un tirante de 10 cm, en calle Celaya No.271, con daños a 2 bases de cama, refrigerador, mueble de televisión, estufa de la parte inferior y juguetes.
- 1 vivienda con un tirante de 30 a 40 cm, en calle Saucillo, con daños a muebles de madera.
- 1 vivienda con un tirante de 7 cm, en Manuel Doblado, No. 67,con daños a libros
- 1 negocio con un tirante de 5 cm de altura.
- 1 negocio de mariscos, razón social “Mariscos Chico” con un tirante de 15 cm, con daños a un refrigerador.
- 1 mueblería
- 1 local de películas con un tirante de 2 cm
- 1 taquería con razón social “Juanito” con un tirante de 4 cm
- 1 encharcamiento en calzada Insurgentes y av. Guanajuato
- 1 encharcamiento en 16 de septiembre y Manuel Doblado
- 1 encharcamiento en Mariano J. García.
Nota: Al momento, no hay reporte de lesionados y/o fallecidos.
</t>
  </si>
  <si>
    <t>se registró choque entre dos camiones de la Ruta 2A y de la Ruta Azteca en Av. Filomeno Escamilla y Joaquín Colombres, municipio de Puebla. Se desconocen las causas que originaron el incidente. Derivado de lo anterior, se reportaron 17 personas lesionadas, que fueron trasladas a un Hospital para su atención médica,</t>
  </si>
  <si>
    <t>se presentó la salida de camino de una camión de transporte de personal, de la maquiladora Flextronica,Derivado del accidente se reportan 26 personas lesionadas, de las cuales 8, fueron trasladadas a un hospital cercano.</t>
  </si>
  <si>
    <t xml:space="preserve">Se registró accidente entre dos unidades de transporte público de la Línea Verde y de Flecha Azul, sobre la Carretera Federal Tlaxcala-Puebla, entronque con el Libramiento de Tlaxcala, en la Localidad de Acuitlapilco, municipio de Tlaxcala. Se desconocen las causas que originaron el incidente. Derivado de lo anterior, se reportaron 14 lesionados, que fueron trasladados a un Hospital para su atención </t>
  </si>
  <si>
    <t>Chacaltianguis</t>
  </si>
  <si>
    <t xml:space="preserve">Fuga de gas Lp e incendio en ducto de Pemex, en el Tramo Carretero Chacaltianguis – Tlacojalpan, comunidad Torno Largo, municipio de Chacaltianguis. Se tiene reporte de 1 fallecido (masculino de 57 años) y 1 lesionado (masculino de 71 años), ambos presentaban quemaduras de segundo grado en diferentes partes del cuerpo y fueron trasladados en vehículo particular al Hospital IMSS </t>
  </si>
  <si>
    <t xml:space="preserve">Se registra Choque de un camión urbano de la ruta Huizaches contra un árbol en avenida Jesús Andrade al pasar la calle Río Culiacán, en el municipio de Culiacán.    Se desconocen las causas del accidente. En el camión se trasladaban 21 pasajeros, se reportan 14 lesionados los cuales se trasladaron a diversos hospitales para su valoración. </t>
  </si>
  <si>
    <t>Se recibió reporte de la volcadura de un camión de pasajeros de la línea AZIL, en el fraccionamiento Villas del Campo, se reportan 33 lesionados</t>
  </si>
  <si>
    <t>se recibió reporte de explosión en la fábrica INDASA, Preliminarmente se reporta 1 fallecido y 8 lesionados de los cuales 1 fue trasladado al Hospital del IMSS de traumatología y Ortopedia. Se desconocen las causas que originaron el incidente</t>
  </si>
  <si>
    <t xml:space="preserve">Tequila </t>
  </si>
  <si>
    <r>
      <rPr>
        <b/>
        <sz val="9"/>
        <color theme="1"/>
        <rFont val="Calibri"/>
        <family val="2"/>
        <scheme val="minor"/>
      </rPr>
      <t xml:space="preserve"> Movimiento de ladera del 26 al 28 de julio de 2022. Se emitió declataoria de desastre. </t>
    </r>
    <r>
      <rPr>
        <sz val="9"/>
        <color theme="1"/>
        <rFont val="Calibri"/>
        <family val="2"/>
        <scheme val="minor"/>
      </rPr>
      <t xml:space="preserve">Derivado de las lluvias registradas durante la noche del 26 de julio y madrugada de hoy en el municipio de Tequila se reportan las siguientes afectaciones:
• 21 viviendas afectadas (20 por agrietamiento de ladera y 1 por deslave) en proceso de atención.
• 1 masculino fallecido por deslave de ladera
• 2 lesionados atendidos en el lugar
• Servicio eléctrico afectado.
• Derrumbes en caminos sobre varios puntos del municipio, en proceso de cuantificación y atención. 
• 1 árbol caído
</t>
    </r>
  </si>
  <si>
    <t>Se reportó la caída de una avioneta (color blanco, azul y naranja) con matrícula XB-AZS que realizaba fumigación sobre parcelas, entre las comunidades Del Alvareño y El Cuenqueño, municipio de Vista Hermosa. Se desconocen las causas. Se reportó 1 fallecido (masculino de 70 años) en el lugar y 1 lesionado (piloto), trasladado al Hospital General de La Barca, Jalisco</t>
  </si>
  <si>
    <t>Panfilo Natera</t>
  </si>
  <si>
    <t xml:space="preserve">Se registra choque entre Urvan de transporte público y auto particular en la Carretera 45 a la altura de KM 155, en el municipio de Panfilo Natera se desconocen las causas, se reportan 3 fallecidos y 11 lesionados los cuales fueron trasladados al Hospital General de Zacatecas y clínicas particulares. </t>
  </si>
  <si>
    <t xml:space="preserve">9 viviendas afectadas.
• 30 personas evacuadas.
• 15 colonias afectadas por anegaciones: Carlos Salazar, Prados Verdes, Primo Tapia Poniente, Nueva Valladolid, Realito, Torreón Nuevo, El libramiento norte, salida a Guadalajara por la central camionera, Camelinas, Obrera, Isaac Arraiga a la altura de la poza rica, Boulevard García de León, Tres Puentes, la Voz, y Mariano Escobedo.
• 32 vehículos varados.
• Varias personas rescatadas de sus vehículos
• 1 barda perimetral colapsada de la Primaria Ignacio Zaragoza, sobre el cofre de 1 camioneta (desocupada).
• 1 zanja de 3 m de largo x 1 m de ancho. 
• Encharcamientos con tirantes máximos de 80 cm principalmente en zonas bajas.
• Cortos circuitos al interior del Merado Independencia.
• El Río Grande y el Río Chiquito alcanzaron niveles de 90% y 80% en su NAMO, respectivamente; continúan disminuyendo. 
• Sin reporte de lesionados y/o fallecidos. 
</t>
  </si>
  <si>
    <t>Se registra salida del camino y volcadura de autobús de pasajeros marca Inzar de color rojo de la línea Frontera con placas del Servicio Público Federal y número económico 0115, en carretera Zacatecas - Saltillo en el Kilómetro 198 casi a la altura de la Comunidad de Cerritos, municipio de Concepción del Oro. Se desconocen las causas del accidente. Se reportan 20 lesionados de los cuales 8 fueron trasladados al Hospital Rural de la clínica del IMSS de Concepción del Oro</t>
  </si>
  <si>
    <t xml:space="preserve">se registraron lluvias en el estado de Sinaloa, registrando afectaciones en el municipio de Guasave, al momento no se reportan lesionados y/o evacuados, personal de emergencia continúan labores de atención a las afectaciones:
🔺 Afectaciones
- 247 viviendas con penetración de agua.
- Filtración de agua al interior del Hospital General de Guasave.
- 17 vehículos varados
</t>
  </si>
  <si>
    <t>Se reportó volcadura de unidad de transporte público de la Ruta Azteca y un vehículo particular, resultando 1 fallecido y 9 lesionados atendidos en el lugar y trasladados a un nosocomio cercano para su valoración médica</t>
  </si>
  <si>
    <t>se recibió el reporte en relación al impacto por alcance de un autobús de pasajeros de la línea “Turismo Pedraza” con camión de materiales, esto en de la  carretera México-Tulancingo a la altura de Acelotla, Municipio de Tulancingo. Derivado de lo anterior, se reportan 22 lesionados (2 prensados, 3 graves y  17 con lesiones leves), quienes fueron trasladados a los Hospitales de Pachuca y Tulancingo para Continuar con su atención medica</t>
  </si>
  <si>
    <t>se registró un choque por alcance entre 1 tráiler y 1 autobús de pasajeros, sobre el km 179+100 carretera (2280) Saltillo - Torreón, tramo La Esperanza - Ent. La Cuchilla, dirección Mazatlán, ejido El Sol, municipio de San Pedro. Se desconocen las causas. Se reportaron 2 fallecidos y 17 lesionados atendidos en el lugar por personal de Cruz Roja Mexicana</t>
  </si>
  <si>
    <t>Cd. Madero</t>
  </si>
  <si>
    <r>
      <t xml:space="preserve">Petróleos Mexicanos (PEMEX) informa que hoy, aproximadamente a las 04:45 horas, en la Refinería Madero, Tamaulipas, se presentó un fenómeno meteorológico por tormenta eléctrica. Derivado de esto, se reportó un aviso de emergencia del personal operativo de la planta de tratamiento de efluentes, al observar un camión de presión vacío (UPV) en llamas, cerca de los separadores de aceite SA-1 y SA-2, hacia donde se dirigió el fuego y causó el incendio de la  fosa. • Lamentablemente se reportó el hallazgo de un trabajador fallecido, además de una persona desaparecida, ambos de empresas contratistas
• Las actividades de arranque se mantienen y se continúa con la evaluación de daños materiales
</t>
    </r>
    <r>
      <rPr>
        <b/>
        <sz val="9"/>
        <color theme="1"/>
        <rFont val="Calibri"/>
        <family val="2"/>
        <scheme val="minor"/>
      </rPr>
      <t xml:space="preserve">INCENDIO DE LA FOSA </t>
    </r>
  </si>
  <si>
    <t>Se registró volcadura de autobús de pasajeros con razón social “Buda”, placas 43RBYA, en la carretera Nacional Acapulco-Pinotepa, km 83 a la altura de la localidad de Los Lomitos y Las Vigas, municipio de San Marcos. Se desconoce las causas que originaron el incidente. Derivado de lo anterior, se reportó 3 fallecidos y 39 personas lesionadas, (23 trasladadas al Hospital de San Marcos y 16 al Hospital de Cruz Grande) para su valoración y atención médica</t>
  </si>
  <si>
    <t>Ahualulco</t>
  </si>
  <si>
    <t xml:space="preserve">Se reportó la volcadura de 1 autobús de pasajeros perteneciente a la línea de la empresa SENDA, sobre la carretera 63, Ahualulco – Moctezuma, a la altura de la Comunidad Rincón de Hierbabuena, municipio de Ahualulco. Se desconocen las causas que originaron al accidente. Derivado de lo anterior, se reportaron 15 lesionados (3 en código rojo, 2 en código amarillo y 10 en código verde), trasladados al Hospital Central de San Luis Potosí, para su atención médica. </t>
  </si>
  <si>
    <t>Hermosillo, Nogales, Nacozari de García y Cumpas</t>
  </si>
  <si>
    <t xml:space="preserve">🔺 Afectaciones:
-              Municipios afectados: 4
-              Encharcamientos e inundaciones viales: 7
-              Viviendas afectadas por penetración de agua: 25
-              Desprendimiento de cerro: 1
-              Espectacular caído: 1
-              Bardas caídas: 1
-              Vehículos afectados: 1
-              Vehículos varados
-              Crecida de arroyos: 4
-              Al momento, no se reportan lesionados y/o fallecidos.
</t>
  </si>
  <si>
    <t xml:space="preserve">Se registró el  incendio al interior de una casa habitación, ubicada en Manuel Carpio, esq. Fresno, Col. Santa María La Ribera, alcaldía Cuauhtémoc. Se desconocen las causa y derivado de lo anterior, se reportan 30 personas evacuadas de los alrededores, así como una persona con quemaduras, quien fue trasladada al hospital para continuar con su atención médica. </t>
  </si>
  <si>
    <t>Palenque, Tumbalá, Ocosingo, Villaflores, Rosario Ixtal y Tuxtla Chico</t>
  </si>
  <si>
    <t xml:space="preserve">Afectaciones:
- Lesionados: 3 (por caída de árbol y techumbre en Tumbalá)
- Encharcamientos viales
- Árboles caídos
- Viviendas afectadas: Sin cuantificar (Palenque) 
- 2 viviendas con desprendimiento de techumbre: Ocosingo
</t>
  </si>
  <si>
    <t xml:space="preserve">Sabinas </t>
  </si>
  <si>
    <t>Colapsó de la mina “El Pinabete” en Sabinas,  Coahuila. Se siguen realizando trabajos para extraer los 10 cuerpos, sin vida, de los mineros que quedaron atrapados.</t>
  </si>
  <si>
    <t xml:space="preserve">Chínipas  </t>
  </si>
  <si>
    <t xml:space="preserve">Afectaciones:
- 10 Viviendas afectadas por entrada de agua (hasta 40 cm de tirante) 
- 2 vehículos arrastrados
- aumento en el caudal de un arroyo (sin desbordamiento)
- deslizamientos de tierra en la carretera  Palamerejo  a Chínipas  (ya en atención)
</t>
  </si>
  <si>
    <t xml:space="preserve">A partir de medianoche, se registraron lluvias moderadas acompañadas de tormenta eléctrica y vientos en el municipio de Acapulco de Juárez, reportando:
🔺 Afectaciones:
- 1 femenina fallecida por arrastre (escurrimiento pluvial en la calle Niños Héroes, colonia Progreso)
- 1 árbol caído. 
- Colonias sin energía eléctrica.  (Ya restablecida)
</t>
  </si>
  <si>
    <t>Se presentó la volcadura de 1 tractocamión en la autopista Puebla-Córdoba, a la altura del municipio de Ciudad Mendoza. Derivado de lo anterior, se reportan 3 fallecidos y 5 lesionados. Cabe mencionar que los afectados son trabajadores de CAPUFE, y el tractocamión transportaba barreras de contención. Al momento la circulación comienza a reabrirse.</t>
  </si>
  <si>
    <t>Se registró fuerte accidente de un autobús que trasportaba personal de la mina Noche Bueba, se desconoce cuantos pasajeros iban en la undiad, contra una camioneta Nissan de caja chica,  en la  carretera Caborca-Sonoyta km. 159. Se desconoce las causas del impacto entre los vehículos, derivado del  percance se reportan 22 lesionados y 1 fallecido, se tiene cierre parcial a la circulación, los lesionados fueron trasladados a diversos hospitales.</t>
  </si>
  <si>
    <t xml:space="preserve">Se registró explosión al interior de la fábrica de cartuchos con razón social “Industrias Tecnos SA de CV” en carretera federal Cuernavaca-Tepoztlán a la altura del poblado de Ahuatepec, municipio de Cuernavaca, La explosión ocurrió en el área de cebado y carga de línea 22.  De manera preventiva se realizó la evacuación de 900 personas. Se reportan 6 lesionados de los cuales 4 son trasladados al IMSS Plan de Ayala No.1, se atendieron a 2 personas por crisis nerviosa </t>
  </si>
  <si>
    <t>Técpan de Galeana y Tlacoachistlauhuaca</t>
  </si>
  <si>
    <t xml:space="preserve">Durante la noche - madrugada se registraron lluvias reportando:
🔺 Afectaciones:
- Vehículos arrastrados: 7
-Caída de palmera: 1
-Corte en la carretera: 1
Municipio de Técpan de Galeana:
• Siete vehículos estacionados fueron arrastrados por el escurrimiento pluvial en la calle de la Unidad deportiva, sólo se reportaron daños materiales.
• Caída de una palmera en vía pública en la colonia Centro.
Municipio Tlacoachistlauhuaca:
• Corte en la carretera estatal Tlacoachistlahuaca – Metlatónoc, entre las localidades de Tierra Blanca y Río Tencocoya.
🔸 Acciones: 
o Corte en la carretera estatal Tlacoachistlahuaca – Metlatónoc.
</t>
  </si>
  <si>
    <t>Se registró accidente de un camión del transporte del personal, color blanco, placas 2221-P, perteneciente a la empresa Hutchison Mangueras, contra una camioneta tipo redilas que transportaba cebolla, sobre la Carretera Celaya - Salvatierra, municipio de Celaya. Se desconocen las causas que originaron el incidente. Derivado de lo anterior, se reportaron 6 lesionados (2 código amarillo y 4 código verde), que fueron trasladados al IMSS de Celaya, para su atención médica</t>
  </si>
  <si>
    <t>Mártir de Cuilapan</t>
  </si>
  <si>
    <t xml:space="preserve">Se registra explosión por pirotecnia en una fiesta religiosa, en calle Victoria, esquina con Altamirano, municipio de Mártir de Cuilapan. Se desconocen las causas que originaron el incidente. Derivado de lo anterior, se reportaron 2 lesionados con quemaduras en el 20% de su cuerpo, uno de ellos trasladados al Hospital Regional de Tixtla de Guerrero y el otro al Hospital de Chilpancingo, para su atención médica. Aproximadamente a las 16:30 horas, </t>
  </si>
  <si>
    <t xml:space="preserve">Se registró derrumbe de una mina con razón social MINAR, en el Rancho Santa Clara de González, municipio de Galeana. Se desconocen las causas que originaron el incidente. Derivado de lo anterior, se reportó 1 fallecido, mismo que fue extraído a las 17:30 horas, se entregó el cuerpo a SEMEFO. Se concluyen labores al interior de la mina. </t>
  </si>
  <si>
    <t xml:space="preserve">Agua Prieta  </t>
  </si>
  <si>
    <t xml:space="preserve">Afectaciones:
•               5 personas arrastradas por la corriente del río, rescatados con vida.
•               4 vehículos arrastrados por la corriente del río (3 vehículos y 1 cuatrimoto).
•               250 vehículos atrapados sin poder salir del parque
</t>
  </si>
  <si>
    <t xml:space="preserve">Se presentó la  salida del camino y volcadura de 1 pipa con doble remolque que transportaba gasolina sobre la Autopista Nuevo Teapa – Cosoleacaque, a la altura del municipio de Agua Dulce. Derivado de lo anterior se reporta 1 fallecido (conductor de la unidad), así como fuga de producto. </t>
  </si>
  <si>
    <t>Se registró la volcadura de autobús de pasajeros de la línea Futura, con número económico 9131 y placa de circulación 69HA4T, en el km 169 de la autopista Mazatlán - Culiacán. Derivado de lo anterior se reportan 1 persona fallecida (prensada)  y  15 lesionados (10 adultos y 5 pediátricos) , quienes fueron  atendidos y trasladados a los Hospitales del IMSS e ISSSTE Costa Rica, así como al Hospital  Regional de Culiacán, para continuar con su atención médica</t>
  </si>
  <si>
    <t xml:space="preserve">🔺 Afectaciones:
- Municipio afectado: 1
- Viviendas afectadas: 1
-Escurrimientos de arroyos: 2
-Evacuados: 2
- Rescate de persona: 1
- Arrastre de vehículo: 1
Municipio de La Paz:
-Lluvias fuertes a las 14:00 horas, que concluyen a las 15:30 horas
- Escurrimientos de los arroyos El Vaquero y La Fuente, provocando penetración de agua en 1 vivienda. Derivado de esto se evacuan a 2 personas.
- Arrastre de un vehículo, donde iba 1 tripulante, en la Comunidad San Pedro, mismo que fue rescato con vida.
Acciones:
-Desazolve en la vivienda afectada
-Evacuación de 2 personas
- Rescate de 1 persona 
Al momento, el nivel del río de los arroyos ya se encuentra en su normalidad.
</t>
  </si>
  <si>
    <t xml:space="preserve">Municipio Villa Madero:
• 20 a 25 viviendas con penetración de agua (sin necesidad de realizar evacuación de personas)
• 5 comercios 
🔸Acciones:
- Recorrido en las viviendas por posible daños
- Entrega de cobijas a los afectados
- Labores de limpieza y desazolve
</t>
  </si>
  <si>
    <t>Se reporta que 1 fémina fue arrollada por un tren, en la Carretera México - Pachuca, colonia La Laguna, municipio Tlalnepantla de Baz. Se desconocen las causas que originaron el incidente. Derivado de lo anterior, la vialidad se encuentra afectada ya que se mantienen en espera del arribo del Ministerio Público para el levantamiento del cuerpo.</t>
  </si>
  <si>
    <t>Se tuvo conocimiento de la salida del camino y volcadura de 1 camión de SEDENA, el cual trasportaba a elementos castrenses. Derivado de lo anterior, se reportan 14 lesionados. Se desconocen las causas que originaron el incidente</t>
  </si>
  <si>
    <t>Ahualulco de Mercado</t>
  </si>
  <si>
    <t xml:space="preserve">🔺 Afectaciones:
-              Viviendas afectadas: 50 (tirantes de 0.50 - 1.50 m).
-              Personas afectadas: 250.
-              Desbordamiento: 1 arroyo “El Cocolisco”, a la altura de la colonia El Espinal.
-              Vehículos afectados: 6.
-              Ganado afectado: por determinar (caprino).
-              Cultivo afectado: por determinar (caña, maguey y maíz).
-              Inundaciones vales: 5
-              Sin lesionados y/o fallecidos.
</t>
  </si>
  <si>
    <t xml:space="preserve">Se presentó el choque lateral entre un autobús de pasajeros y un tráiler caja seca sobre la carretera federal 57 km 190, municipio El Marqués. Derivado de lo anterior se reportaron 14 lesionados, 11 fueron atendidos en el lugar y 3 fueron trasladados al Hospital San José. </t>
  </si>
  <si>
    <t>Se registra explosión y posterior incendio, al interior de un taller clandestino de pirotecnia de 20 metros cuadrados, en calle Ejido esq. Miguel Negrete, colonia La Lupita, alcaldía Tláhuac. se reportaron 2 personas lesionadas, una de ellas trasladada a un Hospital, por vía aérea en un Cóndor de la Secretaría de Seguridad Ciudadana de la CDMX y la otra trasladada por personal de paramédicos de la UGIRyPC, para recibir su atención médica</t>
  </si>
  <si>
    <t>Se reportó choque de un autobús de pasajeros, marca Mercede Benz, contra un vehículo tipo sedán, marca KIA,color vino, en Boulevard Juan Alonso de Torres, No. 1315, colonia Unidad Deportiva, municipio de León. Se desconocen las causas que originaron el incidente. Derivado de lo anterior, se reportan 9 lesionados, que fueron trasladados al Hospital Medica Poniente del municipio</t>
  </si>
  <si>
    <t>Se registra volcadura de camioneta tipo “Explorer” con 25 personas de nacionalidad extranjera  (Hondureños y Cubanos), en kilómetro 47+700 de la carretera El Seco-Azumbilla, en el paraje conocido como "Cuestecilla" o "Herradura del Diablo",  Municipio de Cañada de Morelos Se reportan 6 fallecidos y 11 lesionados los cuales fueron trasladados a Hospitales de Tehuacán.</t>
  </si>
  <si>
    <r>
      <t>Se registra explosión por acumulación de gas en vivienda en Privada Misiones de la colonia Villa del Álamo, municipio de Tijuana, de manera preventiva se realizó la evacuación de 24 personas, resultaron afectadas 14 viviendas (</t>
    </r>
    <r>
      <rPr>
        <b/>
        <sz val="9"/>
        <color rgb="FFFF0000"/>
        <rFont val="Calibri"/>
        <family val="2"/>
        <scheme val="minor"/>
      </rPr>
      <t>8 con daños estructurales</t>
    </r>
    <r>
      <rPr>
        <sz val="9"/>
        <color theme="1"/>
        <rFont val="Calibri"/>
        <family val="2"/>
        <scheme val="minor"/>
      </rPr>
      <t>), al momento se desconoce de personas lesionadas</t>
    </r>
  </si>
  <si>
    <t xml:space="preserve">CONAGUA: Nogales 17 mm, con un umbral de 64 mm (08:00 h - 18:00 h 13/08/2022).
A partir de las 14:26 a las 15:53 horas, se registraron lluvias fuertes con una precipitación de 68.6 mm, y rachas de viento de hasta 77 km/h, en el municipio de Nogales, reportando las siguientes afectaciones:
🔺 AFECTACIONES MUNICIPIO DE NOGALES
- 3 personas fallecidas, (2 menores que viajaba en un taxi y 1 adulto – femenina, que viajaba en 1 vehículo particular; arrastrados por la corriente del arroyo)
- 19 personas rescatadas con vida
- 1 desbordamiento del arroyo Av. Tecnológico 
- 19 vehículos arrastrados por corriente de agua 
- 10 vehículos atrapados en encharcamientos viales 
- 7 viviendas afectadas por penetración de agua
- 3 derrumbes de infraestructura en viviendas
- Caída de 1 barda, 1 árbol y 1 poste
- Diversas colonias afectadas 
</t>
  </si>
  <si>
    <t>Purísima del Rincón, Guanajuato, Yuriria</t>
  </si>
  <si>
    <t xml:space="preserve">Municipio de Purísima del Rincón
• 2 viviendas con penetración de agua en área de patios con tirante máximo de 40 cm. (colonia El Toro)
Municipio de Guanajuato
• 2 viviendas con penetración de agua con tirante máximo de 50 cm. (colonia Huertas)
• 1 Caída de barda perimetral (colonia Huertas)
Municipio de Yuriria
• Desbordamiento del arroyo de la comunidad Puquichapio
• 6 viviendas con penetración de agua con tirante máximo de 1 m.
• Encharcamientos en la vía pública con tirante máximo de 1 m en zonas bajas
• 5 personas evacuadas con familiares
</t>
  </si>
  <si>
    <t>Se reporta explosión e incendio de pipa que transportaba combustible (22,000 L de gasolina Magna) de la empresa privada Transportes Claudia Berenice S.A. de C.V., en Avenida Escénica (sentido Base Naval - Puerto Marqués), a la altura del Fraccionamiento Pichilingue, municipio de Acapulco de Juárez. Se cree que la unidad se quedó sin frenos, impactándose contra la barda de instalaciones de CAPAMA (Comisión de Agua Potable y Alcantarillado) causando afectación a un cuarto de máquinas y a un tanque de almacenamiento de aguas, a 1 taxi colectivo, 2 postes de CFE y 1 de alumbrado público. Se reportó 1 fallecido (chofer de la pipa) y 3 lesionados (tripulantes del taxi), trasladados al Hospital General de Acapulco "El Quemado" en unidades de la Cruz Roja. Cuerpos de emergencia resguardaron la zona y se cerró la vialidad en su totalidad  a la altura de la Glorieta de Puerto Marqués y de la VIII Zona. Se reportó que el fuego se propagó a la zona boscosa, originando un incendio forestal, ya sofocado y afectando un área de 50x20 metros cuadrados</t>
  </si>
  <si>
    <t xml:space="preserve">Afectaciones
-              6 viviendas afectadas por deslizamientos de tierra (4 en Fraccionamiento California y 2 en Residencial Monarcas).
-              15 familias evacuadas (65 personas aproximadamente) por fuga de gas. El deslizamiento de tierra en el Fraccionamiento California, provocó que una barda cayera sobre un tanque estacionario, lo que provocó el incidente. 
-              1 vivienda en riesgo por deslizamiento de tierra.
-              Crecimiento de arroyos.  
-              Bardas colapsadas. 
-              Encharcamientos viales. 
-              Bajadas de agua. 
-              Vehículos varados. 
</t>
  </si>
  <si>
    <t xml:space="preserve">Afectaciones:
-              22:20 horas. Se reportó el arrastre de 1 camioneta con 1 masculino en su interior, por una bajada de agua derivada de la crecida de un arroyo, sobre Av. Principal Pinos rumbo a Picacho. 02:00 horas. Se localizó la camioneta a 500 m cuesta abajo, sin localizar al masculino. 08:00 horas. Fue localizado el cuerpo a 3 km de donde se localizó la camioneta. 
-              Deslizamiento de rocas sobre la carretera federal 49. Se realizaron labores para el retiro de las rocas (la más grande de 2-3 m de diámetro). Ya hay paso a vehículos.
-              Caída de 1 cable de alta tensión sobre la carretera, el cual fue retirado.
</t>
  </si>
  <si>
    <t>Jaral del Progreso, Comonfort y Celaya</t>
  </si>
  <si>
    <t xml:space="preserve">Municipio de Jaral del Progreso
- 50 viviendas afectadas por penetración de agua (30 cm de tirante) 
- 20 personas evacuadas.
- Escurrimiento del río Laborío. 
Municipio de Celaya
- 15 puntos con encharcamientos 
- 12 colonias afectadas: Los Álamos, San Juanico, El Cantar, Los Olivos 3er Sección, Zona Centro, Benito Juárez, Villas del Romeral, Obrero Mundial, Quinta Arboleda, Campus II de Tecnológico, Jardines de Celaya y  3ra Sección de los Naranjos.
- 2 viviendas afectadas por penetración de agua.
Municipio de Comonfort
- Encharcamientos en varios puntos del municipio.
- Escurrimiento de arroyo sobre campos de cultivo, comunidad Neutla. 
</t>
  </si>
  <si>
    <t>Querétaro, Colón y Cadereyta</t>
  </si>
  <si>
    <t xml:space="preserve">🔺 Afectaciones: 
- 7 viviendas con penetración de agua
- 3 vehículos afectados
- 1 barda colapsada
- 4 colonias afectadas (Loma Bonita, Monte Vesubio, Eduardo Loarca y Jurica) 
- Cierres viales en zonas anegadas
- Encharcamientos viales y en zonas bajas
- Arrastre de material pétreo sobre calles 
- Fallas en suministro eléctrico 
- Sin lesionados y/o fallecidos.
• Municipio de Cadereyta:
- En una obra de drenaje, en la Comunidad de Vizarrón, el agua boto una de las coladeras, provocando penetración de agua en varias viviendas (sin cuantificar).
- Encharcamientos en zonas bajas, provocando penetración de agua en las viviendas (sin cuantificar).
</t>
  </si>
  <si>
    <t>Tequisquiapan y Ezequiel Montes</t>
  </si>
  <si>
    <t xml:space="preserve">Derivado de las lluvias de ligeras a moderadas con tormenta eléctrica de las 20:30 a las 22:00 horas del 16 de agosto, en el municipio de  Tequisquiapan se reportó lo siguiente:
🔺 Afectaciones:
•              1 femenina (32 años) fallecida por la caída de rayo al resguardarse de la lluvia bajo un árbol.
•              Inundación en vialidades con tirantes máximos de 30 cm.
•              Viviendas con penetración de agua (sin cuantificar) a nivel de patio, por el paso de vehículos en calles encharcadas. 
•              Vehículos varados (sin cuantificar).
•              1 caída de barda perimetral del Fraccionamiento Residencial Hacienda (daños materiales).                                                                 Municipio de Ezequiel Montes
•              2 viviendas afectadas por derrumbe de 1 barda por la presión del agua. 
•              2 familias evacuadas de la colonia San José de Bernal
</t>
  </si>
  <si>
    <t>Atolinga</t>
  </si>
  <si>
    <t xml:space="preserve">Durante la noche del 15 de agosto, se registraron fuertes lluvias en el municipio de Atolinga, reportando lo siguiente:
🔺 Afectaciones:
•              Crecida del arroyo Pajaritos.
•              15 viviendas con penetración de agua, localizadas en la ladera del arroyo (con pérdida total y/o parcial de sus enseres). 
•              2 talleres con penetración de agua. 
•              1 vehículo arrastrado por la corriente del arroyo.  
•              Encharcamientos viales. 
</t>
  </si>
  <si>
    <t>Se reportó el impacto por alcance de 2 autobuses urbanos sobre avenida universidad, municipio de Coatzacoalcos. Se desconocen las causas que originaron el incidente y derivado de lo anterior, se reportaron 5 personas lesionadas, quienes fueron trasladadas al Hospital de la Cruz Roja Mexicana de Coatzacoalcos, para su atención médica</t>
  </si>
  <si>
    <t>Villa Hidalgo, Agua Prieta, Sonoyta, Sahuaripa, Mazatán, Guaymas, Banámichi, Empalme, Nogales, Cumpas, Cajeme, Huásabas, Hermosillo, Santa Ana y Nacozari</t>
  </si>
  <si>
    <t xml:space="preserve">🔺 Afectaciones:
-              15 municipios afectados.
-              1 fallecido (Hermosillo - caída de rayo).
-              1 lesionado (Hermosillo - caída de rayo).
-              4 rescatados de su auto (1 Banámichi y 3 Hermosillo).
-              2 derrumbes carreteros.
-              Viviendas afectadas.
-              Encharcamientos e inundaciones viales.
-              Caída de postes.
-              1 comunidad incomunicada. 
-              1 socavón en carretera. 
-              1 presa desfogando. 
-              1 barda caída. 
-              12 cuerpos de agua crecidos. 
-              Sin lesionados y/o fallecidos
</t>
  </si>
  <si>
    <t>Othón P. Blanco y Bacalar</t>
  </si>
  <si>
    <t xml:space="preserve">Municipio de Othón P. Blanco
-              44 calles y avenidas por encharcamiento y/o inundación.
-              120 vehículos varados.
-              20 viviendas afectadas por penetración de agua. 
-              Penetración de agua en galeras, zona de cañeros (sin cuantificar).
-              11 colonias afectadas: Fraccionamiento Pacto Obrero, Santa María,  Flamingos 1, David Gustavo Gutiérrez Ruiz, Solidaridad, Proterritorio,  Américas 1, Américas 2, Américas 3, Fidel Velázquez y Carlos A. Madrazo.
-              3 refugios temporales habilitados: Secundaria General N°13 Armando Escobar Nava, CBTIS 253 Chetumal y Escuela Primaria Mariano Azuela.
-              1 árbol caído.
-              Vuelos cancelados por tormenta en el Aeropuerto de Chetumal.
-              El canal de la Av. Constituyentes con Erick Paolo, se registra un tirante de aproximadamente 70 centímetros y desalojando el agua, conforme las precipitaciones lo permiten. 
-              La operación de los servicios de agua potable en Chetumal, Bacalar y Mahahual se mantienen estables, sin embargo, se han registrado bajos voltajes ligeros en la ciudad que mantienen vigilancia permanente para atender cualquier incidencia operativa.
Municipio de Bacalar
-              10 viviendas afectadas con penetración de agua. 
-              Inundaciones viales.
-              1 colonia afectada: Miguel Hidalgo. 
-              En el puente del km 21 antes de Reforma y en el puente que se encuentra a 2 km después de Reforma, el nivel subió.
-              2 refugios temporales activos con 5 familias en uno de ellos. Se regresa a la normalidad, al bajar el agua en las zonas de inundación.
</t>
  </si>
  <si>
    <t xml:space="preserve">• 3 viviendas con entrada de agua
• 18 personas evacuadas (trasladados con familiares) 
• 1 arroyo crecido
• 16 colonias con anegaciones
• 6 vehículos varados
• 5 puntos con anegaciones
Y movilización de cuerpos de emergencia 
</t>
  </si>
  <si>
    <t xml:space="preserve">A las 10:50 horas, se reportó choque múltiple entre 7 vehículos particulares y 1 unidad del Metrobús, sobre Av. Insurgentes en dirección al Norte a la altura de Luis Donaldo Colosio, colonia Buenavista, alcaldía de Cuauhtémoc. Se reportaron 6 lesionados (1 conductor del Metrobús sin ameritar traslado y 5 de los vehículos particulares), de los cuales 3 trasladados al Hospital de Magdalena de las Salinas. </t>
  </si>
  <si>
    <t>Las Margaritas y Villa de Corzo</t>
  </si>
  <si>
    <t xml:space="preserve">💧 CONAGUA: 49.6 mm en el municipio de La Concordia, con un umbral de 117 mm (08:00 h 18/08/2022 a 08:00 h 19/08/2022). 
Derivado de la Onda Tropical No. 23, durante las últimas 24 horas, se han registrado lluvias de ligeras a fuertes en varios municipios del estado, reportando:  
Municipio de Las Margaritas
•              16 viviendas afectadas por encharcamientos (tirante de 10 a 25 cm): barrio de Sta. Cecilia 2, San Sebastián 8, La Pila 2, Guadalupe 1 y Sacsalum 3.
•              5 colonias afectadas. 
Municipio de Villa de Corzo
•              8 viviendas con afectación (1 m de tirante) en la colonia San Pedro Buenavista, en el Barrio “La Semillera”, con pérdidas en colchones, muebles, techos y aparatos eléctricos.
•              1 colonia afectada. 
</t>
  </si>
  <si>
    <t>Se reportó una deflagración por acumulación de gas Lp.,  al interior de una vivienda ubicada en la calle punta arena, colonia Fraccionamiento Punta Real, municipio de Cortázar. Derivado de lo anterior, se reportó *1 persona fallecida y 10 lesionados, las cuales fueron trasladadas al Hospital General del Municipio de Celaya y Hospital Comunitario del Municipio de Cortazar</t>
  </si>
  <si>
    <t xml:space="preserve">A las 21:06 horas, se reportó que derivado de las fuertes lluvias durante la tarde en el municipio de Tuxpan, se registró lo siguiente:
🔺 Afectaciones:
•              4 viviendas afectadas.
•              1 derrumbe de lodo y piedras, en el tramo carretero federal Tuxpan - Zitácuaro, a la altura del lugar conocido como Malacate. Disminuyó el flujo vehicular parcialmente, al momento ya atendido. 
</t>
  </si>
  <si>
    <t>Se presentaron lluvias moderadas y vientos en el municipio de Acámbaro, reportando la caída de 1 árbol (20 m de altura) sobre 1 vivienda, resultando 1 persona (femenina de 77 años) fallecida y 4 personas lesionadas (3 meses, 1, 6 y 52 años respectivamente). Se tuvo afectación en la techumbre de lámina y bardas de tabique de la casa</t>
  </si>
  <si>
    <t>Se reportó la volcadura de 1 colectivo de la ruta 115 en el boulevard Belisario Domínguez y calle 28 de agosto, municipio de Tuxtla Gutierrez, resultando 2 personas fallecidas y 12 personas lesionadas, de las cuales 5 fueron trasladadas al Hospital Gómez Maza y 7 al Hospital de la Cruz Roja.</t>
  </si>
  <si>
    <t xml:space="preserve">Derivado de la presencia de una tormenta eléctrica, se reportó descarga eléctrica y la caída de 1 rayo sobre espectadores en un campo de futbol ubicado en la colonia El Gavilán, municipio de Ocozocoautla.
Derivado del suceso, resultó 1 persona fallecida y 5 lesionados, trasladados a diferentes nosocomios para su atención  médica. 
</t>
  </si>
  <si>
    <t xml:space="preserve">A partir de las 13:49 horas del 20 de agosto, se presentaron lluvias moderadas en el municipio de Culiacán, reportando afectaciones por encharcamientos viales, y la creciente de 1 arroyo. Sin reporte de lesionados y/o evacuados.
Afectaciones Municipio de Culiacán
16 Encharcamiento viales
1 Creciente de arroyo
• 1 menor desaparecido por arrastre de un arroyo en el fraccionamiento Colinas del Bosque.
• 1 Blvd Miguel Tamayo y Alfonso G Calderón
• 4 Calzada Aeropuerto en Fray Marco de Niza, Blvd Las Torres, Blvd Jesús Kumate y Azahares.
• *1*Blvd Benjamín Hill y Aztlan
• 2 Blvd Las Torres en Blvd Ejército de Occidente y la entrada a la Feria Ganadera
• 2 Blvd Pedro Infante  en Av Juan M Zambada y Blvd Jorge Julián Chávez Castro
• 1 Blvd José Limón y Blvd Enrique Félix Castro
• 2 Av Álvaro Obregón en Blvd Francisco I Madero y Ciudades Hermanas
• 1 Av Lázaro Cárdenas e Insurgentes y 16 de Septiembre
• 2 Calzada Heroico Colegio Militar en Blvd Francisco I Madero y Tercera
• 1 Creciente de arroyo en Calle Hilario Medina entre Enrique Colunga y Guillermo Laveaga, Col. Díaz Ordaz
22/082022 20:50 horas, señalan que en relación al menor que se reportó como desaparecido, por el arrastre de un arroyo en el fraccionamiento de Colinas del Bosque, el día de hoy a las 10:30 horas fue encontrado el cuerpo sin vida, en el dren 10, a 2 kilómetros de la comunidad denominada del 10. Por lo cual, finalizaron los trabajos de búsqueda y rescate.
</t>
  </si>
  <si>
    <t>Se reporta explosión de polvorín en la localidad de Mexcalcingo, municipio de Chilapa de Álvarez, se desconocen las causas, se reportó 1 fallecido y 5 lesionados entre ellos 3 menores de edad, los cuales fueron trasladados al Hospital Básico comunitario de Quechultenango, posteriormente serán trasladados al hospital general de Chilpancingo en 2 ambulancias. 18:30 horas, señalan que las personas lesionadas, se trasladaron por sus propios medios a un hospital en el municipio de Quechultenango, debido a la cercanía, donde se informa que 3 de ellos presentan quemaduras de tercer y segundo grado.</t>
  </si>
  <si>
    <t>Sinaloa y Culiacán</t>
  </si>
  <si>
    <t xml:space="preserve">Durante el día 23 de agosto, se presentaron lluvias de diversas intensidades en varios municipios del estado, reportando lo siguiente:
Municipio de Sinaloa
•              Penetración de agua en viviendas (sin cuantificar) en las localidades de: Tepantita, Morelos, El Norteño, Casas Nuevas, La Mojonera y las playas por el Arroyo El Palojoso.
•              Arroyo crecido en su máxima capacidad en carretera el Caimán - Genaro Estrada, poblado El Caimán, no hay paso vehicular. Se monitorea. 
•              Desbordamiento de arroyo en Carretera a Cabrera de Inzunza, poblado Cabrera de Inzunza, no hay paso vehicular. Se monitorea.
•              Desbordamiento de arroyo en Carretera del Añil a Bacubirito, poblado Las Playas, ya bajando los niveles. 
No se puede realizar el EDAN, ya que se encuentran incomunicados, hoy por la mañana saldrá personal de PC del Estado para realizar recorridos junto con PC Municipal.
Municipio de Culiacán
•              13 viviendas afectadas por penetración de agua en la localidad de Obispo.
•              30 viviendas afectadas por penetración de agua en la localidad de Jacola.
•              1 Esc. Prim. “Ignacio Zaragoza” con inundaciones de aprox 1 m. 
</t>
  </si>
  <si>
    <t xml:space="preserve">CONAGUA: 70 mm en el municipio de Zapopan, con un umbral de 76 mm (08:00 h a 21:00 h - 24/08/2022).
Evento: A las 04:00 horas, del día 24 de agosto, se reportaron lluvias en el municipio de Zapopan, reportando:
🔺 Afectaciones:
• Viviendas afectadas: 6 (2 requieren reposición de menaje).
• Locales comerciales con anegamientos: 2
• Daños de vehículos en predio: 19 (unidades de carga y de transporte de personal)
• Vehículos varados: 10 (avenidas principales)
• Fraccionamiento afectados: 2 (Campestre y Pinar de la Venta)
• Cierre de circulación
• Encharcamientos viales (1m de altura)
</t>
  </si>
  <si>
    <t>Se reporta explosión al interior de vivienda, se indica de manera preliminar que se elabora material pirotécnico</t>
  </si>
  <si>
    <t xml:space="preserve">Moctezuma, Villa Hidalgo, Agua Prieta, Sonoyta, Sahuaripa, Mazatán, Guaymas, Banámichi, Empalme, Nogales, Cumpas, Cajeme, Huásabas, Hermosillo, Santa Ana y Nacozari </t>
  </si>
  <si>
    <t xml:space="preserve">Afectaciones:
- 16 municipios afectados.
- 2 fallecidos y 2 lesionados
1 fallecido (Hermosillo - caída de rayo).
1 fallecido por arrastre de vehículo (Guaymas)
1 lesionado (Hermosillo - caída de rayo).
1 lesionado por arrastre de vehículo (Guaymas)
- 140 labores de rescate (Municipios de Empalme y Guaymas)
- 1 desaparecido por arrastre por el río (Empalme)
- 8 refugios temporales habilitados en el municipio de Empalme.
- 526 personas refugiadas. (456 municipio de Empalme y 70 municipio de Guaymas)
- 3 derrumbes carreteros.
- 1,500 viviendas afectadas.
- 6,500 personas afectadas.
- Encharcamientos e inundaciones viales.
- Caída de postes.
- Comunidades incomunicadas
- 1 socavón en carretera. 
- 1 presa desfogando. 
- 1 barda caída. 
- 14 cuerpos de agua crecidos. 
- 1 Desbordamiento del Bordo Regulador Ortiz (Municipio de Guaymas)
- 2 daños estructurales en carreteras.
- 6 cierres carreteros.
</t>
  </si>
  <si>
    <t>Delicias, Cuauhtémoc, Hidalgo del Parral y Guerrero</t>
  </si>
  <si>
    <t xml:space="preserve">🔺 Afectaciones:
- Municipios afectados: 4
- Personas evacuadas: sin cuantificar y en proceso 
- Albergues habilitados: 3
- Personas refugiadas: 47
- Encharcamientos e inundaciones viales
- Viviendas afectadas: 4
- Vehículos afectados: 21
- Desbordamiento de arroyos
</t>
  </si>
  <si>
    <t>se registró choque por alcance entre autobús (marca Volvo, color azul, placa 914-JV-1, autotransporte Privado de Pasajeros, con razón social ETN y número económico 6022) y tráiler (Kenworth, color verde, placa 80A-C5-E, con razón social Magdamex y con caja seca vacía), sobre la carretera federal 57 libre Querétaro - San Luis Potosí km 90, comunidad Los Pirules, municipio de San Luis de la Paz. Se desconocen las causas. Se reportaron 31 lesionados, 6 (5 código amarillo y 1 código rojo) de ellos trasladados al Hospital General del IMSS T20 y 25 valorados en el lugar. Se presentó cierre parcial de 2 carriles a la circulación. A las 03:26 horas, concluye la atención de la emergencia.</t>
  </si>
  <si>
    <t>Nogales, Camerino Z. Mendoza, Huiloapan de Cuauhtémoc, Mariano Escobedo y Orizaba</t>
  </si>
  <si>
    <t xml:space="preserve">🔺 Afectaciones:
- Municipios afectados: 5
- Viviendas afectadas: 88
- Colonias/comunidades/localidades afectadas: 10
- Árboles caídos: 1
- Vía de comunicación afectada: 1
- Deslaves: 4
- Afectación en servicios estratégicos: 1 
- Crecimiento de cuerpos de agua: 1
</t>
  </si>
  <si>
    <t>Se registró el reporte de incendio al interior de un edificio de departamentos ubicados en calle Libertad y Palma Norte en la colonia Morelos Alcaldía Cuauhtémoc</t>
  </si>
  <si>
    <t>Culiacán, Mazatlán, Guasave y San Ignacio</t>
  </si>
  <si>
    <t xml:space="preserve">🔺 Afectaciones:
- 3 Municipios afectados
- 33 Viviendas afectadas
- 1 Persona  rescatada
- 1 Refugio temporal activado
- Vehículos varados/ arrastrados por la corriente
-Encharcamientos viales
- Cierre de calles y avenidas
- Crecimiento en los niveles de agua
</t>
  </si>
  <si>
    <t>26//08/2022</t>
  </si>
  <si>
    <t>Ocozocoautla de Espinosa y Acala</t>
  </si>
  <si>
    <t xml:space="preserve">AFECTACIONES
2 municipios afectados
2 colonias afectadas
8 viviendas afectadas por entrada de agua
1 arroyo desbordado (ya en su nivel) 
1 deslizamiento de tierra
</t>
  </si>
  <si>
    <t>Tepeji del Río de Ocampo</t>
  </si>
  <si>
    <t xml:space="preserve">Afectaciones:
•              Encharcamientos e inundaciones viales, ya descendieron. 
•              30 viviendas afectadas por penetración de agua (15 a 70 cm).
•              6 colonias afectadas: El Cerrito, El Edén, El Paraíso, Cumbres del Real, Tinajas y Nextengo.
</t>
  </si>
  <si>
    <t xml:space="preserve">Afectaciones:
•              1 vivienda con penetración de agua y lodo en calle Huicamina s/n. 
•              1 local comercial denominado "La Guadalupana" con penetración de agua y lodo, en calle Nezahualcóyotl s/n.
•              1 socavón formado por corriente de agua, de aproximadamente 3x4x1 m de profundidad, en calle Xolot s/n.
•              Afectación de aprox. 100 metros de adoquín en la calle Tizoc entre la calle Papatzin y Nezahualcóyotl.
•              1 vado de piedras y lodo que comunica con la comunidad de Miguel Hidalgo. 
</t>
  </si>
  <si>
    <t xml:space="preserve">🔺 Afectaciones:
•              25 personas evacuadas de un centro educativo de nivel preescolar (a 359 m de la quema).
•              59 viviendas evacuadas (aprox. 236 personas). 
•              12 personas albergadas: 1 masculino, 5 femeninas, 3 niños, 2 niñas y 1 neonatal. 
•              1 refugio temporal activo. 
•              6 viviendas presentaron daños, de las cuales 1 resultó colapsada.
•              1 retroexcavadora quemada.
</t>
  </si>
  <si>
    <t xml:space="preserve">Azcapotzalco  </t>
  </si>
  <si>
    <t xml:space="preserve">- 19:00 horas. Se registró colapso de material al interior de un inmueble, en Leopoldo Blackaller y Adolfo López Mateos, colonia San Pedro Xalpa, alcaldía de Azcapotzalco. 
- Se informa que al interior del inmueble de planta baja, se realizaba una excavación a una profundidad aproximada de 1.5 m en un cuarto de 25 m², cuando se suscitó la caída de material, dejando a 1 hombre sepultado.
- 23:41 horas. Se ha confirmado el fallecimiento de 1 persona al interior de la vivienda. Equipos de búsqueda y rescate en estructuras colapsadas, han recuperado el cuerpo. 
🔺Afectaciones:
•              De manera preventiva, se realizó la evacuación de 12 vecinos del predio y 4 animales de compañía. 
•              Se atendió a 1 persona por presentar crisis nerviosa. 
•              Se instalan 2 refugios temporales para habitantes de 6 viviendas aledañas (se les hace la invitación de evacuar): Parque Azcatl Paqui y Centro de Desarrollo Comunitario Providencia. 
•              1 persona fallecida, rescatada de entre los escombros. 
</t>
  </si>
  <si>
    <t>Se reportó incendio al interior de un departamento ubicado en calle Francisco Morales, colonia Fuentes de Zaragoza, alcaldía Iztapalapa. Se desconoce la causa, sin reporte de personas lesionadas, de manera preventiva cuerpos de emergencia realizaron la evacuación de 100 personas aledañas al sitio del siniestro.</t>
  </si>
  <si>
    <t xml:space="preserve">Afectaciones:
•              Encharcamientos viales. 
•              19:39 horas. 1 fallecido (menor de edad) y 1 lesionado (mamá del menor) por caída de 1 árbol sobre 1 puesto de periódicos, en calle 5 de Mayo y 2 Oriente, colonia Centro Histórico.
•              10 árboles caídos en distintos puntos de la Ciudad. 
•              1 vehículo afectado por caída de árbol. 
•              1 barda afectada por caída de árbol.
•              3 inmuebles afectados: Museo del Automóvil con ruptura de ventanas, Palacio Municipal y tienda departamental por desprendimiento y daños en plafones. 
</t>
  </si>
  <si>
    <t>Escuintla, Acapetahua, Villa Comaltitlán, Tuxtla Gutierrez y Huixtla</t>
  </si>
  <si>
    <t xml:space="preserve">🔺 Afectaciones:
-              Municipios afectados: 5
-              Viviendas afectadas: 63
-              Colonias afectadas: 8
-              Refugios temporales activos: 1
-              Personas refugiadas: 10
-              Desbordamientos: 2
-              Escurrimientos: 2 
-              Árboles caídos: 2
-              Vehículos varados
</t>
  </si>
  <si>
    <t>Jojutla, Tlaltizapán de Zaragoza, Tlaquitenango y Zacatepec</t>
  </si>
  <si>
    <t xml:space="preserve">Afectaciones:
- 4 municipios
- 425 viviendas afectadas por penetración de agua
•              225 Jojutla
•              200 Zacatepec
- 655 personas afectadas en Jojutla
- 15 colonias afectadas
- Desborde de canales de riego
- 1 albergue habilitado en el Auditorio Municipal de Jojutla 
- 2 árboles caídos
</t>
  </si>
  <si>
    <t xml:space="preserve">Los Mochis (cabecera municipal)
• Anegaciones viales por acumulación de basura
Valle del Carrizo  (poblado)
• 1 lesionado durante anegación (por caída) 
• 29 personas evacuadas en la zona de poblado 5  y El Bajío
• 1 Refugio temporal activado “Nuevo Sinaloa”
•        30 personas en refugio temporal 
• 1 vivienda afectada (por caída de árbol) 
• 1 árbol caído
• Anegaciones viales
30/08/2022
Cuerpos de emergencia realizaron labores de limpieza de las zonas afectadas
</t>
  </si>
  <si>
    <t xml:space="preserve">Derivado de las lluvias registradas durante la madrugada del día 29 de agosto, se reportó el desbordamiento de un dren, cercano a la localidad la trinidad, ubicado en el municipio de Guasave, reportando:
AFECTACIONES: 
- 1 municipio afectado
- 100 viviendas afectadas por penetración de agua
• 70 con tirantes de 0.50 a 1.0 metros 
• 30 a nivel de patio
30/08/2022
Cuerpos de emergencia realizaron labores de limpieza de las zonas afectadas y entrega de despensas a la población afectada.
Sin reporte de personas lesionadas y/o fallecidas.
</t>
  </si>
  <si>
    <t xml:space="preserve">Acuña y piedras negras </t>
  </si>
  <si>
    <t xml:space="preserve">Afectaciones:
• 2 municipios afectados
• 2 viviendas afectadas Colonia Granjas del valle y Primera de mayo, Acuña
• 1 persona fallecida por arrastre en un cauce. _ Acuña_
• Encharcamientos e inundaciones viales.
• Vehículos varados.
• Calles y puentes a desnivel cerrados. 
• Penetración de agua en la Clínica 81 del IMSS en Ciudad Acuña, sin evacuados.
🔸 Acciones:
o Se mantiene en recorridos de verificación.
o Cierre de vialidades.
o Activación de refugio temporal en Centro Comunitario de Acuña. Sin personas alojadas.
</t>
  </si>
  <si>
    <t>Se recibe reporte por olor a gas tóxico en el medio ambiente. Al arribar al lugar, cuerpos de emergencia detectan que es una fuga de gas cloro de un tanque de 68 kg en mal estado, municipio de Culiacán. Derivado de lo anterior, se reporta 1 masculino fallecido aproximadamente de 70 años (pendiente por determinar la causa del fallecimiento) y 30 intoxicados (entre ellos 1 paramédico y 1 bombero), que fueron trasladados a diferentes nosocomios para su atención médica. De manera preventiva, se realizó la evacuación de 4 cuadras a la redonda de 1,050 personas aproximadamente, que se fueron por sus propios medios con amigos y familiares. También se hizo la evacuación de 130 vehículos de un centro comercial aledaño</t>
  </si>
  <si>
    <t>Pungabarato</t>
  </si>
  <si>
    <t xml:space="preserve">A las 09:20 horas se reporta que derivado de las lluvias registradas durante la madrugada del día de hoy en la región Tierra caliente se presentaron las siguientes afectaciones:
• Desbordamiento de un arroyo 
• 30 viviendas afectadas.
</t>
  </si>
  <si>
    <t>Comala, Coquimatlán y Villa de Álvarez</t>
  </si>
  <si>
    <t xml:space="preserve">💧 CONAGUA: Comala 80.5 mm, con un umbral de 118 mm (08:00 h - 22:00 h 31/08/2022).
Evento: Durante la tarde, derivado de las fuertes lluvias en los municipios de Comala, Coquimatlán y Villa de Álvarez, se reporta:
🔺 Afectaciones:
¬ Municipios afectados: 3
¬ Desbordamientos: 3
¬ Viviendas afectadas: 4 (por penetración de agua)
¬ Encharcamientos en calles
¬ Sin reporte de lesionados y/o fallecidos. 
Municipio de Comala:
• 1 desbordamiento del río La Caja en comunidad La Caja y Suchitlán
• Encharcamientos en calles.
• 4 viviendas afectadas por penetración de agua.
Municipio de Coquimatlán:
• 1 desbordamiento del río Colima, se encuentra bloqueado a la altura del Puente Negro, sin paso en ambas direcciones, afectando a las comunidades de Jala, El Alcomún y Madrid.
Municipio de Villa de Álvarez:
• 1 desbordamiento del Arroyo Seco, afectando la vialidad de la carretera Villa de Álvarez - Minatitlán. Ya liberado el paso vehicular. 
</t>
  </si>
  <si>
    <t>Se registró el impacto de un tráileres de la empresa Coca Cola, un tortón  y una camioneta de transporte de personal (Nissan Urban blanca con placas de circulación  GSJ478 ECO), propiedad de la empresa de “La Leche León”, en carretera federal libre Silao-León, altura CACESA, entronque  Santa Ana del Conde, Comunidad Monte Bello, dentro del municipio de  León. Se desconocen las causas y derivado de lo anterior, se reportan 7 personas fallecidas y 12 lesionados, quienes fueron trasladados a la Clínica T58 del IMSS,  la clínica T53  del IMSS y al  Hospital General de León respectivamente para continuar con su atención médica.</t>
  </si>
  <si>
    <t xml:space="preserve">Se reportó explosión de pirotecnia en la calle Enrique Colunga y Presidencia de la República, colonia 18 de agosto del municipio de Irapuato. Se indica que el suceso se dio por la mala manipulación del material pirotécnico, durante un cortejo fúnebre a bordo de un vehículo en marcha, resultando 3 lesionados (2 adultos y 1 menor) atendidos en el lugar y trasladados al Hospital General del municipio. </t>
  </si>
  <si>
    <t xml:space="preserve">Afectaciones:
-              Alcaldías afectadas: 1
-              Lesionados: 4 (por caída de árbol sobre auto) 
-              Encharcamientos: 8
-              Caída de árboles: 1  
-              Vehículos afectados: 2
</t>
  </si>
  <si>
    <t xml:space="preserve">A partir de las 04:00 horas, se presentaron lluvias moderadas en el municipio de Tlajomulco, reportando: 
🔺 Afectaciones:
•              Viviendas afectadas: 18 (tirantes de 10 - 60 cm)
•              Colonias afectadas: 1 (Fraccionamiento Eucaliptos) 
•              Encharcamientos viales
Al momento, ya no llueve en el municipio y cuerpos de emergencia continúan laborando en el sitio. 
🔸 Acciones:
o             Evaluación y recorridos de verificación.
o             Apoyo a desazolve y limpieza de viviendas
</t>
  </si>
  <si>
    <t>A las 11:34 horas (tiempo local), se reportó el desplome de una aeronave ultraligera con 2 personas a bordo que sobrevolaba sobre la Playa de la zona llamada Sandy Beach en el municipio de Puerto Peñasco. Derivado del incidente se reportaron 2 fallecidos (1 Masculino, el cual era el piloto y 1 Fémina, la cual era acompañante de procedencia extranjera. Se realizó el levantamiento de los cuerpos y quedó a cargo personal de la Fiscalía Se desconocen las causas que originaron el accidente</t>
  </si>
  <si>
    <t xml:space="preserve">Mulegé ,La Paz  y Los Cabos </t>
  </si>
  <si>
    <t xml:space="preserve">Tormenta tropical "Javier" . Se emitio declaratoria de desastre.                                                                                   Estados afectados: 1
- Municipios afectados: 5
- Personas rescatadas: 5
- Personas evacuadas: 2
- Habilitación de refugios temporales: 15
- Personas albergadas: 60
- Viviendas afectadas: 50
- Hospitales afectados: 1
- Crecida de arroyos: 5
- Socavones: 6
- localidades incomunicadas: 2
- Deslaves/derrumbes: 3
- Cierres viales/ carreteros: 15
- Vehículos varados: 15
- Embarcaciones arrastradas: 1
- Árboles caídos: 15
- Bardas colapsadas: 1
- Suspensión de servicio de agua potable: 2 
</t>
  </si>
  <si>
    <t>La Paz, Comondú y Mulegé</t>
  </si>
  <si>
    <t xml:space="preserve">"Huracán  Kay "
del 7 al 9 de  Septiembre . Se emitió declaratoria de desastre </t>
  </si>
  <si>
    <t>Mexicali, Tecate, San Felipe, Ensenada, San Quintín y Playas de Rosarito</t>
  </si>
  <si>
    <t xml:space="preserve">"Huracán  Kay " del 
8 al 11 de septiembre de 2022. Se emitió declaratoria de desastre </t>
  </si>
  <si>
    <t>Se presentó la explosión de una bodega clandestina de pirotecnia a un costado del camino rural conocido como “Cuatro Vientos” en el municipio de Españita. Se desconocen las causas que originaron el incidente. Derivado de lo anterior, se reportó 1 fallecido y 2 lesionados por quemaduras, que fueron trasladados al Hospital General de Calpulalpan, para su atención médica. Cabe mencionar que a los cuerpos de emergencia se les ha negado el paso al predio donde ocurrió la explosión.</t>
  </si>
  <si>
    <t xml:space="preserve">Se tuvo conocimiento de la fuga de gas Lp al interior de una maquiladora en la colonia Los Robles, municipio de Zapopan. Derivado de lo anterior, se reportan 17 intoxicados, de los cuales únicamente 1 requirió traslado, así como la evacuación de aproximadamente 50 personas.   El incidente se presentó cuando una válvula en mal estado produjo la fuga de gas, mismo que pasó a través del sistema de ventilación. 
• Fallecidos: 0
• Lesionados: 17
• Evacuados: 50
</t>
  </si>
  <si>
    <t>Canatlán, Durango, Indé, Nazas, Nuevo Ideal, Rodeo, San Bernardo, San Juan del Río, Súchil y Tepehuanes</t>
  </si>
  <si>
    <t xml:space="preserve">9 viviendas con  penetración de agua 
1 vivienda techo colapsado evaluar con techo de lámina 
2 vehículos arrastrados 
4 fallecidas 
</t>
  </si>
  <si>
    <t xml:space="preserve">Se registró derrumbe de una zanja en una obra de construcción, de aproximadamente 5 metros de profundidad, en calle Florida, No. 303, esquina con calle Gardenia, comunidad Duarte, municipio de León. El incidente se presentó cuando 2 trabajadores de una empresa sin razón social, estaban laborando en la vía pública, realizando reconexión de una tubería para drenaje cuando ocurrió el accidente. Derivado de lo anterior, se reportaron 2 fallecidos por asfixia, mismos que fueron rescatados y extraídos, sin necesidad de realizar evacuación preventiva. Cuerpos de emergencia se retiran del lugar y se quedó a cargo la autoridad competente.
• Fallecidos: 2
• Lesionados: 0
• Evacuados: 0
Participó: Guardia Nacional, Coordinación Municipal de Protección Civil, H. Cuerpo de Bomberos, Seguridad Pública Municipal, Fiscalía General del Estado y Cruz Roja.
</t>
  </si>
  <si>
    <t xml:space="preserve">Durante la madrugada de ayer 06 de septiembre, se presentó una tromba en el municipio de Sombrerete por un lapso de 6 horas ( 40 mm con un umbral de 61 mm), el cual afectó a la localidad de Flores García; reportando las siguientes afectaciones: 
• Crecimiento y desbordamiento del arroyo que atraviesa la comunidad
• 65 viviendas afectadas por penetración de agua de hasta 1 metro de tirante (55 viviendas perdieron el 100% de enceres domésticos)
• 64 cabezas de ganado (50 ovinos, 10 bovinos y 4 porcinos)
• 12 vehículos afectados
• Afectaciones menores a cultivos cercanos 
• Caída de bardas
• Afectaciones a drenaje
Se ha abierto tres centros de acopio en la cabecera municipal
SEDENA habilitó un albergue y cocina en la Iglesia de la localidad en caso de ser requerido por los pobladores 
El nivel del río ya disminuyó 
Al momento se encuentran en fase limpieza y recuperación
</t>
  </si>
  <si>
    <t>Acapulco de Juárez, Juan R. Escudero, Ahuacotzingo, San Marcos, San Jerónimo, Coyuca de Benítez, Chilpancingo de los Bravo, Atoyac de Álvarez, Lliatenco, Zihuatanejo de Azueta, Tepecoacuilco de Trujano, Malinaltepec, Benito Juárez y Técpan de Galeana</t>
  </si>
  <si>
    <t xml:space="preserve">Defunciones 
• 1 fémina fallecida
• 1 masculino fallecido (localizado)
- 1 menor de 8 años fallecido por colapso de barda
Vehículos 
- 1 vehículo afectado (Taxi)
Viviendas afectadas 
- 1 vivienda afectada por penetración de agua en la colonia Ciudad Renacimiento  -1 vivienda colapsada
- 1 vivienda de adobe afectada en la localidad San Juan de las Flores.
-6 desprendimientos de techo, en Llano Real
- 2 viviendas afectadas por desprendimiento de techo, en las colonias Francisco Villa y Manuel Tellez
- 1 vivienda afectada por desprendimiento de techo
- 1 vivienda afectada con desprendimiento de techo en la colonia Hidalgo
</t>
  </si>
  <si>
    <t>Se reportó choque por alcance entre 2 unidades del Mexibús a la altura de la Avenida Central y Avenida 1ro. de mayo, municipio de Ecatepec de Morelos. Se desconocen las causas que originaron el incidente. Derivado de lo anterior, se reportaron 30 lesionados, que fueron trasladados al Hospital Polanco en Coacalco, para su atención médica. Cuerpos de emergencia concluyen labores con el retiro de la unidad siniestrada. El servicio del Mexibús se normaliza.</t>
  </si>
  <si>
    <t xml:space="preserve">Zacatepec,Tlaltizapán Jojutla, Ayala, Cuernavaca y Jiutepec </t>
  </si>
  <si>
    <t xml:space="preserve">Afectaciones:
• Municipios afectados: 06
• Viviendas afectadas: 55
• Deslizamiento de rocas: 01
• Encharcamientos a nivel banqueta (Cuernavaca y Jiutepec)
• Escurrimientos de barrancas y cañaverales
</t>
  </si>
  <si>
    <t xml:space="preserve">Mazatlán, Culiacán, El Fuerte y Navolato  </t>
  </si>
  <si>
    <t xml:space="preserve">160 Personas auxiliadas
1 personas rescatado
100 Personas afectadas 
192 Viviendas afectadas
40 personas evacuadas
3 vehículos afectados
1 RT activado
67 personas en RT
2 puentes afectados
1 derrumbe carretero
3 cierre vial/ carretero
Encharcamientos viales
</t>
  </si>
  <si>
    <t>El Oro y Canatlan</t>
  </si>
  <si>
    <t xml:space="preserve">Municipio El Oro
- Desbordamiento del río Sixtin
-Penetración de agua en viviendas (sin cuantificar)
- Encharcamientos en vialidades
Municipio de Canatlán
- 1 Desbordamiento del río Mimbres
- Encharcamientos en vialidades
- 10 colonias afectadas (Manzanal, Plutarco Elías Calles, Jardines, Santa Cruz de la Huertas, Arboledas, H. Ayuntamientos, Soledad Álvarez, Infonavit, La Cañada y El Pozole)
- Cierre de la carretera Durango- Nuevo Ideal
- 1,575 viviendas (en 5 colonias)
</t>
  </si>
  <si>
    <t>Se tuvo conocimiento de la caída de una estructura en el área de fundición y posterior incendio de los ductos al interior de la empresa Tupy en la colonia Virreyes, municipio de Saltillo. Derivado de lo anterior, se reportan 4 lesionados (2 en estado grave trasladados al Hospital Christus Muguerza y 2 atendidos en el lugar), así como la evacuación de 2,000 personas del inmueble. Cuerpos de emergencia sofocaron el incendio en los ductos y contuvieron el metal fundido, asimismo se acordonó la zona y se emitieron recomendaciones de seguridad para la empresa; quedando sin novedad.</t>
  </si>
  <si>
    <t>Coquimatlán, Colima, Cuauhtémoc y Villa de Álvarez.</t>
  </si>
  <si>
    <t xml:space="preserve">Derivado de las lluvias fuertes que iniciaron a partir de las 17:00 horas, en los municipios de Coquimatlán, Colima, Cuauhtémoc y Villa de Álvarez , se registran las siguientes afectaciones:
• 4 Municipios afectados
• 2 desbordamientos (Arroyo Pereyra y del Río Colima)
• 7 vialidades afectadas
• Anegaciones en zonas bajas de los municipios 
• 4 Vehículos varados
• 4 Viviendas afectadas por penetración de agua
• 19 Caída de árboles
- 1 sobre vehículo
• Caída de cables de energía eléctrica y telefonía
• Cierre carretero hacia las comunidades de  Jala, El Alcomún y Madrid por aumento de Río en Coquimatlán
• 1 socavón en vialidad Puente negro
Cuerpos de emergencia realizaron las labores de atención a las emergencias, sin reporte de daños humanos y/o personas evacuadas
</t>
  </si>
  <si>
    <t xml:space="preserve">Hidalgo </t>
  </si>
  <si>
    <t xml:space="preserve">Se registró choque entre autobús de turismo y tanque de gasolina (se desconoce cantidad transportada) desprendido de tractocamión, sobre el km 069+000 carretera (490) Ciudad Victoria - Monterrey, tramo Ciudad Victoria - Linares, dirección Monterrey, Ejido San Francisco, municipio de Hidalgo. Después del impacto del tanque con el autobús, se generó una explosión e incendio. El autobús (en el costado izquierdo se apreció la leyenda “Castañeda Tours”) procedía de Huejutla de Reyes, Hidalgo, con destino a Monterrey, Nuevo León. </t>
  </si>
  <si>
    <r>
      <rPr>
        <b/>
        <sz val="9"/>
        <color theme="1"/>
        <rFont val="Calibri"/>
        <family val="2"/>
        <scheme val="minor"/>
      </rPr>
      <t xml:space="preserve"> Lluvia severa, inundación pluvial e inundación fluvial del 10 al 26 de septiembre. Se emitió declaratoria de desastre  </t>
    </r>
    <r>
      <rPr>
        <sz val="9"/>
        <color theme="1"/>
        <rFont val="Calibri"/>
        <family val="2"/>
        <scheme val="minor"/>
      </rPr>
      <t xml:space="preserve">Derivado de las lluvias fuertes registradas durante la tarde del 09 de septiembre en el municipio de Atzacan, se reportó:
🔺 Afectaciones:
•              1 vivienda afectada por deslave. Sufrió daños severos en 2 cuartos por el ingreso de lodo y piedras.
•              1 localidad afectada: Rosa Blanca. 
•              1 deslave: localidad Rosa Blanca, reportando 11 viviendas cercanas al deslave en riesgo.
•              50 personas evacuadas, se refugiarán con familiares.
•              1 caída de poste: localidad Rosa Blanca. 
•              1 poste de energía eléctrica afectado, del cual, ya tiene conocimiento CFE, acudirá una cuadrilla para su atención
</t>
    </r>
  </si>
  <si>
    <t xml:space="preserve">Santa Cruz </t>
  </si>
  <si>
    <t>se reportó desprendimiento de roca al interior de mina de la minera La Parreña también conocida como Milpillas, municipio de Santa Cruz. Se desconocen las causas. Se reportó 1 fallecido (masculino de 23 años) y 1 lesionado, atendido en el sitio por paramédicos. La zona fue resguardada. Protección Civil laboró en el rescate y personal de la Fiscalía laboró en el levantamiento y retiro del cuerpo. A las 17:00 horas, se reporta la desmovilización de la fuerza de tarea.</t>
  </si>
  <si>
    <t xml:space="preserve">Afectaciones:
• 57 viviendas afectadas por penetración de agua (tirantes de hasta 1.20 m).
• Locales comerciales afectados. 
• Encharcamientos e inundaciones viales.
• Anegaciones en zonas bajas de la colonia centro.
• Vehículos arrastrados por la corriente. 
• No se reportan lesionados y/o fallecidos. 
</t>
  </si>
  <si>
    <t>Se registra explosión de juegos pirotécnicos  en la comunidad de Nicolás Coatepec, municipio de Santiago Tianguistenco. Se celebraba la fiesta patronal y quienes manipulaban los “Toritos”, se acercaron al lugar donde se concentraba el resto de los fuegos artificiales, por lo que sobrevino una explosión. Se reportan 16 lesionados de los cuales 3 fueron trasladados al Hospital Nicolás San Juan para su atención médica.</t>
  </si>
  <si>
    <t>Compostela, San Blas y Ruíz</t>
  </si>
  <si>
    <t xml:space="preserve">Derivado de las lluvias fuertes y vientos registrados durante la noche del 10 de septiembre y madrugada de hoy, se reportaAfectaciones:
-              Municipios afectados: 3
-              Desbordamientos: 1
-              Viviendas afectadas: 3
-              Vehículos afectados: 1
-              Árboles caídos: 2
-              Incremento de ríos: 1
-              Cierres por vados: 1
</t>
  </si>
  <si>
    <t xml:space="preserve">Rayón </t>
  </si>
  <si>
    <t xml:space="preserve">Derivado de las lluvias registradas el día 10 de septiembre, el día de hoy a las 00:16 horas en el municipio de Rayón, se reportó: 
🔺 Afectaciones:
•              Deslizamiento de tierra en la comunidad de La Naranja.
•              2 viviendas afectadas por el deslizamiento.
•              1 kínder afectado. 
•              Sin reporte de evacuados, lesionados y/o fallecidos. 
</t>
  </si>
  <si>
    <t xml:space="preserve">Derivado de las lluvias y vientos fuertes registrados el día 10 de septiembre en el municipio de Jitotol, se reportó: 
🔺 Afectaciones:
•              3 viviendas afectadas por destechamiento en el barrio Santa Teresa. 
•              Sin reporte de evacuados, lesionados y/o fallecidos. 
</t>
  </si>
  <si>
    <t xml:space="preserve">A partir de las 18:30 horas del 10 de septiembre, se presentaron lluvias fuertes en la tenencia de Francisco Sarabia, municipio de Jiquilpan, reportándose lo siguiente:
🔺 Afectaciones:
•              Socavones que han afectado a:
-              5 viviendas, de las cuales 3 han sido evacuadas con familiares.
-              12 personas evacuadas de las 3 viviendas.
-              22 personas afectadas de las 5 viviendas. 
-              Afectaciones en la calle Robles, al frente y atrás de las viviendas, colonia El Monte. 
•              Bajada de agua del cerro con material lodoso.
•              18 viviendas afectadas con filtración de agua en los interiores, ubicadas en la zona baja.
</t>
  </si>
  <si>
    <t>La Yesca, Santiago Ixcuintla y Compostela</t>
  </si>
  <si>
    <t xml:space="preserve">Durante la madrugada se registraron lluvias de moderadas a fuertes, reportando las siguientes afectaciones:
🔺 Afectaciones:
• 03 Municipios afectados
• 01 Fallecido
• 02 Escurrimientos de ríos 
• Penetración de agua en viviendas (sin cuantificar)
• 03 viviendas evacuadas
Municipio de La Yesca:
- Arrastre por la corriente de 1 persona, misma que falleció, en la comunidad Huijin
Municipio de Santiago Ixcuintla:
- Escurrimiento del río Santiago, provocando penetración de agua en viviendas (sin cuantificar)
Municipio de Compostela:
- Escurrimiento de un río, en la comunidad de Mazatán, provocando penetración de agua en viviendas 
-Evacuación de 3 viviendas
</t>
  </si>
  <si>
    <t>Viesca y Matamoros</t>
  </si>
  <si>
    <t xml:space="preserve">Afectaciones:
• Municipios afectados: 02
• *30  viviendas afectadas por penetración de agua/ derrumbes
• Desbordamiento de río (Aguanaval)
• Suspensión de clases
• Refugios temporales habilitados (gimnasio municipal, 2 secundarias y en edificios públicos)
• Evacuación de personas aledañas a los ejidos afectados: 500 aproximadamente
• Daños a tuberías de agua potable
• Árboles caídos
• Vehículos varados
Municipio de Viesca
- 30 viviendas afectadas Se ha registrado penetración de agua en viviendas, principalmente en los ejidos de Nueva Reynosa, Buenavista y Villa de Bilbao, la afectación ha sido a consecuencia del desbordamiento del río Aguanaval, que viene desde Zacatecas, asimismo el río incrementa su nivel porque las lluvias continúan en la zona.
-Se habilitó un albergue en el Ágora
-Se colocaron bordos con maquinaria pesada para devolver a su cauce al Río Aguanavall 
Municipio de Matamoros
- Se habilitaron 2 albergues en las Secundarias 1 y 2
</t>
  </si>
  <si>
    <t xml:space="preserve">Derivado de las lluvias fuertes registradas en la capital del estado, a partir de las 19:30 horas del día 7 de septiembre, se reportan:
• 15 colonias afectadas por anegaciones.
• 100 personas evacuadas del poblado 5 de Mayo
• 12 viviendas afectadas (poblado 5 de mayo) 
• Encharcamientos viales en zonas bajas.
• Desbordamiento del canal San Ignacio
• Presa Peña del Águila al 110% de llenado (vertedor libre). Lo anterior ya no representa riesgo a la población
El día sábado 10 de mayo, las personas regresaron a sus domicilios
SIN REPORTE DE DAÑO HUMANOS
</t>
  </si>
  <si>
    <t xml:space="preserve">Viviendas afectadas por penetración de agua: 22 (tirantes entre 10 y 20 cm de agua)
Viviendas con daños estructurales: 04
Personas evacuadas: 160
Albergue activo: 2 (Tecaroca y Centro de Desarrollo Comunitario)
Personas albergadas: 95
Derrumbes carreteros: 2
Vado carretero: 1
Afectación en instalaciones: 1
Vehículos afectados (sin cuantificar)
Daños en menaje de casa
</t>
  </si>
  <si>
    <t xml:space="preserve">Derivado de las fuertes lluvias registradas en las últimas 24 horas en la colonia San AgustínMunicipio Juan R. Escudero:
- Penetración de agua en 10 viviendas, al desbordarse el río Guayapa, que cruza la colonia San Agustín.
- Derrumbe de tierra y rocas, sobre la carretera Federal Acapulco - Chilpancingo.
- Socavón sobre un carril de la carretera Tierra Colorada - Ayutla. Derivado de lo anterior, se reporta volcadura de una camioneta Nissan, repartidora de la empresa Barcel. Al momento, no se tiene reporte de lesionados y/o fallecidos.
- Daños estructurales a un puente, de la colonia San Antonio, por lo cual fue cerrada la circulación vehicular que comunican a las Localidades El Terrero, Tlayolapa, Villa Guerrero, San José El Puente, Michapa y El Tabacal.
- Se habilitó un refugio temporal en las instalaciones de usos múltiples del H. Ayuntamiento municipal.
</t>
  </si>
  <si>
    <t>Tecalitlán</t>
  </si>
  <si>
    <t>Se registró  la volcadura de un autobús que transportaba 20 jornaleros del municipio de San Gabriel hacia Pihuamo.  En incidente sucedió en el km. 147, de la Carretera Federal 110, a la altura del crucero de San Pedro, dentro del municipio de Tecalitlán y derivado de lo anterior se reportan 9 personas lesionadas, quienes fueron trasladadas al IMSS de Tecalitlán</t>
  </si>
  <si>
    <t>Cuautla y Cuernavaca</t>
  </si>
  <si>
    <t xml:space="preserve">Municipio de Cuautla:
- 30 viviendas con entrada de agua (30 cm de tirante) 
- 3 colonias con afectaciones (colonia Tetelcingo, Unidad Habitacional Tabachines y Cuautlixco)
- 1 árbol caído 
Municipio de Cuernavaca:
- 5 viviendas con entrada de agua (30 cm de tirante) 
- 3 colonias con afectaciones (colonias Las Flores y Unidad Deportiva)
</t>
  </si>
  <si>
    <t>San Luis Potosí      </t>
  </si>
  <si>
    <t>Se registró un incendio en una de las habitaciones de un centro de rehabilitación, ubicado en el número 115, de la calle Nuevo Vallarta, colonia las Palmas, en Prados Tercera Sección, en la capital del estado. Como resultado del incidente, se reportan 3 fallecidos y 7 lesionados (en el lugar se encontraban 14 personas, todas en rehabilitación), los lesionados fueron trasladados a un nosocomio cercano</t>
  </si>
  <si>
    <t xml:space="preserve">Se registró un derrumbe de talud sobre 2 viviendas sobre la calle Bugambilias, colonia Los Pilares, en el municipio de Cuernavaca. Esto derivado de la humedad en la zona por las lluvias registradas en los últimos días. Se reportan 2 féminas fallecidas (ya extraídos sus cuerpos), 3 lesionados, 1 rescatado (infante), los cuales fueron trasladados a un Hospital; se presume que aún queda 1 persona atrapada bajo los escombros.
Fuerza de tarea se encuentran en labores de localización de la persona restante atrapada
19:10 horas informan que ya fue localizado el cuerpo sin vida de la última persona que se encontraba atrapada debajo de los escombros, asimismo inician las labores para rescatar el cuerpo.
</t>
  </si>
  <si>
    <t>Se registró desplome de una avioneta, color blanco, matrícula XB-FAV, tipo Cessna, en camino Estatal - Irapuato, comunidad Camino al Guayabo, municipio de Irapuato. El incidente se presentó en campos de cultivos, cuando la aeronave realizaba trabajos de fumigación y tuvo contacto con cables de alta tensión, provocando el accidente. Derivado de lo anterior, se reportó 1 fallecido (piloto), asimismo afectación a las líneas vitales de energía eléctrica</t>
  </si>
  <si>
    <t>Coaxtla</t>
  </si>
  <si>
    <t xml:space="preserve">Evento: Derivado de las fuertes lluvias registradas en el trascurso de la madrugada, se reporta lo siguiente: 
🔺Afectaciones:
- 2 viviendas afectadas por penetración de agua (hasta 103 centímetros de tirante) 
- 13 locales comerciales afectados (hasta 86 centímetros de tirante)
- 1 Colonia afectada  (Centro)
- 1 Corriente desbordada (Río Cotaxtla  ya descendió)
- Encharcamientos a nivel banqueta (Calle Leona Vicario, Entronque Blvd. Benito Juárez y Calle Monja Alférez).
SIN REPORTE DE DAÑOS HUMANOS 
</t>
  </si>
  <si>
    <t>Yecapixtla, Cuautla, Ocuituco, Tlaltizapán, Ayala, Atlatlahucan, Yautepec y Jonacatepec</t>
  </si>
  <si>
    <t xml:space="preserve">Durante la tarde, del día de ayer 18 de septiembre, se han registrado lluvias de moderadas a fuertes en Yecapixtla, Cuautla, Ocuituco, Tlaltizapán, Ayala, Atlatlahucan, Yautepec y Jonacatepec, reportando:
🔺 Afectaciones:
Municipios afectados: 3
• Penetración de agua en viviendas: 53 (1.20 a 1.50 m de altura)
• Encharcamientos viales.
• Rescate de personas: 20
• Vehículos arrastrados: 3
• Vehículos varados
</t>
  </si>
  <si>
    <t>Apatzingán, Aquila, Coahuayana Coalcomán de Vázquez Pallares y Chinicuila</t>
  </si>
  <si>
    <t xml:space="preserve">Sismo de magnitud 7.7 ocurrido el 19 de septiembre de 2022 en Coalcomán  Michoacán. Se emitio declaratoria de desastre </t>
  </si>
  <si>
    <t xml:space="preserve">
Armería, Colima, Comala, Coquimatlán, Cuauhtémoc, Ixtlahuacán, Manzanillo, Minatitlán, Tecomán y Villa de Álvarez
</t>
  </si>
  <si>
    <t>Centro, Jalapa, Tenosique, Emiliano Zapata y Jonuta</t>
  </si>
  <si>
    <t xml:space="preserve">Derivado de las lluvias fuertes y vientos fuertes registrados durante las últimas 24 horas en el estado, se reporta: 
🔺 Afectaciones:
• *5 Municipios afectados
• 3 crecimiento del ríos (De la Sierra, Tamcochapan y Usumacinta)
• Inundaciones en calles.
• 4 comunidades afectadas: Jahuacapa, La Unión, Emiliano Zapata y Astapa.
• 2 vados en accesos al poblado Jahuacapa. 
• 1 árbol caído sobre la carretera federal Macuspana - Villahermosa km 30. 
• 35 familias afectadas
• Afectaciones a caminos de acceso a las comunidades
• 35 Viviendas afectadas 
</t>
  </si>
  <si>
    <t xml:space="preserve">Se reportó volcadura de una unidad de transporte público, no. económico 218, placas A26767E, sobre el km 28, autopista México - Querétaro, colonia La Quebrada, municipio de Cuautitlán Izcalli. El incidente fue a causa de la ponchadura de una llanta. Derivado de lo anterior, se reportó 12 lesionados, 4 trasladados a la Cruz Roja del municipio; 3 al Hospital Futura de Coacalco y 2 por sus propios medios se trasladaron a un Hospital particular, para su atención médica. A las 21:02 horas del 20 de septiembre, cuerpos de emergencia concluyen labores con el retiro de la unidad </t>
  </si>
  <si>
    <t>se reporta choque de una camioneta de Guardia Nacional, sobre el Km 210, autopista Tehuacán-Oaxaca, cerca de la caseta de Cobro Huitzo, municipio de Oaxaca. Se desconocen las causas que originaron el incidente. Derivado de lo anterior, se reporta 1 fémina fallecida y un preliminar de 30 lesionados, que fueron trasladados a Hospitales para su atención médica. Cuerpos de emergencia se encuentran laborando en el lugar</t>
  </si>
  <si>
    <t>Minatitlán y Jesús Carranza</t>
  </si>
  <si>
    <t xml:space="preserve">Derivado de las fuertes lluvias que se registraron el 19 de septiembre, se reportan las siguientes afectaciones:
Municipio de Minatitlán.
- Comunidades afectadas (Limas, Boca de Uxpanapan, La Victoria, Limonta, Jicaro, Ixhuatepec, Boca de Oro, Ignacio Aldama, Benito Juárez, Cahuapan y la Abundancia).
- 1 corriente desbordada (río Coatzacoalcos).
- 3 escuelas afectadas (escuela primaria Ixhuatepec, escuela primaria Boca y escuela telesecundaria La Victoria).
Municipio de Jesús Carranza.
- Afectaciones en la cabecera municipal.
- 2 corrientes desbordadas (río Jaltepec y arroyo Toloche).
- 70 viviendas afectadas.
Al momento, no se tiene reporte de daños humanos y continúan realizando recorridos de valoración de daños y de entrega de apoyos
</t>
  </si>
  <si>
    <t xml:space="preserve">🔺 Afectaciones:
• 1 familia desalojada con familiares. Su vivienda se ubica exactamente en la zona del deslave.
• No se reportan lesionados y/o fallecidos. 
</t>
  </si>
  <si>
    <t>Se registró choque con volcadura entre camión de pasajeros con estudiantes de preparatoria y un camión tipo torton con carga de granos, sobre la carretera Abasolo - Cuerámaro km 9, municipio de Abasolo. Se desconocen las causas. Se reportaron 21 lesionados (5 código amarillo y 16 código verde), trasladados al Hospital General de Pénjamo</t>
  </si>
  <si>
    <t>Ostuacán, Pantelhó, Chenalhó, Cintalapa, Ixtapa, Oxchuc, Motozintla y Huitiupán</t>
  </si>
  <si>
    <t xml:space="preserve">Derivado de las lluvias de diferente intensidad que se registraron el día de ayer 20 de septiembre, en los municipios de Ostuacán, Pantelhó, Chenalhó, Cintalapa, Ixtapa, Oxchuc, Motozintla y Huitiupán.
Municipio Pantelhó
- 1 caída de puente en la Localidad Las Laminitas, la población se encuentra incomunicada.
Municipio de Chenalhó:
- 1 deslave de camino y derrumbes, en la localidad Civil Ocum.
Municipio de Cintalapa: 
- Penetración de agua en viviendas, sin cuantificar.
Municipio de Ixtapa:
- 1 caída de rocas en el km 243+950.
Municipio Motozintla:
- 1 deslave de cerro, a la altura del Barrio El Rosario y Agua Escondida, tramo carretero Motozintla – Huixtla km 46+900.
Municipio Huitiupán:
- 1 hundimiento de la carpeta asfáltica.
21/09/2022. 
Municipio de Ostuacán.
- Fuertes lluvias presentadas en días anteriores:
- 14 viviendas afectadas por encharcamientos en sus patios en el ejido Xochimilco Nuevo.
- 1 derrumbe en la carretera Plan de Ayala, que ocasionaba la incomunicación a la cabecera municipal. Al día hoy, han finalizado los trabajos de retiro del agua estancada, limpieza y desinfección de las áreas anegadas y el retiro de piedras y lodo de la carretera.
Municipio de Oxchuc.
- Derivado de las lluvias registradas en los últimos días, se presentaron:
- 1 telesecundaria del municipio con anegaciones en su interior. 
- Anegaciones en los patios de varias viviendas, sin cuantificar.
- Daños en áreas de cultivo y la pérdida de varios animales de corral. El día de ayer 20 de septiembre, se realizaron los trabajos de limpieza y desinfección de las zonas afectadas, finalizando a las 14:20 horas.
No se tiene reporte de daños humanos, hasta el momento.
</t>
  </si>
  <si>
    <t>Se registró una explosión por acumulación de gas en una tortillería, ubicada en Avenida Alejandro González, municipio de Jesús María; derivado de lo anterior se reportaron 12 lesionados trasladados a diferentes hospitales.  Bomberos realizaron labores de enfriamiento y remoción de escombros</t>
  </si>
  <si>
    <t>Plancarte y Tingüindín</t>
  </si>
  <si>
    <t xml:space="preserve">Derivado de las lluvias de diferente intensidad que se registraron en el municipio de Jacona de Plancarte y Tingüindín, se reporta lo siguiente:
🔺 Afectaciones:
• 02 Municipios afectados
Municipio de Tingüindín
• 20 viviendas con penetración de agua (4 con afectaciones mayores), colonia “Las Carmelitas” (tirante máximo de 80 cm y un mínimo de 10 cm)
• 1 albergue activo
- 9 personas albergadas (5 adultos y 4 menores) 
Municipio de Jacona de Plancarte
• Desborde de río Celio
• Salida de agua de canal que pasa por la zona Conurbada
• Refugio temporal activado
</t>
  </si>
  <si>
    <t>Acapetahua, Escuintla y Villa Comaltitlán</t>
  </si>
  <si>
    <r>
      <rPr>
        <b/>
        <sz val="9"/>
        <color theme="1"/>
        <rFont val="Calibri"/>
        <family val="2"/>
        <scheme val="minor"/>
      </rPr>
      <t>lluvia severa, inundación pluvial e inundación fluvial del 20 al 22 de septiembr</t>
    </r>
    <r>
      <rPr>
        <sz val="9"/>
        <color theme="1"/>
        <rFont val="Calibri"/>
        <family val="2"/>
        <scheme val="minor"/>
      </rPr>
      <t xml:space="preserve">e. Se emitió declaratoria de desastre. Durante el día 18 y 19 de septiembre, se reportaron lluvias fuertes en los municipios de Acapetahua, Escuintla y Villa Comaltitlán, reportando: 
🔺 Afectaciones:
• 03 Municipios afectados
• 105 viviendas con penetración de agua (tirante de 30 a 40 cm)
• 05 colonias afectadas (Ejido Esmeralda, José Ampliación, Nueva Esperanza, Pesquería Las Laureles e Ignacio Allende)
• Derrumbes/deslaves (Villa Comaltitlán)
AL MOMENTO, SIN LESIONADOS Y/O FALLECIDOS
</t>
    </r>
  </si>
  <si>
    <t xml:space="preserve">
Salvador Alvarado
</t>
  </si>
  <si>
    <t xml:space="preserve">A las 19:20 horas (tiempo local) del 22 de septiembre, se registró tornado en la Ciudad de Guamúchil, municipio de Salvador Alvarado, reportando lo siguiente:
🔺 Afectaciones:
• 01 Municipio afectado
• 01 lesionado (rostro) atendido en el lugar
• 12 árboles caídos
• 04 techos de láminas dañados
• 04 cables dañados
• 06 espectacular dañados
• 03 automóviles dañados
• 01 cortina metálica dañada
</t>
  </si>
  <si>
    <t xml:space="preserve">Manzanillo </t>
  </si>
  <si>
    <t xml:space="preserve">💧 CONAGUA: 82.3 mm en el municipio de Manzanillo, con un umbral de 141 mm (08:00 h 21/09/2022 - 08:00 h 22/09/2022)
Evento: Durante la noche del 21 de septiembre y madrugada de hoy, se registraron fuertes lluvias en el municipio de Manzanillo, provocando:  
🔺 Afectaciones:
• Encharcamientos e inundaciones viales. 
• 1 crecimiento del arroyo Santiago al 90% de su capacidad. 
• 1 vehículo arrastrado por arroyo Santiago, sin lesionados.
• 1 masculino arrastrado por el arroyo Santiago, se realizó búsqueda por parte del personal de PC Municipal y vecinos de la zona. Durante la mañana, se localizó el cuerpo de 1 persona en la zona de Peña Blanca, por lo que personal del ENSAR se encargará de verificar si se trata de la misma persona. 
• 2 personas y 1 mascota, trasladados a 1 refugio temporal en el Casino de la Feria, fueron recibidos por personal del DIF municipal.
• 1 derrumbe de rocas obstruyendo 1 carril en carretera libre Manzanillo - Colima, libramiento de El Colomo.
</t>
  </si>
  <si>
    <t>A las 10:40 horas se reportó la fuga de amoniaco de un tanque de 200 kilogramos, el cual se encuentra en el interior de una fábrica de Hielo, con razón social, Hielo La Villita, en la colonia Prados del Parque en el municipio de Encarnación de Díaz ,  a causa de esto se reportaron 43 personas evacuadas, de las cuales se reportaron 20 intoxicados, 11 de estos fueron atendidos en el lugar y 9 trasladados a un nosocomio, para su atención médica, se desconocen las causas de la fuga, la cual quedo controlada por el personal de la empresa y cuerpos de emergencia</t>
  </si>
  <si>
    <t xml:space="preserve">Derivado de las lluvias de moderadas a fuertes que se presentaron a partir de las 19:00 horas el día de ayer 24 de septiembre, en el municipio de Puebla, se reportan:
🔺 Afectaciones:
• 01 municipio afectado
• 24 viviendas afectadas por penetración de agua, en Primera Cerrada Xonacatepec, Rosario Domínguez, colonias Álamos, Entronque de Amalucan, Miguel Negrete y Bosque de San Sebastián
• Encharcamientos viales en la colonia Vista Hermosa
• Vehículos varados
• 01 inundación en mercado Morelos
• 01 árbol caído
• 01 escuela primaria Independencia afectada por penetración de agua, en la colonia Chapultepec
• 05 salones afectados por lodo
• 01 tubo de agua pluvial de la escuela afectado
• Desbordamiento parcial del río Alseseca (regreso a su cauce normal cuando dejo de llover)
</t>
  </si>
  <si>
    <t xml:space="preserve">Cuautémoc </t>
  </si>
  <si>
    <t>A las 22:00 horas del 26 de septiembre, se registró incendio de dos departamentos en el piso 11 y 12 de un edificio, ubicado en Insurgentes Sur, colonia Roma Norte, alcaldía Cuauhtémoc. Se desconocen las causas que originaron el incidente. De manera preventiva, se realizó la evacuación de 150 personas. No hay reporte de personas lesionadas y/o fallecidas. A las 23:50 horas, cuerpos de emergencia controlaron y liquidaron el incendio en su totalidad y las personas evacuadas retornaron a sus viviendas.</t>
  </si>
  <si>
    <t xml:space="preserve">se registró volcadura de una combi de transporte publico, en Boulevard Bahía de Matanchén, municipio de San Blas. Derivado de lo anterior, se reportó 1 fallecido y 14 lesionados, que fueron trasladados al Hospital Civil IMSS, ISSSTE y a la clínica No.01, para su atención médica. </t>
  </si>
  <si>
    <t>Malinaltepec, Iliatenco, San Marcos, Chilpancingo de los Bravo, Eduardo Neri, Tetipac, La Unión de Isidoro Montes de Oca, Ometepec, Igualapa, Florencio Villareal, Atlixtac, Acapulco de Juárez, Técpan de Galeana, Cuajinicuilapa, Juan R. Escudero, Copalillo y Acatepec</t>
  </si>
  <si>
    <t xml:space="preserve">Afectaciones:
Municipios afectados: 17
Personas fallecidas: 6 (3 por arrastre en Malinaltepec, 2 por derrumbe sobre vivienda en Iliatenco y 1 por arrastre en San Marcos) 
Personas rescatadas: 7
Personas refugiadas: 20
Refugio temporal activo: 1 
Viviendas afectadas: 149 (88 inundación, 3 colapso y 58 derrumbes)
Caída de bardas en escuelas: 2
Derrumbes carreteros: 9
Desbordamientos de ríos/arroyos: 2
Daños en estructura y postes: 3 
</t>
  </si>
  <si>
    <t>San Pedro Pochutla, Reforma de Pineda, San Blas Atempa, San Juan Mixtepec, Santa María Tonameca, Pluma Hidalgo, Villa de Tututepec de Melchor Ocampo, San José del Pacífico, Santo Tomás Tamazulapan, La Reforma, Santa María Zacatepec, Teotitlán de Flores Magón, Santa Catarina Juquila, Mazunte</t>
  </si>
  <si>
    <t xml:space="preserve">CICLÓN POST-TROPICAL “LESTER”
1 Vivienda afecta en el municipio de San Pedro Pochutla 
2 Camionetas arrastradas por el arroyo en Santa María Tonameca y Mazunte.
Los demás municipios presentaron derrumbe en el tramo carretero
</t>
  </si>
  <si>
    <t>Escuintla, Mitontic, Chilón, Amatán, Salto de Agua, Capitán A. Vidal, Acapetahua, Siltepec, Villaflores, Amatenango de la Frontera, Aldama y Chalchihuitán</t>
  </si>
  <si>
    <t xml:space="preserve">🔺 Afectaciones:
o Municipios afectados: 12
o Viviendas afectadas: 210
o Derrumbes/deslizamientos: 15
o Hundimientos carreteros: 2
o Personas evacuadas: 47
o Árboles caídos: 3
o Desbordamientos de arroyos: 2 
o Refugios habilitados: 2 
o Sin reporte de lesionados y/o fallecidos
</t>
  </si>
  <si>
    <t xml:space="preserve">CONAGUA: 
- 140 mm en el municipio de Mulegé, con un umbral de 59 mm (08:00 h 27/09/2022 - 08:00 h 28/09/2022)
- 38 mm en el municipio de Mulegé, con un umbral de 59 mm (08:00 h 28/09/2022 - 08:00 h 29/09/2022)
De las 02:30 a 04:20 hora local del día 28 de septiembre, se presentaron lluvias fuertes (103.4 mm) en la localidad de Santa Rosalía, municipio de Mulegé, reportando lo siguiente: 
🔺 Afectaciones:
• Municipio afectado: 1 - Mulegé
• Localidad afectada: 1 - Santa Rosalía
• Colonias incomunicadas: 6 - Ranchería Barrio Canadá, 8 de Octubre, Imperial, el Retiro y 2 más con caminos de terracería.
• Desbordamientos/corrida de arroyos: 2 - arroyo que pasa por la Av. Manuel F. Montoya y Arroyo Purgatorio, San Luciano.
• Viviendas afectadas: 85 - daños en enseres domésticos
• Viviendas con pérdida total: 3
• Vehículos arrastrados/afectados: 19 - 3 pérdida total
• Personas rescatadas: sin cuantificar
• Derrumbes carreteros: 3 - carretera Transpeninsular en los km 04, km 127 y km 129.
• Socavones: 2 - en la cañada Mineral Santa Martha y acceso a nueva Santa Rosalía. 
• Puentes afectados: 1 - deslave de terraplén en la carretera Transpeninsular km 161 tramo Loreto - Santa Rosalía, paso con precaución.
• Bajadas de agua por calles y avenidas - al momento los niveles de agua ya descendieron
• Cierres carreteros: 3 - carretera Transpeninsular en el tramo San Bruno y vado de San Lucas, entrada norte a Santa Rosalía y acceso a colonia Nueva Santa Rosalía.
• Afectaciones a infraestructura hidráulica: 4 - daños en cerco perimetral Cárcamo de Rebombeo de aguas residuales No. 2 (120 m de cerco perimetral y portón de acceso), daños al camino de acceso y línea de descarga de Laguna de Oxidación de tratamiento de aguas residuales, daños a la Laguna No. 4 y línea de interconexión entre lagunas 3 y 4, y daños en el acueducto Palo Verde – Santa Rosalía.
• Daños en líneas de conducción de agua potable y drenaje
• No se reportan lesionados y/o fallecidos. 
</t>
  </si>
  <si>
    <t>Indé</t>
  </si>
  <si>
    <t xml:space="preserve">A las 09:30 horas, se reporta derrumbe en mina Clarines Navidad dedicada a la extracción de fluorita, ubicada en localidad de San Rafael Jicorica, entre los municipios de Indé y Rodeo.
Al momento cuerpos de emergencia se dirigen al lugar, se desconoce si hay personas atrapadas. El titular de la Coordinación Estatal de Protección Civil, se dirige al sitio en helicóptero para la recolección de mayores datos.
</t>
  </si>
  <si>
    <t xml:space="preserve">Derivado de las lluvias fuertes que se registraron en los últimos dos días, se registran las siguientes afectaciones:
🔺 Afectaciones:
• 01 municipio afectado
• 03 lesionados
• 01 árbol caído (plaza comercial Galeana)
Municipio de Ciudad Madero:
- 1 caída de un árbol en plaza comercial Galeana, en la colonia Galeana. 
- 3 lesionados, trasladados a la Cruz Roja No. 2
</t>
  </si>
  <si>
    <t xml:space="preserve">💧 CONAGUA: 45.0 mm en el municipio de Coatzacoalcos, con un umbral de 186.0 mm (08:00 h - 13:00 h 29/09/2022)
Derivado de las lluvias fuertes que se han registrado en el municipio de Coatzacoalcos durante las últimas horas, se reporta lo siguiente: 
🔺 Afectaciones:
• Municipio afectado: 1 – Coatzacoalcos
• Encharcamientos viales a nivel de banqueta
• Viviendas afectadas: 3 – penetración de agua (ubicadas en zonas bajas) 
• Vehículos varados: 1 
• Sin reporte de lesionados y/o fallecidos.
• Al momento, ya no se presentan lluvias. 
</t>
  </si>
  <si>
    <t xml:space="preserve">Se reportó la caída de 1 avioneta (color blanco) con matrícula reportada por torre de control XB-NGT procedente de Aguascalientes, en zona de maizales, en los alrededores del panteón de la colonia Guadalupe Victoria, municipio de Otzolotepec. Se desconocen las causas. Se reportaron 3 personas fallecidas (masculinos). </t>
  </si>
  <si>
    <t>Tlapehuala</t>
  </si>
  <si>
    <t>Se registró la  explosión de una manguera de gas lp, en el momento que se realizaba la carga a un microbús de transporte público, al interior de una gasera, con domicilio conocido  del barrio Tupatarillo  en el municipio de Tlapehuala.  Se desconocen las causas y derivado de lo anterior, se reportan 6 personas con quemaduras, quienes  fueron trasladados a diversos hospitales de Coyuca de Catalán, Ciudad Altamira y 1 a una clínica de la CDMX.</t>
  </si>
  <si>
    <t xml:space="preserve">A las 12:00 horas se reporta desplome de helicóptero de la Marina Eurocopter Matrícula ANX-2245  en Calle Josefa Ortiz en ciudad y puerto de Frontera en el  municipio de Centla. La aeronave se encontraba en un vuelo de reconocimiento
14:00 horas, en comunicación con Seguridad Pública de Centla, informa que en el helicóptero se encontraban a bordo 5 personas, de las cuales se reportan 3 fallecidos y 2 lesionados quienes  fueron trasladadas al Hospital Naval para su atención. Personal de la Marina realizó el acordonamiento de la zona y se hace cargo de la situación.
</t>
  </si>
  <si>
    <t>Se registró volcadura de unidad de transporte público  en Av. Insurgentes y Av. Acueducto, Col. Santa Isabel Tola en la Alcaldía Gustavo A Madero, se desconocen las causas del accidente, se reporta 1 fallecido en el hospital  y 15 personas lesionadas las cuales fueron trasladadas a un hospital para su atención . Cuerpos de emergencia laboraron en el lugar</t>
  </si>
  <si>
    <t>Se registró choque entre pipa que transportaba 20,000 litros de Diésel y una camioneta en la carretera Estatal libre León - Santa Rosa plan de Ayala como referencia a la altura de la comunidad San Roque de Montes, municipio de San Francisco del Rincón, Se desconocen las causas de accidente. La pipa presentó un ligero derrame. Se reportan 10 lesionados quienes fueron atendidos en el lugar y posteriormente trasladados a los Hospitales Comunitarios de los municipios de San Francisco del Rincón y Purísima del Rincón</t>
  </si>
  <si>
    <t xml:space="preserve">Se registró choque múltiple entre 7 vehículos (1 autobús, 4 vehículos y 2 motocicletas), sobre la carretera Álvaro Obregón - Zinapécuaro, a la altura del Balneario El Oasis, municipio de Álvaro Obregón. Se desconocen las causas. Se reportaron 5 lesionados trasladados al IMSS Regional de Charo. </t>
  </si>
  <si>
    <t>Tultitlán de Mariano Escobedo, Coacalco de Berriozábal y Cuautitlán Izcalli.</t>
  </si>
  <si>
    <t xml:space="preserve">Se registraron lluvias fuertes en los municipios de Tultitlán de Mariano Escobedo y Coacalco de Berriozábal, situación que ha generado anegaciones en diversos puntos de los municipios, principalmente en la avenida López Portillo. Asimismo, se reporta la suspensión del servicio por las anegaciones en las líneas 1, 2 y 4, del Mexibús. 
Al momento, no se tiene reporte de daños humanos y se realizan recorridos de valoración.
Cabe mencionar, que en el municipio de Cuautitlán Izcalli, se registraron lluvias de moderadas a fuertes.
20:42 horas, personal de la Comisión del Agua del Estado de México laboran en el abatimiento de los encharcamientos viales presentados en la Av. José López Portillo, los cuales han generado asentamientos viales.
5 de octubre
02:30 horas, se reportan escurrimientos en el canal del boulevard poniente, reportando afectaciones por penetración de agua en viviendas de las siguientes colonias del municipio de Tultitlán:
- Colonia Cueyamil 1 vivienda afectada con un tirante de 0.60 m 
- Colonia Bosques de Tultitlán 2 viviendas afectadas con un tirante de 0.60 m 
- Colonia Residencial Los Reyes 1 vivienda afectada con un tirante de 0.25 m
Sin reporte de personas lesionadas y/o evacuadas.
</t>
  </si>
  <si>
    <t>Se tuvo conocimiento del choque entre 1 unidad de transporte público y 1 tractocamión, sobre la  carretera Huamantla-Cuapiaxtla, municipio de Huamantla. Derivado de lo anterior, se reporta 1 fallecido y 10 lesionados. La carretera se encuentra parcialmente cerrada para el retiro del fallecido y de la unidad, la cual quedó fuera del camino y cayó hacia una zanja de un paso a desnivel</t>
  </si>
  <si>
    <t xml:space="preserve">Silao </t>
  </si>
  <si>
    <t>Se registró una fuga de amoniaco al interior de la Procesadora Tanok (dedicada a la congelación de frutas y verduras), ubicada en Paraíso 469 en el Parque Industrial Las Colinas, municipio de Silao. Se trató de un fallo en una válvula en tubería de 35 mm y tuvo una liberación de 2 minutos aproximadamente. Los detectores de este químico, lanzaron una alerta temprana al alcanzar la concentración de 25 ppm (partes por millón), permitiendo que se llevara a cabo la evacuación de 230 personas (200 personas de plantilla y 30 personas flotantes) de la nave. Se registraron 20 lesionados intoxicados, trasladados al Hospital del IMSS No. T-54</t>
  </si>
  <si>
    <t xml:space="preserve">Pinotepa Nacional </t>
  </si>
  <si>
    <t xml:space="preserve">se registró volcadura de camión tipo Kodiak de la SEMAR en el    km 215 de la carretera federal 200 Acapulco-Pinotepa, a la altura de la desviación a Sta. María Cortijo, en el municipio de Pinotepa Nacional, se desconocen las causas, resultando 1 fallecido y 17 lesionados los cuales fueron trasladados a un hospital para su atención.  </t>
  </si>
  <si>
    <t>Se registra impacto de ferrocarril contra un camión de pasajeros y un tractocamión el cual transportaba oxido de plomo en tambos con número de rombo 3077, pintura ligera y lámparas fluorescentes; en el kilómetro 3 de la vía a Laredo-Carretera a Monclova en la colonia Unión de Agropecuarios Lázaro Cárdenas, municipio de Escobedo, la causa fue por intentar ganarle el paso al ferrocarril. Se reporta químico regado en la carpeta asfáltica, por lo que la zona se encuentra acordonada. De los pasajeros del camión se reportan 11 lesionados los cuales fueron trasladados al Hospital de Ginecología del IMSS, Hospital General de Zona No. 21 y clínicas particulares.</t>
  </si>
  <si>
    <t>se reportó el impacto contra un puente de canal de una unidad de transporte público, en Avenida Oscar Chávez, municipio de Tarímbaro. Se desconocen las causas que originaron el incidente. Derivado de lo anterior, se reportaron 8 personas lesionadas, las cuales fueron trasladadas a Hospitales, para su valoración y atención médica. A las 09:48 horas, la unidad fue retirada del lugar.</t>
  </si>
  <si>
    <t xml:space="preserve">06/10/2022
- 22:46 horas. Se presentó una fuga de etano líquido (ONU 1035 - Guía 115) por toma clandestina no hermética, en el km 49+182.1 aproximado del etanoducto de 20” Cactus-Cangrejera, en el DDV 214 MIR Mezcalapa - San Fernando, que va hacia el complejo Pajaritos, en las inmediaciones del ejido San Fernando, municipio de Huimanguillo. 
07/10/2022
- 07:40 horas. Se registra explosión e incendio en el sitio. 
- 09:45 horas. Se confirma que se incendió la fuga como estrategia para administrar riesgos.
- 11:40 horas. Al arribar al lugar, se localizó una retroexcavadora, en estado de abandono, observando que se realizó una excavación, la que probablemente originó la fuga al golpear accidentalmente el ducto.
09/10/2022
- 20:52 horas. Se informa que la quema del remanente quedó sofocada, quedando clausurada la TCNH mediante soldadura a las 21:18 horas. 
🔺 Afectaciones:
• 1 fallecido (masculino de 55 años - probable responsable de la explosión ya que se encontraba fumando).
• 1 atendido por irritación ocular.
• 194 personas evacuadas (55 familias).
- 113 personas fueron trasladadas al refugio temporal en la Casa Ejidal (30 familias).
- 83 se trasladaron con familiares (25 familias).
• 11 viviendas con afectaciones menores (por onda expansiva de la explosión), como lo es el desprendimiento de láminas en techos. 
</t>
  </si>
  <si>
    <t xml:space="preserve">Se registró la volcadura de un camión de pasajeros de pasajeros de la empresa EBUS sobre  la carretera federal 45 Silao - León, altura de la empresa Maseca, Los Sauces, municipio de León.  Se desconocen las causas y derivado de lo anterior se reportan 2 personas fallecidas y 17 lesionados (2 graves), trasladados al Hospital IMSS P-54 de Silao, así como al  Hospital General de León respectivamente.  </t>
  </si>
  <si>
    <t>Se registró caída de una avioneta (vuelo local), con matrícula XB-PIK, en la comunidad El Fresno, municipio Valle de Bravo. Derivado de lo anterior, se reportó 1 fallecido y 3 lesionados, que fueron trasladados al Hospital General del municipio, para su atención médica. Cuerpos de emergencia concluyen labores con la atención a la emergencia.</t>
  </si>
  <si>
    <t>Chapultenango, lxtacomitán, Juárez, Ostuacán, Pichucalco, Reforma y Sunuapa</t>
  </si>
  <si>
    <t xml:space="preserve">Lluvia severa, inundación fluvial e inundación pluvial el 14 de octubre de 2022. Se emitió declataria de emergencia y  de desastre </t>
  </si>
  <si>
    <t xml:space="preserve">Se registró derrame de 5,000 L de combustóleo en aproximadamente 180 metros lineales sobre la carpeta asfáltica, al interior de las instalaciones de PEMEX, ubicadas a unos metros del mar, sobre el km 78 de la carretera La Paz - Pichilingue, municipio de La Paz. El incidente fue a causa de la fisura en una tubería conductora de combustóleo. No hay reporte de evacuados, lesionados y/o fallecidos, ni afectación al área marítima. De manera preventiva, se encuentra cerrada la carretera sobre el tramo Punta Prieta, se recomienda tomar la vía alterna sobre el Libramiento Daniel Roldan. Cuerpos de emergencia laboraron en la recuperación de 2,500 L del combustóleo para proceder a la limpieza de la zona. El día 16 de octubre, continuarán las labores, quedando la zona resguardada. </t>
  </si>
  <si>
    <t xml:space="preserve">Se presentaron lluvias fuertes acompañadas de rachas de vientos de hasta 40 km/h, de las 10:00 a las 15:30 hora local del 15 de octubre en el municipio de Mexicali.
A las 22:00 horas, ya no se presentan lluvias.
🔺Afectaciones:
• 1 municipio afectado
• 4 evacuados
• 3 casas inundadas
• 1 fraccionamiento inundado, Arboleda Residencial
• 2 cortos circuitos
• 4 fallas en semáforos
• 1 cable colgando
• 2 inundaciones en las colonias Agua Leguas y Ampliación Lucerna
• 2 incendios de casa habitación
• 4 otros incendios
• 6 accidentes de tránsito, sin lesionados
• 1 socavón de 4 m aproximadamente
• 1 techo colapsado 
• 4 pasos a desnivel cerrados a la circulación vial 
• 1 colisión 
• 1 agretamiento en la zona regional
• Varias ubicaciones sin suministro de energía eléctrica en el Valle de Mexicali: Cerro Prieto, Campo León, Ej. Choropo, Tulichek, Col. Gómez, Río Hardy, Ej. Chihuahua.
Municipio de Mexicali:
- 1 socavón de aproximadamente 4 metros, en la parte de atrás de una vivienda, ubicada en una zona de alto riesgo, en av. República de Uruguay 730 y calle Río Sinaloa. De manera preventiva, se realizó la evacuación de 4 personas.
- En las zonas inundadas ya disminuyo el nivel del agua.
</t>
  </si>
  <si>
    <t xml:space="preserve">Durante la madrugada, se registraron fuertes lluvias en el municipio de Comalcalco, reportando lo siguiente:
🔺 Afectaciones:
Municipio de Comalcalco:
• Encharcamientos en calles de la población de Ranchería Oriente 6ta.
• 1 desbordamiento del dren de descarga al río Grande, el cual no alcanzó a descargar libremente por acumulación de basura y falta de limpieza, ya que se observó ramas y mucha maleza que impiden su libre descarga del agua.
• 70 viviendas afectadas por penetración de agua (20 en su interior y 50 en patios). Fueron provocadas por pases de agua y alcantarillas tapadas, el agua ya empezó a descender lentamente, al momento 10 cm aproximadamente y continúa a la baja.
• 78 familias afectadas que no quisieron trasladarse al refugio temporal habilitado. 
</t>
  </si>
  <si>
    <t>, se registró un accidente carretero donde se vieron involucrados un autobús Irizar (modelo 2016 color blanco y azul con placas de circulación 49-HA7S) con razón social TLA de turismo particular, un tractocamión Kenworth Kenmex T800 (color blanco modelo 2008 con placas de circulación 69 -AA -8R del SPF) con razón social Transportes Peña, y una unidad Volvo (color amarillo modelo 2012 con placas de circulación 73-AN-1R del SPF razón social Alanís), esto en el km 85 de la autopista La Tinaja - Isla, con dirección hacia La Tinaja, municipio de Cosamaloapan de Carpio</t>
  </si>
  <si>
    <t>Se registró impacto de una unidad de transporte público, tipo Urvan, donde iban a abordo migrantes, en la comunidad de Ciudad Victoria, municipio de Suchiate. Se desconocen las causas que originaron el incidente. Derivado de lo anterior, se reportaron 2 fallecidos y 6 lesionados, que fueron trasladados al Hospital General de Tapachula, para su atención médica.</t>
  </si>
  <si>
    <t>Derivado de lo anterior, se presentó el incendio de la pipa y algunos vagones Derivado de lo anterior, se reportan 3 personas lesionadas (trasladas al hospital Tercer Milenio), 120 viviendas afectadas en 2 cuadras a la redonda, 1,500 personas evacuadas,   y 50 vehículos afectados. El fuego fue sofocado y se dispusieron 25 hoteles para las personas que así lo requieran. Cabe mencionar que la unidad, no es propiedad de PEMEX.</t>
  </si>
  <si>
    <t>se registró la volcadura de un autobús de pasajeros de la empresa “Estrella de Oro” (blanco con verde y número económico 1558) con destino a la Ciudad de Acapulco, en la autopista del Sol km 310, cerca del Parque Industrial del Ocotito, municipio de Chilpancingo de los Bravo. El cual volcó luego de que el chofer perdiera el control de la unidad y saliera de la carretera. Se reportaron 2 personas fallecidas (femenina de 17 años y masculino de 11 años) y 21 lesionadas, las cuales fueron trasladadas a diversos centros médicos para continuar con su atención.</t>
  </si>
  <si>
    <t>Se reporta intoxicación de 19 alumnos (18 mujeres y 1 hombre), en el Colegio de Bachilleres Mecatlán, en el municipio de Yahualica. Las causas se originaron cuando consumieron alimentos y/o agua afuera del plantel. Fueron trasladados al IMSS, para su atención médica</t>
  </si>
  <si>
    <t>Se registró una explosión por acumulación de gas en un departamento de los condóminos Brisas Diamante, en el edificio 6, parte alta de la zona residencial y la avenida Escénica, municipio de Acapulco de Juárez. Cuerpos de emergencia se encuentran en el sitio. Se reportan ocho personas lesionadas, de las cuales tres son consideradas de gravedad, con quemaduras de segundo y tercer grado, siento trasladados a diversos nosocomios para su atención médica, así mismo se realizó la evacuación preventiva a la zona</t>
  </si>
  <si>
    <t>Se registró volcadura y salida del camino de un autobús de pasajeros en la carretera Sonoyta – Caborca en el km 235, la unidad pertenece a la empresa “Estrella Blanca” y tenía como destino la ciudad de Tijuana, en el municipio de Caborca.
Se desconoce la causa que originó el siniestro, reportando 2 menores fallecidas en el sitio (1 menor de 15 años y 1 femenina de 5 años), así como 9 lesionados los cuales fueron atendidos en el sitio</t>
  </si>
  <si>
    <t xml:space="preserve">Se registró el choque por alcance entre 3 autobuses de pasajeros, un Chihuahuense, un Terra y un Frontera (que trasladaba migrantes originarios de Cuba, Ecuador y Nicaragua) y un tráiler, aproximadamente en el km 022+000 autopista (2370-L) Libramiento Norte San Luis Potosí, municipio de San Luis Potosí. Se desconocen las causas. Se reportó 1 persona fallecida (chofer del autobús Frontera) y 40 lesionados, 11 trasladados al Hospital Central, Hospital de Soledad y a la Clínica 50, y 29 más atendidos en el sitio con lesiones leves, los cuales serán llevados a migración. Fuerza de tarea acudió al lugar, atendió el incidente, reportando que 3 personas fueron liberadas luego de encontrarse prensados dentro de las unidades (2 de ellas con vida trasladadas y 1 tercera que falleció en el lugar). </t>
  </si>
  <si>
    <t>Se recibió reporte de un accidente en la carretera Ciudad Constitución - Loreto km 96, en inmediaciones de Puerto Escondido, municipio de Loreto. Se vio involucrado un autobús de pasajeros de la línea “Águila”, que terminó volcado de costado sobre la maleza. Se reportaron 8 lesionados trasladados al Hospital General y a la Clínica del IMSS en Loreto. La emergencia fue atendida por Bomberos y Protección Civil Municipal, así como Guardia Nacional.</t>
  </si>
  <si>
    <t>Se reportó la caída de roca al interior de una mina de carbón en el ejido Mineral La Florida, al estar mineros trabajando en el reforzamiento de una excavación, localizada entre los minerales La Florida y La Escondida, municipio de Múzquiz. Se desconocen las causas. Se reportó 1 fallecido (tras caerle una roca en la cabeza) y 2 lesionados, rescatados por sus propios compañeros, para trasladarlos al Hospital de la Secretaría de Salud en Sabinas. Personal de la Fiscalía General del Estado, quedó a cargo para las diligencias correspondientes de ley</t>
  </si>
  <si>
    <t>se registró accidente de un tren contra una camioneta particular, sobre la carretera 100, comunidad Viborillas, municipio de Colón. El incidente se originó cuando la camioneta intento cruzar las vías del tren y se atoro uno de los neumáticos, por lo que fue impactada por el tren. Derivado de lo anterior, se reportan 3 lesionados que fueron trasladados a un Hospital para su atención médica</t>
  </si>
  <si>
    <t>Se reportó choque de una camioneta y un camión de jornaleros, sobre la Maxipista Culiacán - Sinaloa, municipio de Elota. Se desconocen las causas que originaron el incidente. Derivado de lo anterior, se reportó 1 fallecido y 4 lesionados, que fueron trasladados a un Hospital para su atención médica</t>
  </si>
  <si>
    <t>se registró incendio en bodega de una iglesia donde se almacenaba material pirotécnico, para la celebración de las fiestas de Todos Santos, en la Comunidad Potrerillo, municipio de Coscomatepec. Se desconocen las causas que originaron el incidente. Derivado de lo anterior, se reportaron 10 lesionados (8 féminas y 2 menores de edad), que fueron trasladados al IMSS del municipio para su atención médica.</t>
  </si>
  <si>
    <t xml:space="preserve">Se tuvo conocimiento de un incendio en una bodega de ácidos y solventes perteneciente a Grupo Acsol,  en la colonia  Valle de la Misericordia, municipio de Tlaquepaque. No se reportan daños humanos, únicamente la evacuación de 300 personas de 120 viviendas de un fraccionamiento aledaño. El incendio está sofocado al 100%, se mantienen labores de remoción de escombros.  El fuego se afectó 8 viviendas (con daños menores en tinacos y fachadas), 2 naves industriales de 20x50 mts con colapsos en techos, así como 3 vehículos afectados por radiación. </t>
  </si>
  <si>
    <t>Salida del camino de 1 autobús de pasajeros sobre la carretera federal Toluca–Altamirano, municipio de Tejupilco. Derivado de lo anterior, se reportan 4 fallecidos y 27 lesionados,  trasladados a diferentes hospitales. El autobús procedía de Ciudad de México y se dirigía a Ciudad Altamirano. Se presume que el autobús salió del camino al intentar esquivar un tractocamión que invadió su carril</t>
  </si>
  <si>
    <t xml:space="preserve">🔺 Afectaciones:
- Encharcamientos e inundaciones en diversas calles de la zona de La Margarita y La Hacienda.
- 5 viviendas afectadas por penetración de agua.
- 1 plaza afectada por penetración de agua: Plaza del Cuadrito.
- 6 vehículos varados en: 2 en Bulevar Díaz Ordaz y 14 Sur, colonia San Manuel; 2 en 14 Sur y Bulevar Valsequillo; 2 en 52 poniente y 15 norte, Lomas de San Miguel.
- Sin reporte de evacuados, lesionados y/o fallecidos.
</t>
  </si>
  <si>
    <t>Se registra accidente entre 1 tren, 1 autobús del transporte público (ruta 155) y 1 vehículo particular, sobre la carretera García - Libramiento Noroeste, a la altura de la zona industrial, municipio de García límites con Santa Catarina. Se reporta 1 fallecido y 20 lesionados trasladados al Hospital de Traumatología del municipio de García</t>
  </si>
  <si>
    <t>Se reporta  Incendio de fábrica con razón social Suelas Wikis ubicada en calle Primavera número 614 esquina calle Prolongación Guanajuato de la colonia Purísima Concepción, municipio de San Francisco del Rincón, se desconocen las causas del incendio, se quemó materia prima, suelas, 2 vehículos, 3 motocicletas, el inmueble presentó daño estructural. De manera preventiva se realizó la evacuación de 25 personas</t>
  </si>
  <si>
    <t>Se reportó incendio en 2 departamentos de un edificio ubicado en las calles de Equidad y Batallón de San Patricio, municipio de Guadalajara. Se desconoce la causa que originó el siniestro, derivado de lo anterior cuerpos de emergencia realizaron la evacuación preventiva de 31 personas y animales de compañía, sin reporte de personas lesionadas y/o fallecidas.</t>
  </si>
  <si>
    <t>Coatzacoalco, Agua Dulce, Moloacán</t>
  </si>
  <si>
    <t xml:space="preserve">Municipio de Coatzacoalcos:
- 10 Viviendas afectadas por penetración de agua y lodo por deslave de cerro. 
- Encharcamientos viales.
- Crecimiento de nivel del río Coatzacoalcos. 
- 1 deslave de cerro en el Ejido Esperanza.
- 1 refugio temporal habilitado en la localidad de La Esperanza con 30 personas.
Municipio de Agua Dulce:
- 60 Viviendas afectadas por penetración de agua.
- 15 localidades con afectaciones 
- Encharcamientos viales.
- Desbordamiento del río Aguadulcita. 
Cuerpos de emergencia laboran en la limpieza y atención de las viviendas afectadas, se estima que a medio día se culminen con las labores.
Municipio de Moloacán:
- 23 Viviendas afectadas por penetración de agua.
- 3 localidades con afectaciones 
- Encharcamientos viales.
- Desbordamiento del río Nexmegata. 
</t>
  </si>
  <si>
    <t xml:space="preserve">Emiliano Zapata, Centro, Jalpa de Méndez, Jalapa, Cunduacán, Huimanguillo, Tenosique, Balancán y Jonuta </t>
  </si>
  <si>
    <t xml:space="preserve">Municipio de Emiliano Zapata:
• 3 árboles caídos sobre la carretera Tenosique Emiliano Zapata y sobre la carretera al ejido Puvicub.
• Encharcamientos viales.
Municipio de Centro:
• Encharcamientos viales en las colonias Las Mercedes, La Venta, Fraccionamiento San Manuel, Bicentenario, Los Claustros, Playas del Rosario, Colonias, Carrizal, Casa Blanca, Tierra Colorada, calle Ignacio Comonfort, Tamulté, Bastar Sozaya, Centro, Av. Fco. Javier Mina atrás de la tienda Chedraui, Calle chico che, Gaviotas Norte Sector Valle y Verde Gaviotas Sur.
Municipio de Jalpa de Méndez:
• 1 árbol caído sobre 1 vivienda del poblado Amatitán, solo se reportan pérdidas materiales. 
• 21 viviendas afectadas por penetración de agua (tirantes de 10 cm). 
• Caída de varios árboles. 
Municipio de Jalapa:
• Fuertes lluvias y vientos.
• Caída de ramas y árboles sobre ambos carriles en la carretera Jalapa - Villahermosa, en el tramo conocido como Los Tintales.
Municipio de Cunduacán:
• Fuertes lluvias y vientos.
• Encharcamientos viales.
• Caída de árboles.
• Caída de luminarias, postes y cables de CFE.
• Fallas en el servicio de energía eléctrica.
• Destechamientos (sin cuantificar). 
Municipio de Huimanguillo:
• 1 árbol caído en el Poblado Mecatepec.
Municipio de Tenosique:
• 1 vado en el poblado Arena de Hidalgo de Tenosique.
• Encharcamientos viales.
• Caída de árboles.
Municipio de Balancán:
• Encharcamientos viales.
• Caída de árboles.
Municipio de Jonuta:
• 39 personas albergadas.
• 1 albergue activo. 
</t>
  </si>
  <si>
    <t>Se registró choque por alcance entre un tráiler y una camioneta tipo Urvan de transporte turístico con razón social Turivik (Ixtapa - Celaya), sobre la autopista Siglo XXI Pátzcuaro - Cuitzeo, libramiento Morelia km 49+000, localidad de Chapultepec, municipio de Pátzcuaro. Se desconocen las causas. Se reportaron 4 fallecidos y 9 lesionados, trasladados al Hospital Star Médica de Morelia</t>
  </si>
  <si>
    <t>Se registró explosión por pirotecnia “torito” durante la fiesta de Xantolo (ceremonia a los muertos), en la comunidad de Tehuetlán, municipio de Huejutla de Reyes. Se debió por el mal uso de la pirotecnia. Se reportaron 15 lesionados por quemaduras de primer y segundo grado, de los cuales 6 entre ellos una mujer con 25 semanas de gestación fueron trasladados al Hospital Regional de la Huasteca, la Clínica Hospital ISSSTE de Huejutla y el Centro de Salud Tehuetlán para su valoración y atención médica. Cuerpos de emergencia laboraron en el sitio y se dieron por concluidos los trabajos a las 23:40 horas. Las personas trasladadas ya se encuentran dadas de alta</t>
  </si>
  <si>
    <t>Se tuvo conocimiento del impacto entre 1 vehículo tipo Humvee   de SEDENA y 1 tractocamión sobre la carretera Soto La Marina-Rayones, a la altura del municipio de Abasolo. Derivado de lo anterior, se reportan 7 fallecidos (6 en sitio y 1 en el hospital)  y 1 lesionado (todos elementos de SEDENA). Asimismo se detuvo 1 persona relacionada con el evento para deslindar responsabilidades</t>
  </si>
  <si>
    <t xml:space="preserve">Se registró choque de tractocamión contra la parte trasera de camioneta tipo Urvan del transporte público (ruta Nezahualcóyotl - Valle de Chalco No. Económico A98891E), sobre Calzada Ignacio Zaragoza a la altura de Av. Guelatao hacia el Oriente, alcaldía de Iztapalapa. Se desconocen las causas. Se reportaron 16 lesionados (11 hombres y 5 mujeres), de los cuales 9 (5 hombres y 4 mujeres) fueron trasladados al Hospital de Xoco, Hospital de Magdalena de las Salinas y Clínicas del IMSS. </t>
  </si>
  <si>
    <t>Se reportó el colapso de una barda perimetral (con una altura de 4 m por 50 m de largo) al interior de una bodega en construcción, ubicada en Circuito de la Luz esquina Boulevard Las Joyas, colonia Colinas de León, como referencia la parte posterior de la Candora, municipio de León. Se desconocen las causas. Se reportaron 2 fallecidos (masculinos de 65 y 44 años) y 7 lesionados (4 en código amarillo y 3 en código verde), 4 de ellos atendidos en el lugar y 3 trasladados al IMSS T-58 y T21 del municipio de León</t>
  </si>
  <si>
    <t>Tijuana, Rosarito, Tecate y Ensenada</t>
  </si>
  <si>
    <t xml:space="preserve">Derivado de las lluvias moderadas que se registraron durante la tarde del 08 de noviembre en los municipios de Tijuana, Rosarito, Tecate y Ensenada, se han reportado las siguientes afectaciones:
🔺 Afectaciones: 
- Municipios afectados: 4
- Personas fallecidas: 1 (Tijuana)
- Personas desaparecidas: 1 (Tijuana)
- Viviendas afectadas: 14 (8 delegaciones)
- Inundaciones sobre vialidades: 65 (57 Tijuana, 7 Rosarito y 1 Tecate)
- Caída de cables: 9 (7 Tijuana, 1 Rosarito y 1 Ensenada)
- Caída de postes: 11 (7 Tijuana, 2 Rosarito, 1 Tecate y 1 Ensenada)
- Derrumbes: 10 (8 Tijuana, 1 Rosarito y 1 Tecate)
- Agrietamientos: 5 (Tijuana)
- Explosión de transformadores: 9 (5 Tijuana, 3 Rosarito y 1 Ensenada)
- Vehículos varados: 23 (19 Tijuana y 4 Rosarito)
- Rescate de personas: 7 (Tijuana)
- Fallas de energía eléctrica: 7 (4 Tijuana y 3 Tecate)
- Fallas de semáforo: 2 (Tecate)
- Vehículos descompuestos: 2 (Tecate)
- Alcantarilla obstruida: 1 (Tecate)
- Caída de anuncio: 2 (Rosarito)
- Corto circuito: 12 (2 Rosarito, 2 Tecate y 8 Ensenada)
- Árboles caídos: 2 (Ensenada)
- Desbordamiento de aguas negras: 1 (Rosarito)
- Suspensión de clases
Municipio de Tijuana:
08/11/2022
• Arrastre de 2 personas por la corriente, en el Cañón del Pato, colonia Francisco Villa, Distrito San Antonio de los Buenos, al momento, no han sido localizados, vecinos realizan búsqueda.
• Inundaciones sobre vialidades, sobre el Poniente, Boulevard Agua Caliente y Casa Blanca, Gato Bronco, Corredor 2000.
• Suspensión de clases en todos los niveles educativos.
09/11/2022
• 07:03 horas, se localiza cuerpo de 1 femenina de aproximadamente 20 años en el área del desarenador, calle Ignacio Zaragoza, colonia Obrera, indicando que se trata de una de las 2 personas desaparecidas el día 08 de noviembre, quedado varadas en su vehículo. Personal del H.C. de Bomberos continúa con la búsqueda de la segunda persona no localizada.
• 09:35 horas. Se informa que PC del Estado le dio aviso a autoridades de EUA, por la posibilidad de que el río se lleve a la persona desaparecida río abajo. Las labores continuarán el día 10 de noviembre. 
</t>
  </si>
  <si>
    <t xml:space="preserve">Se registró el choque por alcance de un autobús de pasajeros de la línea OCC con número económico 2396 contra un camión carguero, en el km 123 de la súper carretera Tehuacán - Oaxaca, km 123, municipio de Tepelmeme Villa de Morelos. Derivado de lo anterior, se reportan 20 personas lesionadas, trasladadas al Hospital del Sagrado Corazón y a la Clínica del Carmén en Tehuacán, respectivamente.
</t>
  </si>
  <si>
    <t>Se registró incendio en departamento, ubicado en Sur 149 y Ote 114, colonia Gabriel Ramos Millán, alcaldía de Iztacalco. Se desconocen las causas. De manera preventiva, fueron evacuadas 50 personas de inmuebles aledaños. El incendio fue controlado y sofocado. El área afectada fue de 90 m² en planta baja, sin lesionados y/o fallecidos.</t>
  </si>
  <si>
    <t xml:space="preserve">Tepeapulco </t>
  </si>
  <si>
    <t>A  las 09:50 horas, se registró un accidente vehicular entre una unidad de transporte público y una unidad de la Ruta Universitaria Politécnico Pachuca, en la Carretera Pachuca - Ciudad Sahagún, frente a la agencia de Toyota, municipio de Tepeapulco. Como resultado del incidente, se reportan 13 lesionados, que fueron trasladados a un Hospital para su atención médica. Se desconocen las causas que originaron el accidente. En el lugar continúan trabajando cuerpos de emergencia.</t>
  </si>
  <si>
    <t>se reporta desplome y posterior incendio de helicóptero, Águila 1, perteneciente a la Secretaría de Seguridad Pública Estatal, misma que se encontraba en operativo, sobre Tercer Anillo y avenida Zaragoza, del municipio de Jesús María. Derivado de lo anterior, se reportan 5 fallecidos, entre ellos iba a bordo el Secretario de Seguridad Pública de Gobierno del Estado, C. Porfirio Sánchez, piloto, copiloto y 2 artilleros. La Fiscalía se encuentra ya en el lugar para hacer el reconocimiento de los cuerpos y realizar las investigaciones correspondientes, de manera preliminar, se informa que se trata de un accidente.</t>
  </si>
  <si>
    <t>se registró el impacto de un camión de pasajeros de la línea metro, con número económico 27 y una camioneta Nissan color blanca, placas de circulación LF 60 027, propiedad de Grupo Bafar en el crucero de la avenida 11 y calle 10, Boulevard Tratados de Córdoba, en el municipio de Córdoba. Derivado de lo anterior, se reportaron 11 personas lesionadas, quienes luego de su valoración se trasladaron por fuerza de tarea al Hospital Covadonga. La zona fue acordonada, por lo que la vialidad se vio afectada, mientras se realizaron los trabajos pertinentes y el retiro de las unidades correspondientes.</t>
  </si>
  <si>
    <t>Teapa, Paraíso y Emiliano Zapata</t>
  </si>
  <si>
    <t xml:space="preserve">CONAGUA (08:00 h DEL 16/11/2022 a las 08:00 h del 17/11/2022)
• 234 mm municipio de Teapa, con un umbral de 234 mm
Evento: Derivado del paso del Frente Frío No. 9,  se presentaron lluvias fuertes durante la noche y madrugada del día de hoy, en los municipios de Teapa, Paraíso y Emiliano Zapata, reportando las siguientes afectaciones:
🔺 Afectaciones:
• Encharcamientos viales (Teapa y Paraíso)
• 11 colonias afectadas
• 71 viviendas afectadas 
• 12 viviendas en riesgo
• 13 familias en riesgo (52 personas aproximadamente) 
• 2 deslizamiento de tierra
• 1 árbol caído
• 1 socavón 
• 1 vado carretero 
Municipio Teapa:
- 10 colonias afectadas (Barrio Tecomajiaca, Villa Verde, Villa Juan Aldama, Nicolás Bravo, Ejido José María Morelos, Las Flores, San Isidro, Reforma, Morelia)
- 71 viviendas con penetración de agua (hasta 60 cm)
- 1 caída de árbol en la entrada de Juan Aldama
- 1 socavón en la carretera Teapa-Pichucalco, km 56+200
- 1 vado en la carretera Villahermosa – Teapa (Ya disminuyó) 
- 1 deslizamiento de tierra en Ejido José María Morelos
Municipio Paraíso:
- Lluvias fuertes intermitentes desde el día de ayer 16 de noviembre, que iniciaron a las 09:00 horas y al momento continúan.
- Encharcamientos viales sobre vialidades.
Municipio Emiliano Zapata:
- 1 deslizamiento de tierra en colonia Ecologista Segunda Sección
- 12 viviendas en riesgo en la colonia Ecologista Segunda Sección
- 52 personas en riesgo (aproximadamente)  
- Se solicitó un dictamen a Protección Civil Estatal y apoyo personal de SEDENA para el retiro de tierra a fin de evitar riesgos 
</t>
  </si>
  <si>
    <t xml:space="preserve">se registró incendio en un edificio de departamentos en la Unidad Pinos Jardín Balbuena, ubicada en Avenida del Taller, colonia Jardín Balbuena, alcaldía de Venustiano Carranza. Se desconocen las causas. De manera preventiva, se realizó la evacuación de 150 personas. No se reportaron lesionados y/o fallecidos, únicamente 2 perritos perdieron la vida. Se reportó la quema en su totalidad de 1 departamento (48 m2) y 2 más afectados por radiación. A las 14:48 horas, se reporta controlado y sofocado el fuego, concluyendo labores de extinción y ventilación. </t>
  </si>
  <si>
    <t xml:space="preserve">se reportó salida del camino y posterior caída a un barranco de un autobús de trasporte de pasajeros en el camino empedrado a Real de Catorce a la altura del kilómetro 4 y Las Majadas, del municipio de Matehuala.
Se desconoce la causa que originó el siniestro, resultando 45 personas lesionadas, de las cuales 38 pasajeros resultaron con heridas leves, atendidos en los hospitales de la clínica 14 del IMSS, el ISSSTE y Centro Médico del Altiplano en Matehuala y 7 personas con lesiones graves fueron trasladadas al Hospital General de Matehuala. Sin reporte de personas fallecidas.
Cuerpos de emergencia realizaron las labores de atención correspondiente, manteniendo labores de retiro de la unidad siniestrada.
</t>
  </si>
  <si>
    <t xml:space="preserve">Se registró volcadura de combi en el Km 42 + 800  del Arco Norte a la altura de San Lorenzo Octeyuco, en el municipio de Jilotepec se desconocen las causas. Se reportan 7 fallecidos y 5 lesionados los cuales fueron trasladados al Hospital de Jilotepec. Se presenta cierre parcial de la circulación. Se laboró en el retiro de la unidad.   </t>
  </si>
  <si>
    <t>Chapultenango, Francisco león, Ixtapangajoya, Juárez, Ostuacán, Pichucalco, Solosuchiapa y Tecpatán</t>
  </si>
  <si>
    <t xml:space="preserve">Lluvia severa, inundación fluvial e inundación pluvial el 22 de noviembre de 2022. Se emitió declaratoria de desastre </t>
  </si>
  <si>
    <t xml:space="preserve">
• 1,141 viviendas afectadas
• 87 colonias/ localidades afectadas
• 4 escuelas afectadas
• 1 centro de salud afectado
• 4 deslizamientos de tierra
• 2 vados carreteros
• 19 corrientes desbordadas/ crecidas
• 17 personas evacuadas (6 familias)
• 01 refugio temporal activo
• 02 árboles caídos
</t>
  </si>
  <si>
    <t>Se tuvo conocimiento del impacto de 1 tractocamión contra 1 autobús de pasajeros sobre la Carretera San Miguel - San Julián, a la altura del cruce con la Carretera Panamericana, municipio de San Miguel El Alto. Derivado de lo anterior, se reportan 38 lesionados (4 en estado grave y 34 con lesiones de leves a moderadas), todos trasladados al Hospital de Tepatitlán. Tras el impacto el autobús volcó a un costado de la vía. Se desconocen las causas que originaron el incidente.</t>
  </si>
  <si>
    <t>Nanchital de Lázaro Cárdenas del Río</t>
  </si>
  <si>
    <t xml:space="preserve">A las 04:48 horas, se presentó FUGA DE AMONIACO POR TOMA CLANDESTINA NO HERMÉTICA en Amoniaducto 10” Ø Cosoleacaque – Pajaritos en el km 22+200, en la colonia Manuel Ramírez, a un costado de las instalaciones de la Delegación de la Policía Estatal, municipio de Nanchital de Lázaro Cárdenas del Río, 🔸Acciones:
- La fuga ya quedo controlada, se realizó cierre de válvulas, así mismo, se encuentran en espera de maquinaria para realizar trabajos de reparación.
- La Secretaria del Estado, se mantiene en el lugar, para brindar atención a la población afectada.
- 4 Refugios activos
- Activación de las fuerzas de tarea.
- Recorridos de verificación.
- Sobrevuelo en helicóptero de GEV y DRON para la verificación de estatus de la fuga.
- Evacuación precautoria de entre mil y dos mil personas durante la madrugada del día 25 de noviembre.
- Abasto de alimentos a la población refugiada.
- Suspensión de clases los días 24 y 25 de noviembre.
- Cierre a la circulación sobre Boulevard López Portillo a la altura de la sección 11 y el Boulevard santa Elena.
- Perifoneo y vigilancia nocturna en un perímetro de 1.3 km.
- Reunión de logística en el palacio municipal en coordinación con las FT.
- Personal de la SEDENA y DIF realiza abastecimiento de alimento a animales de compañía.
- Traslado de insumos: 200 colchonetas, cobijas y 20 despensas por parte de la SPC.
</t>
  </si>
  <si>
    <t>Se registró explosión e incendio en un domicilio por pirotecnia almacenada, ubicado en la comunidad de La Blanca, municipio de Santiago de Anaya. Se desconocen las causas. Se reportó 1 fallecido y 2 lesionados trasladados al Hospital de Actopan. Cuerpos de emergencia concluyeron labores de control, liquidación y remoción de escombros a las 18:15 horas.</t>
  </si>
  <si>
    <t xml:space="preserve">27/11/2022
- 22:30 horas. Se presentó una fuga de gas etano en un ducto de PEMEX, sobre el km 28+900 de la carretera Villahermosa - Coatzacoalcos, colonia Agrícola Ganadera, municipio de Agua Dulce. 
29/11/2022
- 13:00 horas. Se realiza reunión con los tres órdenes de gobierno, para conocer los avances de los trabajos.
- 13:00 horas. Se lleva a cabo una quema controlada del gas etano, la cual tendrá una duración de 4-5 horas o podría extenderse hasta la tarde-noche, lo que permitirá llevar a cabo los trabajos de reparación de la línea.
- 15:00 horas. Se registró una explosión durante las maniobras de quema controlada en el punto de fuga. El incendio se encuentra activo y es atendido por las fuerzas de tarea en el punto.
</t>
  </si>
  <si>
    <t>Papantla, Coatzintla, Espinal y Álamo Temapache</t>
  </si>
  <si>
    <t xml:space="preserve">🔺 Afectaciones:
- Municipios afectados: 4
- Desbordamientos: 5
- Viviendas afectadas: 145
- Colonias/comunidades afectadas: 8
- Aumento en cauces: 2
- Refugios temporales activados: 3
- Sin reporta de lesionados y/o fallecidos. 
</t>
  </si>
  <si>
    <t>Se reportó el impacto entre 1 vehículo taxi y un autobús de pasajeros con posterior volcadura, perteneciente a la línea AUS (Autobuses Unidos de la Sierra), sobre  la carretera libre México-Tuxpan,  a la altura de la localidad de “El Horcón”, municipio de Tihuatlán. Se desconocen las causas que originaron el accidente. Derivado del incidente, se reportaron 2 fallecidos y 15 lesionados, trasladados a diferentes nosocomios cercanos</t>
  </si>
  <si>
    <t>se tuvo conocimiento de la salida del camino de autobús de transporte público con razón social “línea León” en  Carretera Estatal libre León – Comanjilla, como referencia Restaurante Delmar, municipio de León, se desconocen las causas. Se reportan 14 lesionados los cuales fueron trasladados al Hospital General e IMSS T-54 del municipio de Silao y al Hospital General e IMSS T-58. Sin afectación a la circulación vehicular. Las labores de emergencia culminaron a las 13:40 horas.</t>
  </si>
  <si>
    <t>Se tuvo conocimiento de un incendio en un departamento del piso 22 de la Torre Attala ubicada en la colonia Royal Country, municipio de Zapopan. Derivado de lo anterior, se reportan 2 lesionados (1 por quemaduras y 1 por intoxicación), mismos que requirieron traslado a Hospital; así como la evacuación de 54 personas</t>
  </si>
  <si>
    <t xml:space="preserve">Se reportó impacto de autobús de turismo con razón social “SIRUAM” el cual viajaba de Ciudad Satélite a los embarcaderos de Xochimilco, contra un pilar del segundo nivel de la avenida periférico Sur, entre Etna y Avenida de las Flores, alcaldía Álvaro Obregón. Se reporta 1 fallecido (ayudante del operador) y 55 lesionados,  de los cuales 42 fueron trasladados a diferentes hospitales para su atención médica. </t>
  </si>
  <si>
    <t>Fortín de las Flores</t>
  </si>
  <si>
    <t xml:space="preserve">Afectaciones:
• 1 fallecido (trabajador del taller mecánico, masculino de 47 años)
• 4 personas evacuadas (trabajadores de la Gasera Atlántico)
• 1 pipa de aprox. 43 mil litros
• 5 tractocamiones
• 1 patio de taller mecánico 
</t>
  </si>
  <si>
    <t xml:space="preserve">Villagrán </t>
  </si>
  <si>
    <t xml:space="preserve">11:28 horas. Se registra explosión de polvorín con nombre “Arte y Dios”, sobre Av. CECyTEG camino a Suchitlán por el IECA Plantel Villagrán, comunidad de Suchitlán, municipio de Villagrán. Se desconocen las causas del evento, que cimbró a gran parte de la comunidad. 
- 18:40 horas. Se da por concluida la participación de Protección Civil en el sitio, al ya no existir riesgo. 
🔺 Afectaciones:
• 5 fallecidos: 3 identificados (2 menores de edad: niña de 1 año y niño de 3 años, y 1 masculino de 22 años) y 2 por identificar (FGE)
• 7 valorados por presentar crisis nerviosa, solo 1 trasladado al Hospital Comunitario de Villagrán. 
• 3 polvorines involucrados y afectados
</t>
  </si>
  <si>
    <t>Se registró incendio al interior de un departamento, ubicado en Asia #2, colonia La Conchita, alcaldía Coyoacán. Se desconocen las causas que originaron el incidente, derivado de lo anterior, se reportó 1 persona lesionada valorada y trasladada por paramédicos a un Hospital para recibir atención médica</t>
  </si>
  <si>
    <t>Se registró choque entre una camioneta del transporte público y un vehículo particular, Se registraron 9 personas lesionadas, 5 de la 2ª prioridad y 4 de la 3ª prioridad, trasladados para su atención y valoración médica</t>
  </si>
  <si>
    <t>Juchitán de Zaragoza</t>
  </si>
  <si>
    <t xml:space="preserve">Se reportó choque entre 1 tráiler y una camioneta con peregrinos originarios de Chiapas, en  La Ventosa a la altura del km. 81, municipio de Juchitán de Zaragoza.
Se desconoce la causa que originó el siniestro, reportando 2 femeninas fallecidas (15 y 18 años respectivamente) y 2 menores de edad lesionados quienes fueron atendidos en el lugar y posteriormente trasladados al Hospital Civil.
</t>
  </si>
  <si>
    <t>se registra choque de un autobús de pasajeros de la línea Omnibus de México- Plus, contra un camión tipo torton, sobre la Autopista Morelia-Salamanca Derivado de lo anterior, se reporta 1 fallecido y 23 lesionados, de los cuales 20 fueron atendidos en el lugar</t>
  </si>
  <si>
    <t xml:space="preserve"> Se reporta fuga de gas LP en el área de comedor  de la empresa Kimberly Clark ubicada en el Parque Industrial en la colonia Nuevo Nogales, municipio de Nogales , la fuga fue en una de las válvulas de la cocina la cual fue controlada, de manera preventiva se realizó la evacuación de 518 personas, se reportan 5 personas intoxicadas y 1 persona atendida por caída en la evacuación  las cuales fueron trasladadas al  hospital del IMSS Zona 5 y al IMSS Nuevo Nogales para su atención. </t>
  </si>
  <si>
    <t xml:space="preserve">Se reporta choque de camión de pasajeros contra un árbol en la carretera Estatal libre Silao - Romita , se desconocen las causas, se reportan 1 fallecido y 17 lesionados quienes fueron atendidos en el lugar y posteriormente trasladados al Hospital General,  IMSS del Municipio de Silao y al Hospital comunitario del Municipio  </t>
  </si>
  <si>
    <t>Se reportó explosión de pirotecnia, la cual era transportada en 1 patrulla del municipio en las calles Zaragoza y 5 de mayo, comunidad de San Felipe Teotitlán, municipio de Nopaltepec. Se indica que el incidente se originó por mala manipulación del material pirotécnico, resultando 18 personas lesionadas de las cuales 10 (8 adultos y 2 menores) fueron trasladadas al Hospital, Derivado del incidente se reportan afectaciones en 5 viviendas aledañas (2 con daño estructural y 3 en fachadas), así como, en 3 vehículos (1 patrulla municipal y 2 particulares)</t>
  </si>
  <si>
    <t>Se reporta choque y posterior incendio entre 1 unidad de transporte público y un tracto camión de doble remolque con razón social “LEMARGO INDUSTRIAL, S.A. DE C.V.” cargado con producto químico (se desconoce la cantidad transportada, , reportando 1 persona fallecida y 9 lesionados de los cuales 1 fue trasladado vía aérea al Hospital de Traumatología y Ortopedia "Dr. Victorio de la Fuente Narváez", 1 más al Hospital General Las Américas Ecatepec y los 7 restantes al Hospital General de Zona No. 98 e instalaciones de la Cruz Roja Mexicana.</t>
  </si>
  <si>
    <t>Técpan de Galeana/ Benito Juárez</t>
  </si>
  <si>
    <t xml:space="preserve">SISMO Magnitud 6.0 Loc 22 km al SUR de TECPAN, GRO 11/12/22 08:31:30 Lat 17.02 Lon -100.66 Pf 5 km
Reporte de daños:
Guerrero: 
• 6 viviendas con daños en acabados y fisuras (1 Técpan de Galeana, 5 Benito Juárez) 
• Fallas en el servicio eléctrico en algunas colonias y en el Hospital Básico de Técpan de Galeana, ya atendidos por CFE.
</t>
  </si>
  <si>
    <t>Se reporta choque entre un camión de transporte de personal de empresa y un ferrocarril de la empresa Kansas City, en el Libramiento Noroeste km. 33, municipio de Escobedo; la causa fue por intentar ganarle el paso al tren, se reporta 1 fallecido y 4 lesionados, de los cuales 2 fueron trasladados al hospital No. 21 de zona.</t>
  </si>
  <si>
    <t>Teolocholco</t>
  </si>
  <si>
    <t>Se reportó el colapso de una grada metálica colocada en el parque del municipio de Teolocholco, para llevar a cabo un evento navideño, está ubicada en la plaza central de la localidad, frente a la Presidencia Municipal. El incidente se suscitó derivado del exceso de peso sobre la grada. Se reportaron 9 personas lesionadas, 8 atendidas en el lugar y 1 más trasladada a la Clínica No. 51 del IMSS</t>
  </si>
  <si>
    <t>Se registró choque entre Attitude (placas GJY-903-D del Estado de Guanajuato) y camioneta de transporte de personal Urvan con razón social SASE Transportes, sobre la carretera estatal libre Romita - Irapuato, como referencia a la altura de la fábrica HFI, municipio de Romita. Se desconocen las causas. Se reportó 1 fallecido (masculino) y 7 lesionados atendidos en el lugar y posteriormente trasladados al Hospital Comunitario del municipio de Romita</t>
  </si>
  <si>
    <t>Tultitlán de Mariano Escobedo</t>
  </si>
  <si>
    <t xml:space="preserve">Inició un incendio dentro de un domicilio particular, donde almacenaban clandestinamente pintura. Como medida preventiva se realizó la evacuación de 50 personas. Hasta el momento, no se tiene reporte de daños humanos, se desconocen las causas que originaron el incidente y se tiene un 50% de control.
 Se tuvo 2 personas lesionadas (con quemaduras en diversas partes de sus cuerpos), mismas que fueron trasladadas al hospital Andrés Quintana Roo
</t>
  </si>
  <si>
    <t xml:space="preserve">Se registró explosión en el predio de la mina (incinerador) CARBOMEX, S.A. DE C.V., ubicada sobre el km 8 de la carretera Transpeninsular, al norte del poblado de Santa Rosalía, municipio de Mulegé. Los hechos ocurrieron cuando se realizaba la quema controlada de residuos y envases de material explosivo utilizado para realizar voladura en la mina, sin que se haya pedido autorización. Se reportó 1 persona fallecida y 2 personas lesionadas, trasladadas al Hospital del IMSS de Santa Rosalía, además de afectaciones en 1 vehículo de la compañía minera. Se llevará a cabo peritajes del incidente. </t>
  </si>
  <si>
    <t>Se registró explosión e incendio de un polvorín ubicado en un domicilio particular, sobre la calle Hidalgo #35, comunidad de La Ribera, municipio de Ayotlán. Se desconoce el motivo por lo que la pirotecnia causó la explosión. De manera preventiva, vecinos evacuaron sus viviendas (sin cuantificar). Se reportaron 2 lesionados (1 menor y 1 adulto), trasladados al Hospital Regional de La Barca. Se reportaron daños materiales en viviendas aledañas</t>
  </si>
  <si>
    <t>Se recibió reporte de un accidente carretero entre un camión de pasajeros de la Línea “Mayitos” y un tráiler, sobre la carretera Hermosillo - Guaymas, km. 207. Se desconocen las causas que originaron el incidente. A consecuencia del impacto, el tráiler se incendió. En el autobús viajaban 45 personas, se reporta 1 fallecido y 10 lesionados mismos que fueron trasladados por ambulancias de la Cruz Roja, para su atención médica</t>
  </si>
  <si>
    <t xml:space="preserve">Boca del Río, San Andrés Tuxtla, Ángel R. Cabada, Catemaco, Lerdo de Tejeda, Jamápa, Soteapan, Ignacio de la Llave, Las Choapas, Coatzacoalcos, Pajapan, Veracruz, Yecuatla, Poza Rica de Hidalgo, Xalapa, Nanchital de Lázaro Cárdenas del Río, Santiago Tuxtla, La Antigua, Úrsulo Galván, Medellín de Bravo. </t>
  </si>
  <si>
    <t xml:space="preserve">• Árboles caídos: 89
• Postes caídos: 16
• Derrumbe: 1
• Cierre carretero: 1
• Destechamientos: 17
• Anuncios caídos: 5
• Caída de barda: 1
• Comunidades/colonias afectadas: 3
• Cortes de energía eléctrica: 3
• Encharcamientos
• Cables de luz caídos
</t>
  </si>
  <si>
    <t>Pichucalco, Solosuchiapa y Mezcalapa</t>
  </si>
  <si>
    <t xml:space="preserve">Afectaciones:
- Municipios afectados: 3
- Viviendas afectadas: 10
- Deslaves: 3
- Deslizamiento de suelo: 1
- Vehículos afectados: 1
- Árboles caídos
- Anegaciones en predios de cultivo 
</t>
  </si>
  <si>
    <t xml:space="preserve">Se registró 1 persona fallecida y 1 lesionada, tras la realización de una detonación de rutina en una mina marmolera ubicada en la Comunidad de El Progreso del municipio de Cadereyta.
El masculino lesionado se reportó en condición grave y fue trasladado al Hospital de Cadereyta, con actualización al momento se reporta estable; al sitio se presentó personal de inspección a realizar los trámites correspondientes.
</t>
  </si>
  <si>
    <t xml:space="preserve">por intoxicación de personas al interior del Gimnasio Sports World Pedregal de la plaza comercial Acora Pedregal, ubicada sobre Anillo Periférico y Ladera, colonia Jardines del Pedregal de San Ángel, alcaldía de Coyoacán. De manera preventiva, se realizó el desalojo de 150 personas de la plaza (entre empleados y visitantes). Se reportaron 13 personas atendidas por intoxicación, 6 de ellas trasladadas a diversos hospitales y 7 recibiendo oxigenoterapia en ambulancias. Personal de Bomberos y Cruz Roja ingresaron al área de alberca con equipo ERA (Equipo de Respiración Autónoma), constatando que en el área de calderas se realizaban trabajos de limpieza con diversos artículos químicos que al combinarse generaron vapores tóxicos. </t>
  </si>
  <si>
    <t>Se registró volcadura y salida de camino de un autobús (48 pasajeros y 1 chofer), sobre la autopista Jala - Compostela km 41, municipio de Compostela. Se desconocen las causas. Se cree se debió al exceso de velocidad. Se reportan 5 fallecidos y 43 lesionados, algunos trasladados a hospitales de municipios cercanos</t>
  </si>
  <si>
    <t xml:space="preserve">Se reporta desplome de una avioneta que salió de Celaya (Guanajuato) con destino a Saltillo (Coahuila), por lo que cuerpos de emergencia se dirigieron al lugar entre los municipios de Venado y Moctezuma, SLP. A las 17:47 horas, Protección Civil de San Luis Potosí confirma la caída de una avioneta en la comunidad de Don Diego, municipio de Venado. Se desconocen las causas. Se reportan 2 personas fallecidas tras el impacto. Cuerpos de emergencia laboraron en el sitio.  </t>
  </si>
  <si>
    <t>Acaponeta, Bahía de Banderas, Huajicori, San Blas, Tecuala, Rosamorada Santiago Ixcuintla yTuxpan</t>
  </si>
  <si>
    <t>Presencia del Huracán "Roslyn" categoría 4, lluvia severa, vientos fuertes, inundación fluvial y pluvial ocurridos del 22 al 24 de octubre de 2022. Se emitió decalaratoria de desastre y de emergfencia</t>
  </si>
  <si>
    <t xml:space="preserve">DGGR </t>
  </si>
  <si>
    <t>En 2022 se presentaron 6 casos por hipotermia,51 por intoxicación y 19 por quemaduras. 21 personas perdieron la vida: cinco por hipotermia 15 por intoxicación y una por quemadura.</t>
  </si>
  <si>
    <t xml:space="preserve">Secretaria de salud </t>
  </si>
  <si>
    <t>En 2022 se presentaron 2 casos por hipotermia,27 por intoxicación y 4 por quemaduras. Cinco personas perdieron la vida: uno por hipotermia, 3 por intoxicación y una por quemadura.</t>
  </si>
  <si>
    <t>En 2022 se presentaron 6 casos por intoxicación.</t>
  </si>
  <si>
    <t>En 2022 se presentaron 4 casos por intoxicación. Dos personas perdieron la vida por intoxicación.</t>
  </si>
  <si>
    <t>En 2022 un apersona perdió la vida por hipotermia.</t>
  </si>
  <si>
    <t>En 2022 se presentaron 7 casos por intoxicación.</t>
  </si>
  <si>
    <t>En 2022 se presentaron 9 casos por intoxicación.</t>
  </si>
  <si>
    <t>En 2022 se presentaron 16 casos por intoxicación y dos por quemadura.</t>
  </si>
  <si>
    <t>En 2022 se presentaron 3 casos por intoxicación.</t>
  </si>
  <si>
    <t>En 2022 se presentaron 4 casos por intoxicación.</t>
  </si>
  <si>
    <t xml:space="preserve">Temperatura extrema </t>
  </si>
  <si>
    <t xml:space="preserve">En 2022 se presentaron 24 casos por golpe de calor, 296 por deshidratación y 7 por quemadura. </t>
  </si>
  <si>
    <t>En 2022 se presentaron 130 casos por golpe de calor, 65 por deshidratación y 2 por quemadura. Una persona perdió la vida por golpe de calor.</t>
  </si>
  <si>
    <t>En 2022 se presentaron 76 casos por golpe de calor ,82 por deshidratación y 2 por quemadura. 24 personas perdieron la vida por golpe de calor y una por desidratación.</t>
  </si>
  <si>
    <t>En 2022 se presentaron 66 casos por golpe de calor  79 por deshidratación y 2 por quemadura. 7 personas perdieron la vida por golpe de calor.</t>
  </si>
  <si>
    <t xml:space="preserve">En 2022 se presentaron 12 casos por golpe de calor y 47 por deshidratación. Se emitió declaratoria de emergencia </t>
  </si>
  <si>
    <t xml:space="preserve">En 2022 se presentaron 10 casos por golpe de calor, 10 por deshidratación y 14 por quemadura. Una persona perdió la vida por golpe de calor. </t>
  </si>
  <si>
    <t xml:space="preserve">En 2022 se presentaron 15 casos por golpe de calor, 15 por deshidratación y 1 por quemadura. Dos personas perdieron la vida por golpe de calor. </t>
  </si>
  <si>
    <t xml:space="preserve">En 2022 se presentaron 11 casos por golpe de calor, 12 por deshidratación y 1 por quemadura. </t>
  </si>
  <si>
    <t>En 2022 se presentaron 6 casos por golpe de calor, 3 por deshidratación y 10 por quemadura. Una persona perdió la vida por golpe de calor.</t>
  </si>
  <si>
    <t>En 2022 se presentaron 17 casos por golpe de calor y una por deshidratación. Una persona perdió la vida por golpe de calor.</t>
  </si>
  <si>
    <t xml:space="preserve">En 2022 se presentaron 17 casos por golpe de calor. </t>
  </si>
  <si>
    <t xml:space="preserve">En 2022 se presentaron 10 casos por golpe de calor, uno por deshidratación y uno por quemadura. </t>
  </si>
  <si>
    <t>En 2022 se presentaron 8 casos por golpe de calor, 8 por deshidratación y una por quemadura. Una persona perdió la vida por golpe de calor.</t>
  </si>
  <si>
    <t>En 2022 se presentaron un caso por golpe de calor y 8 deshidratación. Una persona perdió la vida por golpe de calor.</t>
  </si>
  <si>
    <t>En 2022 se presentaron 6 casos por golpe de calor y uno por deshidratación.</t>
  </si>
  <si>
    <t>En 2022 se presentaron 5 casos por golpe de calor y uno por deshidratación.</t>
  </si>
  <si>
    <t>En 2022 se presentaron 4 casos por golpe de calor y uno por deshidratación.Una persona perdió la vida por golpe de calor.</t>
  </si>
  <si>
    <t>En 2022 se presentaron 3 casos por golpe de calor y uno por deshidratación.</t>
  </si>
  <si>
    <t>En 2022 se presentaron 1 caso por golpe de calor, uno por deshidratación y uno por quemadura.</t>
  </si>
  <si>
    <t>En 2022 se presentaron 3 casos por deshidratación.</t>
  </si>
  <si>
    <t>En 2022 se presentaron 3 casos por golpe de calor. Una persona perdió la vida por golpe de calor.</t>
  </si>
  <si>
    <t>En 2022 se presentó 1 caso por golpe de calor.</t>
  </si>
  <si>
    <t>En 2022 se reportaron un total de 53 incendios, con un total de  herbáceo 2040.23, Arbóreo 70.18 y 526.95 de arbustivo</t>
  </si>
  <si>
    <t xml:space="preserve"> En 2022 se reportaron un total de 54 incendios, con un total de  herbáceo 1,193.15, Arbóreo 104.71  y 5,797.57 de arbustivo</t>
  </si>
  <si>
    <t>En 2022 se reportaron un total de 6 incendios, con un total de  herbáceo 12.77 , Arbóreo 78.01</t>
  </si>
  <si>
    <t>En 2022 se reportaron un total de 15  incendios, con un total de  herbáceo 11909.07 , Arbóreo 3803.62  y 2,184.65 de arbustivo</t>
  </si>
  <si>
    <t>En 2022 se reportaron un total de 373 incendios, con un total de  herbáceo 2040.23, Arbóreo 70.18 y 526.95 de arbustivo</t>
  </si>
  <si>
    <t>En 2022 se reportaron un total de 482 incendios, con un total de  herbáceo 61679.36, Arbóreo 4591.56 y 12,389.87  de arbustivo</t>
  </si>
  <si>
    <t>En 2022 se reportaron un total de 721 incendios, con un total de  herbáceo  1,894.94, Arbóreo 2.91 y 46.64  de arbustivo</t>
  </si>
  <si>
    <t>En 2022 se reportaron un total de 91 incendios, con un total de  herbáceo 1,894.94,  Arbóreo 2.91 y 46.64 de arbustivo</t>
  </si>
  <si>
    <t>En 2022 se reportaron un total de 49 incendios, con un total de  herbáceo 2,349.81,  Arbóreo 341.89  y 139.49  de arbustivo</t>
  </si>
  <si>
    <t>En 2022 se reportaron un total de 269 incendios, con un total de  herbáceo 51555.46,  Arbóreo 5700.29  y 28,868.26  de arbustivo</t>
  </si>
  <si>
    <t>En 2022 se reportaron un total de 43 incendios, con un total de  herbáceo 1,965.75,  Arbóreo 128.91  y 552.10 de arbustivo</t>
  </si>
  <si>
    <t>En 2022 se reportaron un total de 245 incendios, con un total de  herbáceo 68,782.61 ,  Arbóreo 10309.44  y 29,505.04  de arbustivo</t>
  </si>
  <si>
    <t>En 2022 se reportaron un total de 157 incendios, con un total de  herbáceo 416.03 ,  Arbóreo 172.00  y 744.29  de arbustivo</t>
  </si>
  <si>
    <t>En 2022 se reportaron un total de 935  incendios, con un total de  herbáceo 60,643.21 ,  Arbóreo 1984.97  y 20,093.37 de arbustivo</t>
  </si>
  <si>
    <t>En 2022 se reportaron un total de 1046 incendios, con un total de  herbáceo 3,771.91 ,  Arbóreo 956.35  y 4,739.05  de arbustivo</t>
  </si>
  <si>
    <t>En 2022 se reportaron un total de 566 incendios, con un total de  herbáceo 15,062.23 ,  Arbóreo 2042.87  y 6,937.43  de arbustivo</t>
  </si>
  <si>
    <t>En 2022 se reportaron un total de 2010 incendios, con un total de  herbáceo 1,280.73 ,  Arbóreo 6.02  y 435.27  de arbustivo</t>
  </si>
  <si>
    <t>En 2022 se reportaron un total de 98 incendios, con un total de  herbáceo 36,714.77 y 13,708.91  de arbustivo</t>
  </si>
  <si>
    <t xml:space="preserve">El día 24 de marzo, inició un incendio forestal en el estado de Nuevo León, municipio de Santiago, predio Cañón de Matacanes, ANP Cumbres de Monterrey.  
Al día 20 de abril, se reporta con 100% de control y 100% de liquidación, reportándose una superficie afectada de 5,000 hectáreas                     413 brigadistas.                                                            42 vehículos y 8 helicópteros: SEDENA (3 MI-17), SEMAR (1 MI-17), CONAGUA (1 Bell), Gobierno Nuevo León (2 heli pequeños) y Gobierno Coahuila (1 Bell). 
</t>
  </si>
  <si>
    <t>Se reporta el incendio liquidado con una afectación de 15 hectáreas de bosque y pastizal</t>
  </si>
  <si>
    <t>En 2022 se reportaron un total de 320  incendios, con un total de  herbáceo 3,379.80,  Arbóreo 262.00 y 2,044.50  de arbustivo</t>
  </si>
  <si>
    <t>En 2022 se reportaron un total de 26 incendios, con un total de  herbáceo 256.21,  Arbóreo 22.52 y 171.23  de arbustivo</t>
  </si>
  <si>
    <t>En 2022 se reportaron un total de 44 incendios, con un total de  herbáceo 776.97.  Arbóreo 2743.01 y 4,725.16  de arbustivo</t>
  </si>
  <si>
    <t>En 2022 se reportaron un total de 87 incendios, con un total de  herbáceo 6,615.68. y 2,978.52  de arbustivo</t>
  </si>
  <si>
    <t>En 2022 se reportaron un total de 31 incendios, con un total de  herbáceo 4,124.79. y 1027.00 arbóreo y 7,533.78  de arbustivo</t>
  </si>
  <si>
    <t>En 2022 se reportaron un total de 56 incendios, con un total de  herbáceo 25,473.21, 690.12 arbóreo y 7,533.78  de arbustivo</t>
  </si>
  <si>
    <t>En 2022 se reportaron un total de 18 incendios, con un total de  herbáceo 5,692.91</t>
  </si>
  <si>
    <t>En 2022 se reportaron un total de 30 incendios, con un total de  herbáceo 18,197.70,  arbóreo 270.00 y 9,809.00  de arbustivo</t>
  </si>
  <si>
    <t>En 2022 se reportaron un total de 126 incendios, con un total de  herbáceo 463.89,  arbóreo 4.20 y 109.51 de arbustivo</t>
  </si>
  <si>
    <t>En 2022 se reportaron un total de 269  incendios, con un total de  herbáceo 709.23,  arbóreo 302.11 y 1,294.01 de arbustivo</t>
  </si>
  <si>
    <t>En 2022 se reportaron un total de 36   incendios, con un total de  herbáceo 150.00,  arbóreo 11.13y 1,127.84  de arbustivo</t>
  </si>
  <si>
    <t>En 2022 se reportaron un total de 87   incendios, con un total de  herbáceo 11,110.19,  arbóreo 375.78 y 3,869.87  de arbustivo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</si>
</sst>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d\-m\-yy;@"/>
    <numFmt numFmtId="165" formatCode="#,##0.0"/>
    <numFmt numFmtId="166" formatCode="d\-mmm"/>
    <numFmt numFmtId="167" formatCode="d\-m"/>
    <numFmt numFmtId="168" formatCode="_-* #,##0_-;\-* #,##0_-;_-* &quot;-&quot;??_-;_-@_-"/>
    <numFmt numFmtId="169" formatCode="#,##0.00_ ;\-#,##0.00\ "/>
    <numFmt numFmtId="170" formatCode="_-&quot;$&quot;* #,##0.0_-;\-&quot;$&quot;* #,##0.0_-;_-&quot;$&quot;* &quot;-&quot;??_-;_-@_-"/>
    <numFmt numFmtId="171" formatCode="#,##0.000"/>
    <numFmt numFmtId="172" formatCode="0.0"/>
  </numFmts>
  <fonts count="31" x14ac:knownFonts="1">
    <font>
      <sz val="11"/>
      <color theme="1"/>
      <name val="Calibri"/>
      <family val="2"/>
      <scheme val="minor"/>
    </font>
    <font>
      <sz val="11"/>
      <color theme="1"/>
      <name val="Calibri"/>
      <family val="2"/>
      <scheme val="minor"/>
    </font>
    <font>
      <b/>
      <sz val="9"/>
      <name val="Arial"/>
      <family val="2"/>
    </font>
    <font>
      <sz val="9"/>
      <color theme="1"/>
      <name val="Arial"/>
      <family val="2"/>
    </font>
    <font>
      <sz val="9"/>
      <name val="Arial"/>
      <family val="2"/>
    </font>
    <font>
      <sz val="9"/>
      <color indexed="8"/>
      <name val="Arial"/>
      <family val="2"/>
    </font>
    <font>
      <i/>
      <sz val="9"/>
      <name val="Arial"/>
      <family val="2"/>
    </font>
    <font>
      <i/>
      <sz val="9"/>
      <color theme="1"/>
      <name val="Arial"/>
      <family val="2"/>
    </font>
    <font>
      <sz val="9"/>
      <color indexed="10"/>
      <name val="Arial"/>
      <family val="2"/>
    </font>
    <font>
      <sz val="9"/>
      <color theme="1"/>
      <name val="Calibri"/>
      <family val="2"/>
      <scheme val="minor"/>
    </font>
    <font>
      <sz val="10"/>
      <name val="Arial"/>
      <family val="2"/>
    </font>
    <font>
      <sz val="10"/>
      <color theme="1"/>
      <name val="Calibri"/>
      <family val="2"/>
      <scheme val="minor"/>
    </font>
    <font>
      <sz val="8"/>
      <name val="Arial"/>
      <family val="2"/>
    </font>
    <font>
      <vertAlign val="superscript"/>
      <sz val="9"/>
      <name val="Arial"/>
      <family val="2"/>
    </font>
    <font>
      <sz val="9"/>
      <color rgb="FF4B4B4B"/>
      <name val="Arial"/>
      <family val="2"/>
    </font>
    <font>
      <vertAlign val="superscript"/>
      <sz val="9"/>
      <color theme="1"/>
      <name val="Arial"/>
      <family val="2"/>
    </font>
    <font>
      <b/>
      <sz val="9"/>
      <color indexed="8"/>
      <name val="Arial"/>
      <family val="2"/>
    </font>
    <font>
      <sz val="8"/>
      <color theme="1"/>
      <name val="Arial"/>
      <family val="2"/>
    </font>
    <font>
      <sz val="10"/>
      <color theme="1"/>
      <name val="Arial"/>
      <family val="2"/>
    </font>
    <font>
      <sz val="10"/>
      <color rgb="FF000000"/>
      <name val="Arial"/>
      <family val="2"/>
    </font>
    <font>
      <u/>
      <sz val="11"/>
      <color theme="10"/>
      <name val="Calibri"/>
      <family val="2"/>
      <scheme val="minor"/>
    </font>
    <font>
      <u/>
      <sz val="9"/>
      <color theme="10"/>
      <name val="Arial"/>
      <family val="2"/>
    </font>
    <font>
      <sz val="9"/>
      <color rgb="FF2F2F2F"/>
      <name val="Arial"/>
      <family val="2"/>
    </font>
    <font>
      <sz val="10"/>
      <color rgb="FF222222"/>
      <name val="Calibri"/>
      <family val="2"/>
      <scheme val="minor"/>
    </font>
    <font>
      <sz val="9"/>
      <color rgb="FF222222"/>
      <name val="Calibri"/>
      <family val="2"/>
      <scheme val="minor"/>
    </font>
    <font>
      <b/>
      <sz val="9"/>
      <color theme="1"/>
      <name val="Calibri"/>
      <family val="2"/>
      <scheme val="minor"/>
    </font>
    <font>
      <b/>
      <sz val="10"/>
      <color theme="1"/>
      <name val="Calibri"/>
      <family val="2"/>
      <scheme val="minor"/>
    </font>
    <font>
      <b/>
      <sz val="9"/>
      <color rgb="FFFF0000"/>
      <name val="Calibri"/>
      <family val="2"/>
      <scheme val="minor"/>
    </font>
    <font>
      <sz val="10"/>
      <color rgb="FF222222"/>
      <name val="Montserrat"/>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34998626667073579"/>
        <bgColor indexed="64"/>
      </patternFill>
    </fill>
    <fill>
      <patternFill patternType="solid">
        <fgColor indexed="9"/>
        <bgColor indexed="64"/>
      </patternFill>
    </fill>
    <fill>
      <patternFill patternType="solid">
        <fgColor theme="0"/>
        <bgColor indexed="64"/>
      </patternFill>
    </fill>
    <fill>
      <patternFill patternType="solid">
        <fgColor rgb="FFFAFAF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0" fillId="0" borderId="0"/>
    <xf numFmtId="0" fontId="10"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cellStyleXfs>
  <cellXfs count="365">
    <xf numFmtId="0" fontId="0" fillId="0" borderId="0" xfId="0"/>
    <xf numFmtId="0" fontId="3" fillId="0" borderId="0" xfId="0" applyFont="1" applyAlignment="1">
      <alignment horizontal="center" vertical="center"/>
    </xf>
    <xf numFmtId="16" fontId="3" fillId="0" borderId="1" xfId="0" applyNumberFormat="1" applyFont="1" applyBorder="1" applyAlignment="1">
      <alignment horizontal="center" vertical="center"/>
    </xf>
    <xf numFmtId="16" fontId="4"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0" fontId="3" fillId="0" borderId="0" xfId="0" applyFont="1" applyAlignment="1">
      <alignment horizontal="left" vertical="center"/>
    </xf>
    <xf numFmtId="0" fontId="5" fillId="0" borderId="1" xfId="0" applyFont="1" applyFill="1" applyBorder="1" applyAlignment="1">
      <alignment horizontal="left" vertical="center"/>
    </xf>
    <xf numFmtId="165" fontId="4" fillId="0" borderId="1" xfId="0" applyNumberFormat="1" applyFont="1" applyBorder="1" applyAlignment="1">
      <alignment horizontal="left" vertical="center"/>
    </xf>
    <xf numFmtId="165" fontId="4" fillId="0" borderId="1" xfId="0" quotePrefix="1" applyNumberFormat="1" applyFont="1" applyBorder="1" applyAlignment="1">
      <alignment horizontal="left" vertical="center" wrapText="1"/>
    </xf>
    <xf numFmtId="165" fontId="4" fillId="0" borderId="1" xfId="0" applyNumberFormat="1" applyFont="1" applyBorder="1" applyAlignment="1" applyProtection="1">
      <alignment horizontal="left" vertical="center" wrapText="1"/>
      <protection locked="0"/>
    </xf>
    <xf numFmtId="3" fontId="4" fillId="0" borderId="1" xfId="0" quotePrefix="1" applyNumberFormat="1" applyFont="1" applyBorder="1" applyAlignment="1">
      <alignment horizontal="center" vertical="center"/>
    </xf>
    <xf numFmtId="3" fontId="4" fillId="0" borderId="1" xfId="0" applyNumberFormat="1" applyFont="1" applyBorder="1" applyAlignment="1">
      <alignment horizontal="center" vertical="center"/>
    </xf>
    <xf numFmtId="44" fontId="4" fillId="0" borderId="1" xfId="1" applyNumberFormat="1" applyFont="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165" fontId="4" fillId="0" borderId="1" xfId="0" applyNumberFormat="1" applyFont="1" applyBorder="1" applyAlignment="1">
      <alignment horizontal="left" vertical="center" wrapText="1"/>
    </xf>
    <xf numFmtId="0" fontId="3" fillId="0" borderId="1" xfId="0" applyFont="1" applyBorder="1" applyAlignment="1">
      <alignment horizontal="left" vertical="center"/>
    </xf>
    <xf numFmtId="16" fontId="4" fillId="0" borderId="1" xfId="0" quotePrefix="1" applyNumberFormat="1" applyFont="1" applyFill="1" applyBorder="1" applyAlignment="1">
      <alignment horizontal="center" vertical="center" wrapText="1"/>
    </xf>
    <xf numFmtId="165" fontId="4" fillId="0" borderId="1" xfId="0" applyNumberFormat="1" applyFont="1" applyFill="1" applyBorder="1" applyAlignment="1" applyProtection="1">
      <alignment horizontal="left" vertical="center" wrapText="1"/>
      <protection locked="0"/>
    </xf>
    <xf numFmtId="3" fontId="4" fillId="0" borderId="1" xfId="0" quotePrefix="1"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16" fontId="4" fillId="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left" vertical="center"/>
    </xf>
    <xf numFmtId="16"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65" fontId="4" fillId="0" borderId="1" xfId="0" applyNumberFormat="1" applyFont="1" applyFill="1" applyBorder="1" applyAlignment="1">
      <alignment horizontal="left" vertical="center" wrapText="1"/>
    </xf>
    <xf numFmtId="44" fontId="4" fillId="0" borderId="1" xfId="1" applyNumberFormat="1" applyFont="1" applyFill="1" applyBorder="1" applyAlignment="1">
      <alignment vertical="center"/>
    </xf>
    <xf numFmtId="0" fontId="4" fillId="0" borderId="1" xfId="0" applyFont="1" applyFill="1" applyBorder="1" applyAlignment="1">
      <alignment horizontal="center" vertical="center"/>
    </xf>
    <xf numFmtId="165" fontId="4" fillId="0" borderId="1" xfId="0" applyNumberFormat="1" applyFont="1" applyFill="1" applyBorder="1" applyAlignment="1">
      <alignment horizontal="left" vertical="center"/>
    </xf>
    <xf numFmtId="165" fontId="4" fillId="0" borderId="1" xfId="0" quotePrefix="1"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3" fontId="3" fillId="0" borderId="1" xfId="0" applyNumberFormat="1" applyFont="1" applyFill="1" applyBorder="1" applyAlignment="1">
      <alignment horizontal="center" vertical="center"/>
    </xf>
    <xf numFmtId="44" fontId="3" fillId="0" borderId="1" xfId="1" applyNumberFormat="1" applyFont="1" applyFill="1" applyBorder="1" applyAlignment="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left" wrapText="1"/>
    </xf>
    <xf numFmtId="0" fontId="3" fillId="0" borderId="1" xfId="0" applyFont="1" applyBorder="1" applyAlignment="1">
      <alignment horizontal="center" vertical="center"/>
    </xf>
    <xf numFmtId="16"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xf>
    <xf numFmtId="44" fontId="5" fillId="0" borderId="1" xfId="1" applyNumberFormat="1" applyFont="1" applyFill="1" applyBorder="1" applyAlignment="1">
      <alignment vertical="center"/>
    </xf>
    <xf numFmtId="0" fontId="5" fillId="0" borderId="1" xfId="0" applyFont="1" applyFill="1" applyBorder="1" applyAlignment="1">
      <alignment horizontal="center" vertical="center"/>
    </xf>
    <xf numFmtId="3"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6"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4" fontId="4" fillId="0" borderId="1" xfId="1" applyNumberFormat="1" applyFont="1" applyFill="1" applyBorder="1" applyAlignment="1">
      <alignment vertical="center" wrapText="1"/>
    </xf>
    <xf numFmtId="16"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166" fontId="4" fillId="0" borderId="1" xfId="0" applyNumberFormat="1" applyFont="1" applyFill="1" applyBorder="1" applyAlignment="1">
      <alignment horizontal="left" vertical="center" wrapText="1"/>
    </xf>
    <xf numFmtId="3" fontId="4" fillId="0" borderId="1" xfId="0" applyNumberFormat="1" applyFont="1" applyFill="1" applyBorder="1" applyAlignment="1">
      <alignment horizontal="left" vertical="center" wrapText="1"/>
    </xf>
    <xf numFmtId="167" fontId="4" fillId="0" borderId="1" xfId="0" applyNumberFormat="1" applyFont="1" applyFill="1" applyBorder="1" applyAlignment="1">
      <alignment horizontal="left" vertical="center" wrapText="1"/>
    </xf>
    <xf numFmtId="16" fontId="4" fillId="0" borderId="1" xfId="0" applyNumberFormat="1" applyFont="1" applyFill="1" applyBorder="1" applyAlignment="1">
      <alignment horizontal="left" vertical="center" wrapText="1"/>
    </xf>
    <xf numFmtId="0" fontId="4" fillId="0" borderId="1" xfId="0" applyFont="1" applyFill="1" applyBorder="1" applyAlignment="1">
      <alignment horizontal="left" wrapText="1"/>
    </xf>
    <xf numFmtId="16"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44" fontId="5" fillId="0" borderId="1" xfId="1" applyNumberFormat="1" applyFont="1" applyFill="1" applyBorder="1" applyAlignment="1">
      <alignment vertical="center" wrapText="1"/>
    </xf>
    <xf numFmtId="165" fontId="5" fillId="0" borderId="1" xfId="0" applyNumberFormat="1" applyFont="1" applyFill="1" applyBorder="1" applyAlignment="1">
      <alignment horizontal="left" vertical="center" wrapText="1"/>
    </xf>
    <xf numFmtId="16" fontId="4"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left" vertical="center" wrapText="1"/>
    </xf>
    <xf numFmtId="3" fontId="4" fillId="3" borderId="1" xfId="0" applyNumberFormat="1" applyFont="1" applyFill="1" applyBorder="1" applyAlignment="1">
      <alignment horizontal="left" vertical="center" wrapText="1"/>
    </xf>
    <xf numFmtId="3" fontId="4" fillId="3" borderId="1"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44" fontId="4" fillId="3" borderId="1" xfId="1" applyNumberFormat="1" applyFont="1" applyFill="1" applyBorder="1" applyAlignment="1">
      <alignment vertical="center"/>
    </xf>
    <xf numFmtId="3" fontId="4" fillId="3" borderId="1" xfId="0" quotePrefix="1" applyNumberFormat="1" applyFont="1" applyFill="1" applyBorder="1" applyAlignment="1">
      <alignment horizontal="left" vertical="center" wrapText="1"/>
    </xf>
    <xf numFmtId="166" fontId="4" fillId="3" borderId="1" xfId="0" applyNumberFormat="1" applyFont="1" applyFill="1" applyBorder="1" applyAlignment="1">
      <alignment horizontal="left" vertical="center"/>
    </xf>
    <xf numFmtId="165" fontId="4" fillId="3" borderId="1" xfId="0" quotePrefix="1" applyNumberFormat="1"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quotePrefix="1" applyFont="1" applyFill="1" applyBorder="1" applyAlignment="1">
      <alignment horizontal="left" vertical="center" wrapText="1"/>
    </xf>
    <xf numFmtId="0" fontId="4" fillId="0" borderId="1" xfId="0" applyFont="1" applyBorder="1" applyAlignment="1">
      <alignment horizontal="left" vertical="center" wrapText="1"/>
    </xf>
    <xf numFmtId="4" fontId="4" fillId="0" borderId="1" xfId="0" applyNumberFormat="1" applyFont="1" applyFill="1" applyBorder="1" applyAlignment="1">
      <alignment horizontal="center" vertical="center"/>
    </xf>
    <xf numFmtId="44" fontId="4" fillId="0" borderId="1" xfId="0" applyNumberFormat="1" applyFont="1" applyFill="1" applyBorder="1" applyAlignment="1">
      <alignmen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4" fillId="3" borderId="1" xfId="0" quotePrefix="1" applyFont="1" applyFill="1" applyBorder="1" applyAlignment="1">
      <alignment horizontal="left" vertical="center" wrapText="1"/>
    </xf>
    <xf numFmtId="0" fontId="2" fillId="3" borderId="1" xfId="0" applyFont="1" applyFill="1" applyBorder="1" applyAlignment="1">
      <alignment horizontal="center" vertical="center"/>
    </xf>
    <xf numFmtId="3" fontId="2" fillId="3" borderId="1" xfId="0" applyNumberFormat="1" applyFont="1" applyFill="1" applyBorder="1" applyAlignment="1">
      <alignment horizontal="center" vertical="center"/>
    </xf>
    <xf numFmtId="16" fontId="4" fillId="3" borderId="1" xfId="0" applyNumberFormat="1" applyFont="1" applyFill="1" applyBorder="1" applyAlignment="1">
      <alignment horizontal="left" vertical="center"/>
    </xf>
    <xf numFmtId="166" fontId="4" fillId="3" borderId="1" xfId="0" applyNumberFormat="1" applyFont="1" applyFill="1" applyBorder="1" applyAlignment="1">
      <alignment horizontal="left" vertical="center" wrapText="1"/>
    </xf>
    <xf numFmtId="0" fontId="3" fillId="0" borderId="1" xfId="0" applyFont="1" applyBorder="1" applyAlignment="1">
      <alignment horizontal="left" vertical="center" wrapText="1"/>
    </xf>
    <xf numFmtId="0" fontId="4" fillId="0" borderId="1" xfId="0" applyFont="1" applyBorder="1" applyAlignment="1">
      <alignment horizontal="left" wrapText="1"/>
    </xf>
    <xf numFmtId="3" fontId="4" fillId="0" borderId="1" xfId="1" applyNumberFormat="1" applyFont="1" applyBorder="1" applyAlignment="1">
      <alignment horizontal="center" vertical="center"/>
    </xf>
    <xf numFmtId="44" fontId="3" fillId="0" borderId="1" xfId="1" applyNumberFormat="1" applyFont="1" applyBorder="1" applyAlignment="1">
      <alignment vertical="center"/>
    </xf>
    <xf numFmtId="16"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3" fontId="5" fillId="3" borderId="1" xfId="0" applyNumberFormat="1" applyFont="1" applyFill="1" applyBorder="1" applyAlignment="1">
      <alignment horizontal="center" vertical="center"/>
    </xf>
    <xf numFmtId="44" fontId="5" fillId="3" borderId="1" xfId="1" applyNumberFormat="1" applyFont="1" applyFill="1" applyBorder="1" applyAlignment="1">
      <alignment vertical="center"/>
    </xf>
    <xf numFmtId="44" fontId="8" fillId="3" borderId="1" xfId="1" applyNumberFormat="1" applyFont="1" applyFill="1" applyBorder="1" applyAlignment="1">
      <alignment vertical="center"/>
    </xf>
    <xf numFmtId="16" fontId="4" fillId="3" borderId="1" xfId="0" applyNumberFormat="1" applyFont="1" applyFill="1" applyBorder="1" applyAlignment="1">
      <alignment horizontal="left" vertical="center" wrapText="1"/>
    </xf>
    <xf numFmtId="1" fontId="4" fillId="3" borderId="1" xfId="0" applyNumberFormat="1" applyFont="1" applyFill="1" applyBorder="1" applyAlignment="1">
      <alignment horizontal="center" vertical="center"/>
    </xf>
    <xf numFmtId="166" fontId="4" fillId="3" borderId="1" xfId="0" quotePrefix="1" applyNumberFormat="1" applyFont="1" applyFill="1" applyBorder="1" applyAlignment="1">
      <alignment horizontal="left" vertical="center" wrapText="1"/>
    </xf>
    <xf numFmtId="16" fontId="4" fillId="3" borderId="1" xfId="0" quotePrefix="1" applyNumberFormat="1" applyFont="1" applyFill="1" applyBorder="1" applyAlignment="1">
      <alignment horizontal="center" vertical="center"/>
    </xf>
    <xf numFmtId="1" fontId="4" fillId="3" borderId="1" xfId="0" quotePrefix="1" applyNumberFormat="1" applyFont="1" applyFill="1" applyBorder="1" applyAlignment="1">
      <alignment horizontal="left" vertical="center" wrapText="1"/>
    </xf>
    <xf numFmtId="1" fontId="4" fillId="3" borderId="1" xfId="0" applyNumberFormat="1" applyFont="1" applyFill="1" applyBorder="1" applyAlignment="1">
      <alignment horizontal="left" vertical="center" wrapText="1"/>
    </xf>
    <xf numFmtId="1" fontId="4"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44" fontId="4" fillId="0" borderId="1" xfId="0" applyNumberFormat="1" applyFont="1" applyFill="1" applyBorder="1" applyAlignment="1">
      <alignment vertical="center" wrapText="1"/>
    </xf>
    <xf numFmtId="166" fontId="4" fillId="0" borderId="1" xfId="0" quotePrefix="1" applyNumberFormat="1" applyFont="1" applyFill="1" applyBorder="1" applyAlignment="1">
      <alignment horizontal="left" vertical="center"/>
    </xf>
    <xf numFmtId="166" fontId="4" fillId="0" borderId="1" xfId="0" quotePrefix="1" applyNumberFormat="1" applyFont="1" applyFill="1" applyBorder="1" applyAlignment="1">
      <alignment horizontal="left" vertical="center" wrapText="1"/>
    </xf>
    <xf numFmtId="16" fontId="9" fillId="0" borderId="1" xfId="0" applyNumberFormat="1" applyFont="1" applyFill="1" applyBorder="1" applyAlignment="1">
      <alignment horizontal="center" wrapText="1"/>
    </xf>
    <xf numFmtId="44" fontId="5" fillId="0" borderId="1" xfId="0" applyNumberFormat="1" applyFont="1" applyFill="1" applyBorder="1" applyAlignment="1">
      <alignment vertical="center" wrapText="1"/>
    </xf>
    <xf numFmtId="0" fontId="5" fillId="0" borderId="1" xfId="0" quotePrefix="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4" fillId="0" borderId="1" xfId="0" quotePrefix="1" applyFont="1" applyFill="1" applyBorder="1" applyAlignment="1">
      <alignment horizontal="left" vertical="center" wrapText="1"/>
    </xf>
    <xf numFmtId="1" fontId="4" fillId="0" borderId="1" xfId="0" applyNumberFormat="1" applyFont="1" applyFill="1" applyBorder="1" applyAlignment="1">
      <alignment horizontal="left" vertical="center" wrapText="1"/>
    </xf>
    <xf numFmtId="0" fontId="5" fillId="0" borderId="1" xfId="0" quotePrefix="1" applyFont="1" applyFill="1" applyBorder="1" applyAlignment="1">
      <alignment horizontal="left" vertical="center" wrapText="1"/>
    </xf>
    <xf numFmtId="166" fontId="4" fillId="0" borderId="1" xfId="0" applyNumberFormat="1" applyFont="1" applyFill="1" applyBorder="1" applyAlignment="1">
      <alignment vertical="center" wrapText="1"/>
    </xf>
    <xf numFmtId="3" fontId="4" fillId="0" borderId="1" xfId="0" applyNumberFormat="1" applyFont="1" applyFill="1" applyBorder="1" applyAlignment="1">
      <alignment vertical="center" wrapText="1"/>
    </xf>
    <xf numFmtId="3" fontId="4" fillId="0" borderId="1" xfId="0" quotePrefix="1" applyNumberFormat="1" applyFont="1" applyFill="1" applyBorder="1" applyAlignment="1">
      <alignment vertical="center" wrapText="1"/>
    </xf>
    <xf numFmtId="0" fontId="4" fillId="0" borderId="1" xfId="0" applyFont="1" applyFill="1" applyBorder="1" applyAlignment="1">
      <alignment vertical="center" wrapText="1"/>
    </xf>
    <xf numFmtId="165" fontId="4" fillId="0" borderId="1" xfId="0" quotePrefix="1" applyNumberFormat="1" applyFont="1" applyFill="1" applyBorder="1" applyAlignment="1">
      <alignment vertical="center" wrapText="1"/>
    </xf>
    <xf numFmtId="165" fontId="4" fillId="0" borderId="1" xfId="0" applyNumberFormat="1" applyFont="1" applyFill="1" applyBorder="1" applyAlignment="1">
      <alignment vertical="center" wrapText="1"/>
    </xf>
    <xf numFmtId="16" fontId="4" fillId="0" borderId="1" xfId="0" quotePrefix="1" applyNumberFormat="1" applyFont="1" applyFill="1" applyBorder="1" applyAlignment="1">
      <alignment horizontal="center" vertical="center"/>
    </xf>
    <xf numFmtId="16"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3"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44" fontId="4" fillId="0" borderId="1" xfId="0" quotePrefix="1" applyNumberFormat="1" applyFont="1" applyFill="1" applyBorder="1" applyAlignment="1">
      <alignment vertical="center"/>
    </xf>
    <xf numFmtId="4" fontId="4"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14" fontId="4" fillId="0" borderId="1" xfId="0" applyNumberFormat="1" applyFont="1" applyFill="1" applyBorder="1" applyAlignment="1">
      <alignment horizontal="center" vertical="center" wrapText="1"/>
    </xf>
    <xf numFmtId="44" fontId="4" fillId="0" borderId="1" xfId="0" applyNumberFormat="1" applyFont="1" applyFill="1" applyBorder="1" applyAlignment="1">
      <alignment horizontal="right" vertical="center" wrapText="1"/>
    </xf>
    <xf numFmtId="0" fontId="9" fillId="0" borderId="1" xfId="0" applyFont="1" applyFill="1" applyBorder="1" applyAlignment="1">
      <alignment horizontal="center"/>
    </xf>
    <xf numFmtId="44" fontId="4" fillId="0" borderId="1" xfId="0" applyNumberFormat="1" applyFont="1" applyFill="1" applyBorder="1" applyAlignment="1">
      <alignment horizontal="right" vertical="center"/>
    </xf>
    <xf numFmtId="165"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wrapText="1"/>
    </xf>
    <xf numFmtId="16"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16" fontId="10" fillId="0" borderId="1" xfId="0" applyNumberFormat="1" applyFont="1" applyFill="1" applyBorder="1" applyAlignment="1">
      <alignment horizontal="center" vertical="center"/>
    </xf>
    <xf numFmtId="16" fontId="3" fillId="0" borderId="1" xfId="0" quotePrefix="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left" vertical="center" wrapText="1"/>
      <protection locked="0"/>
    </xf>
    <xf numFmtId="1" fontId="3" fillId="0" borderId="1" xfId="0" quotePrefix="1"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70" fontId="3" fillId="0" borderId="1" xfId="1" applyNumberFormat="1" applyFont="1" applyFill="1" applyBorder="1" applyAlignment="1">
      <alignment vertical="center" wrapText="1"/>
    </xf>
    <xf numFmtId="49" fontId="3"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49" fontId="4" fillId="0" borderId="1" xfId="0" applyNumberFormat="1" applyFont="1" applyFill="1" applyBorder="1" applyAlignment="1">
      <alignment horizontal="left" vertical="center" wrapText="1"/>
    </xf>
    <xf numFmtId="0" fontId="4" fillId="0" borderId="1" xfId="0" applyNumberFormat="1" applyFont="1" applyFill="1" applyBorder="1" applyAlignment="1" applyProtection="1">
      <alignment horizontal="left" vertical="center" wrapText="1"/>
      <protection locked="0"/>
    </xf>
    <xf numFmtId="1" fontId="4" fillId="0" borderId="1" xfId="0" quotePrefix="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0" fillId="0" borderId="1" xfId="0" applyFont="1" applyFill="1" applyBorder="1" applyAlignment="1">
      <alignment horizontal="left" wrapText="1"/>
    </xf>
    <xf numFmtId="0" fontId="10" fillId="0" borderId="1" xfId="0" applyFont="1" applyFill="1" applyBorder="1" applyAlignment="1">
      <alignment wrapText="1"/>
    </xf>
    <xf numFmtId="0" fontId="3" fillId="0" borderId="1" xfId="0" applyFont="1" applyBorder="1" applyAlignment="1">
      <alignment vertical="center" wrapText="1"/>
    </xf>
    <xf numFmtId="1" fontId="10" fillId="0" borderId="1" xfId="0" applyNumberFormat="1" applyFont="1" applyFill="1" applyBorder="1" applyAlignment="1">
      <alignment horizontal="center" vertical="center"/>
    </xf>
    <xf numFmtId="0" fontId="4" fillId="0" borderId="1" xfId="0" applyFont="1" applyFill="1" applyBorder="1" applyAlignment="1">
      <alignment wrapText="1"/>
    </xf>
    <xf numFmtId="0" fontId="3" fillId="0" borderId="1" xfId="0" applyFont="1" applyBorder="1" applyAlignment="1">
      <alignment wrapText="1"/>
    </xf>
    <xf numFmtId="0" fontId="3" fillId="0" borderId="1" xfId="0" applyFont="1" applyFill="1" applyBorder="1" applyAlignment="1">
      <alignment horizontal="center" vertical="center" wrapText="1"/>
    </xf>
    <xf numFmtId="44" fontId="3" fillId="0" borderId="1" xfId="1" applyNumberFormat="1" applyFont="1" applyFill="1" applyBorder="1" applyAlignment="1">
      <alignment vertical="center" wrapText="1"/>
    </xf>
    <xf numFmtId="0" fontId="4" fillId="0" borderId="1" xfId="0" applyFont="1" applyFill="1" applyBorder="1" applyAlignment="1">
      <alignment horizontal="left" vertical="top" wrapText="1"/>
    </xf>
    <xf numFmtId="171" fontId="12"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0" fillId="0" borderId="0" xfId="0" applyBorder="1"/>
    <xf numFmtId="3" fontId="4" fillId="0" borderId="1" xfId="0" quotePrefix="1" applyNumberFormat="1" applyFont="1" applyFill="1" applyBorder="1" applyAlignment="1">
      <alignment horizontal="center" vertical="center" wrapText="1"/>
    </xf>
    <xf numFmtId="0" fontId="12" fillId="0" borderId="0" xfId="0"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171" fontId="12" fillId="0" borderId="0" xfId="0" applyNumberFormat="1" applyFont="1" applyFill="1" applyBorder="1" applyAlignment="1">
      <alignment horizontal="center"/>
    </xf>
    <xf numFmtId="0" fontId="12" fillId="0" borderId="0" xfId="0" applyFont="1" applyFill="1" applyBorder="1" applyAlignment="1">
      <alignment horizontal="center"/>
    </xf>
    <xf numFmtId="49" fontId="4" fillId="0" borderId="1"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1" fontId="4" fillId="0" borderId="1" xfId="0" applyNumberFormat="1" applyFont="1" applyFill="1" applyBorder="1" applyAlignment="1">
      <alignment horizontal="center" vertical="center"/>
    </xf>
    <xf numFmtId="2" fontId="12" fillId="0" borderId="0" xfId="0" applyNumberFormat="1" applyFont="1" applyFill="1" applyBorder="1" applyAlignment="1">
      <alignment horizontal="center" vertical="center"/>
    </xf>
    <xf numFmtId="0" fontId="4" fillId="0" borderId="1" xfId="0" applyNumberFormat="1" applyFont="1" applyFill="1" applyBorder="1" applyAlignment="1" applyProtection="1">
      <alignment horizontal="left" vertical="top" wrapText="1"/>
      <protection locked="0"/>
    </xf>
    <xf numFmtId="3" fontId="14" fillId="0" borderId="1" xfId="0" applyNumberFormat="1" applyFont="1" applyFill="1" applyBorder="1" applyAlignment="1">
      <alignment horizontal="center" vertical="center"/>
    </xf>
    <xf numFmtId="0" fontId="4" fillId="0" borderId="1" xfId="0" applyNumberFormat="1" applyFont="1" applyFill="1" applyBorder="1" applyAlignment="1" applyProtection="1">
      <alignment horizontal="left" vertical="justify" wrapText="1"/>
      <protection locked="0"/>
    </xf>
    <xf numFmtId="49" fontId="4" fillId="0" borderId="1" xfId="3" applyNumberFormat="1" applyFont="1" applyFill="1" applyBorder="1" applyAlignment="1">
      <alignment horizontal="left" vertical="center" wrapText="1"/>
    </xf>
    <xf numFmtId="3" fontId="3" fillId="0" borderId="1" xfId="0" applyNumberFormat="1" applyFont="1" applyFill="1" applyBorder="1" applyAlignment="1" applyProtection="1">
      <alignment horizontal="center" vertical="center" wrapText="1"/>
      <protection locked="0"/>
    </xf>
    <xf numFmtId="1"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xf>
    <xf numFmtId="3"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center" vertical="center" wrapText="1"/>
      <protection locked="0"/>
    </xf>
    <xf numFmtId="3" fontId="3" fillId="0" borderId="1" xfId="0" quotePrefix="1" applyNumberFormat="1"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3" fillId="0" borderId="1" xfId="4" applyNumberFormat="1" applyFont="1" applyFill="1" applyBorder="1" applyAlignment="1" applyProtection="1">
      <alignment horizontal="left" vertical="center" wrapText="1"/>
      <protection locked="0"/>
    </xf>
    <xf numFmtId="15" fontId="3"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172" fontId="3" fillId="0" borderId="1" xfId="0" applyNumberFormat="1" applyFont="1" applyFill="1" applyBorder="1" applyAlignment="1">
      <alignment horizontal="center" vertical="center" wrapText="1"/>
    </xf>
    <xf numFmtId="44" fontId="3" fillId="0" borderId="1" xfId="1" applyNumberFormat="1" applyFont="1" applyFill="1" applyBorder="1" applyAlignment="1" applyProtection="1">
      <alignment vertical="center" wrapText="1"/>
      <protection locked="0"/>
    </xf>
    <xf numFmtId="16" fontId="3" fillId="0" borderId="1" xfId="5"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0" fontId="3" fillId="0" borderId="1" xfId="5" applyFont="1" applyFill="1" applyBorder="1" applyAlignment="1">
      <alignment horizontal="left" vertical="center" wrapText="1"/>
    </xf>
    <xf numFmtId="3" fontId="3" fillId="0" borderId="1" xfId="5" applyNumberFormat="1" applyFont="1" applyFill="1" applyBorder="1" applyAlignment="1">
      <alignment horizontal="center" vertical="center" wrapText="1"/>
    </xf>
    <xf numFmtId="16" fontId="4" fillId="0" borderId="1" xfId="5" applyNumberFormat="1" applyFont="1" applyFill="1" applyBorder="1" applyAlignment="1">
      <alignment horizontal="center" vertical="center"/>
    </xf>
    <xf numFmtId="0" fontId="4" fillId="0" borderId="1" xfId="5" applyNumberFormat="1" applyFont="1" applyFill="1" applyBorder="1" applyAlignment="1">
      <alignment horizontal="center" vertical="center"/>
    </xf>
    <xf numFmtId="0" fontId="4" fillId="4" borderId="1" xfId="0" applyNumberFormat="1" applyFont="1" applyFill="1" applyBorder="1" applyAlignment="1" applyProtection="1">
      <alignment horizontal="left" vertical="center" wrapText="1"/>
      <protection locked="0"/>
    </xf>
    <xf numFmtId="1" fontId="4" fillId="0" borderId="1" xfId="0" quotePrefix="1" applyNumberFormat="1" applyFont="1" applyFill="1" applyBorder="1" applyAlignment="1">
      <alignment horizontal="center" vertical="center"/>
    </xf>
    <xf numFmtId="0" fontId="4" fillId="0" borderId="1" xfId="5" applyFont="1" applyFill="1" applyBorder="1" applyAlignment="1">
      <alignment horizontal="center" vertical="center"/>
    </xf>
    <xf numFmtId="16"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4" borderId="1" xfId="0" applyNumberFormat="1" applyFont="1" applyFill="1" applyBorder="1" applyAlignment="1" applyProtection="1">
      <alignment horizontal="center" vertical="center"/>
      <protection locked="0"/>
    </xf>
    <xf numFmtId="3" fontId="4" fillId="4" borderId="1" xfId="0" applyNumberFormat="1" applyFont="1" applyFill="1" applyBorder="1" applyAlignment="1" applyProtection="1">
      <alignment horizontal="center" vertical="center"/>
      <protection locked="0"/>
    </xf>
    <xf numFmtId="1" fontId="4" fillId="4" borderId="1" xfId="0" applyNumberFormat="1" applyFont="1" applyFill="1" applyBorder="1" applyAlignment="1">
      <alignment horizontal="center" vertical="center"/>
    </xf>
    <xf numFmtId="16" fontId="3" fillId="4" borderId="1" xfId="0" applyNumberFormat="1" applyFont="1" applyFill="1" applyBorder="1" applyAlignment="1">
      <alignment horizontal="center" vertical="center"/>
    </xf>
    <xf numFmtId="0" fontId="4" fillId="0" borderId="1" xfId="5" applyFont="1" applyFill="1" applyBorder="1" applyAlignment="1">
      <alignment horizontal="left" vertical="center" wrapText="1"/>
    </xf>
    <xf numFmtId="3" fontId="4" fillId="0" borderId="1" xfId="5" applyNumberFormat="1" applyFont="1" applyFill="1" applyBorder="1" applyAlignment="1">
      <alignment horizontal="center" vertical="center"/>
    </xf>
    <xf numFmtId="0" fontId="4" fillId="4" borderId="1" xfId="5" applyFont="1" applyFill="1" applyBorder="1" applyAlignment="1">
      <alignment horizontal="left" vertical="center" wrapText="1"/>
    </xf>
    <xf numFmtId="1" fontId="4" fillId="4" borderId="1" xfId="0" quotePrefix="1" applyNumberFormat="1" applyFont="1" applyFill="1" applyBorder="1" applyAlignment="1">
      <alignment horizontal="center" vertical="center"/>
    </xf>
    <xf numFmtId="3" fontId="4" fillId="4" borderId="1" xfId="0" applyNumberFormat="1" applyFont="1" applyFill="1" applyBorder="1" applyAlignment="1">
      <alignment horizontal="center" vertical="center"/>
    </xf>
    <xf numFmtId="44" fontId="4" fillId="4" borderId="1" xfId="1" applyNumberFormat="1" applyFont="1" applyFill="1" applyBorder="1" applyAlignment="1">
      <alignment vertical="center"/>
    </xf>
    <xf numFmtId="0" fontId="4" fillId="5" borderId="1" xfId="0" applyFont="1" applyFill="1" applyBorder="1" applyAlignment="1">
      <alignment horizontal="left" vertical="center" wrapText="1"/>
    </xf>
    <xf numFmtId="0" fontId="4" fillId="0" borderId="1" xfId="0" applyNumberFormat="1" applyFont="1" applyFill="1" applyBorder="1" applyAlignment="1" applyProtection="1">
      <alignment horizontal="center" vertical="center"/>
      <protection locked="0"/>
    </xf>
    <xf numFmtId="3" fontId="4" fillId="0" borderId="1" xfId="0" applyNumberFormat="1" applyFont="1" applyFill="1" applyBorder="1" applyAlignment="1" applyProtection="1">
      <alignment horizontal="center" vertical="center"/>
      <protection locked="0"/>
    </xf>
    <xf numFmtId="49" fontId="4" fillId="0" borderId="1" xfId="0" applyNumberFormat="1" applyFont="1" applyFill="1" applyBorder="1" applyAlignment="1">
      <alignment horizontal="left" vertical="center"/>
    </xf>
    <xf numFmtId="3" fontId="4" fillId="5" borderId="1" xfId="0" applyNumberFormat="1" applyFont="1" applyFill="1" applyBorder="1" applyAlignment="1">
      <alignment horizontal="center" vertical="center"/>
    </xf>
    <xf numFmtId="0" fontId="4" fillId="4" borderId="1" xfId="0" quotePrefix="1" applyNumberFormat="1" applyFont="1" applyFill="1" applyBorder="1" applyAlignment="1" applyProtection="1">
      <alignment horizontal="left" vertical="center"/>
      <protection locked="0"/>
    </xf>
    <xf numFmtId="15" fontId="4" fillId="5" borderId="1" xfId="0" applyNumberFormat="1" applyFont="1" applyFill="1" applyBorder="1" applyAlignment="1">
      <alignment horizontal="left" vertical="center"/>
    </xf>
    <xf numFmtId="16" fontId="4" fillId="4" borderId="1" xfId="0" quotePrefix="1" applyNumberFormat="1" applyFont="1" applyFill="1" applyBorder="1" applyAlignment="1" applyProtection="1">
      <alignment horizontal="center" vertical="center"/>
      <protection locked="0"/>
    </xf>
    <xf numFmtId="0" fontId="4" fillId="4" borderId="1" xfId="0" applyFont="1" applyFill="1" applyBorder="1" applyAlignment="1">
      <alignment horizontal="left" vertical="center" wrapText="1"/>
    </xf>
    <xf numFmtId="44" fontId="4" fillId="0" borderId="1" xfId="1" applyNumberFormat="1" applyFont="1" applyFill="1" applyBorder="1" applyAlignment="1" applyProtection="1">
      <alignment vertical="center"/>
      <protection locked="0"/>
    </xf>
    <xf numFmtId="0" fontId="3" fillId="4" borderId="1" xfId="0" applyFont="1" applyFill="1" applyBorder="1" applyAlignment="1">
      <alignment horizontal="center" vertical="center"/>
    </xf>
    <xf numFmtId="44" fontId="3" fillId="4" borderId="1" xfId="1" applyNumberFormat="1" applyFont="1" applyFill="1" applyBorder="1" applyAlignment="1">
      <alignment vertical="center"/>
    </xf>
    <xf numFmtId="0" fontId="4" fillId="0" borderId="1" xfId="0" quotePrefix="1" applyNumberFormat="1" applyFont="1" applyFill="1" applyBorder="1" applyAlignment="1" applyProtection="1">
      <alignment horizontal="left" vertical="center"/>
      <protection locked="0"/>
    </xf>
    <xf numFmtId="44" fontId="4" fillId="4" borderId="1" xfId="1" applyNumberFormat="1" applyFont="1" applyFill="1" applyBorder="1" applyAlignment="1" applyProtection="1">
      <alignment vertical="center"/>
      <protection locked="0"/>
    </xf>
    <xf numFmtId="0" fontId="4" fillId="4" borderId="1" xfId="0" applyFont="1" applyFill="1" applyBorder="1" applyAlignment="1" applyProtection="1">
      <alignment horizontal="center" vertical="center"/>
      <protection locked="0"/>
    </xf>
    <xf numFmtId="44" fontId="4" fillId="5" borderId="1" xfId="1" applyNumberFormat="1" applyFont="1" applyFill="1" applyBorder="1" applyAlignment="1">
      <alignment vertical="center"/>
    </xf>
    <xf numFmtId="3"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wrapText="1"/>
    </xf>
    <xf numFmtId="0" fontId="3" fillId="4" borderId="1" xfId="0" applyFont="1" applyFill="1" applyBorder="1" applyAlignment="1">
      <alignment horizontal="left" wrapText="1"/>
    </xf>
    <xf numFmtId="16" fontId="4" fillId="0" borderId="1" xfId="3" applyNumberFormat="1" applyFont="1" applyFill="1" applyBorder="1" applyAlignment="1">
      <alignment horizontal="center" vertical="center" wrapText="1"/>
    </xf>
    <xf numFmtId="2" fontId="3" fillId="0" borderId="1" xfId="3" applyNumberFormat="1" applyFont="1" applyFill="1" applyBorder="1" applyAlignment="1">
      <alignment horizontal="left" vertical="center" wrapText="1"/>
    </xf>
    <xf numFmtId="0" fontId="4" fillId="0" borderId="1" xfId="3" applyNumberFormat="1" applyFont="1" applyFill="1" applyBorder="1" applyAlignment="1" applyProtection="1">
      <alignment horizontal="center" vertical="center" wrapText="1"/>
      <protection locked="0"/>
    </xf>
    <xf numFmtId="44" fontId="4" fillId="0" borderId="1" xfId="7" applyNumberFormat="1" applyFont="1" applyFill="1" applyBorder="1" applyAlignment="1">
      <alignment vertical="center" wrapText="1"/>
    </xf>
    <xf numFmtId="1" fontId="4" fillId="0" borderId="1" xfId="3" applyNumberFormat="1" applyFont="1" applyFill="1" applyBorder="1" applyAlignment="1">
      <alignment horizontal="center" vertical="center" wrapText="1"/>
    </xf>
    <xf numFmtId="1" fontId="4" fillId="0" borderId="0" xfId="3" applyNumberFormat="1" applyFont="1" applyFill="1" applyBorder="1" applyAlignment="1">
      <alignment horizontal="center" vertical="center" wrapText="1"/>
    </xf>
    <xf numFmtId="16" fontId="3" fillId="0" borderId="1" xfId="3"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0" borderId="1" xfId="3" applyFont="1" applyFill="1" applyBorder="1" applyAlignment="1">
      <alignment horizontal="center" vertical="center" wrapText="1"/>
    </xf>
    <xf numFmtId="172" fontId="3" fillId="0" borderId="1" xfId="3" applyNumberFormat="1" applyFont="1" applyFill="1" applyBorder="1" applyAlignment="1">
      <alignment horizontal="center" vertical="center" wrapText="1"/>
    </xf>
    <xf numFmtId="44" fontId="3" fillId="0" borderId="1" xfId="7" applyNumberFormat="1" applyFont="1" applyFill="1" applyBorder="1" applyAlignment="1">
      <alignment vertical="center" wrapText="1"/>
    </xf>
    <xf numFmtId="0" fontId="3" fillId="0" borderId="0" xfId="3" applyFont="1" applyFill="1" applyBorder="1" applyAlignment="1">
      <alignment horizontal="center" vertical="center" wrapText="1"/>
    </xf>
    <xf numFmtId="1" fontId="3" fillId="0" borderId="1" xfId="3" applyNumberFormat="1" applyFont="1" applyFill="1" applyBorder="1" applyAlignment="1">
      <alignment horizontal="center" vertical="center" wrapText="1"/>
    </xf>
    <xf numFmtId="44" fontId="4" fillId="0" borderId="1" xfId="7" applyNumberFormat="1" applyFont="1" applyFill="1" applyBorder="1" applyAlignment="1" applyProtection="1">
      <alignment vertical="center" wrapText="1"/>
      <protection locked="0"/>
    </xf>
    <xf numFmtId="16" fontId="12" fillId="0" borderId="1" xfId="5" applyNumberFormat="1" applyFont="1" applyFill="1" applyBorder="1" applyAlignment="1">
      <alignment horizontal="center" vertical="center" wrapText="1"/>
    </xf>
    <xf numFmtId="0" fontId="12" fillId="0" borderId="1" xfId="5" applyFont="1" applyFill="1" applyBorder="1" applyAlignment="1">
      <alignment horizontal="left" vertical="center" wrapText="1"/>
    </xf>
    <xf numFmtId="0" fontId="12" fillId="0" borderId="1" xfId="5" applyFont="1" applyFill="1" applyBorder="1" applyAlignment="1">
      <alignment horizontal="center" vertical="center" wrapText="1"/>
    </xf>
    <xf numFmtId="43" fontId="12" fillId="0" borderId="1" xfId="1" applyFont="1" applyFill="1" applyBorder="1" applyAlignment="1">
      <alignment horizontal="center" vertical="center" wrapText="1"/>
    </xf>
    <xf numFmtId="172" fontId="12" fillId="0" borderId="1" xfId="5" applyNumberFormat="1" applyFont="1" applyFill="1" applyBorder="1" applyAlignment="1">
      <alignment horizontal="center" vertical="center" wrapText="1"/>
    </xf>
    <xf numFmtId="44" fontId="4" fillId="0" borderId="1" xfId="5" applyNumberFormat="1" applyFont="1" applyFill="1" applyBorder="1" applyAlignment="1">
      <alignment vertical="center" wrapText="1"/>
    </xf>
    <xf numFmtId="0" fontId="12" fillId="0" borderId="0" xfId="5" applyFont="1" applyFill="1" applyBorder="1" applyAlignment="1">
      <alignment horizontal="center" vertical="center" wrapText="1"/>
    </xf>
    <xf numFmtId="43" fontId="3" fillId="0" borderId="1" xfId="1" applyFont="1" applyFill="1" applyBorder="1" applyAlignment="1">
      <alignment horizontal="center" vertical="center" wrapText="1"/>
    </xf>
    <xf numFmtId="2" fontId="4" fillId="0" borderId="1" xfId="3" applyNumberFormat="1" applyFont="1" applyFill="1" applyBorder="1" applyAlignment="1" applyProtection="1">
      <alignment horizontal="left" vertical="center" wrapText="1"/>
      <protection locked="0"/>
    </xf>
    <xf numFmtId="0" fontId="12" fillId="0" borderId="1" xfId="3" applyNumberFormat="1" applyFont="1" applyFill="1" applyBorder="1" applyAlignment="1" applyProtection="1">
      <alignment horizontal="justify" vertical="center" wrapText="1"/>
      <protection locked="0"/>
    </xf>
    <xf numFmtId="0" fontId="4" fillId="0" borderId="1" xfId="3" applyFont="1" applyFill="1" applyBorder="1" applyAlignment="1">
      <alignment horizontal="left" vertical="center" wrapText="1"/>
    </xf>
    <xf numFmtId="0" fontId="4" fillId="0" borderId="1" xfId="3" applyFont="1" applyFill="1" applyBorder="1" applyAlignment="1">
      <alignment horizontal="center" vertical="center" wrapText="1"/>
    </xf>
    <xf numFmtId="172" fontId="4" fillId="0" borderId="1" xfId="3" applyNumberFormat="1" applyFont="1" applyFill="1" applyBorder="1" applyAlignment="1">
      <alignment horizontal="center" vertical="center" wrapText="1"/>
    </xf>
    <xf numFmtId="0" fontId="4" fillId="0" borderId="0" xfId="3" applyFont="1" applyFill="1" applyBorder="1" applyAlignment="1">
      <alignment horizontal="center" vertical="center" wrapText="1"/>
    </xf>
    <xf numFmtId="0" fontId="3" fillId="0" borderId="1" xfId="3" applyFont="1" applyFill="1" applyBorder="1" applyAlignment="1">
      <alignment vertical="center" wrapText="1"/>
    </xf>
    <xf numFmtId="44" fontId="3" fillId="0" borderId="1" xfId="3" applyNumberFormat="1" applyFont="1" applyFill="1" applyBorder="1" applyAlignment="1">
      <alignment vertical="center" wrapText="1"/>
    </xf>
    <xf numFmtId="49" fontId="3" fillId="0" borderId="1" xfId="3" applyNumberFormat="1" applyFont="1" applyFill="1" applyBorder="1" applyAlignment="1">
      <alignment horizontal="left" vertical="center" wrapText="1"/>
    </xf>
    <xf numFmtId="2" fontId="3" fillId="0" borderId="1" xfId="3" applyNumberFormat="1" applyFont="1" applyFill="1" applyBorder="1" applyAlignment="1" applyProtection="1">
      <alignment horizontal="left" vertical="center" wrapText="1"/>
      <protection locked="0"/>
    </xf>
    <xf numFmtId="0" fontId="3" fillId="0" borderId="1" xfId="3" applyNumberFormat="1" applyFont="1" applyFill="1" applyBorder="1" applyAlignment="1" applyProtection="1">
      <alignment horizontal="center" vertical="center" wrapText="1"/>
      <protection locked="0"/>
    </xf>
    <xf numFmtId="44" fontId="3" fillId="0" borderId="1" xfId="7" applyNumberFormat="1" applyFont="1" applyFill="1" applyBorder="1" applyAlignment="1" applyProtection="1">
      <alignment vertical="center" wrapText="1"/>
      <protection locked="0"/>
    </xf>
    <xf numFmtId="1" fontId="3" fillId="0" borderId="0" xfId="3" applyNumberFormat="1" applyFont="1" applyFill="1" applyBorder="1" applyAlignment="1">
      <alignment horizontal="center" vertical="center" wrapText="1"/>
    </xf>
    <xf numFmtId="0" fontId="12" fillId="0" borderId="1" xfId="3" applyNumberFormat="1" applyFont="1" applyFill="1" applyBorder="1" applyAlignment="1">
      <alignment horizontal="center" vertical="center" wrapText="1"/>
    </xf>
    <xf numFmtId="0" fontId="3" fillId="0" borderId="1" xfId="3" applyFont="1" applyFill="1" applyBorder="1" applyAlignment="1">
      <alignment horizontal="left" vertical="center"/>
    </xf>
    <xf numFmtId="0" fontId="3" fillId="0" borderId="1" xfId="3" applyNumberFormat="1" applyFont="1" applyFill="1" applyBorder="1" applyAlignment="1">
      <alignment horizontal="center" vertical="center" wrapText="1"/>
    </xf>
    <xf numFmtId="16" fontId="12" fillId="0" borderId="1" xfId="3" applyNumberFormat="1" applyFont="1" applyFill="1" applyBorder="1" applyAlignment="1">
      <alignment horizontal="center" vertical="center" wrapText="1"/>
    </xf>
    <xf numFmtId="0" fontId="12" fillId="0" borderId="1" xfId="3" quotePrefix="1" applyNumberFormat="1" applyFont="1" applyFill="1" applyBorder="1" applyAlignment="1" applyProtection="1">
      <alignment horizontal="left" vertical="center"/>
      <protection locked="0"/>
    </xf>
    <xf numFmtId="49" fontId="12" fillId="0" borderId="1" xfId="3" applyNumberFormat="1" applyFont="1" applyFill="1" applyBorder="1" applyAlignment="1">
      <alignment horizontal="left" vertical="center" wrapText="1"/>
    </xf>
    <xf numFmtId="0" fontId="17" fillId="0" borderId="1" xfId="6" applyFont="1" applyFill="1" applyBorder="1" applyAlignment="1">
      <alignment horizontal="left" vertical="center" wrapText="1"/>
    </xf>
    <xf numFmtId="0" fontId="12" fillId="0" borderId="1" xfId="3" applyNumberFormat="1" applyFont="1" applyFill="1" applyBorder="1" applyAlignment="1" applyProtection="1">
      <alignment horizontal="center" vertical="center" wrapText="1"/>
      <protection locked="0"/>
    </xf>
    <xf numFmtId="3" fontId="17" fillId="0" borderId="1" xfId="3" applyNumberFormat="1" applyFont="1" applyFill="1" applyBorder="1" applyAlignment="1">
      <alignment horizontal="center" vertical="center" wrapText="1"/>
    </xf>
    <xf numFmtId="0" fontId="17" fillId="0" borderId="0" xfId="3" applyFont="1" applyFill="1" applyBorder="1" applyAlignment="1">
      <alignment wrapText="1"/>
    </xf>
    <xf numFmtId="43" fontId="4" fillId="0" borderId="1" xfId="1" applyFont="1" applyFill="1" applyBorder="1" applyAlignment="1">
      <alignment horizontal="center" vertical="center" wrapText="1"/>
    </xf>
    <xf numFmtId="16" fontId="4" fillId="0" borderId="1" xfId="5" applyNumberFormat="1" applyFont="1" applyFill="1" applyBorder="1" applyAlignment="1">
      <alignment horizontal="center" vertical="center" wrapText="1"/>
    </xf>
    <xf numFmtId="3" fontId="4" fillId="0" borderId="1" xfId="5" applyNumberFormat="1" applyFont="1" applyFill="1" applyBorder="1" applyAlignment="1">
      <alignment horizontal="center" vertical="center" wrapText="1"/>
    </xf>
    <xf numFmtId="0" fontId="4" fillId="0" borderId="1" xfId="5" applyFont="1" applyFill="1" applyBorder="1" applyAlignment="1">
      <alignment horizontal="center" vertical="center" wrapText="1"/>
    </xf>
    <xf numFmtId="14" fontId="3" fillId="0" borderId="1" xfId="0" applyNumberFormat="1" applyFont="1" applyFill="1" applyBorder="1" applyAlignment="1">
      <alignment horizontal="left" vertical="center" wrapText="1"/>
    </xf>
    <xf numFmtId="16" fontId="18"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xf>
    <xf numFmtId="0" fontId="18" fillId="0" borderId="1" xfId="0" applyFont="1" applyFill="1" applyBorder="1" applyAlignment="1">
      <alignment horizontal="left" vertical="center" wrapText="1"/>
    </xf>
    <xf numFmtId="1" fontId="18" fillId="0" borderId="1" xfId="1" applyNumberFormat="1" applyFont="1" applyFill="1" applyBorder="1" applyAlignment="1">
      <alignment horizontal="center" vertical="center"/>
    </xf>
    <xf numFmtId="0" fontId="18" fillId="0" borderId="1" xfId="1" applyNumberFormat="1" applyFont="1" applyFill="1" applyBorder="1" applyAlignment="1">
      <alignment horizontal="center" vertical="center"/>
    </xf>
    <xf numFmtId="0" fontId="18" fillId="0" borderId="1" xfId="0" applyFont="1" applyFill="1" applyBorder="1" applyAlignment="1">
      <alignment horizontal="center" vertical="center"/>
    </xf>
    <xf numFmtId="44" fontId="3" fillId="0" borderId="1" xfId="0" applyNumberFormat="1" applyFont="1" applyFill="1" applyBorder="1" applyAlignment="1">
      <alignment vertical="center"/>
    </xf>
    <xf numFmtId="0" fontId="18" fillId="0" borderId="1" xfId="0" applyNumberFormat="1" applyFont="1" applyFill="1" applyBorder="1" applyAlignment="1">
      <alignment horizontal="center" vertical="center"/>
    </xf>
    <xf numFmtId="168" fontId="18" fillId="0" borderId="1" xfId="1" applyNumberFormat="1" applyFont="1" applyFill="1" applyBorder="1" applyAlignment="1">
      <alignment horizontal="center" vertical="center"/>
    </xf>
    <xf numFmtId="1" fontId="19" fillId="0" borderId="1" xfId="0" applyNumberFormat="1" applyFont="1" applyFill="1" applyBorder="1" applyAlignment="1">
      <alignment horizontal="left" vertical="center" wrapText="1" shrinkToFit="1"/>
    </xf>
    <xf numFmtId="0" fontId="18" fillId="0" borderId="1" xfId="0" applyFont="1" applyBorder="1" applyAlignment="1">
      <alignment horizontal="left" vertical="center"/>
    </xf>
    <xf numFmtId="0" fontId="18" fillId="0" borderId="1" xfId="0" applyFont="1" applyBorder="1" applyAlignment="1">
      <alignment horizontal="left" vertical="center" wrapText="1"/>
    </xf>
    <xf numFmtId="168" fontId="3" fillId="0" borderId="1" xfId="1" applyNumberFormat="1" applyFont="1" applyFill="1" applyBorder="1" applyAlignment="1">
      <alignment horizontal="left" vertical="center" wrapText="1"/>
    </xf>
    <xf numFmtId="0" fontId="18" fillId="0" borderId="1" xfId="0" applyFont="1" applyBorder="1" applyAlignment="1">
      <alignment horizontal="center" vertical="center"/>
    </xf>
    <xf numFmtId="16" fontId="18" fillId="0" borderId="1" xfId="0" applyNumberFormat="1" applyFont="1" applyBorder="1" applyAlignment="1">
      <alignment horizontal="center" vertical="center"/>
    </xf>
    <xf numFmtId="49" fontId="10" fillId="0" borderId="1" xfId="0" applyNumberFormat="1" applyFont="1" applyFill="1" applyBorder="1" applyAlignment="1">
      <alignment horizontal="left" vertical="center" wrapText="1"/>
    </xf>
    <xf numFmtId="0" fontId="10" fillId="0" borderId="1" xfId="0" applyNumberFormat="1" applyFont="1" applyFill="1" applyBorder="1" applyAlignment="1" applyProtection="1">
      <alignment horizontal="center" vertical="center"/>
      <protection locked="0"/>
    </xf>
    <xf numFmtId="44" fontId="4" fillId="0" borderId="1" xfId="0" applyNumberFormat="1" applyFont="1" applyFill="1" applyBorder="1" applyAlignment="1" applyProtection="1">
      <alignment vertical="center"/>
      <protection locked="0"/>
    </xf>
    <xf numFmtId="44" fontId="3" fillId="0" borderId="1" xfId="0" applyNumberFormat="1" applyFont="1" applyBorder="1" applyAlignment="1">
      <alignment vertical="center"/>
    </xf>
    <xf numFmtId="3" fontId="4" fillId="0" borderId="1" xfId="1" applyNumberFormat="1" applyFont="1" applyFill="1" applyBorder="1" applyAlignment="1">
      <alignment horizontal="center" vertical="center" wrapText="1"/>
    </xf>
    <xf numFmtId="44" fontId="3" fillId="0" borderId="1" xfId="0" applyNumberFormat="1" applyFont="1" applyBorder="1" applyAlignment="1"/>
    <xf numFmtId="44" fontId="0" fillId="0" borderId="0" xfId="0" applyNumberFormat="1" applyBorder="1"/>
    <xf numFmtId="1" fontId="3" fillId="0" borderId="1" xfId="0" applyNumberFormat="1" applyFont="1" applyFill="1" applyBorder="1" applyAlignment="1">
      <alignment horizontal="center" vertical="center" wrapText="1"/>
    </xf>
    <xf numFmtId="3" fontId="3" fillId="0" borderId="1" xfId="1" applyNumberFormat="1" applyFont="1" applyFill="1" applyBorder="1" applyAlignment="1">
      <alignment horizontal="center" vertical="center" wrapText="1"/>
    </xf>
    <xf numFmtId="44" fontId="3" fillId="0" borderId="1" xfId="0" applyNumberFormat="1" applyFont="1" applyBorder="1" applyAlignment="1">
      <alignment horizontal="right" vertical="center"/>
    </xf>
    <xf numFmtId="0" fontId="4" fillId="0" borderId="1" xfId="0" applyFont="1" applyFill="1" applyBorder="1" applyAlignment="1" applyProtection="1">
      <alignment horizontal="left" vertical="center" wrapText="1"/>
      <protection locked="0"/>
    </xf>
    <xf numFmtId="3" fontId="3" fillId="0" borderId="1" xfId="0" applyNumberFormat="1" applyFont="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21" fillId="0" borderId="1" xfId="8" applyFont="1" applyFill="1" applyBorder="1" applyAlignment="1">
      <alignment horizontal="center" vertical="center" wrapText="1"/>
    </xf>
    <xf numFmtId="0" fontId="3" fillId="0" borderId="1" xfId="0" applyFont="1" applyFill="1" applyBorder="1" applyAlignment="1">
      <alignment horizontal="left" vertical="top"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left" wrapText="1"/>
    </xf>
    <xf numFmtId="14" fontId="11" fillId="0" borderId="1" xfId="0" applyNumberFormat="1" applyFont="1" applyFill="1" applyBorder="1" applyAlignment="1">
      <alignment vertical="center" wrapText="1"/>
    </xf>
    <xf numFmtId="1" fontId="11"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vertical="center" wrapText="1"/>
    </xf>
    <xf numFmtId="0" fontId="9" fillId="0" borderId="1" xfId="0" applyFont="1" applyFill="1" applyBorder="1" applyAlignment="1">
      <alignment vertical="top" wrapText="1"/>
    </xf>
    <xf numFmtId="0" fontId="11" fillId="0" borderId="1" xfId="0" applyFont="1" applyFill="1" applyBorder="1" applyAlignment="1">
      <alignment vertical="center"/>
    </xf>
    <xf numFmtId="0" fontId="9" fillId="0" borderId="1" xfId="0" applyFont="1" applyFill="1" applyBorder="1" applyAlignment="1">
      <alignment vertical="top"/>
    </xf>
    <xf numFmtId="14" fontId="23" fillId="0" borderId="1" xfId="0" applyNumberFormat="1" applyFont="1" applyFill="1" applyBorder="1"/>
    <xf numFmtId="14" fontId="11" fillId="0" borderId="1" xfId="0" applyNumberFormat="1" applyFont="1" applyFill="1" applyBorder="1" applyAlignment="1">
      <alignment horizontal="right"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justify" vertical="center"/>
    </xf>
    <xf numFmtId="0" fontId="9" fillId="0" borderId="1" xfId="0" applyFont="1" applyFill="1" applyBorder="1" applyAlignment="1">
      <alignment wrapText="1"/>
    </xf>
    <xf numFmtId="0" fontId="9" fillId="0" borderId="1" xfId="0" applyFont="1" applyFill="1" applyBorder="1" applyAlignment="1">
      <alignment horizontal="center" vertical="top" wrapText="1"/>
    </xf>
    <xf numFmtId="14" fontId="11" fillId="0" borderId="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49" fontId="9" fillId="0" borderId="1" xfId="0" applyNumberFormat="1" applyFont="1" applyFill="1" applyBorder="1" applyAlignment="1">
      <alignment vertical="top" wrapText="1"/>
    </xf>
    <xf numFmtId="0" fontId="25" fillId="0" borderId="1" xfId="0" applyFont="1" applyFill="1" applyBorder="1" applyAlignment="1">
      <alignment vertical="top" wrapText="1"/>
    </xf>
    <xf numFmtId="0" fontId="26" fillId="0" borderId="1" xfId="0" applyFont="1" applyFill="1" applyBorder="1" applyAlignment="1">
      <alignment vertical="center" wrapText="1"/>
    </xf>
    <xf numFmtId="2" fontId="9" fillId="0" borderId="1" xfId="0" applyNumberFormat="1" applyFont="1" applyFill="1" applyBorder="1" applyAlignment="1">
      <alignment vertical="top" wrapText="1"/>
    </xf>
    <xf numFmtId="164" fontId="3" fillId="0" borderId="0" xfId="0" applyNumberFormat="1" applyFont="1" applyAlignment="1">
      <alignment horizontal="center" vertical="center"/>
    </xf>
    <xf numFmtId="0" fontId="3" fillId="0" borderId="0" xfId="0" applyFont="1" applyAlignment="1">
      <alignment horizontal="left"/>
    </xf>
    <xf numFmtId="3" fontId="3" fillId="0" borderId="0" xfId="0" applyNumberFormat="1" applyFont="1" applyAlignment="1">
      <alignment horizontal="center" vertical="center"/>
    </xf>
    <xf numFmtId="164"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2" borderId="1" xfId="0" applyNumberFormat="1" applyFont="1" applyFill="1" applyBorder="1" applyAlignment="1" applyProtection="1">
      <alignment horizontal="center" vertical="center"/>
      <protection locked="0"/>
    </xf>
    <xf numFmtId="1"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4" fillId="0" borderId="1" xfId="3" applyNumberFormat="1" applyFont="1" applyFill="1" applyBorder="1" applyAlignment="1">
      <alignment horizontal="center" vertical="center" wrapText="1"/>
    </xf>
    <xf numFmtId="0" fontId="12" fillId="0" borderId="1" xfId="5" applyFont="1" applyFill="1" applyBorder="1" applyAlignment="1">
      <alignment horizontal="left" vertical="center"/>
    </xf>
    <xf numFmtId="0" fontId="4" fillId="0" borderId="1" xfId="3" quotePrefix="1" applyNumberFormat="1" applyFont="1" applyFill="1" applyBorder="1" applyAlignment="1" applyProtection="1">
      <alignment horizontal="left" vertical="center"/>
      <protection locked="0"/>
    </xf>
    <xf numFmtId="0" fontId="24" fillId="0" borderId="1" xfId="0" applyFont="1" applyFill="1" applyBorder="1" applyAlignment="1">
      <alignment wrapText="1"/>
    </xf>
    <xf numFmtId="14" fontId="28" fillId="0" borderId="1" xfId="0" applyNumberFormat="1" applyFont="1" applyFill="1" applyBorder="1" applyAlignment="1">
      <alignment horizontal="center" vertical="center"/>
    </xf>
    <xf numFmtId="0" fontId="3" fillId="0" borderId="0" xfId="0" applyNumberFormat="1" applyFont="1" applyAlignment="1">
      <alignment horizontal="center" vertical="center"/>
    </xf>
    <xf numFmtId="0" fontId="4" fillId="0" borderId="1" xfId="0" quotePrefix="1" applyFont="1" applyBorder="1" applyAlignment="1">
      <alignment horizontal="center" vertical="center"/>
    </xf>
    <xf numFmtId="172" fontId="17" fillId="0" borderId="1" xfId="3" applyNumberFormat="1" applyFont="1" applyFill="1" applyBorder="1" applyAlignment="1">
      <alignment horizontal="center" vertical="center" wrapText="1"/>
    </xf>
    <xf numFmtId="0" fontId="10" fillId="0" borderId="1" xfId="1"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169" fontId="9" fillId="0" borderId="1" xfId="1" applyNumberFormat="1" applyFont="1" applyFill="1" applyBorder="1" applyAlignment="1">
      <alignment horizontal="center" vertical="center"/>
    </xf>
    <xf numFmtId="0" fontId="11" fillId="0" borderId="1" xfId="0"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168" fontId="11"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7" fillId="0" borderId="1" xfId="3" applyFont="1" applyFill="1" applyBorder="1" applyAlignment="1">
      <alignment horizontal="center" vertical="center" wrapText="1"/>
    </xf>
    <xf numFmtId="44" fontId="2" fillId="2" borderId="1" xfId="2" applyFont="1" applyFill="1" applyBorder="1" applyAlignment="1">
      <alignment horizontal="center" vertical="center" wrapText="1"/>
    </xf>
    <xf numFmtId="44" fontId="11" fillId="0" borderId="1" xfId="2" applyFont="1" applyFill="1" applyBorder="1" applyAlignment="1">
      <alignment vertical="center" wrapText="1"/>
    </xf>
    <xf numFmtId="44" fontId="0" fillId="0" borderId="1" xfId="2" applyFont="1" applyFill="1" applyBorder="1"/>
    <xf numFmtId="44" fontId="3" fillId="0" borderId="0" xfId="2" applyFont="1" applyAlignment="1">
      <alignment horizontal="center" vertical="center"/>
    </xf>
  </cellXfs>
  <cellStyles count="9">
    <cellStyle name="Hipervínculo" xfId="8" builtinId="8"/>
    <cellStyle name="Millares" xfId="1" builtinId="3"/>
    <cellStyle name="Millares 2" xfId="7"/>
    <cellStyle name="Moneda" xfId="2" builtinId="4"/>
    <cellStyle name="Normal" xfId="0" builtinId="0"/>
    <cellStyle name="Normal 2" xfId="3"/>
    <cellStyle name="Normal 5" xfId="6"/>
    <cellStyle name="Normal 7" xfId="5"/>
    <cellStyle name="Normal 8"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ssica.nolasco\Downloads\Bases%20de%20Impactos\Impactos%202008\Base_2008_CENACO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Hoja1"/>
      <sheetName val="General"/>
      <sheetName val="Cuadro resumen"/>
      <sheetName val="Muertes Hidros"/>
      <sheetName val="Daños 1999-2008"/>
      <sheetName val="Historico hidros 2002-2008"/>
      <sheetName val="Resumen Hidros"/>
      <sheetName val="Lluvias inu y ct"/>
      <sheetName val="Hidro-Lluvias, inund. y ciclons"/>
      <sheetName val="Hidro-Sequías"/>
      <sheetName val="Grafico BT"/>
      <sheetName val="BT Edo"/>
      <sheetName val="Hidro- Bajas temperaturas"/>
      <sheetName val="Hidro-Otros"/>
      <sheetName val="Geológicos"/>
      <sheetName val="Resumen Quimicos"/>
      <sheetName val="Quim-Incendios Forestales"/>
      <sheetName val="Quim-Incendendios urbanos"/>
      <sheetName val="Quím-Explosiones"/>
      <sheetName val="Quím-Derrames"/>
      <sheetName val="Quím-Fugas"/>
      <sheetName val="Sociorganiza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6">
          <cell r="T66" t="str">
            <v>FONDEN</v>
          </cell>
        </row>
        <row r="115">
          <cell r="G115" t="str">
            <v>varios municipios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elsoldesanluis.com.mx/policiaca/mueren-ahogados-en-santa-maria-del-rio-5212793.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9677"/>
  <sheetViews>
    <sheetView tabSelected="1" topLeftCell="B1" zoomScale="80" zoomScaleNormal="80" workbookViewId="0">
      <selection activeCell="U3" sqref="U3"/>
    </sheetView>
  </sheetViews>
  <sheetFormatPr baseColWidth="10" defaultRowHeight="15" x14ac:dyDescent="0.25"/>
  <cols>
    <col min="1" max="1" width="11.5703125" style="333" bestFit="1" customWidth="1"/>
    <col min="2" max="2" width="13.42578125" style="333" customWidth="1"/>
    <col min="3" max="3" width="11.5703125" style="350" bestFit="1" customWidth="1"/>
    <col min="4" max="4" width="22.28515625" style="1" customWidth="1"/>
    <col min="5" max="5" width="17.140625" style="5" customWidth="1"/>
    <col min="6" max="6" width="19" style="334" customWidth="1"/>
    <col min="7" max="7" width="27.85546875" style="334" customWidth="1"/>
    <col min="8" max="8" width="39.5703125" style="334" customWidth="1"/>
    <col min="9" max="9" width="25" style="1" customWidth="1"/>
    <col min="10" max="10" width="11.42578125" style="350" customWidth="1"/>
    <col min="11" max="11" width="11.5703125" style="335" bestFit="1" customWidth="1"/>
    <col min="12" max="12" width="11" style="335" customWidth="1"/>
    <col min="13" max="13" width="10.85546875" style="335" customWidth="1"/>
    <col min="14" max="14" width="11" style="335" customWidth="1"/>
    <col min="15" max="15" width="14.85546875" style="335" customWidth="1"/>
    <col min="16" max="16" width="11.28515625" style="364" customWidth="1"/>
    <col min="17" max="17" width="19.85546875" style="1" customWidth="1"/>
  </cols>
  <sheetData>
    <row r="1" spans="1:17" s="1" customFormat="1" ht="48" x14ac:dyDescent="0.25">
      <c r="A1" s="336" t="s">
        <v>0</v>
      </c>
      <c r="B1" s="336" t="s">
        <v>1</v>
      </c>
      <c r="C1" s="337" t="s">
        <v>2</v>
      </c>
      <c r="D1" s="338" t="s">
        <v>3</v>
      </c>
      <c r="E1" s="338" t="s">
        <v>4</v>
      </c>
      <c r="F1" s="339" t="s">
        <v>5</v>
      </c>
      <c r="G1" s="340" t="s">
        <v>6</v>
      </c>
      <c r="H1" s="341" t="s">
        <v>7</v>
      </c>
      <c r="I1" s="342" t="s">
        <v>8</v>
      </c>
      <c r="J1" s="337" t="s">
        <v>9</v>
      </c>
      <c r="K1" s="343" t="s">
        <v>10</v>
      </c>
      <c r="L1" s="343" t="s">
        <v>11</v>
      </c>
      <c r="M1" s="343" t="s">
        <v>12</v>
      </c>
      <c r="N1" s="343" t="s">
        <v>13</v>
      </c>
      <c r="O1" s="343" t="s">
        <v>14</v>
      </c>
      <c r="P1" s="361" t="s">
        <v>15</v>
      </c>
      <c r="Q1" s="339" t="s">
        <v>16</v>
      </c>
    </row>
    <row r="2" spans="1:17" ht="108" x14ac:dyDescent="0.25">
      <c r="A2" s="2">
        <v>36878</v>
      </c>
      <c r="B2" s="3">
        <v>36878</v>
      </c>
      <c r="C2" s="4">
        <v>2000</v>
      </c>
      <c r="D2" s="35" t="s">
        <v>17</v>
      </c>
      <c r="E2" s="6" t="s">
        <v>18</v>
      </c>
      <c r="F2" s="7" t="s">
        <v>19</v>
      </c>
      <c r="G2" s="8" t="s">
        <v>20</v>
      </c>
      <c r="H2" s="9" t="s">
        <v>21</v>
      </c>
      <c r="I2" s="10">
        <v>0</v>
      </c>
      <c r="J2" s="11">
        <v>41000</v>
      </c>
      <c r="K2" s="11">
        <v>0</v>
      </c>
      <c r="L2" s="11">
        <v>0</v>
      </c>
      <c r="M2" s="11">
        <v>0</v>
      </c>
      <c r="N2" s="11">
        <v>0</v>
      </c>
      <c r="O2" s="11">
        <v>0</v>
      </c>
      <c r="P2" s="12">
        <v>115.8</v>
      </c>
      <c r="Q2" s="13" t="s">
        <v>22</v>
      </c>
    </row>
    <row r="3" spans="1:17" ht="120" x14ac:dyDescent="0.25">
      <c r="A3" s="2">
        <v>36678</v>
      </c>
      <c r="B3" s="3">
        <v>36678</v>
      </c>
      <c r="C3" s="4">
        <v>2000</v>
      </c>
      <c r="D3" s="351" t="s">
        <v>23</v>
      </c>
      <c r="E3" s="14" t="s">
        <v>24</v>
      </c>
      <c r="F3" s="7" t="s">
        <v>25</v>
      </c>
      <c r="G3" s="15" t="s">
        <v>26</v>
      </c>
      <c r="H3" s="9" t="s">
        <v>27</v>
      </c>
      <c r="I3" s="10">
        <v>0</v>
      </c>
      <c r="J3" s="11">
        <v>0</v>
      </c>
      <c r="K3" s="11">
        <v>0</v>
      </c>
      <c r="L3" s="11">
        <v>0</v>
      </c>
      <c r="M3" s="11">
        <v>0</v>
      </c>
      <c r="N3" s="11">
        <v>0</v>
      </c>
      <c r="O3" s="11">
        <v>0</v>
      </c>
      <c r="P3" s="12">
        <v>25.1</v>
      </c>
      <c r="Q3" s="13" t="s">
        <v>22</v>
      </c>
    </row>
    <row r="4" spans="1:17" ht="84" x14ac:dyDescent="0.25">
      <c r="A4" s="2">
        <v>36526</v>
      </c>
      <c r="B4" s="3">
        <v>36891</v>
      </c>
      <c r="C4" s="4">
        <v>2000</v>
      </c>
      <c r="D4" s="35" t="s">
        <v>28</v>
      </c>
      <c r="E4" s="14" t="s">
        <v>29</v>
      </c>
      <c r="F4" s="7" t="s">
        <v>30</v>
      </c>
      <c r="G4" s="15" t="s">
        <v>26</v>
      </c>
      <c r="H4" s="9" t="s">
        <v>31</v>
      </c>
      <c r="I4" s="10">
        <v>0</v>
      </c>
      <c r="J4" s="11">
        <v>0</v>
      </c>
      <c r="K4" s="11">
        <v>0</v>
      </c>
      <c r="L4" s="11">
        <v>0</v>
      </c>
      <c r="M4" s="11">
        <v>0</v>
      </c>
      <c r="N4" s="11">
        <v>0</v>
      </c>
      <c r="O4" s="11">
        <v>0</v>
      </c>
      <c r="P4" s="12">
        <v>3.577</v>
      </c>
      <c r="Q4" s="13" t="s">
        <v>22</v>
      </c>
    </row>
    <row r="5" spans="1:17" ht="60" x14ac:dyDescent="0.25">
      <c r="A5" s="2">
        <v>36785</v>
      </c>
      <c r="B5" s="3">
        <v>36786</v>
      </c>
      <c r="C5" s="4">
        <v>2000</v>
      </c>
      <c r="D5" s="351" t="s">
        <v>23</v>
      </c>
      <c r="E5" s="14" t="s">
        <v>32</v>
      </c>
      <c r="F5" s="7" t="s">
        <v>33</v>
      </c>
      <c r="G5" s="15" t="s">
        <v>34</v>
      </c>
      <c r="H5" s="9" t="s">
        <v>35</v>
      </c>
      <c r="I5" s="10">
        <v>0</v>
      </c>
      <c r="J5" s="11">
        <v>0</v>
      </c>
      <c r="K5" s="11">
        <v>0</v>
      </c>
      <c r="L5" s="11">
        <v>0</v>
      </c>
      <c r="M5" s="11">
        <v>0</v>
      </c>
      <c r="N5" s="11">
        <v>0</v>
      </c>
      <c r="O5" s="11">
        <v>0</v>
      </c>
      <c r="P5" s="12">
        <v>7.2430000000000003</v>
      </c>
      <c r="Q5" s="13" t="s">
        <v>22</v>
      </c>
    </row>
    <row r="6" spans="1:17" ht="60" x14ac:dyDescent="0.25">
      <c r="A6" s="2">
        <v>36799</v>
      </c>
      <c r="B6" s="3">
        <v>36801</v>
      </c>
      <c r="C6" s="4">
        <v>2000</v>
      </c>
      <c r="D6" s="351" t="s">
        <v>23</v>
      </c>
      <c r="E6" s="14" t="s">
        <v>32</v>
      </c>
      <c r="F6" s="7" t="s">
        <v>36</v>
      </c>
      <c r="G6" s="15" t="s">
        <v>26</v>
      </c>
      <c r="H6" s="9" t="s">
        <v>37</v>
      </c>
      <c r="I6" s="10">
        <v>0</v>
      </c>
      <c r="J6" s="11">
        <v>0</v>
      </c>
      <c r="K6" s="11">
        <v>0</v>
      </c>
      <c r="L6" s="11">
        <v>0</v>
      </c>
      <c r="M6" s="11">
        <v>0</v>
      </c>
      <c r="N6" s="11">
        <v>0</v>
      </c>
      <c r="O6" s="11">
        <v>0</v>
      </c>
      <c r="P6" s="12">
        <v>25.56</v>
      </c>
      <c r="Q6" s="13" t="s">
        <v>22</v>
      </c>
    </row>
    <row r="7" spans="1:17" x14ac:dyDescent="0.25">
      <c r="A7" s="2">
        <v>36529</v>
      </c>
      <c r="B7" s="3">
        <v>36529</v>
      </c>
      <c r="C7" s="4">
        <v>2000</v>
      </c>
      <c r="D7" s="351" t="s">
        <v>23</v>
      </c>
      <c r="E7" s="14" t="s">
        <v>32</v>
      </c>
      <c r="F7" s="7" t="s">
        <v>36</v>
      </c>
      <c r="G7" s="15" t="s">
        <v>26</v>
      </c>
      <c r="H7" s="9" t="s">
        <v>38</v>
      </c>
      <c r="I7" s="10">
        <v>0</v>
      </c>
      <c r="J7" s="11">
        <v>0</v>
      </c>
      <c r="K7" s="11">
        <v>0</v>
      </c>
      <c r="L7" s="11">
        <v>0</v>
      </c>
      <c r="M7" s="11">
        <v>0</v>
      </c>
      <c r="N7" s="11">
        <v>0</v>
      </c>
      <c r="O7" s="11">
        <v>0</v>
      </c>
      <c r="P7" s="12">
        <v>38.152999999999999</v>
      </c>
      <c r="Q7" s="13" t="s">
        <v>22</v>
      </c>
    </row>
    <row r="8" spans="1:17" x14ac:dyDescent="0.25">
      <c r="A8" s="2">
        <v>36678</v>
      </c>
      <c r="B8" s="3">
        <v>36701</v>
      </c>
      <c r="C8" s="4">
        <v>2000</v>
      </c>
      <c r="D8" s="351" t="s">
        <v>23</v>
      </c>
      <c r="E8" s="14" t="s">
        <v>39</v>
      </c>
      <c r="F8" s="7" t="s">
        <v>36</v>
      </c>
      <c r="G8" s="15" t="s">
        <v>26</v>
      </c>
      <c r="H8" s="9" t="s">
        <v>38</v>
      </c>
      <c r="I8" s="10">
        <v>0</v>
      </c>
      <c r="J8" s="11">
        <v>0</v>
      </c>
      <c r="K8" s="11">
        <v>0</v>
      </c>
      <c r="L8" s="11">
        <v>0</v>
      </c>
      <c r="M8" s="11">
        <v>0</v>
      </c>
      <c r="N8" s="11">
        <v>0</v>
      </c>
      <c r="O8" s="11">
        <v>0</v>
      </c>
      <c r="P8" s="12">
        <v>55.511000000000003</v>
      </c>
      <c r="Q8" s="13" t="s">
        <v>22</v>
      </c>
    </row>
    <row r="9" spans="1:17" ht="120" x14ac:dyDescent="0.25">
      <c r="A9" s="17">
        <v>36647</v>
      </c>
      <c r="B9" s="17">
        <v>36981</v>
      </c>
      <c r="C9" s="4">
        <v>2000</v>
      </c>
      <c r="D9" s="351" t="s">
        <v>23</v>
      </c>
      <c r="E9" s="14" t="s">
        <v>24</v>
      </c>
      <c r="F9" s="7" t="s">
        <v>40</v>
      </c>
      <c r="G9" s="15" t="s">
        <v>26</v>
      </c>
      <c r="H9" s="18" t="s">
        <v>41</v>
      </c>
      <c r="I9" s="19">
        <v>0</v>
      </c>
      <c r="J9" s="20">
        <v>0</v>
      </c>
      <c r="K9" s="20">
        <v>0</v>
      </c>
      <c r="L9" s="11">
        <v>0</v>
      </c>
      <c r="M9" s="11">
        <v>0</v>
      </c>
      <c r="N9" s="11">
        <v>0</v>
      </c>
      <c r="O9" s="11">
        <v>0</v>
      </c>
      <c r="P9" s="12">
        <v>120</v>
      </c>
      <c r="Q9" s="13" t="s">
        <v>22</v>
      </c>
    </row>
    <row r="10" spans="1:17" ht="72" x14ac:dyDescent="0.25">
      <c r="A10" s="21">
        <v>36861</v>
      </c>
      <c r="B10" s="21">
        <v>36891</v>
      </c>
      <c r="C10" s="4">
        <v>2000</v>
      </c>
      <c r="D10" s="351" t="s">
        <v>23</v>
      </c>
      <c r="E10" s="22" t="s">
        <v>42</v>
      </c>
      <c r="F10" s="7" t="s">
        <v>40</v>
      </c>
      <c r="G10" s="15" t="s">
        <v>26</v>
      </c>
      <c r="H10" s="18" t="s">
        <v>43</v>
      </c>
      <c r="I10" s="19">
        <v>70</v>
      </c>
      <c r="J10" s="20">
        <v>0</v>
      </c>
      <c r="K10" s="20">
        <v>0</v>
      </c>
      <c r="L10" s="11">
        <v>0</v>
      </c>
      <c r="M10" s="11">
        <v>0</v>
      </c>
      <c r="N10" s="11">
        <v>0</v>
      </c>
      <c r="O10" s="11">
        <v>0</v>
      </c>
      <c r="P10" s="12">
        <v>0</v>
      </c>
      <c r="Q10" s="13" t="s">
        <v>22</v>
      </c>
    </row>
    <row r="11" spans="1:17" ht="84" x14ac:dyDescent="0.25">
      <c r="A11" s="2">
        <v>36526</v>
      </c>
      <c r="B11" s="3">
        <v>36891</v>
      </c>
      <c r="C11" s="4">
        <v>2000</v>
      </c>
      <c r="D11" s="35" t="s">
        <v>28</v>
      </c>
      <c r="E11" s="14" t="s">
        <v>29</v>
      </c>
      <c r="F11" s="7" t="s">
        <v>40</v>
      </c>
      <c r="G11" s="15" t="s">
        <v>26</v>
      </c>
      <c r="H11" s="18" t="s">
        <v>44</v>
      </c>
      <c r="I11" s="19">
        <v>0</v>
      </c>
      <c r="J11" s="20">
        <v>0</v>
      </c>
      <c r="K11" s="20">
        <v>0</v>
      </c>
      <c r="L11" s="11">
        <v>0</v>
      </c>
      <c r="M11" s="11">
        <v>0</v>
      </c>
      <c r="N11" s="11">
        <v>0</v>
      </c>
      <c r="O11" s="11">
        <v>0</v>
      </c>
      <c r="P11" s="12">
        <v>7.6139999999999999</v>
      </c>
      <c r="Q11" s="13" t="s">
        <v>22</v>
      </c>
    </row>
    <row r="12" spans="1:17" x14ac:dyDescent="0.25">
      <c r="A12" s="17">
        <v>36695</v>
      </c>
      <c r="B12" s="17">
        <v>36695</v>
      </c>
      <c r="C12" s="4">
        <v>2000</v>
      </c>
      <c r="D12" s="351" t="s">
        <v>23</v>
      </c>
      <c r="E12" s="14" t="s">
        <v>32</v>
      </c>
      <c r="F12" s="7" t="s">
        <v>45</v>
      </c>
      <c r="G12" s="15" t="s">
        <v>26</v>
      </c>
      <c r="H12" s="18" t="s">
        <v>38</v>
      </c>
      <c r="I12" s="19">
        <v>0</v>
      </c>
      <c r="J12" s="20">
        <v>0</v>
      </c>
      <c r="K12" s="20">
        <v>0</v>
      </c>
      <c r="L12" s="11">
        <v>0</v>
      </c>
      <c r="M12" s="11">
        <v>0</v>
      </c>
      <c r="N12" s="11">
        <v>0</v>
      </c>
      <c r="O12" s="11">
        <v>0</v>
      </c>
      <c r="P12" s="12">
        <v>55.988999999999997</v>
      </c>
      <c r="Q12" s="13" t="s">
        <v>22</v>
      </c>
    </row>
    <row r="13" spans="1:17" x14ac:dyDescent="0.25">
      <c r="A13" s="17">
        <v>36793</v>
      </c>
      <c r="B13" s="17">
        <v>36793</v>
      </c>
      <c r="C13" s="4">
        <v>2000</v>
      </c>
      <c r="D13" s="351" t="s">
        <v>23</v>
      </c>
      <c r="E13" s="14" t="s">
        <v>32</v>
      </c>
      <c r="F13" s="7" t="s">
        <v>45</v>
      </c>
      <c r="G13" s="15" t="s">
        <v>26</v>
      </c>
      <c r="H13" s="18" t="s">
        <v>38</v>
      </c>
      <c r="I13" s="19">
        <v>0</v>
      </c>
      <c r="J13" s="20">
        <v>0</v>
      </c>
      <c r="K13" s="20">
        <v>0</v>
      </c>
      <c r="L13" s="11">
        <v>0</v>
      </c>
      <c r="M13" s="11">
        <v>0</v>
      </c>
      <c r="N13" s="11">
        <v>0</v>
      </c>
      <c r="O13" s="11">
        <v>0</v>
      </c>
      <c r="P13" s="12">
        <v>47.536000000000001</v>
      </c>
      <c r="Q13" s="13" t="s">
        <v>22</v>
      </c>
    </row>
    <row r="14" spans="1:17" ht="120" x14ac:dyDescent="0.25">
      <c r="A14" s="17">
        <v>36678</v>
      </c>
      <c r="B14" s="17">
        <v>36678</v>
      </c>
      <c r="C14" s="4">
        <v>2000</v>
      </c>
      <c r="D14" s="351" t="s">
        <v>23</v>
      </c>
      <c r="E14" s="14" t="s">
        <v>24</v>
      </c>
      <c r="F14" s="7" t="s">
        <v>45</v>
      </c>
      <c r="G14" s="15" t="s">
        <v>26</v>
      </c>
      <c r="H14" s="18" t="s">
        <v>46</v>
      </c>
      <c r="I14" s="19">
        <v>0</v>
      </c>
      <c r="J14" s="20">
        <v>0</v>
      </c>
      <c r="K14" s="20">
        <v>0</v>
      </c>
      <c r="L14" s="11">
        <v>0</v>
      </c>
      <c r="M14" s="11">
        <v>0</v>
      </c>
      <c r="N14" s="11">
        <v>0</v>
      </c>
      <c r="O14" s="11">
        <v>0</v>
      </c>
      <c r="P14" s="12">
        <v>62</v>
      </c>
      <c r="Q14" s="13" t="s">
        <v>22</v>
      </c>
    </row>
    <row r="15" spans="1:17" ht="48" x14ac:dyDescent="0.25">
      <c r="A15" s="17">
        <v>36789</v>
      </c>
      <c r="B15" s="17">
        <v>36791</v>
      </c>
      <c r="C15" s="4">
        <v>2000</v>
      </c>
      <c r="D15" s="351" t="s">
        <v>23</v>
      </c>
      <c r="E15" s="14" t="s">
        <v>32</v>
      </c>
      <c r="F15" s="7" t="s">
        <v>47</v>
      </c>
      <c r="G15" s="15" t="s">
        <v>26</v>
      </c>
      <c r="H15" s="18" t="s">
        <v>48</v>
      </c>
      <c r="I15" s="19">
        <v>0</v>
      </c>
      <c r="J15" s="20">
        <v>0</v>
      </c>
      <c r="K15" s="20">
        <v>0</v>
      </c>
      <c r="L15" s="11">
        <v>0</v>
      </c>
      <c r="M15" s="11">
        <v>0</v>
      </c>
      <c r="N15" s="11">
        <v>0</v>
      </c>
      <c r="O15" s="11">
        <v>0</v>
      </c>
      <c r="P15" s="12">
        <v>16.199000000000002</v>
      </c>
      <c r="Q15" s="13" t="s">
        <v>22</v>
      </c>
    </row>
    <row r="16" spans="1:17" x14ac:dyDescent="0.25">
      <c r="A16" s="17">
        <v>36793</v>
      </c>
      <c r="B16" s="17">
        <v>36793</v>
      </c>
      <c r="C16" s="4">
        <v>2000</v>
      </c>
      <c r="D16" s="351" t="s">
        <v>23</v>
      </c>
      <c r="E16" s="14" t="s">
        <v>32</v>
      </c>
      <c r="F16" s="7" t="s">
        <v>49</v>
      </c>
      <c r="G16" s="15" t="s">
        <v>26</v>
      </c>
      <c r="H16" s="18" t="s">
        <v>38</v>
      </c>
      <c r="I16" s="19">
        <v>0</v>
      </c>
      <c r="J16" s="20">
        <v>0</v>
      </c>
      <c r="K16" s="20">
        <v>0</v>
      </c>
      <c r="L16" s="11">
        <v>0</v>
      </c>
      <c r="M16" s="11">
        <v>0</v>
      </c>
      <c r="N16" s="11">
        <v>0</v>
      </c>
      <c r="O16" s="11">
        <v>0</v>
      </c>
      <c r="P16" s="12">
        <v>7.734</v>
      </c>
      <c r="Q16" s="13" t="s">
        <v>22</v>
      </c>
    </row>
    <row r="17" spans="1:17" ht="120" x14ac:dyDescent="0.25">
      <c r="A17" s="17">
        <v>36661</v>
      </c>
      <c r="B17" s="17">
        <v>36661</v>
      </c>
      <c r="C17" s="4">
        <v>2000</v>
      </c>
      <c r="D17" s="351" t="s">
        <v>23</v>
      </c>
      <c r="E17" s="14" t="s">
        <v>24</v>
      </c>
      <c r="F17" s="7" t="s">
        <v>49</v>
      </c>
      <c r="G17" s="15" t="s">
        <v>26</v>
      </c>
      <c r="H17" s="18" t="s">
        <v>50</v>
      </c>
      <c r="I17" s="19">
        <v>0</v>
      </c>
      <c r="J17" s="20">
        <v>0</v>
      </c>
      <c r="K17" s="20">
        <v>0</v>
      </c>
      <c r="L17" s="11">
        <v>0</v>
      </c>
      <c r="M17" s="11">
        <v>0</v>
      </c>
      <c r="N17" s="11">
        <v>0</v>
      </c>
      <c r="O17" s="11">
        <v>0</v>
      </c>
      <c r="P17" s="12">
        <v>45</v>
      </c>
      <c r="Q17" s="13" t="s">
        <v>22</v>
      </c>
    </row>
    <row r="18" spans="1:17" ht="84" x14ac:dyDescent="0.25">
      <c r="A18" s="2">
        <v>36526</v>
      </c>
      <c r="B18" s="3">
        <v>36891</v>
      </c>
      <c r="C18" s="4">
        <v>2000</v>
      </c>
      <c r="D18" s="35" t="s">
        <v>28</v>
      </c>
      <c r="E18" s="14" t="s">
        <v>29</v>
      </c>
      <c r="F18" s="7" t="s">
        <v>49</v>
      </c>
      <c r="G18" s="15" t="s">
        <v>26</v>
      </c>
      <c r="H18" s="18" t="s">
        <v>51</v>
      </c>
      <c r="I18" s="19">
        <v>0</v>
      </c>
      <c r="J18" s="20">
        <v>0</v>
      </c>
      <c r="K18" s="20">
        <v>0</v>
      </c>
      <c r="L18" s="11">
        <v>0</v>
      </c>
      <c r="M18" s="11">
        <v>0</v>
      </c>
      <c r="N18" s="11">
        <v>0</v>
      </c>
      <c r="O18" s="11">
        <v>0</v>
      </c>
      <c r="P18" s="12">
        <v>6.6</v>
      </c>
      <c r="Q18" s="13" t="s">
        <v>22</v>
      </c>
    </row>
    <row r="19" spans="1:17" ht="84" x14ac:dyDescent="0.25">
      <c r="A19" s="17">
        <v>36677</v>
      </c>
      <c r="B19" s="17">
        <v>36677</v>
      </c>
      <c r="C19" s="4">
        <v>2000</v>
      </c>
      <c r="D19" s="351" t="s">
        <v>23</v>
      </c>
      <c r="E19" s="14" t="s">
        <v>52</v>
      </c>
      <c r="F19" s="7" t="s">
        <v>53</v>
      </c>
      <c r="G19" s="8" t="s">
        <v>54</v>
      </c>
      <c r="H19" s="18" t="s">
        <v>55</v>
      </c>
      <c r="I19" s="19">
        <v>0</v>
      </c>
      <c r="J19" s="20">
        <v>2005</v>
      </c>
      <c r="K19" s="20">
        <v>0</v>
      </c>
      <c r="L19" s="11">
        <v>0</v>
      </c>
      <c r="M19" s="11">
        <v>0</v>
      </c>
      <c r="N19" s="11">
        <v>0</v>
      </c>
      <c r="O19" s="11">
        <v>0</v>
      </c>
      <c r="P19" s="12">
        <v>179.92699999999999</v>
      </c>
      <c r="Q19" s="13" t="s">
        <v>22</v>
      </c>
    </row>
    <row r="20" spans="1:17" ht="120" x14ac:dyDescent="0.25">
      <c r="A20" s="17">
        <v>36678</v>
      </c>
      <c r="B20" s="17">
        <v>36678</v>
      </c>
      <c r="C20" s="4">
        <v>2000</v>
      </c>
      <c r="D20" s="351" t="s">
        <v>23</v>
      </c>
      <c r="E20" s="14" t="s">
        <v>24</v>
      </c>
      <c r="F20" s="7" t="s">
        <v>56</v>
      </c>
      <c r="G20" s="15" t="s">
        <v>26</v>
      </c>
      <c r="H20" s="18" t="s">
        <v>57</v>
      </c>
      <c r="I20" s="19">
        <v>0</v>
      </c>
      <c r="J20" s="20">
        <v>0</v>
      </c>
      <c r="K20" s="20">
        <v>0</v>
      </c>
      <c r="L20" s="11">
        <v>0</v>
      </c>
      <c r="M20" s="11">
        <v>0</v>
      </c>
      <c r="N20" s="11">
        <v>0</v>
      </c>
      <c r="O20" s="11">
        <v>0</v>
      </c>
      <c r="P20" s="12">
        <v>73.989999999999995</v>
      </c>
      <c r="Q20" s="13" t="s">
        <v>22</v>
      </c>
    </row>
    <row r="21" spans="1:17" x14ac:dyDescent="0.25">
      <c r="A21" s="17">
        <v>36800</v>
      </c>
      <c r="B21" s="17">
        <v>36800</v>
      </c>
      <c r="C21" s="4">
        <v>2000</v>
      </c>
      <c r="D21" s="351" t="s">
        <v>23</v>
      </c>
      <c r="E21" s="14" t="s">
        <v>32</v>
      </c>
      <c r="F21" s="7" t="s">
        <v>58</v>
      </c>
      <c r="G21" s="15" t="s">
        <v>26</v>
      </c>
      <c r="H21" s="18" t="s">
        <v>38</v>
      </c>
      <c r="I21" s="19">
        <v>0</v>
      </c>
      <c r="J21" s="20">
        <v>0</v>
      </c>
      <c r="K21" s="20">
        <v>0</v>
      </c>
      <c r="L21" s="11">
        <v>0</v>
      </c>
      <c r="M21" s="11">
        <v>0</v>
      </c>
      <c r="N21" s="11">
        <v>0</v>
      </c>
      <c r="O21" s="11">
        <v>0</v>
      </c>
      <c r="P21" s="12">
        <v>10.302</v>
      </c>
      <c r="Q21" s="13" t="s">
        <v>22</v>
      </c>
    </row>
    <row r="22" spans="1:17" ht="84" x14ac:dyDescent="0.25">
      <c r="A22" s="2">
        <v>36526</v>
      </c>
      <c r="B22" s="3">
        <v>36891</v>
      </c>
      <c r="C22" s="4">
        <v>2000</v>
      </c>
      <c r="D22" s="35" t="s">
        <v>28</v>
      </c>
      <c r="E22" s="14" t="s">
        <v>29</v>
      </c>
      <c r="F22" s="7" t="s">
        <v>58</v>
      </c>
      <c r="G22" s="15" t="s">
        <v>26</v>
      </c>
      <c r="H22" s="18" t="s">
        <v>59</v>
      </c>
      <c r="I22" s="19">
        <v>0</v>
      </c>
      <c r="J22" s="20">
        <v>0</v>
      </c>
      <c r="K22" s="20">
        <v>0</v>
      </c>
      <c r="L22" s="11">
        <v>0</v>
      </c>
      <c r="M22" s="11">
        <v>0</v>
      </c>
      <c r="N22" s="11">
        <v>0</v>
      </c>
      <c r="O22" s="11">
        <v>0</v>
      </c>
      <c r="P22" s="12">
        <v>9.5649999999999995</v>
      </c>
      <c r="Q22" s="13" t="s">
        <v>22</v>
      </c>
    </row>
    <row r="23" spans="1:17" ht="84" x14ac:dyDescent="0.25">
      <c r="A23" s="2">
        <v>36526</v>
      </c>
      <c r="B23" s="17">
        <v>36891</v>
      </c>
      <c r="C23" s="4">
        <v>2000</v>
      </c>
      <c r="D23" s="35" t="s">
        <v>28</v>
      </c>
      <c r="E23" s="14" t="s">
        <v>29</v>
      </c>
      <c r="F23" s="7" t="s">
        <v>60</v>
      </c>
      <c r="G23" s="15" t="s">
        <v>26</v>
      </c>
      <c r="H23" s="18" t="s">
        <v>61</v>
      </c>
      <c r="I23" s="19">
        <v>0</v>
      </c>
      <c r="J23" s="20">
        <v>0</v>
      </c>
      <c r="K23" s="20">
        <v>0</v>
      </c>
      <c r="L23" s="11">
        <v>0</v>
      </c>
      <c r="M23" s="11">
        <v>0</v>
      </c>
      <c r="N23" s="11">
        <v>0</v>
      </c>
      <c r="O23" s="11">
        <v>0</v>
      </c>
      <c r="P23" s="12">
        <v>8.5670000000000002</v>
      </c>
      <c r="Q23" s="13" t="s">
        <v>22</v>
      </c>
    </row>
    <row r="24" spans="1:17" x14ac:dyDescent="0.25">
      <c r="A24" s="21">
        <v>36788</v>
      </c>
      <c r="B24" s="21">
        <v>36791</v>
      </c>
      <c r="C24" s="4">
        <v>2000</v>
      </c>
      <c r="D24" s="351" t="s">
        <v>23</v>
      </c>
      <c r="E24" s="14" t="s">
        <v>32</v>
      </c>
      <c r="F24" s="7" t="s">
        <v>62</v>
      </c>
      <c r="G24" s="15" t="s">
        <v>26</v>
      </c>
      <c r="H24" s="18" t="s">
        <v>38</v>
      </c>
      <c r="I24" s="19">
        <v>0</v>
      </c>
      <c r="J24" s="20">
        <v>0</v>
      </c>
      <c r="K24" s="20">
        <v>0</v>
      </c>
      <c r="L24" s="11">
        <v>0</v>
      </c>
      <c r="M24" s="11">
        <v>0</v>
      </c>
      <c r="N24" s="11">
        <v>0</v>
      </c>
      <c r="O24" s="11">
        <v>0</v>
      </c>
      <c r="P24" s="12">
        <v>11.670999999999999</v>
      </c>
      <c r="Q24" s="13" t="s">
        <v>22</v>
      </c>
    </row>
    <row r="25" spans="1:17" x14ac:dyDescent="0.25">
      <c r="A25" s="17">
        <v>36789</v>
      </c>
      <c r="B25" s="17">
        <v>36789</v>
      </c>
      <c r="C25" s="4">
        <v>2000</v>
      </c>
      <c r="D25" s="351" t="s">
        <v>23</v>
      </c>
      <c r="E25" s="14" t="s">
        <v>32</v>
      </c>
      <c r="F25" s="7" t="s">
        <v>62</v>
      </c>
      <c r="G25" s="15" t="s">
        <v>26</v>
      </c>
      <c r="H25" s="18" t="s">
        <v>63</v>
      </c>
      <c r="I25" s="19">
        <v>0</v>
      </c>
      <c r="J25" s="20">
        <v>0</v>
      </c>
      <c r="K25" s="20">
        <v>0</v>
      </c>
      <c r="L25" s="11">
        <v>0</v>
      </c>
      <c r="M25" s="11">
        <v>0</v>
      </c>
      <c r="N25" s="11">
        <v>0</v>
      </c>
      <c r="O25" s="11">
        <v>0</v>
      </c>
      <c r="P25" s="12">
        <v>60.869</v>
      </c>
      <c r="Q25" s="13" t="s">
        <v>22</v>
      </c>
    </row>
    <row r="26" spans="1:17" ht="120" x14ac:dyDescent="0.25">
      <c r="A26" s="17">
        <v>36867</v>
      </c>
      <c r="B26" s="17">
        <v>36867</v>
      </c>
      <c r="C26" s="4">
        <v>2000</v>
      </c>
      <c r="D26" s="351" t="s">
        <v>23</v>
      </c>
      <c r="E26" s="14" t="s">
        <v>24</v>
      </c>
      <c r="F26" s="7" t="s">
        <v>62</v>
      </c>
      <c r="G26" s="15" t="s">
        <v>26</v>
      </c>
      <c r="H26" s="18" t="s">
        <v>64</v>
      </c>
      <c r="I26" s="19">
        <v>0</v>
      </c>
      <c r="J26" s="20">
        <v>0</v>
      </c>
      <c r="K26" s="20">
        <v>0</v>
      </c>
      <c r="L26" s="11">
        <v>0</v>
      </c>
      <c r="M26" s="11">
        <v>0</v>
      </c>
      <c r="N26" s="11">
        <v>0</v>
      </c>
      <c r="O26" s="11">
        <v>0</v>
      </c>
      <c r="P26" s="12">
        <v>9.32</v>
      </c>
      <c r="Q26" s="13" t="s">
        <v>22</v>
      </c>
    </row>
    <row r="27" spans="1:17" ht="84" x14ac:dyDescent="0.25">
      <c r="A27" s="2">
        <v>36526</v>
      </c>
      <c r="B27" s="17">
        <v>36891</v>
      </c>
      <c r="C27" s="4">
        <v>2000</v>
      </c>
      <c r="D27" s="35" t="s">
        <v>28</v>
      </c>
      <c r="E27" s="14" t="s">
        <v>29</v>
      </c>
      <c r="F27" s="7" t="s">
        <v>65</v>
      </c>
      <c r="G27" s="15" t="s">
        <v>26</v>
      </c>
      <c r="H27" s="18" t="s">
        <v>66</v>
      </c>
      <c r="I27" s="19">
        <v>0</v>
      </c>
      <c r="J27" s="20">
        <v>0</v>
      </c>
      <c r="K27" s="20">
        <v>0</v>
      </c>
      <c r="L27" s="11">
        <v>0</v>
      </c>
      <c r="M27" s="11">
        <v>0</v>
      </c>
      <c r="N27" s="11">
        <v>0</v>
      </c>
      <c r="O27" s="11">
        <v>0</v>
      </c>
      <c r="P27" s="12">
        <v>4.4400000000000004</v>
      </c>
      <c r="Q27" s="13" t="s">
        <v>22</v>
      </c>
    </row>
    <row r="28" spans="1:17" x14ac:dyDescent="0.25">
      <c r="A28" s="17">
        <v>36789</v>
      </c>
      <c r="B28" s="17">
        <v>36789</v>
      </c>
      <c r="C28" s="4">
        <v>2000</v>
      </c>
      <c r="D28" s="351" t="s">
        <v>23</v>
      </c>
      <c r="E28" s="14" t="s">
        <v>32</v>
      </c>
      <c r="F28" s="7" t="s">
        <v>67</v>
      </c>
      <c r="G28" s="15" t="s">
        <v>26</v>
      </c>
      <c r="H28" s="18" t="s">
        <v>63</v>
      </c>
      <c r="I28" s="19">
        <v>0</v>
      </c>
      <c r="J28" s="20">
        <v>0</v>
      </c>
      <c r="K28" s="20">
        <v>0</v>
      </c>
      <c r="L28" s="11">
        <v>0</v>
      </c>
      <c r="M28" s="11">
        <v>0</v>
      </c>
      <c r="N28" s="11">
        <v>0</v>
      </c>
      <c r="O28" s="11">
        <v>0</v>
      </c>
      <c r="P28" s="12">
        <v>47.774999999999999</v>
      </c>
      <c r="Q28" s="13" t="s">
        <v>22</v>
      </c>
    </row>
    <row r="29" spans="1:17" ht="120" x14ac:dyDescent="0.25">
      <c r="A29" s="17">
        <v>36805</v>
      </c>
      <c r="B29" s="17">
        <v>36806</v>
      </c>
      <c r="C29" s="4">
        <v>2000</v>
      </c>
      <c r="D29" s="351" t="s">
        <v>23</v>
      </c>
      <c r="E29" s="14" t="s">
        <v>32</v>
      </c>
      <c r="F29" s="7" t="s">
        <v>68</v>
      </c>
      <c r="G29" s="8" t="s">
        <v>69</v>
      </c>
      <c r="H29" s="18" t="s">
        <v>70</v>
      </c>
      <c r="I29" s="19">
        <v>0</v>
      </c>
      <c r="J29" s="20">
        <v>5130</v>
      </c>
      <c r="K29" s="20">
        <v>460</v>
      </c>
      <c r="L29" s="11">
        <v>0</v>
      </c>
      <c r="M29" s="11">
        <v>0</v>
      </c>
      <c r="N29" s="11">
        <v>0</v>
      </c>
      <c r="O29" s="11">
        <v>0</v>
      </c>
      <c r="P29" s="12">
        <v>115.6</v>
      </c>
      <c r="Q29" s="13" t="s">
        <v>22</v>
      </c>
    </row>
    <row r="30" spans="1:17" ht="120" x14ac:dyDescent="0.25">
      <c r="A30" s="17">
        <v>36678</v>
      </c>
      <c r="B30" s="17">
        <v>36678</v>
      </c>
      <c r="C30" s="4">
        <v>2000</v>
      </c>
      <c r="D30" s="351" t="s">
        <v>23</v>
      </c>
      <c r="E30" s="14" t="s">
        <v>24</v>
      </c>
      <c r="F30" s="7" t="s">
        <v>68</v>
      </c>
      <c r="G30" s="15" t="s">
        <v>26</v>
      </c>
      <c r="H30" s="18" t="s">
        <v>71</v>
      </c>
      <c r="I30" s="19">
        <v>0</v>
      </c>
      <c r="J30" s="20">
        <v>0</v>
      </c>
      <c r="K30" s="20">
        <v>0</v>
      </c>
      <c r="L30" s="11">
        <v>0</v>
      </c>
      <c r="M30" s="11">
        <v>0</v>
      </c>
      <c r="N30" s="11">
        <v>0</v>
      </c>
      <c r="O30" s="11">
        <v>0</v>
      </c>
      <c r="P30" s="12">
        <v>51.82</v>
      </c>
      <c r="Q30" s="13" t="s">
        <v>22</v>
      </c>
    </row>
    <row r="31" spans="1:17" ht="60" x14ac:dyDescent="0.25">
      <c r="A31" s="17">
        <v>36836</v>
      </c>
      <c r="B31" s="17">
        <v>36838</v>
      </c>
      <c r="C31" s="4">
        <v>2000</v>
      </c>
      <c r="D31" s="351" t="s">
        <v>23</v>
      </c>
      <c r="E31" s="14" t="s">
        <v>32</v>
      </c>
      <c r="F31" s="7" t="s">
        <v>72</v>
      </c>
      <c r="G31" s="8" t="s">
        <v>73</v>
      </c>
      <c r="H31" s="18" t="s">
        <v>74</v>
      </c>
      <c r="I31" s="19">
        <v>0</v>
      </c>
      <c r="J31" s="20">
        <v>0</v>
      </c>
      <c r="K31" s="20">
        <v>0</v>
      </c>
      <c r="L31" s="11">
        <v>0</v>
      </c>
      <c r="M31" s="11">
        <v>0</v>
      </c>
      <c r="N31" s="11">
        <v>0</v>
      </c>
      <c r="O31" s="11">
        <v>0</v>
      </c>
      <c r="P31" s="12">
        <v>0.14000000000000001</v>
      </c>
      <c r="Q31" s="13" t="s">
        <v>22</v>
      </c>
    </row>
    <row r="32" spans="1:17" ht="48" x14ac:dyDescent="0.25">
      <c r="A32" s="17">
        <v>36861</v>
      </c>
      <c r="B32" s="17">
        <v>36891</v>
      </c>
      <c r="C32" s="4">
        <v>2000</v>
      </c>
      <c r="D32" s="351" t="s">
        <v>23</v>
      </c>
      <c r="E32" s="22" t="s">
        <v>42</v>
      </c>
      <c r="F32" s="7" t="s">
        <v>75</v>
      </c>
      <c r="G32" s="15" t="s">
        <v>26</v>
      </c>
      <c r="H32" s="18" t="s">
        <v>76</v>
      </c>
      <c r="I32" s="19">
        <v>0</v>
      </c>
      <c r="J32" s="20">
        <v>0</v>
      </c>
      <c r="K32" s="20">
        <v>0</v>
      </c>
      <c r="L32" s="11">
        <v>0</v>
      </c>
      <c r="M32" s="11">
        <v>0</v>
      </c>
      <c r="N32" s="11">
        <v>0</v>
      </c>
      <c r="O32" s="11">
        <v>0</v>
      </c>
      <c r="P32" s="12">
        <v>9.8000000000000007</v>
      </c>
      <c r="Q32" s="13" t="s">
        <v>22</v>
      </c>
    </row>
    <row r="33" spans="1:17" ht="120" x14ac:dyDescent="0.25">
      <c r="A33" s="17">
        <v>36647</v>
      </c>
      <c r="B33" s="17">
        <v>37072</v>
      </c>
      <c r="C33" s="4">
        <v>2000</v>
      </c>
      <c r="D33" s="351" t="s">
        <v>23</v>
      </c>
      <c r="E33" s="14" t="s">
        <v>24</v>
      </c>
      <c r="F33" s="7" t="s">
        <v>77</v>
      </c>
      <c r="G33" s="15" t="s">
        <v>78</v>
      </c>
      <c r="H33" s="18" t="s">
        <v>79</v>
      </c>
      <c r="I33" s="19">
        <v>0</v>
      </c>
      <c r="J33" s="20">
        <v>0</v>
      </c>
      <c r="K33" s="20">
        <v>0</v>
      </c>
      <c r="L33" s="11">
        <v>0</v>
      </c>
      <c r="M33" s="11">
        <v>0</v>
      </c>
      <c r="N33" s="11">
        <v>0</v>
      </c>
      <c r="O33" s="11">
        <v>0</v>
      </c>
      <c r="P33" s="12">
        <v>14.19</v>
      </c>
      <c r="Q33" s="13" t="s">
        <v>22</v>
      </c>
    </row>
    <row r="34" spans="1:17" ht="60" x14ac:dyDescent="0.25">
      <c r="A34" s="17">
        <v>36799</v>
      </c>
      <c r="B34" s="17">
        <v>36799</v>
      </c>
      <c r="C34" s="4">
        <v>2000</v>
      </c>
      <c r="D34" s="351" t="s">
        <v>23</v>
      </c>
      <c r="E34" s="14" t="s">
        <v>32</v>
      </c>
      <c r="F34" s="7" t="s">
        <v>80</v>
      </c>
      <c r="G34" s="15" t="s">
        <v>26</v>
      </c>
      <c r="H34" s="18" t="s">
        <v>37</v>
      </c>
      <c r="I34" s="19">
        <v>0</v>
      </c>
      <c r="J34" s="20">
        <v>0</v>
      </c>
      <c r="K34" s="20">
        <v>0</v>
      </c>
      <c r="L34" s="11">
        <v>0</v>
      </c>
      <c r="M34" s="11">
        <v>0</v>
      </c>
      <c r="N34" s="11">
        <v>0</v>
      </c>
      <c r="O34" s="11">
        <v>0</v>
      </c>
      <c r="P34" s="12">
        <v>42.482999999999997</v>
      </c>
      <c r="Q34" s="13" t="s">
        <v>22</v>
      </c>
    </row>
    <row r="35" spans="1:17" ht="84" x14ac:dyDescent="0.25">
      <c r="A35" s="2">
        <v>36526</v>
      </c>
      <c r="B35" s="17">
        <v>36891</v>
      </c>
      <c r="C35" s="4">
        <v>2000</v>
      </c>
      <c r="D35" s="35" t="s">
        <v>28</v>
      </c>
      <c r="E35" s="14" t="s">
        <v>29</v>
      </c>
      <c r="F35" s="7" t="s">
        <v>80</v>
      </c>
      <c r="G35" s="15" t="s">
        <v>26</v>
      </c>
      <c r="H35" s="18" t="s">
        <v>81</v>
      </c>
      <c r="I35" s="19">
        <v>0</v>
      </c>
      <c r="J35" s="20">
        <v>0</v>
      </c>
      <c r="K35" s="20">
        <v>0</v>
      </c>
      <c r="L35" s="11">
        <v>0</v>
      </c>
      <c r="M35" s="11">
        <v>0</v>
      </c>
      <c r="N35" s="11">
        <v>0</v>
      </c>
      <c r="O35" s="11">
        <v>0</v>
      </c>
      <c r="P35" s="12">
        <v>3.3109999999999999</v>
      </c>
      <c r="Q35" s="13" t="s">
        <v>22</v>
      </c>
    </row>
    <row r="36" spans="1:17" ht="120" x14ac:dyDescent="0.25">
      <c r="A36" s="17">
        <v>36647</v>
      </c>
      <c r="B36" s="17">
        <v>36981</v>
      </c>
      <c r="C36" s="4">
        <v>2000</v>
      </c>
      <c r="D36" s="351" t="s">
        <v>23</v>
      </c>
      <c r="E36" s="14" t="s">
        <v>24</v>
      </c>
      <c r="F36" s="7" t="s">
        <v>82</v>
      </c>
      <c r="G36" s="15" t="s">
        <v>26</v>
      </c>
      <c r="H36" s="18" t="s">
        <v>83</v>
      </c>
      <c r="I36" s="19">
        <v>0</v>
      </c>
      <c r="J36" s="20">
        <v>0</v>
      </c>
      <c r="K36" s="20">
        <v>0</v>
      </c>
      <c r="L36" s="11">
        <v>0</v>
      </c>
      <c r="M36" s="11">
        <v>0</v>
      </c>
      <c r="N36" s="11">
        <v>0</v>
      </c>
      <c r="O36" s="11">
        <v>0</v>
      </c>
      <c r="P36" s="12">
        <v>16.28</v>
      </c>
      <c r="Q36" s="13" t="s">
        <v>22</v>
      </c>
    </row>
    <row r="37" spans="1:17" ht="120" x14ac:dyDescent="0.25">
      <c r="A37" s="17">
        <v>36678</v>
      </c>
      <c r="B37" s="17">
        <v>36678</v>
      </c>
      <c r="C37" s="4">
        <v>2000</v>
      </c>
      <c r="D37" s="351" t="s">
        <v>23</v>
      </c>
      <c r="E37" s="14" t="s">
        <v>24</v>
      </c>
      <c r="F37" s="7" t="s">
        <v>84</v>
      </c>
      <c r="G37" s="15" t="s">
        <v>26</v>
      </c>
      <c r="H37" s="18" t="s">
        <v>85</v>
      </c>
      <c r="I37" s="19">
        <v>0</v>
      </c>
      <c r="J37" s="20">
        <v>0</v>
      </c>
      <c r="K37" s="20">
        <v>0</v>
      </c>
      <c r="L37" s="11">
        <v>0</v>
      </c>
      <c r="M37" s="11">
        <v>0</v>
      </c>
      <c r="N37" s="11">
        <v>0</v>
      </c>
      <c r="O37" s="11">
        <v>0</v>
      </c>
      <c r="P37" s="12">
        <v>53.44</v>
      </c>
      <c r="Q37" s="13" t="s">
        <v>22</v>
      </c>
    </row>
    <row r="38" spans="1:17" ht="132" x14ac:dyDescent="0.25">
      <c r="A38" s="17">
        <v>36820</v>
      </c>
      <c r="B38" s="17">
        <v>36821</v>
      </c>
      <c r="C38" s="4">
        <v>2000</v>
      </c>
      <c r="D38" s="351" t="s">
        <v>23</v>
      </c>
      <c r="E38" s="22" t="s">
        <v>86</v>
      </c>
      <c r="F38" s="7" t="s">
        <v>87</v>
      </c>
      <c r="G38" s="15" t="s">
        <v>88</v>
      </c>
      <c r="H38" s="18" t="s">
        <v>89</v>
      </c>
      <c r="I38" s="19">
        <v>0</v>
      </c>
      <c r="J38" s="20">
        <v>2320</v>
      </c>
      <c r="K38" s="20">
        <v>464</v>
      </c>
      <c r="L38" s="11">
        <v>0</v>
      </c>
      <c r="M38" s="11">
        <v>0</v>
      </c>
      <c r="N38" s="11">
        <v>0</v>
      </c>
      <c r="O38" s="11">
        <v>1250</v>
      </c>
      <c r="P38" s="12">
        <v>64.436000000000007</v>
      </c>
      <c r="Q38" s="13" t="s">
        <v>22</v>
      </c>
    </row>
    <row r="39" spans="1:17" ht="120" x14ac:dyDescent="0.25">
      <c r="A39" s="17">
        <v>36661</v>
      </c>
      <c r="B39" s="17">
        <v>36661</v>
      </c>
      <c r="C39" s="4">
        <v>2000</v>
      </c>
      <c r="D39" s="351" t="s">
        <v>23</v>
      </c>
      <c r="E39" s="14" t="s">
        <v>24</v>
      </c>
      <c r="F39" s="7" t="s">
        <v>87</v>
      </c>
      <c r="G39" s="15" t="s">
        <v>26</v>
      </c>
      <c r="H39" s="18" t="s">
        <v>90</v>
      </c>
      <c r="I39" s="19">
        <v>0</v>
      </c>
      <c r="J39" s="20">
        <v>0</v>
      </c>
      <c r="K39" s="20">
        <v>0</v>
      </c>
      <c r="L39" s="11">
        <v>0</v>
      </c>
      <c r="M39" s="11">
        <v>0</v>
      </c>
      <c r="N39" s="11">
        <v>0</v>
      </c>
      <c r="O39" s="11">
        <v>0</v>
      </c>
      <c r="P39" s="12">
        <v>56.07</v>
      </c>
      <c r="Q39" s="13" t="s">
        <v>22</v>
      </c>
    </row>
    <row r="40" spans="1:17" ht="60" x14ac:dyDescent="0.25">
      <c r="A40" s="17">
        <v>36753</v>
      </c>
      <c r="B40" s="17">
        <v>36755</v>
      </c>
      <c r="C40" s="4">
        <v>2000</v>
      </c>
      <c r="D40" s="351" t="s">
        <v>23</v>
      </c>
      <c r="E40" s="14" t="s">
        <v>32</v>
      </c>
      <c r="F40" s="7" t="s">
        <v>91</v>
      </c>
      <c r="G40" s="8" t="s">
        <v>92</v>
      </c>
      <c r="H40" s="18" t="s">
        <v>93</v>
      </c>
      <c r="I40" s="19">
        <v>0</v>
      </c>
      <c r="J40" s="20">
        <v>0</v>
      </c>
      <c r="K40" s="20">
        <v>0</v>
      </c>
      <c r="L40" s="11">
        <v>0</v>
      </c>
      <c r="M40" s="11">
        <v>0</v>
      </c>
      <c r="N40" s="11">
        <v>0</v>
      </c>
      <c r="O40" s="11">
        <v>0</v>
      </c>
      <c r="P40" s="12">
        <v>0.254</v>
      </c>
      <c r="Q40" s="13" t="s">
        <v>22</v>
      </c>
    </row>
    <row r="41" spans="1:17" ht="84" x14ac:dyDescent="0.25">
      <c r="A41" s="17">
        <v>36802</v>
      </c>
      <c r="B41" s="17">
        <v>36804</v>
      </c>
      <c r="C41" s="4">
        <v>2000</v>
      </c>
      <c r="D41" s="351" t="s">
        <v>23</v>
      </c>
      <c r="E41" s="14" t="s">
        <v>32</v>
      </c>
      <c r="F41" s="7" t="s">
        <v>94</v>
      </c>
      <c r="G41" s="8" t="s">
        <v>95</v>
      </c>
      <c r="H41" s="18" t="s">
        <v>96</v>
      </c>
      <c r="I41" s="19">
        <v>0</v>
      </c>
      <c r="J41" s="20">
        <v>0</v>
      </c>
      <c r="K41" s="20">
        <v>30</v>
      </c>
      <c r="L41" s="11">
        <v>1</v>
      </c>
      <c r="M41" s="11">
        <v>0</v>
      </c>
      <c r="N41" s="11">
        <v>0</v>
      </c>
      <c r="O41" s="11">
        <v>0</v>
      </c>
      <c r="P41" s="12">
        <v>117.85</v>
      </c>
      <c r="Q41" s="13" t="s">
        <v>22</v>
      </c>
    </row>
    <row r="42" spans="1:17" ht="48" x14ac:dyDescent="0.25">
      <c r="A42" s="17">
        <v>36861</v>
      </c>
      <c r="B42" s="17">
        <v>36891</v>
      </c>
      <c r="C42" s="4">
        <v>2000</v>
      </c>
      <c r="D42" s="351" t="s">
        <v>23</v>
      </c>
      <c r="E42" s="22" t="s">
        <v>42</v>
      </c>
      <c r="F42" s="7" t="s">
        <v>97</v>
      </c>
      <c r="G42" s="15" t="s">
        <v>26</v>
      </c>
      <c r="H42" s="18" t="s">
        <v>98</v>
      </c>
      <c r="I42" s="19">
        <v>0</v>
      </c>
      <c r="J42" s="20">
        <v>0</v>
      </c>
      <c r="K42" s="20">
        <v>0</v>
      </c>
      <c r="L42" s="11">
        <v>0</v>
      </c>
      <c r="M42" s="11">
        <v>0</v>
      </c>
      <c r="N42" s="11">
        <v>0</v>
      </c>
      <c r="O42" s="11">
        <v>0</v>
      </c>
      <c r="P42" s="12">
        <v>4.7699999999999996</v>
      </c>
      <c r="Q42" s="13" t="s">
        <v>22</v>
      </c>
    </row>
    <row r="43" spans="1:17" ht="24" x14ac:dyDescent="0.25">
      <c r="A43" s="21">
        <v>36526</v>
      </c>
      <c r="B43" s="3">
        <v>36891</v>
      </c>
      <c r="C43" s="4">
        <v>2000</v>
      </c>
      <c r="D43" s="351" t="s">
        <v>23</v>
      </c>
      <c r="E43" s="14" t="s">
        <v>32</v>
      </c>
      <c r="F43" s="7" t="s">
        <v>99</v>
      </c>
      <c r="G43" s="15" t="s">
        <v>26</v>
      </c>
      <c r="H43" s="18" t="s">
        <v>100</v>
      </c>
      <c r="I43" s="19">
        <v>0</v>
      </c>
      <c r="J43" s="20">
        <v>0</v>
      </c>
      <c r="K43" s="20">
        <v>0</v>
      </c>
      <c r="L43" s="11">
        <v>0</v>
      </c>
      <c r="M43" s="11">
        <v>0</v>
      </c>
      <c r="N43" s="11">
        <v>0</v>
      </c>
      <c r="O43" s="11">
        <v>0</v>
      </c>
      <c r="P43" s="12">
        <v>530.29999999999995</v>
      </c>
      <c r="Q43" s="13" t="s">
        <v>22</v>
      </c>
    </row>
    <row r="44" spans="1:17" ht="120" x14ac:dyDescent="0.25">
      <c r="A44" s="17">
        <v>36678</v>
      </c>
      <c r="B44" s="17">
        <v>36678</v>
      </c>
      <c r="C44" s="4">
        <v>2000</v>
      </c>
      <c r="D44" s="351" t="s">
        <v>23</v>
      </c>
      <c r="E44" s="14" t="s">
        <v>24</v>
      </c>
      <c r="F44" s="7" t="s">
        <v>101</v>
      </c>
      <c r="G44" s="15" t="s">
        <v>26</v>
      </c>
      <c r="H44" s="18" t="s">
        <v>102</v>
      </c>
      <c r="I44" s="19">
        <v>0</v>
      </c>
      <c r="J44" s="20">
        <v>0</v>
      </c>
      <c r="K44" s="20">
        <v>0</v>
      </c>
      <c r="L44" s="11">
        <v>0</v>
      </c>
      <c r="M44" s="11">
        <v>0</v>
      </c>
      <c r="N44" s="11">
        <v>0</v>
      </c>
      <c r="O44" s="11">
        <v>0</v>
      </c>
      <c r="P44" s="12">
        <v>42.27</v>
      </c>
      <c r="Q44" s="13" t="s">
        <v>22</v>
      </c>
    </row>
    <row r="45" spans="1:17" ht="84" x14ac:dyDescent="0.25">
      <c r="A45" s="2">
        <v>36526</v>
      </c>
      <c r="B45" s="3">
        <v>36891</v>
      </c>
      <c r="C45" s="4">
        <v>2000</v>
      </c>
      <c r="D45" s="35" t="s">
        <v>28</v>
      </c>
      <c r="E45" s="14" t="s">
        <v>29</v>
      </c>
      <c r="F45" s="7" t="s">
        <v>101</v>
      </c>
      <c r="G45" s="15" t="s">
        <v>26</v>
      </c>
      <c r="H45" s="18" t="s">
        <v>103</v>
      </c>
      <c r="I45" s="19">
        <v>0</v>
      </c>
      <c r="J45" s="20">
        <v>0</v>
      </c>
      <c r="K45" s="20">
        <v>0</v>
      </c>
      <c r="L45" s="11">
        <v>0</v>
      </c>
      <c r="M45" s="11">
        <v>0</v>
      </c>
      <c r="N45" s="11">
        <v>0</v>
      </c>
      <c r="O45" s="11">
        <v>0</v>
      </c>
      <c r="P45" s="12">
        <v>3.04</v>
      </c>
      <c r="Q45" s="13" t="s">
        <v>22</v>
      </c>
    </row>
    <row r="46" spans="1:17" ht="60" x14ac:dyDescent="0.25">
      <c r="A46" s="23">
        <v>36923</v>
      </c>
      <c r="B46" s="23">
        <v>36923</v>
      </c>
      <c r="C46" s="24">
        <v>2001</v>
      </c>
      <c r="D46" s="351" t="s">
        <v>23</v>
      </c>
      <c r="E46" s="14" t="s">
        <v>24</v>
      </c>
      <c r="F46" s="7" t="s">
        <v>82</v>
      </c>
      <c r="G46" s="25" t="s">
        <v>26</v>
      </c>
      <c r="H46" s="18" t="s">
        <v>104</v>
      </c>
      <c r="I46" s="19">
        <v>0</v>
      </c>
      <c r="J46" s="20">
        <v>0</v>
      </c>
      <c r="K46" s="20">
        <v>0</v>
      </c>
      <c r="L46" s="20">
        <v>0</v>
      </c>
      <c r="M46" s="20">
        <v>0</v>
      </c>
      <c r="N46" s="20">
        <v>0</v>
      </c>
      <c r="O46" s="20">
        <v>0</v>
      </c>
      <c r="P46" s="26">
        <v>44.3</v>
      </c>
      <c r="Q46" s="27" t="s">
        <v>22</v>
      </c>
    </row>
    <row r="47" spans="1:17" ht="60" x14ac:dyDescent="0.25">
      <c r="A47" s="17">
        <v>37005</v>
      </c>
      <c r="B47" s="17">
        <v>37005</v>
      </c>
      <c r="C47" s="24">
        <v>2001</v>
      </c>
      <c r="D47" s="351" t="s">
        <v>23</v>
      </c>
      <c r="E47" s="14" t="s">
        <v>24</v>
      </c>
      <c r="F47" s="7" t="s">
        <v>40</v>
      </c>
      <c r="G47" s="25" t="s">
        <v>26</v>
      </c>
      <c r="H47" s="18" t="s">
        <v>105</v>
      </c>
      <c r="I47" s="19">
        <v>0</v>
      </c>
      <c r="J47" s="20">
        <v>0</v>
      </c>
      <c r="K47" s="20">
        <v>0</v>
      </c>
      <c r="L47" s="20">
        <v>0</v>
      </c>
      <c r="M47" s="20">
        <v>0</v>
      </c>
      <c r="N47" s="20">
        <v>0</v>
      </c>
      <c r="O47" s="20">
        <v>0</v>
      </c>
      <c r="P47" s="26">
        <v>185.9</v>
      </c>
      <c r="Q47" s="27" t="s">
        <v>22</v>
      </c>
    </row>
    <row r="48" spans="1:17" ht="60" x14ac:dyDescent="0.25">
      <c r="A48" s="17">
        <v>37078</v>
      </c>
      <c r="B48" s="17">
        <v>37078</v>
      </c>
      <c r="C48" s="24">
        <v>2001</v>
      </c>
      <c r="D48" s="351" t="s">
        <v>23</v>
      </c>
      <c r="E48" s="14" t="s">
        <v>24</v>
      </c>
      <c r="F48" s="7" t="s">
        <v>77</v>
      </c>
      <c r="G48" s="25" t="s">
        <v>26</v>
      </c>
      <c r="H48" s="18" t="s">
        <v>106</v>
      </c>
      <c r="I48" s="19">
        <v>0</v>
      </c>
      <c r="J48" s="20">
        <v>0</v>
      </c>
      <c r="K48" s="20">
        <v>0</v>
      </c>
      <c r="L48" s="20">
        <v>0</v>
      </c>
      <c r="M48" s="20">
        <v>0</v>
      </c>
      <c r="N48" s="20">
        <v>0</v>
      </c>
      <c r="O48" s="20">
        <v>0</v>
      </c>
      <c r="P48" s="26">
        <v>4.8</v>
      </c>
      <c r="Q48" s="27" t="s">
        <v>22</v>
      </c>
    </row>
    <row r="49" spans="1:17" ht="60" x14ac:dyDescent="0.25">
      <c r="A49" s="23">
        <v>37174</v>
      </c>
      <c r="B49" s="23">
        <v>37174</v>
      </c>
      <c r="C49" s="24">
        <v>2001</v>
      </c>
      <c r="D49" s="351" t="s">
        <v>23</v>
      </c>
      <c r="E49" s="14" t="s">
        <v>24</v>
      </c>
      <c r="F49" s="7" t="s">
        <v>58</v>
      </c>
      <c r="G49" s="25" t="s">
        <v>26</v>
      </c>
      <c r="H49" s="18" t="s">
        <v>107</v>
      </c>
      <c r="I49" s="19">
        <v>0</v>
      </c>
      <c r="J49" s="20">
        <v>0</v>
      </c>
      <c r="K49" s="20">
        <v>0</v>
      </c>
      <c r="L49" s="20">
        <v>0</v>
      </c>
      <c r="M49" s="20">
        <v>0</v>
      </c>
      <c r="N49" s="20">
        <v>0</v>
      </c>
      <c r="O49" s="20">
        <v>0</v>
      </c>
      <c r="P49" s="26">
        <v>5.7</v>
      </c>
      <c r="Q49" s="27" t="s">
        <v>22</v>
      </c>
    </row>
    <row r="50" spans="1:17" ht="120" x14ac:dyDescent="0.25">
      <c r="A50" s="17">
        <v>37155</v>
      </c>
      <c r="B50" s="17">
        <v>37164</v>
      </c>
      <c r="C50" s="24">
        <v>2001</v>
      </c>
      <c r="D50" s="351" t="s">
        <v>23</v>
      </c>
      <c r="E50" s="22" t="s">
        <v>86</v>
      </c>
      <c r="F50" s="28" t="s">
        <v>108</v>
      </c>
      <c r="G50" s="25" t="s">
        <v>26</v>
      </c>
      <c r="H50" s="18" t="s">
        <v>109</v>
      </c>
      <c r="I50" s="19">
        <v>95</v>
      </c>
      <c r="J50" s="20">
        <v>126954</v>
      </c>
      <c r="K50" s="20">
        <v>14102</v>
      </c>
      <c r="L50" s="20">
        <v>18</v>
      </c>
      <c r="M50" s="20">
        <v>0</v>
      </c>
      <c r="N50" s="20">
        <v>0</v>
      </c>
      <c r="O50" s="20">
        <v>10000</v>
      </c>
      <c r="P50" s="26">
        <v>396.9</v>
      </c>
      <c r="Q50" s="27" t="s">
        <v>22</v>
      </c>
    </row>
    <row r="51" spans="1:17" ht="132" x14ac:dyDescent="0.25">
      <c r="A51" s="23" t="s">
        <v>110</v>
      </c>
      <c r="B51" s="23" t="s">
        <v>111</v>
      </c>
      <c r="C51" s="24">
        <v>2001</v>
      </c>
      <c r="D51" s="351" t="s">
        <v>23</v>
      </c>
      <c r="E51" s="14" t="s">
        <v>32</v>
      </c>
      <c r="F51" s="7" t="s">
        <v>87</v>
      </c>
      <c r="G51" s="29" t="s">
        <v>112</v>
      </c>
      <c r="H51" s="18" t="s">
        <v>113</v>
      </c>
      <c r="I51" s="19">
        <v>7</v>
      </c>
      <c r="J51" s="20">
        <v>16365</v>
      </c>
      <c r="K51" s="20">
        <v>15344</v>
      </c>
      <c r="L51" s="20">
        <v>135</v>
      </c>
      <c r="M51" s="20">
        <v>67</v>
      </c>
      <c r="N51" s="20">
        <v>0</v>
      </c>
      <c r="O51" s="20">
        <v>0</v>
      </c>
      <c r="P51" s="26">
        <v>905.15</v>
      </c>
      <c r="Q51" s="27" t="s">
        <v>22</v>
      </c>
    </row>
    <row r="52" spans="1:17" ht="96" x14ac:dyDescent="0.25">
      <c r="A52" s="17">
        <v>37160</v>
      </c>
      <c r="B52" s="17">
        <v>37164</v>
      </c>
      <c r="C52" s="24">
        <v>2001</v>
      </c>
      <c r="D52" s="351" t="s">
        <v>23</v>
      </c>
      <c r="E52" s="14" t="s">
        <v>32</v>
      </c>
      <c r="F52" s="7" t="s">
        <v>33</v>
      </c>
      <c r="G52" s="29" t="s">
        <v>114</v>
      </c>
      <c r="H52" s="18" t="s">
        <v>115</v>
      </c>
      <c r="I52" s="19">
        <v>2</v>
      </c>
      <c r="J52" s="20">
        <v>6000</v>
      </c>
      <c r="K52" s="20">
        <v>3529</v>
      </c>
      <c r="L52" s="20">
        <v>138</v>
      </c>
      <c r="M52" s="20">
        <v>3</v>
      </c>
      <c r="N52" s="20">
        <v>10</v>
      </c>
      <c r="O52" s="20">
        <v>1451</v>
      </c>
      <c r="P52" s="26">
        <v>850.15</v>
      </c>
      <c r="Q52" s="27" t="s">
        <v>22</v>
      </c>
    </row>
    <row r="53" spans="1:17" ht="48" x14ac:dyDescent="0.25">
      <c r="A53" s="17">
        <v>37171</v>
      </c>
      <c r="B53" s="17">
        <v>37171</v>
      </c>
      <c r="C53" s="24">
        <v>2001</v>
      </c>
      <c r="D53" s="351" t="s">
        <v>23</v>
      </c>
      <c r="E53" s="14" t="s">
        <v>32</v>
      </c>
      <c r="F53" s="7" t="s">
        <v>72</v>
      </c>
      <c r="G53" s="25" t="s">
        <v>26</v>
      </c>
      <c r="H53" s="18" t="s">
        <v>116</v>
      </c>
      <c r="I53" s="19">
        <v>23</v>
      </c>
      <c r="J53" s="20">
        <v>2100</v>
      </c>
      <c r="K53" s="20">
        <v>884</v>
      </c>
      <c r="L53" s="20">
        <v>2</v>
      </c>
      <c r="M53" s="20">
        <v>0</v>
      </c>
      <c r="N53" s="20">
        <v>0</v>
      </c>
      <c r="O53" s="20">
        <v>240</v>
      </c>
      <c r="P53" s="26">
        <v>10.6</v>
      </c>
      <c r="Q53" s="27" t="s">
        <v>22</v>
      </c>
    </row>
    <row r="54" spans="1:17" ht="48" x14ac:dyDescent="0.25">
      <c r="A54" s="17">
        <v>37172</v>
      </c>
      <c r="B54" s="17">
        <v>37172</v>
      </c>
      <c r="C54" s="24">
        <v>2001</v>
      </c>
      <c r="D54" s="351" t="s">
        <v>23</v>
      </c>
      <c r="E54" s="14" t="s">
        <v>32</v>
      </c>
      <c r="F54" s="7" t="s">
        <v>80</v>
      </c>
      <c r="G54" s="25" t="s">
        <v>26</v>
      </c>
      <c r="H54" s="18" t="s">
        <v>117</v>
      </c>
      <c r="I54" s="19">
        <v>0</v>
      </c>
      <c r="J54" s="20">
        <v>2500</v>
      </c>
      <c r="K54" s="20">
        <v>0</v>
      </c>
      <c r="L54" s="20">
        <v>0</v>
      </c>
      <c r="M54" s="20">
        <v>0</v>
      </c>
      <c r="N54" s="20">
        <v>0</v>
      </c>
      <c r="O54" s="20">
        <v>0</v>
      </c>
      <c r="P54" s="26">
        <v>0</v>
      </c>
      <c r="Q54" s="27" t="s">
        <v>22</v>
      </c>
    </row>
    <row r="55" spans="1:17" ht="60" x14ac:dyDescent="0.25">
      <c r="A55" s="17">
        <v>37173</v>
      </c>
      <c r="B55" s="17">
        <v>37173</v>
      </c>
      <c r="C55" s="24">
        <v>2001</v>
      </c>
      <c r="D55" s="351" t="s">
        <v>23</v>
      </c>
      <c r="E55" s="14" t="s">
        <v>32</v>
      </c>
      <c r="F55" s="7" t="s">
        <v>25</v>
      </c>
      <c r="G55" s="25" t="s">
        <v>26</v>
      </c>
      <c r="H55" s="18" t="s">
        <v>118</v>
      </c>
      <c r="I55" s="19">
        <v>0</v>
      </c>
      <c r="J55" s="20">
        <v>0</v>
      </c>
      <c r="K55" s="20">
        <v>0</v>
      </c>
      <c r="L55" s="20">
        <v>0</v>
      </c>
      <c r="M55" s="20">
        <v>0</v>
      </c>
      <c r="N55" s="20">
        <v>0</v>
      </c>
      <c r="O55" s="20">
        <v>112000</v>
      </c>
      <c r="P55" s="26">
        <v>13.4</v>
      </c>
      <c r="Q55" s="27" t="s">
        <v>22</v>
      </c>
    </row>
    <row r="56" spans="1:17" ht="84" x14ac:dyDescent="0.25">
      <c r="A56" s="17">
        <v>37174</v>
      </c>
      <c r="B56" s="17">
        <v>37174</v>
      </c>
      <c r="C56" s="24">
        <v>2001</v>
      </c>
      <c r="D56" s="351" t="s">
        <v>23</v>
      </c>
      <c r="E56" s="14" t="s">
        <v>32</v>
      </c>
      <c r="F56" s="7" t="s">
        <v>40</v>
      </c>
      <c r="G56" s="25" t="s">
        <v>26</v>
      </c>
      <c r="H56" s="18" t="s">
        <v>119</v>
      </c>
      <c r="I56" s="19">
        <v>0</v>
      </c>
      <c r="J56" s="20">
        <v>0</v>
      </c>
      <c r="K56" s="20">
        <v>0</v>
      </c>
      <c r="L56" s="20">
        <v>0</v>
      </c>
      <c r="M56" s="20">
        <v>0</v>
      </c>
      <c r="N56" s="20">
        <v>0</v>
      </c>
      <c r="O56" s="20">
        <v>0</v>
      </c>
      <c r="P56" s="26">
        <v>185</v>
      </c>
      <c r="Q56" s="27" t="s">
        <v>22</v>
      </c>
    </row>
    <row r="57" spans="1:17" ht="48" x14ac:dyDescent="0.25">
      <c r="A57" s="23">
        <v>36892</v>
      </c>
      <c r="B57" s="23">
        <v>37256</v>
      </c>
      <c r="C57" s="24">
        <v>2001</v>
      </c>
      <c r="D57" s="351" t="s">
        <v>23</v>
      </c>
      <c r="E57" s="22" t="s">
        <v>42</v>
      </c>
      <c r="F57" s="28" t="s">
        <v>120</v>
      </c>
      <c r="G57" s="25" t="s">
        <v>26</v>
      </c>
      <c r="H57" s="18" t="s">
        <v>121</v>
      </c>
      <c r="I57" s="19">
        <v>36</v>
      </c>
      <c r="J57" s="20">
        <v>836</v>
      </c>
      <c r="K57" s="20">
        <v>0</v>
      </c>
      <c r="L57" s="20">
        <v>0</v>
      </c>
      <c r="M57" s="20">
        <v>0</v>
      </c>
      <c r="N57" s="20">
        <v>0</v>
      </c>
      <c r="O57" s="20">
        <v>0</v>
      </c>
      <c r="P57" s="26">
        <v>0</v>
      </c>
      <c r="Q57" s="27" t="s">
        <v>22</v>
      </c>
    </row>
    <row r="58" spans="1:17" ht="48" x14ac:dyDescent="0.25">
      <c r="A58" s="17">
        <v>37171</v>
      </c>
      <c r="B58" s="17">
        <v>37171</v>
      </c>
      <c r="C58" s="24">
        <v>2001</v>
      </c>
      <c r="D58" s="35" t="s">
        <v>17</v>
      </c>
      <c r="E58" s="30" t="s">
        <v>122</v>
      </c>
      <c r="F58" s="7" t="s">
        <v>58</v>
      </c>
      <c r="G58" s="29" t="s">
        <v>123</v>
      </c>
      <c r="H58" s="18" t="s">
        <v>124</v>
      </c>
      <c r="I58" s="19">
        <v>0</v>
      </c>
      <c r="J58" s="20">
        <v>3000</v>
      </c>
      <c r="K58" s="20">
        <v>2600</v>
      </c>
      <c r="L58" s="20">
        <v>0</v>
      </c>
      <c r="M58" s="20">
        <v>0</v>
      </c>
      <c r="N58" s="20">
        <v>0</v>
      </c>
      <c r="O58" s="20">
        <v>0</v>
      </c>
      <c r="P58" s="26">
        <v>29.25</v>
      </c>
      <c r="Q58" s="27" t="s">
        <v>22</v>
      </c>
    </row>
    <row r="59" spans="1:17" ht="24" x14ac:dyDescent="0.25">
      <c r="A59" s="23" t="s">
        <v>110</v>
      </c>
      <c r="B59" s="23" t="s">
        <v>110</v>
      </c>
      <c r="C59" s="24">
        <v>2001</v>
      </c>
      <c r="D59" s="35" t="s">
        <v>28</v>
      </c>
      <c r="E59" s="30" t="s">
        <v>125</v>
      </c>
      <c r="F59" s="28" t="s">
        <v>126</v>
      </c>
      <c r="G59" s="25" t="s">
        <v>26</v>
      </c>
      <c r="H59" s="18" t="s">
        <v>127</v>
      </c>
      <c r="I59" s="19">
        <v>3</v>
      </c>
      <c r="J59" s="20">
        <v>4000</v>
      </c>
      <c r="K59" s="20">
        <v>0</v>
      </c>
      <c r="L59" s="20">
        <v>0</v>
      </c>
      <c r="M59" s="20">
        <v>0</v>
      </c>
      <c r="N59" s="20">
        <v>0</v>
      </c>
      <c r="O59" s="20">
        <v>0</v>
      </c>
      <c r="P59" s="26">
        <v>0</v>
      </c>
      <c r="Q59" s="27" t="s">
        <v>22</v>
      </c>
    </row>
    <row r="60" spans="1:17" ht="36" x14ac:dyDescent="0.25">
      <c r="A60" s="23" t="s">
        <v>110</v>
      </c>
      <c r="B60" s="23" t="s">
        <v>110</v>
      </c>
      <c r="C60" s="24">
        <v>2001</v>
      </c>
      <c r="D60" s="35" t="s">
        <v>28</v>
      </c>
      <c r="E60" s="30" t="s">
        <v>125</v>
      </c>
      <c r="F60" s="28" t="s">
        <v>128</v>
      </c>
      <c r="G60" s="25" t="s">
        <v>26</v>
      </c>
      <c r="H60" s="18" t="s">
        <v>129</v>
      </c>
      <c r="I60" s="19">
        <v>0</v>
      </c>
      <c r="J60" s="20">
        <v>383</v>
      </c>
      <c r="K60" s="20">
        <v>0</v>
      </c>
      <c r="L60" s="20">
        <v>0</v>
      </c>
      <c r="M60" s="20">
        <v>0</v>
      </c>
      <c r="N60" s="20">
        <v>0</v>
      </c>
      <c r="O60" s="20">
        <v>0</v>
      </c>
      <c r="P60" s="26">
        <v>0</v>
      </c>
      <c r="Q60" s="27" t="s">
        <v>22</v>
      </c>
    </row>
    <row r="61" spans="1:17" x14ac:dyDescent="0.25">
      <c r="A61" s="23" t="s">
        <v>110</v>
      </c>
      <c r="B61" s="23" t="s">
        <v>110</v>
      </c>
      <c r="C61" s="24">
        <v>2001</v>
      </c>
      <c r="D61" s="24" t="s">
        <v>130</v>
      </c>
      <c r="E61" s="30" t="s">
        <v>131</v>
      </c>
      <c r="F61" s="7" t="s">
        <v>49</v>
      </c>
      <c r="G61" s="25"/>
      <c r="H61" s="18" t="s">
        <v>132</v>
      </c>
      <c r="I61" s="19">
        <v>0</v>
      </c>
      <c r="J61" s="20">
        <v>0</v>
      </c>
      <c r="K61" s="20">
        <v>0</v>
      </c>
      <c r="L61" s="20">
        <v>0</v>
      </c>
      <c r="M61" s="20">
        <v>0</v>
      </c>
      <c r="N61" s="20">
        <v>0</v>
      </c>
      <c r="O61" s="20">
        <v>0</v>
      </c>
      <c r="P61" s="26">
        <v>0.28000000000000003</v>
      </c>
      <c r="Q61" s="27" t="s">
        <v>22</v>
      </c>
    </row>
    <row r="62" spans="1:17" ht="36" x14ac:dyDescent="0.25">
      <c r="A62" s="23">
        <v>36892</v>
      </c>
      <c r="B62" s="23">
        <v>37256</v>
      </c>
      <c r="C62" s="24">
        <v>2001</v>
      </c>
      <c r="D62" s="35" t="s">
        <v>28</v>
      </c>
      <c r="E62" s="30" t="s">
        <v>133</v>
      </c>
      <c r="F62" s="28" t="s">
        <v>134</v>
      </c>
      <c r="G62" s="25" t="s">
        <v>26</v>
      </c>
      <c r="H62" s="18" t="s">
        <v>135</v>
      </c>
      <c r="I62" s="19">
        <v>22</v>
      </c>
      <c r="J62" s="20">
        <v>91</v>
      </c>
      <c r="K62" s="20">
        <v>0</v>
      </c>
      <c r="L62" s="20">
        <v>0</v>
      </c>
      <c r="M62" s="20">
        <v>0</v>
      </c>
      <c r="N62" s="20">
        <v>0</v>
      </c>
      <c r="O62" s="20">
        <v>0</v>
      </c>
      <c r="P62" s="26">
        <v>0</v>
      </c>
      <c r="Q62" s="27" t="s">
        <v>22</v>
      </c>
    </row>
    <row r="63" spans="1:17" ht="24" x14ac:dyDescent="0.25">
      <c r="A63" s="23" t="s">
        <v>110</v>
      </c>
      <c r="B63" s="23" t="s">
        <v>110</v>
      </c>
      <c r="C63" s="24">
        <v>2001</v>
      </c>
      <c r="D63" s="24" t="s">
        <v>130</v>
      </c>
      <c r="E63" s="30" t="s">
        <v>136</v>
      </c>
      <c r="F63" s="28" t="s">
        <v>137</v>
      </c>
      <c r="G63" s="25" t="s">
        <v>26</v>
      </c>
      <c r="H63" s="18" t="s">
        <v>138</v>
      </c>
      <c r="I63" s="19">
        <v>3</v>
      </c>
      <c r="J63" s="20">
        <v>104</v>
      </c>
      <c r="K63" s="20">
        <v>0</v>
      </c>
      <c r="L63" s="20">
        <v>0</v>
      </c>
      <c r="M63" s="20">
        <v>0</v>
      </c>
      <c r="N63" s="20">
        <v>0</v>
      </c>
      <c r="O63" s="20">
        <v>0</v>
      </c>
      <c r="P63" s="26">
        <v>0</v>
      </c>
      <c r="Q63" s="27" t="s">
        <v>22</v>
      </c>
    </row>
    <row r="64" spans="1:17" ht="48" x14ac:dyDescent="0.25">
      <c r="A64" s="23">
        <v>36892</v>
      </c>
      <c r="B64" s="23">
        <v>37226</v>
      </c>
      <c r="C64" s="24">
        <v>2001</v>
      </c>
      <c r="D64" s="24" t="s">
        <v>130</v>
      </c>
      <c r="E64" s="30" t="s">
        <v>139</v>
      </c>
      <c r="F64" s="7" t="s">
        <v>67</v>
      </c>
      <c r="G64" s="25" t="s">
        <v>26</v>
      </c>
      <c r="H64" s="18" t="s">
        <v>140</v>
      </c>
      <c r="I64" s="19">
        <v>6</v>
      </c>
      <c r="J64" s="20">
        <v>8000</v>
      </c>
      <c r="K64" s="20">
        <v>0</v>
      </c>
      <c r="L64" s="20">
        <v>0</v>
      </c>
      <c r="M64" s="20">
        <v>0</v>
      </c>
      <c r="N64" s="20">
        <v>0</v>
      </c>
      <c r="O64" s="20">
        <v>0</v>
      </c>
      <c r="P64" s="26">
        <v>0</v>
      </c>
      <c r="Q64" s="27" t="s">
        <v>22</v>
      </c>
    </row>
    <row r="65" spans="1:17" x14ac:dyDescent="0.25">
      <c r="A65" s="23">
        <v>36892</v>
      </c>
      <c r="B65" s="23">
        <v>37226</v>
      </c>
      <c r="C65" s="24">
        <v>2001</v>
      </c>
      <c r="D65" s="24" t="s">
        <v>141</v>
      </c>
      <c r="E65" s="30" t="s">
        <v>142</v>
      </c>
      <c r="F65" s="28" t="s">
        <v>143</v>
      </c>
      <c r="G65" s="25" t="s">
        <v>26</v>
      </c>
      <c r="H65" s="18" t="s">
        <v>144</v>
      </c>
      <c r="I65" s="19">
        <v>39</v>
      </c>
      <c r="J65" s="20">
        <v>204</v>
      </c>
      <c r="K65" s="20">
        <v>0</v>
      </c>
      <c r="L65" s="20">
        <v>0</v>
      </c>
      <c r="M65" s="20">
        <v>0</v>
      </c>
      <c r="N65" s="20">
        <v>0</v>
      </c>
      <c r="O65" s="20">
        <v>0</v>
      </c>
      <c r="P65" s="26">
        <v>0</v>
      </c>
      <c r="Q65" s="27" t="s">
        <v>22</v>
      </c>
    </row>
    <row r="66" spans="1:17" x14ac:dyDescent="0.25">
      <c r="A66" s="23">
        <v>36892</v>
      </c>
      <c r="B66" s="23">
        <v>37226</v>
      </c>
      <c r="C66" s="24">
        <v>2001</v>
      </c>
      <c r="D66" s="24" t="s">
        <v>141</v>
      </c>
      <c r="E66" s="30" t="s">
        <v>142</v>
      </c>
      <c r="F66" s="28" t="s">
        <v>145</v>
      </c>
      <c r="G66" s="25" t="s">
        <v>26</v>
      </c>
      <c r="H66" s="18" t="s">
        <v>146</v>
      </c>
      <c r="I66" s="20">
        <v>36</v>
      </c>
      <c r="J66" s="20">
        <v>6</v>
      </c>
      <c r="K66" s="20">
        <v>0</v>
      </c>
      <c r="L66" s="20">
        <v>0</v>
      </c>
      <c r="M66" s="20">
        <v>0</v>
      </c>
      <c r="N66" s="20">
        <v>0</v>
      </c>
      <c r="O66" s="31">
        <v>0</v>
      </c>
      <c r="P66" s="32">
        <v>0</v>
      </c>
      <c r="Q66" s="27" t="s">
        <v>22</v>
      </c>
    </row>
    <row r="67" spans="1:17" x14ac:dyDescent="0.25">
      <c r="A67" s="23">
        <v>36892</v>
      </c>
      <c r="B67" s="23">
        <v>37226</v>
      </c>
      <c r="C67" s="24">
        <v>2001</v>
      </c>
      <c r="D67" s="24" t="s">
        <v>141</v>
      </c>
      <c r="E67" s="30" t="s">
        <v>142</v>
      </c>
      <c r="F67" s="28" t="s">
        <v>147</v>
      </c>
      <c r="G67" s="25" t="s">
        <v>26</v>
      </c>
      <c r="H67" s="18" t="s">
        <v>148</v>
      </c>
      <c r="I67" s="20">
        <v>2</v>
      </c>
      <c r="J67" s="20">
        <v>3</v>
      </c>
      <c r="K67" s="20">
        <v>0</v>
      </c>
      <c r="L67" s="20">
        <v>0</v>
      </c>
      <c r="M67" s="20">
        <v>0</v>
      </c>
      <c r="N67" s="20">
        <v>0</v>
      </c>
      <c r="O67" s="20">
        <v>0</v>
      </c>
      <c r="P67" s="26">
        <v>0</v>
      </c>
      <c r="Q67" s="27" t="s">
        <v>22</v>
      </c>
    </row>
    <row r="68" spans="1:17" x14ac:dyDescent="0.25">
      <c r="A68" s="23" t="s">
        <v>110</v>
      </c>
      <c r="B68" s="23" t="s">
        <v>110</v>
      </c>
      <c r="C68" s="24">
        <v>2001</v>
      </c>
      <c r="D68" s="24" t="s">
        <v>141</v>
      </c>
      <c r="E68" s="30" t="s">
        <v>149</v>
      </c>
      <c r="F68" s="28" t="s">
        <v>150</v>
      </c>
      <c r="G68" s="25" t="s">
        <v>26</v>
      </c>
      <c r="H68" s="18" t="s">
        <v>149</v>
      </c>
      <c r="I68" s="20">
        <v>2</v>
      </c>
      <c r="J68" s="20">
        <v>1018</v>
      </c>
      <c r="K68" s="20">
        <v>150</v>
      </c>
      <c r="L68" s="20">
        <v>0</v>
      </c>
      <c r="M68" s="20">
        <v>0</v>
      </c>
      <c r="N68" s="20">
        <v>0</v>
      </c>
      <c r="O68" s="20">
        <v>0</v>
      </c>
      <c r="P68" s="26">
        <v>30</v>
      </c>
      <c r="Q68" s="27" t="s">
        <v>22</v>
      </c>
    </row>
    <row r="69" spans="1:17" ht="24.75" x14ac:dyDescent="0.25">
      <c r="A69" s="23">
        <v>37301</v>
      </c>
      <c r="B69" s="23">
        <v>37301</v>
      </c>
      <c r="C69" s="24">
        <v>2002</v>
      </c>
      <c r="D69" s="351" t="s">
        <v>23</v>
      </c>
      <c r="E69" s="22" t="s">
        <v>86</v>
      </c>
      <c r="F69" s="28" t="s">
        <v>151</v>
      </c>
      <c r="G69" s="33" t="s">
        <v>152</v>
      </c>
      <c r="H69" s="34" t="s">
        <v>153</v>
      </c>
      <c r="I69" s="20">
        <v>0</v>
      </c>
      <c r="J69" s="20">
        <v>0</v>
      </c>
      <c r="K69" s="20">
        <v>300</v>
      </c>
      <c r="L69" s="20">
        <v>0</v>
      </c>
      <c r="M69" s="20">
        <v>0</v>
      </c>
      <c r="N69" s="20">
        <v>0</v>
      </c>
      <c r="O69" s="20">
        <v>0</v>
      </c>
      <c r="P69" s="26">
        <v>0</v>
      </c>
      <c r="Q69" s="35" t="s">
        <v>154</v>
      </c>
    </row>
    <row r="70" spans="1:17" ht="36.75" x14ac:dyDescent="0.25">
      <c r="A70" s="23">
        <v>37301</v>
      </c>
      <c r="B70" s="23">
        <v>37301</v>
      </c>
      <c r="C70" s="24">
        <v>2002</v>
      </c>
      <c r="D70" s="351" t="s">
        <v>23</v>
      </c>
      <c r="E70" s="22" t="s">
        <v>86</v>
      </c>
      <c r="F70" s="7" t="s">
        <v>84</v>
      </c>
      <c r="G70" s="33" t="s">
        <v>155</v>
      </c>
      <c r="H70" s="34" t="s">
        <v>156</v>
      </c>
      <c r="I70" s="20">
        <v>0</v>
      </c>
      <c r="J70" s="20">
        <v>0</v>
      </c>
      <c r="K70" s="20">
        <v>0</v>
      </c>
      <c r="L70" s="20">
        <v>0</v>
      </c>
      <c r="M70" s="20">
        <v>0</v>
      </c>
      <c r="N70" s="20">
        <v>0</v>
      </c>
      <c r="O70" s="20">
        <v>20000</v>
      </c>
      <c r="P70" s="26">
        <v>69.2</v>
      </c>
      <c r="Q70" s="35" t="s">
        <v>154</v>
      </c>
    </row>
    <row r="71" spans="1:17" ht="48.75" x14ac:dyDescent="0.25">
      <c r="A71" s="23">
        <v>37336</v>
      </c>
      <c r="B71" s="23">
        <v>37336</v>
      </c>
      <c r="C71" s="24">
        <v>2002</v>
      </c>
      <c r="D71" s="351" t="s">
        <v>23</v>
      </c>
      <c r="E71" s="22" t="s">
        <v>86</v>
      </c>
      <c r="F71" s="28" t="s">
        <v>157</v>
      </c>
      <c r="G71" s="33" t="s">
        <v>158</v>
      </c>
      <c r="H71" s="34" t="s">
        <v>159</v>
      </c>
      <c r="I71" s="20">
        <v>0</v>
      </c>
      <c r="J71" s="20">
        <v>0</v>
      </c>
      <c r="K71" s="20">
        <v>40</v>
      </c>
      <c r="L71" s="20">
        <v>0</v>
      </c>
      <c r="M71" s="20">
        <v>0</v>
      </c>
      <c r="N71" s="20">
        <v>0</v>
      </c>
      <c r="O71" s="20">
        <v>0</v>
      </c>
      <c r="P71" s="26">
        <v>0</v>
      </c>
      <c r="Q71" s="35" t="s">
        <v>154</v>
      </c>
    </row>
    <row r="72" spans="1:17" ht="60.75" x14ac:dyDescent="0.25">
      <c r="A72" s="23">
        <v>37358</v>
      </c>
      <c r="B72" s="23">
        <v>37358</v>
      </c>
      <c r="C72" s="24">
        <v>2002</v>
      </c>
      <c r="D72" s="351" t="s">
        <v>23</v>
      </c>
      <c r="E72" s="22" t="s">
        <v>86</v>
      </c>
      <c r="F72" s="28" t="s">
        <v>160</v>
      </c>
      <c r="G72" s="33" t="s">
        <v>161</v>
      </c>
      <c r="H72" s="34" t="s">
        <v>162</v>
      </c>
      <c r="I72" s="20">
        <v>1</v>
      </c>
      <c r="J72" s="20">
        <v>8</v>
      </c>
      <c r="K72" s="20">
        <v>0</v>
      </c>
      <c r="L72" s="20">
        <v>0</v>
      </c>
      <c r="M72" s="20">
        <v>0</v>
      </c>
      <c r="N72" s="20">
        <v>0</v>
      </c>
      <c r="O72" s="20">
        <v>0</v>
      </c>
      <c r="P72" s="26">
        <v>0</v>
      </c>
      <c r="Q72" s="35" t="s">
        <v>154</v>
      </c>
    </row>
    <row r="73" spans="1:17" x14ac:dyDescent="0.25">
      <c r="A73" s="23">
        <v>37410</v>
      </c>
      <c r="B73" s="23">
        <v>37410</v>
      </c>
      <c r="C73" s="24">
        <v>2002</v>
      </c>
      <c r="D73" s="351" t="s">
        <v>23</v>
      </c>
      <c r="E73" s="22" t="s">
        <v>86</v>
      </c>
      <c r="F73" s="28" t="s">
        <v>163</v>
      </c>
      <c r="G73" s="33" t="s">
        <v>110</v>
      </c>
      <c r="H73" s="34" t="s">
        <v>164</v>
      </c>
      <c r="I73" s="20">
        <v>0</v>
      </c>
      <c r="J73" s="20">
        <v>40</v>
      </c>
      <c r="K73" s="20">
        <v>8</v>
      </c>
      <c r="L73" s="20">
        <v>0</v>
      </c>
      <c r="M73" s="20">
        <v>0</v>
      </c>
      <c r="N73" s="20">
        <v>0</v>
      </c>
      <c r="O73" s="20">
        <v>72</v>
      </c>
      <c r="P73" s="26">
        <f>0.4+(72*0.0025)</f>
        <v>0.58000000000000007</v>
      </c>
      <c r="Q73" s="35" t="s">
        <v>154</v>
      </c>
    </row>
    <row r="74" spans="1:17" ht="24.75" x14ac:dyDescent="0.25">
      <c r="A74" s="23">
        <v>37416</v>
      </c>
      <c r="B74" s="23">
        <v>37416</v>
      </c>
      <c r="C74" s="24">
        <v>2002</v>
      </c>
      <c r="D74" s="351" t="s">
        <v>23</v>
      </c>
      <c r="E74" s="22" t="s">
        <v>86</v>
      </c>
      <c r="F74" s="7" t="s">
        <v>62</v>
      </c>
      <c r="G74" s="33" t="s">
        <v>165</v>
      </c>
      <c r="H74" s="34" t="s">
        <v>166</v>
      </c>
      <c r="I74" s="20">
        <v>0</v>
      </c>
      <c r="J74" s="20">
        <v>0</v>
      </c>
      <c r="K74" s="20">
        <v>0</v>
      </c>
      <c r="L74" s="20">
        <v>0</v>
      </c>
      <c r="M74" s="20">
        <v>0</v>
      </c>
      <c r="N74" s="20">
        <v>0</v>
      </c>
      <c r="O74" s="20">
        <v>0</v>
      </c>
      <c r="P74" s="26">
        <v>0</v>
      </c>
      <c r="Q74" s="35" t="s">
        <v>154</v>
      </c>
    </row>
    <row r="75" spans="1:17" ht="24.75" x14ac:dyDescent="0.25">
      <c r="A75" s="23">
        <v>37416</v>
      </c>
      <c r="B75" s="23">
        <v>37416</v>
      </c>
      <c r="C75" s="24">
        <v>2002</v>
      </c>
      <c r="D75" s="351" t="s">
        <v>23</v>
      </c>
      <c r="E75" s="22" t="s">
        <v>86</v>
      </c>
      <c r="F75" s="7" t="s">
        <v>91</v>
      </c>
      <c r="G75" s="33" t="s">
        <v>165</v>
      </c>
      <c r="H75" s="34" t="s">
        <v>167</v>
      </c>
      <c r="I75" s="20">
        <v>0</v>
      </c>
      <c r="J75" s="20">
        <v>0</v>
      </c>
      <c r="K75" s="20">
        <v>300</v>
      </c>
      <c r="L75" s="20">
        <v>0</v>
      </c>
      <c r="M75" s="20">
        <v>0</v>
      </c>
      <c r="N75" s="20">
        <v>0</v>
      </c>
      <c r="O75" s="20">
        <v>0</v>
      </c>
      <c r="P75" s="26">
        <v>0</v>
      </c>
      <c r="Q75" s="35" t="s">
        <v>154</v>
      </c>
    </row>
    <row r="76" spans="1:17" x14ac:dyDescent="0.25">
      <c r="A76" s="23">
        <v>37417</v>
      </c>
      <c r="B76" s="23">
        <v>37417</v>
      </c>
      <c r="C76" s="24">
        <v>2002</v>
      </c>
      <c r="D76" s="351" t="s">
        <v>23</v>
      </c>
      <c r="E76" s="22" t="s">
        <v>86</v>
      </c>
      <c r="F76" s="7" t="s">
        <v>58</v>
      </c>
      <c r="G76" s="33" t="s">
        <v>168</v>
      </c>
      <c r="H76" s="34" t="s">
        <v>169</v>
      </c>
      <c r="I76" s="20">
        <v>3</v>
      </c>
      <c r="J76" s="20">
        <v>6</v>
      </c>
      <c r="K76" s="20">
        <v>0</v>
      </c>
      <c r="L76" s="20">
        <v>0</v>
      </c>
      <c r="M76" s="20">
        <v>0</v>
      </c>
      <c r="N76" s="20">
        <v>0</v>
      </c>
      <c r="O76" s="20">
        <v>0</v>
      </c>
      <c r="P76" s="26">
        <v>0</v>
      </c>
      <c r="Q76" s="35" t="s">
        <v>154</v>
      </c>
    </row>
    <row r="77" spans="1:17" ht="48.75" x14ac:dyDescent="0.25">
      <c r="A77" s="23">
        <v>37418</v>
      </c>
      <c r="B77" s="23">
        <v>37418</v>
      </c>
      <c r="C77" s="24">
        <v>2002</v>
      </c>
      <c r="D77" s="351" t="s">
        <v>23</v>
      </c>
      <c r="E77" s="22" t="s">
        <v>86</v>
      </c>
      <c r="F77" s="7" t="s">
        <v>53</v>
      </c>
      <c r="G77" s="33" t="s">
        <v>170</v>
      </c>
      <c r="H77" s="34" t="s">
        <v>171</v>
      </c>
      <c r="I77" s="20">
        <v>0</v>
      </c>
      <c r="J77" s="20">
        <v>0</v>
      </c>
      <c r="K77" s="20">
        <v>12</v>
      </c>
      <c r="L77" s="20">
        <v>0</v>
      </c>
      <c r="M77" s="20">
        <v>0</v>
      </c>
      <c r="N77" s="20">
        <v>0</v>
      </c>
      <c r="O77" s="20">
        <v>0</v>
      </c>
      <c r="P77" s="26">
        <v>1.65</v>
      </c>
      <c r="Q77" s="35" t="s">
        <v>154</v>
      </c>
    </row>
    <row r="78" spans="1:17" x14ac:dyDescent="0.25">
      <c r="A78" s="23">
        <v>37418</v>
      </c>
      <c r="B78" s="23">
        <v>37418</v>
      </c>
      <c r="C78" s="24">
        <v>2002</v>
      </c>
      <c r="D78" s="351" t="s">
        <v>23</v>
      </c>
      <c r="E78" s="22" t="s">
        <v>86</v>
      </c>
      <c r="F78" s="7" t="s">
        <v>36</v>
      </c>
      <c r="G78" s="33" t="s">
        <v>110</v>
      </c>
      <c r="H78" s="34" t="s">
        <v>164</v>
      </c>
      <c r="I78" s="20">
        <v>0</v>
      </c>
      <c r="J78" s="20">
        <v>16</v>
      </c>
      <c r="K78" s="20">
        <v>4</v>
      </c>
      <c r="L78" s="20">
        <v>0</v>
      </c>
      <c r="M78" s="20">
        <v>0</v>
      </c>
      <c r="N78" s="20">
        <v>0</v>
      </c>
      <c r="O78" s="20">
        <v>0</v>
      </c>
      <c r="P78" s="26">
        <v>0</v>
      </c>
      <c r="Q78" s="35" t="s">
        <v>154</v>
      </c>
    </row>
    <row r="79" spans="1:17" ht="60.75" x14ac:dyDescent="0.25">
      <c r="A79" s="23">
        <v>37418</v>
      </c>
      <c r="B79" s="23">
        <v>37418</v>
      </c>
      <c r="C79" s="24">
        <v>2002</v>
      </c>
      <c r="D79" s="351" t="s">
        <v>23</v>
      </c>
      <c r="E79" s="22" t="s">
        <v>86</v>
      </c>
      <c r="F79" s="7" t="s">
        <v>101</v>
      </c>
      <c r="G79" s="33" t="s">
        <v>110</v>
      </c>
      <c r="H79" s="34" t="s">
        <v>172</v>
      </c>
      <c r="I79" s="20">
        <v>0</v>
      </c>
      <c r="J79" s="20">
        <v>0</v>
      </c>
      <c r="K79" s="20">
        <v>22</v>
      </c>
      <c r="L79" s="20">
        <v>0</v>
      </c>
      <c r="M79" s="20">
        <v>0</v>
      </c>
      <c r="N79" s="20">
        <v>0</v>
      </c>
      <c r="O79" s="20">
        <v>0</v>
      </c>
      <c r="P79" s="26">
        <v>1.1499999999999999</v>
      </c>
      <c r="Q79" s="35" t="s">
        <v>154</v>
      </c>
    </row>
    <row r="80" spans="1:17" x14ac:dyDescent="0.25">
      <c r="A80" s="23">
        <v>37419</v>
      </c>
      <c r="B80" s="23">
        <v>37419</v>
      </c>
      <c r="C80" s="24">
        <v>2002</v>
      </c>
      <c r="D80" s="351" t="s">
        <v>23</v>
      </c>
      <c r="E80" s="22" t="s">
        <v>86</v>
      </c>
      <c r="F80" s="7" t="s">
        <v>56</v>
      </c>
      <c r="G80" s="33" t="s">
        <v>110</v>
      </c>
      <c r="H80" s="34" t="s">
        <v>164</v>
      </c>
      <c r="I80" s="20">
        <v>0</v>
      </c>
      <c r="J80" s="20">
        <v>150</v>
      </c>
      <c r="K80" s="20">
        <v>30</v>
      </c>
      <c r="L80" s="20">
        <v>0</v>
      </c>
      <c r="M80" s="20">
        <v>0</v>
      </c>
      <c r="N80" s="20">
        <v>0</v>
      </c>
      <c r="O80" s="20">
        <v>0</v>
      </c>
      <c r="P80" s="26">
        <v>1.5</v>
      </c>
      <c r="Q80" s="35" t="s">
        <v>154</v>
      </c>
    </row>
    <row r="81" spans="1:17" ht="48.75" x14ac:dyDescent="0.25">
      <c r="A81" s="23">
        <v>37419</v>
      </c>
      <c r="B81" s="23">
        <v>37419</v>
      </c>
      <c r="C81" s="24">
        <v>2002</v>
      </c>
      <c r="D81" s="351" t="s">
        <v>23</v>
      </c>
      <c r="E81" s="22" t="s">
        <v>86</v>
      </c>
      <c r="F81" s="7" t="s">
        <v>62</v>
      </c>
      <c r="G81" s="33" t="s">
        <v>165</v>
      </c>
      <c r="H81" s="34" t="s">
        <v>173</v>
      </c>
      <c r="I81" s="20">
        <v>0</v>
      </c>
      <c r="J81" s="20">
        <v>70</v>
      </c>
      <c r="K81" s="20">
        <v>14</v>
      </c>
      <c r="L81" s="20">
        <v>0</v>
      </c>
      <c r="M81" s="20">
        <v>0</v>
      </c>
      <c r="N81" s="20">
        <v>0</v>
      </c>
      <c r="O81" s="20">
        <v>0</v>
      </c>
      <c r="P81" s="26">
        <v>0.14000000000000001</v>
      </c>
      <c r="Q81" s="35" t="s">
        <v>154</v>
      </c>
    </row>
    <row r="82" spans="1:17" x14ac:dyDescent="0.25">
      <c r="A82" s="23">
        <v>37419</v>
      </c>
      <c r="B82" s="23">
        <v>37419</v>
      </c>
      <c r="C82" s="24">
        <v>2002</v>
      </c>
      <c r="D82" s="351" t="s">
        <v>23</v>
      </c>
      <c r="E82" s="22" t="s">
        <v>86</v>
      </c>
      <c r="F82" s="28" t="s">
        <v>163</v>
      </c>
      <c r="G82" s="33" t="s">
        <v>110</v>
      </c>
      <c r="H82" s="34" t="s">
        <v>164</v>
      </c>
      <c r="I82" s="20">
        <v>0</v>
      </c>
      <c r="J82" s="20">
        <v>75</v>
      </c>
      <c r="K82" s="20">
        <v>15</v>
      </c>
      <c r="L82" s="20">
        <v>0</v>
      </c>
      <c r="M82" s="20">
        <v>0</v>
      </c>
      <c r="N82" s="20">
        <v>0</v>
      </c>
      <c r="O82" s="20">
        <v>0</v>
      </c>
      <c r="P82" s="26">
        <v>0.75</v>
      </c>
      <c r="Q82" s="35" t="s">
        <v>154</v>
      </c>
    </row>
    <row r="83" spans="1:17" ht="240.75" x14ac:dyDescent="0.25">
      <c r="A83" s="23">
        <v>37419</v>
      </c>
      <c r="B83" s="23">
        <v>37419</v>
      </c>
      <c r="C83" s="24">
        <v>2002</v>
      </c>
      <c r="D83" s="351" t="s">
        <v>23</v>
      </c>
      <c r="E83" s="22" t="s">
        <v>86</v>
      </c>
      <c r="F83" s="7" t="s">
        <v>101</v>
      </c>
      <c r="G83" s="33" t="s">
        <v>174</v>
      </c>
      <c r="H83" s="34" t="s">
        <v>175</v>
      </c>
      <c r="I83" s="20">
        <v>0</v>
      </c>
      <c r="J83" s="20">
        <v>10000</v>
      </c>
      <c r="K83" s="20">
        <v>404</v>
      </c>
      <c r="L83" s="20">
        <v>1</v>
      </c>
      <c r="M83" s="20">
        <v>0</v>
      </c>
      <c r="N83" s="20">
        <v>0</v>
      </c>
      <c r="O83" s="20">
        <v>0</v>
      </c>
      <c r="P83" s="26">
        <v>5.5</v>
      </c>
      <c r="Q83" s="35" t="s">
        <v>154</v>
      </c>
    </row>
    <row r="84" spans="1:17" ht="24.75" x14ac:dyDescent="0.25">
      <c r="A84" s="23">
        <v>37420</v>
      </c>
      <c r="B84" s="23">
        <v>37420</v>
      </c>
      <c r="C84" s="24">
        <v>2002</v>
      </c>
      <c r="D84" s="351" t="s">
        <v>23</v>
      </c>
      <c r="E84" s="22" t="s">
        <v>86</v>
      </c>
      <c r="F84" s="7" t="s">
        <v>36</v>
      </c>
      <c r="G84" s="33" t="s">
        <v>176</v>
      </c>
      <c r="H84" s="34" t="s">
        <v>177</v>
      </c>
      <c r="I84" s="20">
        <v>2</v>
      </c>
      <c r="J84" s="20">
        <v>2</v>
      </c>
      <c r="K84" s="20">
        <v>0</v>
      </c>
      <c r="L84" s="20">
        <v>0</v>
      </c>
      <c r="M84" s="20">
        <v>0</v>
      </c>
      <c r="N84" s="20">
        <v>0</v>
      </c>
      <c r="O84" s="20">
        <v>0</v>
      </c>
      <c r="P84" s="26">
        <v>0</v>
      </c>
      <c r="Q84" s="35" t="s">
        <v>154</v>
      </c>
    </row>
    <row r="85" spans="1:17" x14ac:dyDescent="0.25">
      <c r="A85" s="23">
        <v>37421</v>
      </c>
      <c r="B85" s="23">
        <v>37421</v>
      </c>
      <c r="C85" s="24">
        <v>2002</v>
      </c>
      <c r="D85" s="351" t="s">
        <v>23</v>
      </c>
      <c r="E85" s="22" t="s">
        <v>86</v>
      </c>
      <c r="F85" s="7" t="s">
        <v>101</v>
      </c>
      <c r="G85" s="33" t="s">
        <v>110</v>
      </c>
      <c r="H85" s="34" t="s">
        <v>178</v>
      </c>
      <c r="I85" s="31">
        <v>1</v>
      </c>
      <c r="J85" s="20">
        <v>0</v>
      </c>
      <c r="K85" s="20">
        <v>0</v>
      </c>
      <c r="L85" s="20">
        <v>0</v>
      </c>
      <c r="M85" s="20">
        <v>0</v>
      </c>
      <c r="N85" s="20">
        <v>0</v>
      </c>
      <c r="O85" s="20">
        <v>0</v>
      </c>
      <c r="P85" s="26">
        <v>0</v>
      </c>
      <c r="Q85" s="35" t="s">
        <v>154</v>
      </c>
    </row>
    <row r="86" spans="1:17" ht="60" x14ac:dyDescent="0.25">
      <c r="A86" s="23">
        <v>37422</v>
      </c>
      <c r="B86" s="23">
        <v>37422</v>
      </c>
      <c r="C86" s="24">
        <v>2002</v>
      </c>
      <c r="D86" s="351" t="s">
        <v>23</v>
      </c>
      <c r="E86" s="22" t="s">
        <v>86</v>
      </c>
      <c r="F86" s="7" t="s">
        <v>101</v>
      </c>
      <c r="G86" s="33" t="s">
        <v>179</v>
      </c>
      <c r="H86" s="34" t="s">
        <v>180</v>
      </c>
      <c r="I86" s="20">
        <v>0</v>
      </c>
      <c r="J86" s="20">
        <v>500</v>
      </c>
      <c r="K86" s="20">
        <v>0</v>
      </c>
      <c r="L86" s="20">
        <v>0</v>
      </c>
      <c r="M86" s="20">
        <v>0</v>
      </c>
      <c r="N86" s="20">
        <v>0</v>
      </c>
      <c r="O86" s="20">
        <v>0</v>
      </c>
      <c r="P86" s="26">
        <v>0</v>
      </c>
      <c r="Q86" s="35" t="s">
        <v>154</v>
      </c>
    </row>
    <row r="87" spans="1:17" ht="24.75" x14ac:dyDescent="0.25">
      <c r="A87" s="23">
        <v>37422</v>
      </c>
      <c r="B87" s="23">
        <v>37422</v>
      </c>
      <c r="C87" s="24">
        <v>2002</v>
      </c>
      <c r="D87" s="351" t="s">
        <v>23</v>
      </c>
      <c r="E87" s="22" t="s">
        <v>86</v>
      </c>
      <c r="F87" s="28" t="s">
        <v>151</v>
      </c>
      <c r="G87" s="33" t="s">
        <v>181</v>
      </c>
      <c r="H87" s="34" t="s">
        <v>182</v>
      </c>
      <c r="I87" s="20">
        <v>0</v>
      </c>
      <c r="J87" s="20">
        <v>100</v>
      </c>
      <c r="K87" s="20">
        <v>19</v>
      </c>
      <c r="L87" s="20">
        <v>0</v>
      </c>
      <c r="M87" s="20">
        <v>0</v>
      </c>
      <c r="N87" s="20">
        <v>0</v>
      </c>
      <c r="O87" s="20">
        <v>0</v>
      </c>
      <c r="P87" s="26">
        <v>0.95</v>
      </c>
      <c r="Q87" s="35" t="s">
        <v>154</v>
      </c>
    </row>
    <row r="88" spans="1:17" x14ac:dyDescent="0.25">
      <c r="A88" s="23">
        <v>37422</v>
      </c>
      <c r="B88" s="23">
        <v>37422</v>
      </c>
      <c r="C88" s="24">
        <v>2002</v>
      </c>
      <c r="D88" s="351" t="s">
        <v>23</v>
      </c>
      <c r="E88" s="22" t="s">
        <v>86</v>
      </c>
      <c r="F88" s="7" t="s">
        <v>62</v>
      </c>
      <c r="G88" s="33" t="s">
        <v>110</v>
      </c>
      <c r="H88" s="34" t="s">
        <v>183</v>
      </c>
      <c r="I88" s="20">
        <v>0</v>
      </c>
      <c r="J88" s="20">
        <v>120</v>
      </c>
      <c r="K88" s="20">
        <v>15</v>
      </c>
      <c r="L88" s="20">
        <v>0</v>
      </c>
      <c r="M88" s="20">
        <v>0</v>
      </c>
      <c r="N88" s="20">
        <v>0</v>
      </c>
      <c r="O88" s="20">
        <v>0</v>
      </c>
      <c r="P88" s="26">
        <v>0</v>
      </c>
      <c r="Q88" s="35" t="s">
        <v>154</v>
      </c>
    </row>
    <row r="89" spans="1:17" ht="180.75" x14ac:dyDescent="0.25">
      <c r="A89" s="23">
        <v>37424</v>
      </c>
      <c r="B89" s="23">
        <v>37424</v>
      </c>
      <c r="C89" s="24">
        <v>2002</v>
      </c>
      <c r="D89" s="351" t="s">
        <v>23</v>
      </c>
      <c r="E89" s="22" t="s">
        <v>86</v>
      </c>
      <c r="F89" s="7" t="s">
        <v>58</v>
      </c>
      <c r="G89" s="33" t="s">
        <v>110</v>
      </c>
      <c r="H89" s="34" t="s">
        <v>184</v>
      </c>
      <c r="I89" s="20">
        <v>0</v>
      </c>
      <c r="J89" s="20">
        <v>535</v>
      </c>
      <c r="K89" s="20">
        <f>107+11+36+60</f>
        <v>214</v>
      </c>
      <c r="L89" s="20">
        <v>0</v>
      </c>
      <c r="M89" s="20">
        <v>0</v>
      </c>
      <c r="N89" s="20">
        <v>0</v>
      </c>
      <c r="O89" s="20">
        <v>0</v>
      </c>
      <c r="P89" s="26">
        <f>1.67+0.148</f>
        <v>1.8179999999999998</v>
      </c>
      <c r="Q89" s="35" t="s">
        <v>154</v>
      </c>
    </row>
    <row r="90" spans="1:17" ht="48.75" x14ac:dyDescent="0.25">
      <c r="A90" s="23">
        <v>37424</v>
      </c>
      <c r="B90" s="23">
        <v>37424</v>
      </c>
      <c r="C90" s="24">
        <v>2002</v>
      </c>
      <c r="D90" s="351" t="s">
        <v>23</v>
      </c>
      <c r="E90" s="22" t="s">
        <v>86</v>
      </c>
      <c r="F90" s="7" t="s">
        <v>36</v>
      </c>
      <c r="G90" s="33" t="s">
        <v>110</v>
      </c>
      <c r="H90" s="34" t="s">
        <v>185</v>
      </c>
      <c r="I90" s="20">
        <v>0</v>
      </c>
      <c r="J90" s="20">
        <f>118+138</f>
        <v>256</v>
      </c>
      <c r="K90" s="20">
        <v>188</v>
      </c>
      <c r="L90" s="20">
        <v>0</v>
      </c>
      <c r="M90" s="20">
        <v>0</v>
      </c>
      <c r="N90" s="20">
        <v>0</v>
      </c>
      <c r="O90" s="20">
        <v>0</v>
      </c>
      <c r="P90" s="26">
        <v>7.88</v>
      </c>
      <c r="Q90" s="35" t="s">
        <v>186</v>
      </c>
    </row>
    <row r="91" spans="1:17" ht="24.75" x14ac:dyDescent="0.25">
      <c r="A91" s="23">
        <v>37424</v>
      </c>
      <c r="B91" s="23">
        <v>37424</v>
      </c>
      <c r="C91" s="24">
        <v>2002</v>
      </c>
      <c r="D91" s="351" t="s">
        <v>23</v>
      </c>
      <c r="E91" s="22" t="s">
        <v>86</v>
      </c>
      <c r="F91" s="7" t="s">
        <v>101</v>
      </c>
      <c r="G91" s="33" t="s">
        <v>110</v>
      </c>
      <c r="H91" s="34" t="s">
        <v>187</v>
      </c>
      <c r="I91" s="20">
        <v>1</v>
      </c>
      <c r="J91" s="20">
        <v>0</v>
      </c>
      <c r="K91" s="20">
        <v>0</v>
      </c>
      <c r="L91" s="20">
        <v>0</v>
      </c>
      <c r="M91" s="20">
        <v>0</v>
      </c>
      <c r="N91" s="20">
        <v>0</v>
      </c>
      <c r="O91" s="20">
        <v>0</v>
      </c>
      <c r="P91" s="26">
        <v>0</v>
      </c>
      <c r="Q91" s="35" t="s">
        <v>154</v>
      </c>
    </row>
    <row r="92" spans="1:17" ht="36.75" x14ac:dyDescent="0.25">
      <c r="A92" s="23">
        <v>37427</v>
      </c>
      <c r="B92" s="23">
        <v>37427</v>
      </c>
      <c r="C92" s="24">
        <v>2002</v>
      </c>
      <c r="D92" s="351" t="s">
        <v>23</v>
      </c>
      <c r="E92" s="22" t="s">
        <v>86</v>
      </c>
      <c r="F92" s="7" t="s">
        <v>80</v>
      </c>
      <c r="G92" s="33" t="s">
        <v>110</v>
      </c>
      <c r="H92" s="34" t="s">
        <v>188</v>
      </c>
      <c r="I92" s="20">
        <v>0</v>
      </c>
      <c r="J92" s="20">
        <v>100</v>
      </c>
      <c r="K92" s="20">
        <v>0</v>
      </c>
      <c r="L92" s="20">
        <v>0</v>
      </c>
      <c r="M92" s="20">
        <v>0</v>
      </c>
      <c r="N92" s="20">
        <v>0</v>
      </c>
      <c r="O92" s="20">
        <v>0</v>
      </c>
      <c r="P92" s="26">
        <v>0</v>
      </c>
      <c r="Q92" s="35" t="s">
        <v>154</v>
      </c>
    </row>
    <row r="93" spans="1:17" ht="24.75" x14ac:dyDescent="0.25">
      <c r="A93" s="23">
        <v>37427</v>
      </c>
      <c r="B93" s="23">
        <v>37427</v>
      </c>
      <c r="C93" s="24">
        <v>2002</v>
      </c>
      <c r="D93" s="351" t="s">
        <v>23</v>
      </c>
      <c r="E93" s="22" t="s">
        <v>86</v>
      </c>
      <c r="F93" s="7" t="s">
        <v>36</v>
      </c>
      <c r="G93" s="33" t="s">
        <v>110</v>
      </c>
      <c r="H93" s="34" t="s">
        <v>189</v>
      </c>
      <c r="I93" s="20">
        <v>0</v>
      </c>
      <c r="J93" s="20">
        <f>64*5</f>
        <v>320</v>
      </c>
      <c r="K93" s="20">
        <v>64</v>
      </c>
      <c r="L93" s="20">
        <v>0</v>
      </c>
      <c r="M93" s="20">
        <v>0</v>
      </c>
      <c r="N93" s="20">
        <v>0</v>
      </c>
      <c r="O93" s="20">
        <v>0</v>
      </c>
      <c r="P93" s="26">
        <f>(64*0.01)</f>
        <v>0.64</v>
      </c>
      <c r="Q93" s="35" t="s">
        <v>154</v>
      </c>
    </row>
    <row r="94" spans="1:17" ht="24.75" x14ac:dyDescent="0.25">
      <c r="A94" s="23">
        <v>37427</v>
      </c>
      <c r="B94" s="23">
        <v>37427</v>
      </c>
      <c r="C94" s="24">
        <v>2002</v>
      </c>
      <c r="D94" s="351" t="s">
        <v>23</v>
      </c>
      <c r="E94" s="22" t="s">
        <v>86</v>
      </c>
      <c r="F94" s="7" t="s">
        <v>40</v>
      </c>
      <c r="G94" s="33" t="s">
        <v>110</v>
      </c>
      <c r="H94" s="34" t="s">
        <v>190</v>
      </c>
      <c r="I94" s="20">
        <v>3</v>
      </c>
      <c r="J94" s="20">
        <v>87</v>
      </c>
      <c r="K94" s="20">
        <v>6</v>
      </c>
      <c r="L94" s="20">
        <v>0</v>
      </c>
      <c r="M94" s="20">
        <v>0</v>
      </c>
      <c r="N94" s="20">
        <v>0</v>
      </c>
      <c r="O94" s="20">
        <v>0</v>
      </c>
      <c r="P94" s="26">
        <f>(1*0.04)+(5*0.01)</f>
        <v>0.09</v>
      </c>
      <c r="Q94" s="35" t="s">
        <v>154</v>
      </c>
    </row>
    <row r="95" spans="1:17" ht="48.75" x14ac:dyDescent="0.25">
      <c r="A95" s="23">
        <v>37427</v>
      </c>
      <c r="B95" s="23">
        <v>37427</v>
      </c>
      <c r="C95" s="24">
        <v>2002</v>
      </c>
      <c r="D95" s="351" t="s">
        <v>23</v>
      </c>
      <c r="E95" s="22" t="s">
        <v>86</v>
      </c>
      <c r="F95" s="7" t="s">
        <v>82</v>
      </c>
      <c r="G95" s="33" t="s">
        <v>191</v>
      </c>
      <c r="H95" s="34" t="s">
        <v>192</v>
      </c>
      <c r="I95" s="20">
        <v>0</v>
      </c>
      <c r="J95" s="20">
        <v>81</v>
      </c>
      <c r="K95" s="20">
        <v>0</v>
      </c>
      <c r="L95" s="20">
        <v>0</v>
      </c>
      <c r="M95" s="20">
        <v>0</v>
      </c>
      <c r="N95" s="20">
        <v>0</v>
      </c>
      <c r="O95" s="20">
        <v>0</v>
      </c>
      <c r="P95" s="26">
        <v>0</v>
      </c>
      <c r="Q95" s="35" t="s">
        <v>154</v>
      </c>
    </row>
    <row r="96" spans="1:17" ht="24.75" x14ac:dyDescent="0.25">
      <c r="A96" s="23">
        <v>37427</v>
      </c>
      <c r="B96" s="23">
        <v>37427</v>
      </c>
      <c r="C96" s="24">
        <v>2002</v>
      </c>
      <c r="D96" s="351" t="s">
        <v>23</v>
      </c>
      <c r="E96" s="22" t="s">
        <v>86</v>
      </c>
      <c r="F96" s="7" t="s">
        <v>58</v>
      </c>
      <c r="G96" s="33" t="s">
        <v>193</v>
      </c>
      <c r="H96" s="34" t="s">
        <v>194</v>
      </c>
      <c r="I96" s="20">
        <v>0</v>
      </c>
      <c r="J96" s="20">
        <v>1500</v>
      </c>
      <c r="K96" s="20">
        <v>150</v>
      </c>
      <c r="L96" s="20">
        <v>0</v>
      </c>
      <c r="M96" s="20">
        <v>0</v>
      </c>
      <c r="N96" s="20">
        <v>0</v>
      </c>
      <c r="O96" s="20">
        <v>0</v>
      </c>
      <c r="P96" s="26">
        <v>0</v>
      </c>
      <c r="Q96" s="35" t="s">
        <v>154</v>
      </c>
    </row>
    <row r="97" spans="1:17" ht="48.75" x14ac:dyDescent="0.25">
      <c r="A97" s="23">
        <v>37428</v>
      </c>
      <c r="B97" s="23">
        <v>37428</v>
      </c>
      <c r="C97" s="24">
        <v>2002</v>
      </c>
      <c r="D97" s="351" t="s">
        <v>23</v>
      </c>
      <c r="E97" s="22" t="s">
        <v>86</v>
      </c>
      <c r="F97" s="28" t="s">
        <v>151</v>
      </c>
      <c r="G97" s="33" t="s">
        <v>195</v>
      </c>
      <c r="H97" s="34" t="s">
        <v>196</v>
      </c>
      <c r="I97" s="20">
        <v>0</v>
      </c>
      <c r="J97" s="20">
        <v>1000</v>
      </c>
      <c r="K97" s="20">
        <v>200</v>
      </c>
      <c r="L97" s="20">
        <v>0</v>
      </c>
      <c r="M97" s="20">
        <v>0</v>
      </c>
      <c r="N97" s="20">
        <v>0</v>
      </c>
      <c r="O97" s="20">
        <v>0</v>
      </c>
      <c r="P97" s="26">
        <f>(200*0.01)+(1*0)</f>
        <v>2</v>
      </c>
      <c r="Q97" s="35" t="s">
        <v>154</v>
      </c>
    </row>
    <row r="98" spans="1:17" ht="24.75" x14ac:dyDescent="0.25">
      <c r="A98" s="23">
        <v>37429</v>
      </c>
      <c r="B98" s="23">
        <v>37429</v>
      </c>
      <c r="C98" s="24">
        <v>2002</v>
      </c>
      <c r="D98" s="351" t="s">
        <v>23</v>
      </c>
      <c r="E98" s="22" t="s">
        <v>86</v>
      </c>
      <c r="F98" s="7" t="s">
        <v>40</v>
      </c>
      <c r="G98" s="33" t="s">
        <v>197</v>
      </c>
      <c r="H98" s="34" t="s">
        <v>198</v>
      </c>
      <c r="I98" s="24">
        <v>3</v>
      </c>
      <c r="J98" s="20">
        <v>0</v>
      </c>
      <c r="K98" s="20">
        <v>0</v>
      </c>
      <c r="L98" s="20">
        <v>0</v>
      </c>
      <c r="M98" s="20">
        <v>0</v>
      </c>
      <c r="N98" s="20">
        <v>0</v>
      </c>
      <c r="O98" s="20">
        <v>0</v>
      </c>
      <c r="P98" s="26">
        <v>0</v>
      </c>
      <c r="Q98" s="35" t="s">
        <v>154</v>
      </c>
    </row>
    <row r="99" spans="1:17" ht="48.75" x14ac:dyDescent="0.25">
      <c r="A99" s="23">
        <v>37430</v>
      </c>
      <c r="B99" s="23">
        <v>37430</v>
      </c>
      <c r="C99" s="24">
        <v>2002</v>
      </c>
      <c r="D99" s="351" t="s">
        <v>23</v>
      </c>
      <c r="E99" s="22" t="s">
        <v>86</v>
      </c>
      <c r="F99" s="7" t="s">
        <v>80</v>
      </c>
      <c r="G99" s="33" t="s">
        <v>110</v>
      </c>
      <c r="H99" s="34" t="s">
        <v>199</v>
      </c>
      <c r="I99" s="20">
        <v>0</v>
      </c>
      <c r="J99" s="20">
        <v>0</v>
      </c>
      <c r="K99" s="20">
        <v>0</v>
      </c>
      <c r="L99" s="20">
        <v>0</v>
      </c>
      <c r="M99" s="20">
        <v>0</v>
      </c>
      <c r="N99" s="20">
        <v>0</v>
      </c>
      <c r="O99" s="20">
        <v>0</v>
      </c>
      <c r="P99" s="26">
        <v>1.36</v>
      </c>
      <c r="Q99" s="35" t="s">
        <v>154</v>
      </c>
    </row>
    <row r="100" spans="1:17" ht="96.75" x14ac:dyDescent="0.25">
      <c r="A100" s="23">
        <v>37432</v>
      </c>
      <c r="B100" s="23">
        <v>37432</v>
      </c>
      <c r="C100" s="24">
        <v>2002</v>
      </c>
      <c r="D100" s="351" t="s">
        <v>23</v>
      </c>
      <c r="E100" s="22" t="s">
        <v>86</v>
      </c>
      <c r="F100" s="7" t="s">
        <v>97</v>
      </c>
      <c r="G100" s="33" t="s">
        <v>110</v>
      </c>
      <c r="H100" s="34" t="s">
        <v>200</v>
      </c>
      <c r="I100" s="20">
        <v>0</v>
      </c>
      <c r="J100" s="20">
        <v>115</v>
      </c>
      <c r="K100" s="20">
        <v>60</v>
      </c>
      <c r="L100" s="20">
        <v>0</v>
      </c>
      <c r="M100" s="20">
        <v>0</v>
      </c>
      <c r="N100" s="20">
        <v>0</v>
      </c>
      <c r="O100" s="20">
        <v>0</v>
      </c>
      <c r="P100" s="26">
        <v>11.74</v>
      </c>
      <c r="Q100" s="35" t="s">
        <v>154</v>
      </c>
    </row>
    <row r="101" spans="1:17" ht="24.75" x14ac:dyDescent="0.25">
      <c r="A101" s="23">
        <v>37432</v>
      </c>
      <c r="B101" s="23">
        <v>37432</v>
      </c>
      <c r="C101" s="24">
        <v>2002</v>
      </c>
      <c r="D101" s="351" t="s">
        <v>23</v>
      </c>
      <c r="E101" s="22" t="s">
        <v>86</v>
      </c>
      <c r="F101" s="7" t="s">
        <v>75</v>
      </c>
      <c r="G101" s="33" t="s">
        <v>110</v>
      </c>
      <c r="H101" s="34" t="s">
        <v>201</v>
      </c>
      <c r="I101" s="20">
        <v>0</v>
      </c>
      <c r="J101" s="20">
        <v>0</v>
      </c>
      <c r="K101" s="20">
        <v>24</v>
      </c>
      <c r="L101" s="20">
        <v>0</v>
      </c>
      <c r="M101" s="20">
        <v>0</v>
      </c>
      <c r="N101" s="20">
        <v>0</v>
      </c>
      <c r="O101" s="20">
        <v>0</v>
      </c>
      <c r="P101" s="26">
        <v>1.2</v>
      </c>
      <c r="Q101" s="35" t="s">
        <v>154</v>
      </c>
    </row>
    <row r="102" spans="1:17" x14ac:dyDescent="0.25">
      <c r="A102" s="23">
        <v>37433</v>
      </c>
      <c r="B102" s="23">
        <v>37433</v>
      </c>
      <c r="C102" s="24">
        <v>2002</v>
      </c>
      <c r="D102" s="351" t="s">
        <v>23</v>
      </c>
      <c r="E102" s="22" t="s">
        <v>86</v>
      </c>
      <c r="F102" s="7" t="s">
        <v>72</v>
      </c>
      <c r="G102" s="33" t="s">
        <v>202</v>
      </c>
      <c r="H102" s="34" t="s">
        <v>203</v>
      </c>
      <c r="I102" s="20">
        <v>1</v>
      </c>
      <c r="J102" s="20">
        <v>0</v>
      </c>
      <c r="K102" s="20">
        <v>0</v>
      </c>
      <c r="L102" s="20">
        <v>0</v>
      </c>
      <c r="M102" s="20">
        <v>0</v>
      </c>
      <c r="N102" s="20">
        <v>0</v>
      </c>
      <c r="O102" s="20">
        <v>0</v>
      </c>
      <c r="P102" s="26">
        <v>0</v>
      </c>
      <c r="Q102" s="35" t="s">
        <v>154</v>
      </c>
    </row>
    <row r="103" spans="1:17" ht="36.75" x14ac:dyDescent="0.25">
      <c r="A103" s="23">
        <v>37434</v>
      </c>
      <c r="B103" s="23">
        <v>37434</v>
      </c>
      <c r="C103" s="24">
        <v>2002</v>
      </c>
      <c r="D103" s="351" t="s">
        <v>23</v>
      </c>
      <c r="E103" s="22" t="s">
        <v>86</v>
      </c>
      <c r="F103" s="7" t="s">
        <v>62</v>
      </c>
      <c r="G103" s="33" t="s">
        <v>165</v>
      </c>
      <c r="H103" s="34" t="s">
        <v>204</v>
      </c>
      <c r="I103" s="20">
        <v>0</v>
      </c>
      <c r="J103" s="20">
        <v>150</v>
      </c>
      <c r="K103" s="20">
        <v>30</v>
      </c>
      <c r="L103" s="20">
        <v>0</v>
      </c>
      <c r="M103" s="20">
        <v>0</v>
      </c>
      <c r="N103" s="20">
        <v>0</v>
      </c>
      <c r="O103" s="20">
        <v>0</v>
      </c>
      <c r="P103" s="26">
        <f>30*0.05</f>
        <v>1.5</v>
      </c>
      <c r="Q103" s="35" t="s">
        <v>154</v>
      </c>
    </row>
    <row r="104" spans="1:17" ht="36.75" x14ac:dyDescent="0.25">
      <c r="A104" s="23">
        <v>37434</v>
      </c>
      <c r="B104" s="23">
        <v>37434</v>
      </c>
      <c r="C104" s="24">
        <v>2002</v>
      </c>
      <c r="D104" s="351" t="s">
        <v>23</v>
      </c>
      <c r="E104" s="22" t="s">
        <v>86</v>
      </c>
      <c r="F104" s="7" t="s">
        <v>97</v>
      </c>
      <c r="G104" s="33" t="s">
        <v>110</v>
      </c>
      <c r="H104" s="34" t="s">
        <v>205</v>
      </c>
      <c r="I104" s="20">
        <v>0</v>
      </c>
      <c r="J104" s="20">
        <v>25</v>
      </c>
      <c r="K104" s="20">
        <v>7</v>
      </c>
      <c r="L104" s="20">
        <v>0</v>
      </c>
      <c r="M104" s="20">
        <v>0</v>
      </c>
      <c r="N104" s="20">
        <v>0</v>
      </c>
      <c r="O104" s="20">
        <v>0</v>
      </c>
      <c r="P104" s="26">
        <f>(7*0.01)+(1*0)+(1*0)</f>
        <v>7.0000000000000007E-2</v>
      </c>
      <c r="Q104" s="35" t="s">
        <v>154</v>
      </c>
    </row>
    <row r="105" spans="1:17" ht="84.75" x14ac:dyDescent="0.25">
      <c r="A105" s="23">
        <v>37434</v>
      </c>
      <c r="B105" s="23">
        <v>37434</v>
      </c>
      <c r="C105" s="24">
        <v>2002</v>
      </c>
      <c r="D105" s="351" t="s">
        <v>23</v>
      </c>
      <c r="E105" s="22" t="s">
        <v>86</v>
      </c>
      <c r="F105" s="28" t="s">
        <v>157</v>
      </c>
      <c r="G105" s="33" t="s">
        <v>206</v>
      </c>
      <c r="H105" s="34" t="s">
        <v>207</v>
      </c>
      <c r="I105" s="20">
        <v>0</v>
      </c>
      <c r="J105" s="20">
        <v>0</v>
      </c>
      <c r="K105" s="20">
        <v>0</v>
      </c>
      <c r="L105" s="20">
        <v>0</v>
      </c>
      <c r="M105" s="20">
        <v>0</v>
      </c>
      <c r="N105" s="20">
        <v>0</v>
      </c>
      <c r="O105" s="20">
        <v>0</v>
      </c>
      <c r="P105" s="26">
        <v>0</v>
      </c>
      <c r="Q105" s="35" t="s">
        <v>154</v>
      </c>
    </row>
    <row r="106" spans="1:17" ht="36.75" x14ac:dyDescent="0.25">
      <c r="A106" s="23">
        <v>37434</v>
      </c>
      <c r="B106" s="23">
        <v>37434</v>
      </c>
      <c r="C106" s="24">
        <v>2002</v>
      </c>
      <c r="D106" s="351" t="s">
        <v>23</v>
      </c>
      <c r="E106" s="22" t="s">
        <v>86</v>
      </c>
      <c r="F106" s="7" t="s">
        <v>36</v>
      </c>
      <c r="G106" s="33" t="s">
        <v>110</v>
      </c>
      <c r="H106" s="34" t="s">
        <v>208</v>
      </c>
      <c r="I106" s="20">
        <v>0</v>
      </c>
      <c r="J106" s="20">
        <v>800</v>
      </c>
      <c r="K106" s="20">
        <v>171</v>
      </c>
      <c r="L106" s="20">
        <v>0</v>
      </c>
      <c r="M106" s="20">
        <v>0</v>
      </c>
      <c r="N106" s="20">
        <v>0</v>
      </c>
      <c r="O106" s="20">
        <v>0</v>
      </c>
      <c r="P106" s="26">
        <f>171*0.05</f>
        <v>8.5500000000000007</v>
      </c>
      <c r="Q106" s="35" t="s">
        <v>209</v>
      </c>
    </row>
    <row r="107" spans="1:17" x14ac:dyDescent="0.25">
      <c r="A107" s="23">
        <v>37434</v>
      </c>
      <c r="B107" s="23">
        <v>37434</v>
      </c>
      <c r="C107" s="24">
        <v>2002</v>
      </c>
      <c r="D107" s="351" t="s">
        <v>23</v>
      </c>
      <c r="E107" s="22" t="s">
        <v>86</v>
      </c>
      <c r="F107" s="7" t="s">
        <v>75</v>
      </c>
      <c r="G107" s="33" t="s">
        <v>110</v>
      </c>
      <c r="H107" s="34" t="s">
        <v>164</v>
      </c>
      <c r="I107" s="20">
        <v>0</v>
      </c>
      <c r="J107" s="20">
        <v>29</v>
      </c>
      <c r="K107" s="20">
        <v>0</v>
      </c>
      <c r="L107" s="20">
        <v>0</v>
      </c>
      <c r="M107" s="20">
        <v>0</v>
      </c>
      <c r="N107" s="20">
        <v>0</v>
      </c>
      <c r="O107" s="20">
        <v>0</v>
      </c>
      <c r="P107" s="26">
        <v>0</v>
      </c>
      <c r="Q107" s="35" t="s">
        <v>154</v>
      </c>
    </row>
    <row r="108" spans="1:17" ht="24.75" x14ac:dyDescent="0.25">
      <c r="A108" s="23">
        <v>37434</v>
      </c>
      <c r="B108" s="23">
        <v>37434</v>
      </c>
      <c r="C108" s="24">
        <v>2002</v>
      </c>
      <c r="D108" s="351" t="s">
        <v>23</v>
      </c>
      <c r="E108" s="22" t="s">
        <v>86</v>
      </c>
      <c r="F108" s="28" t="s">
        <v>210</v>
      </c>
      <c r="G108" s="33" t="s">
        <v>110</v>
      </c>
      <c r="H108" s="34" t="s">
        <v>211</v>
      </c>
      <c r="I108" s="20">
        <v>0</v>
      </c>
      <c r="J108" s="20">
        <f>30*4</f>
        <v>120</v>
      </c>
      <c r="K108" s="20">
        <v>30</v>
      </c>
      <c r="L108" s="20">
        <v>0</v>
      </c>
      <c r="M108" s="20">
        <v>0</v>
      </c>
      <c r="N108" s="20">
        <v>0</v>
      </c>
      <c r="O108" s="20">
        <v>0</v>
      </c>
      <c r="P108" s="26">
        <v>0.3</v>
      </c>
      <c r="Q108" s="35" t="s">
        <v>154</v>
      </c>
    </row>
    <row r="109" spans="1:17" x14ac:dyDescent="0.25">
      <c r="A109" s="23">
        <v>37434</v>
      </c>
      <c r="B109" s="23">
        <v>37434</v>
      </c>
      <c r="C109" s="24">
        <v>2002</v>
      </c>
      <c r="D109" s="351" t="s">
        <v>23</v>
      </c>
      <c r="E109" s="22" t="s">
        <v>86</v>
      </c>
      <c r="F109" s="28" t="s">
        <v>163</v>
      </c>
      <c r="G109" s="33" t="s">
        <v>110</v>
      </c>
      <c r="H109" s="34" t="s">
        <v>212</v>
      </c>
      <c r="I109" s="20">
        <v>0</v>
      </c>
      <c r="J109" s="20">
        <v>1500</v>
      </c>
      <c r="K109" s="20">
        <v>0</v>
      </c>
      <c r="L109" s="20">
        <v>0</v>
      </c>
      <c r="M109" s="20">
        <v>0</v>
      </c>
      <c r="N109" s="20">
        <v>0</v>
      </c>
      <c r="O109" s="20">
        <v>2000</v>
      </c>
      <c r="P109" s="26">
        <v>0.04</v>
      </c>
      <c r="Q109" s="35" t="s">
        <v>154</v>
      </c>
    </row>
    <row r="110" spans="1:17" x14ac:dyDescent="0.25">
      <c r="A110" s="23">
        <v>37435</v>
      </c>
      <c r="B110" s="23">
        <v>37435</v>
      </c>
      <c r="C110" s="24">
        <v>2002</v>
      </c>
      <c r="D110" s="351" t="s">
        <v>23</v>
      </c>
      <c r="E110" s="22" t="s">
        <v>86</v>
      </c>
      <c r="F110" s="7" t="s">
        <v>36</v>
      </c>
      <c r="G110" s="33" t="s">
        <v>110</v>
      </c>
      <c r="H110" s="34" t="s">
        <v>164</v>
      </c>
      <c r="I110" s="20">
        <v>0</v>
      </c>
      <c r="J110" s="20">
        <v>800</v>
      </c>
      <c r="K110" s="20">
        <v>171</v>
      </c>
      <c r="L110" s="20">
        <v>0</v>
      </c>
      <c r="M110" s="20">
        <v>0</v>
      </c>
      <c r="N110" s="20">
        <v>0</v>
      </c>
      <c r="O110" s="20">
        <v>0</v>
      </c>
      <c r="P110" s="26">
        <f>K110*0.05</f>
        <v>8.5500000000000007</v>
      </c>
      <c r="Q110" s="35" t="s">
        <v>154</v>
      </c>
    </row>
    <row r="111" spans="1:17" x14ac:dyDescent="0.25">
      <c r="A111" s="23">
        <v>37435</v>
      </c>
      <c r="B111" s="23">
        <v>37435</v>
      </c>
      <c r="C111" s="24">
        <v>2002</v>
      </c>
      <c r="D111" s="351" t="s">
        <v>23</v>
      </c>
      <c r="E111" s="22" t="s">
        <v>86</v>
      </c>
      <c r="F111" s="7" t="s">
        <v>91</v>
      </c>
      <c r="G111" s="33" t="s">
        <v>110</v>
      </c>
      <c r="H111" s="34" t="s">
        <v>164</v>
      </c>
      <c r="I111" s="20">
        <v>0</v>
      </c>
      <c r="J111" s="20">
        <v>0</v>
      </c>
      <c r="K111" s="20">
        <v>22</v>
      </c>
      <c r="L111" s="20">
        <v>0</v>
      </c>
      <c r="M111" s="20">
        <v>0</v>
      </c>
      <c r="N111" s="20">
        <v>0</v>
      </c>
      <c r="O111" s="20">
        <v>0</v>
      </c>
      <c r="P111" s="26">
        <v>0</v>
      </c>
      <c r="Q111" s="35" t="s">
        <v>154</v>
      </c>
    </row>
    <row r="112" spans="1:17" x14ac:dyDescent="0.25">
      <c r="A112" s="23">
        <v>37435</v>
      </c>
      <c r="B112" s="23">
        <v>37435</v>
      </c>
      <c r="C112" s="24">
        <v>2002</v>
      </c>
      <c r="D112" s="351" t="s">
        <v>23</v>
      </c>
      <c r="E112" s="22" t="s">
        <v>86</v>
      </c>
      <c r="F112" s="28" t="s">
        <v>210</v>
      </c>
      <c r="G112" s="33" t="s">
        <v>110</v>
      </c>
      <c r="H112" s="34"/>
      <c r="I112" s="20">
        <v>0</v>
      </c>
      <c r="J112" s="20">
        <v>5000</v>
      </c>
      <c r="K112" s="20">
        <v>0</v>
      </c>
      <c r="L112" s="20">
        <v>0</v>
      </c>
      <c r="M112" s="20">
        <v>0</v>
      </c>
      <c r="N112" s="20">
        <v>0</v>
      </c>
      <c r="O112" s="20">
        <v>0</v>
      </c>
      <c r="P112" s="26">
        <v>0</v>
      </c>
      <c r="Q112" s="35" t="s">
        <v>154</v>
      </c>
    </row>
    <row r="113" spans="1:17" ht="60.75" x14ac:dyDescent="0.25">
      <c r="A113" s="23">
        <v>37435</v>
      </c>
      <c r="B113" s="23">
        <v>37435</v>
      </c>
      <c r="C113" s="24">
        <v>2002</v>
      </c>
      <c r="D113" s="351" t="s">
        <v>23</v>
      </c>
      <c r="E113" s="22" t="s">
        <v>86</v>
      </c>
      <c r="F113" s="7" t="s">
        <v>97</v>
      </c>
      <c r="G113" s="33" t="s">
        <v>110</v>
      </c>
      <c r="H113" s="34" t="s">
        <v>213</v>
      </c>
      <c r="I113" s="24">
        <v>1</v>
      </c>
      <c r="J113" s="20">
        <v>300</v>
      </c>
      <c r="K113" s="20">
        <v>100</v>
      </c>
      <c r="L113" s="20">
        <v>0</v>
      </c>
      <c r="M113" s="20">
        <v>0</v>
      </c>
      <c r="N113" s="20">
        <v>0</v>
      </c>
      <c r="O113" s="20">
        <v>1000</v>
      </c>
      <c r="P113" s="26">
        <v>0.04</v>
      </c>
      <c r="Q113" s="35" t="s">
        <v>154</v>
      </c>
    </row>
    <row r="114" spans="1:17" ht="156.75" x14ac:dyDescent="0.25">
      <c r="A114" s="23">
        <v>37435</v>
      </c>
      <c r="B114" s="23">
        <v>37435</v>
      </c>
      <c r="C114" s="24">
        <v>2002</v>
      </c>
      <c r="D114" s="351" t="s">
        <v>23</v>
      </c>
      <c r="E114" s="22" t="s">
        <v>86</v>
      </c>
      <c r="F114" s="7" t="s">
        <v>68</v>
      </c>
      <c r="G114" s="33" t="s">
        <v>214</v>
      </c>
      <c r="H114" s="34" t="s">
        <v>215</v>
      </c>
      <c r="I114" s="20">
        <v>0</v>
      </c>
      <c r="J114" s="20">
        <v>3500000</v>
      </c>
      <c r="K114" s="20">
        <v>0</v>
      </c>
      <c r="L114" s="20">
        <v>0</v>
      </c>
      <c r="M114" s="20">
        <v>0</v>
      </c>
      <c r="N114" s="20">
        <v>0</v>
      </c>
      <c r="O114" s="20">
        <v>0</v>
      </c>
      <c r="P114" s="26">
        <v>50</v>
      </c>
      <c r="Q114" s="35" t="s">
        <v>154</v>
      </c>
    </row>
    <row r="115" spans="1:17" ht="36.75" x14ac:dyDescent="0.25">
      <c r="A115" s="23">
        <v>37437</v>
      </c>
      <c r="B115" s="23">
        <v>37437</v>
      </c>
      <c r="C115" s="24">
        <v>2002</v>
      </c>
      <c r="D115" s="351" t="s">
        <v>23</v>
      </c>
      <c r="E115" s="22" t="s">
        <v>86</v>
      </c>
      <c r="F115" s="7" t="s">
        <v>56</v>
      </c>
      <c r="G115" s="33" t="s">
        <v>110</v>
      </c>
      <c r="H115" s="34" t="s">
        <v>216</v>
      </c>
      <c r="I115" s="20">
        <v>0</v>
      </c>
      <c r="J115" s="20">
        <v>0</v>
      </c>
      <c r="K115" s="20">
        <v>0</v>
      </c>
      <c r="L115" s="20">
        <v>0</v>
      </c>
      <c r="M115" s="20">
        <v>0</v>
      </c>
      <c r="N115" s="20">
        <v>0</v>
      </c>
      <c r="O115" s="20">
        <v>0</v>
      </c>
      <c r="P115" s="26">
        <f>1*3.29</f>
        <v>3.29</v>
      </c>
      <c r="Q115" s="35" t="s">
        <v>154</v>
      </c>
    </row>
    <row r="116" spans="1:17" ht="24.75" x14ac:dyDescent="0.25">
      <c r="A116" s="23">
        <v>37437</v>
      </c>
      <c r="B116" s="23">
        <v>37437</v>
      </c>
      <c r="C116" s="24">
        <v>2002</v>
      </c>
      <c r="D116" s="351" t="s">
        <v>23</v>
      </c>
      <c r="E116" s="22" t="s">
        <v>86</v>
      </c>
      <c r="F116" s="7" t="s">
        <v>25</v>
      </c>
      <c r="G116" s="33" t="s">
        <v>110</v>
      </c>
      <c r="H116" s="34" t="s">
        <v>217</v>
      </c>
      <c r="I116" s="20">
        <v>0</v>
      </c>
      <c r="J116" s="20">
        <v>7</v>
      </c>
      <c r="K116" s="20">
        <v>8</v>
      </c>
      <c r="L116" s="20">
        <v>0</v>
      </c>
      <c r="M116" s="20">
        <v>0</v>
      </c>
      <c r="N116" s="20">
        <v>0</v>
      </c>
      <c r="O116" s="20">
        <v>0</v>
      </c>
      <c r="P116" s="26">
        <v>0.4</v>
      </c>
      <c r="Q116" s="35" t="s">
        <v>154</v>
      </c>
    </row>
    <row r="117" spans="1:17" ht="84.75" x14ac:dyDescent="0.25">
      <c r="A117" s="23">
        <v>37437</v>
      </c>
      <c r="B117" s="23">
        <v>37437</v>
      </c>
      <c r="C117" s="24">
        <v>2002</v>
      </c>
      <c r="D117" s="351" t="s">
        <v>23</v>
      </c>
      <c r="E117" s="22" t="s">
        <v>86</v>
      </c>
      <c r="F117" s="7" t="s">
        <v>56</v>
      </c>
      <c r="G117" s="33" t="s">
        <v>218</v>
      </c>
      <c r="H117" s="34" t="s">
        <v>219</v>
      </c>
      <c r="I117" s="20">
        <v>0</v>
      </c>
      <c r="J117" s="20">
        <v>0</v>
      </c>
      <c r="K117" s="20">
        <v>0</v>
      </c>
      <c r="L117" s="20">
        <v>0</v>
      </c>
      <c r="M117" s="20">
        <v>0</v>
      </c>
      <c r="N117" s="20">
        <v>0</v>
      </c>
      <c r="O117" s="20">
        <v>0</v>
      </c>
      <c r="P117" s="26">
        <v>0.98</v>
      </c>
      <c r="Q117" s="35" t="s">
        <v>154</v>
      </c>
    </row>
    <row r="118" spans="1:17" ht="36.75" x14ac:dyDescent="0.25">
      <c r="A118" s="23">
        <v>37437</v>
      </c>
      <c r="B118" s="23">
        <v>37437</v>
      </c>
      <c r="C118" s="24">
        <v>2002</v>
      </c>
      <c r="D118" s="351" t="s">
        <v>23</v>
      </c>
      <c r="E118" s="22" t="s">
        <v>86</v>
      </c>
      <c r="F118" s="7" t="s">
        <v>82</v>
      </c>
      <c r="G118" s="33" t="s">
        <v>220</v>
      </c>
      <c r="H118" s="34" t="s">
        <v>221</v>
      </c>
      <c r="I118" s="20">
        <v>0</v>
      </c>
      <c r="J118" s="20">
        <v>0</v>
      </c>
      <c r="K118" s="20">
        <v>16</v>
      </c>
      <c r="L118" s="20">
        <v>0</v>
      </c>
      <c r="M118" s="20">
        <v>0</v>
      </c>
      <c r="N118" s="20">
        <v>0</v>
      </c>
      <c r="O118" s="20">
        <v>0</v>
      </c>
      <c r="P118" s="26">
        <v>0</v>
      </c>
      <c r="Q118" s="35" t="s">
        <v>154</v>
      </c>
    </row>
    <row r="119" spans="1:17" ht="180.75" x14ac:dyDescent="0.25">
      <c r="A119" s="36">
        <v>37484</v>
      </c>
      <c r="B119" s="36">
        <v>37484</v>
      </c>
      <c r="C119" s="24">
        <v>2002</v>
      </c>
      <c r="D119" s="351" t="s">
        <v>23</v>
      </c>
      <c r="E119" s="22" t="s">
        <v>86</v>
      </c>
      <c r="F119" s="7" t="s">
        <v>82</v>
      </c>
      <c r="G119" s="33" t="s">
        <v>110</v>
      </c>
      <c r="H119" s="34" t="s">
        <v>222</v>
      </c>
      <c r="I119" s="37">
        <v>9</v>
      </c>
      <c r="J119" s="37">
        <v>2250</v>
      </c>
      <c r="K119" s="37">
        <v>1388</v>
      </c>
      <c r="L119" s="37">
        <v>0</v>
      </c>
      <c r="M119" s="20">
        <v>0</v>
      </c>
      <c r="N119" s="20">
        <v>0</v>
      </c>
      <c r="O119" s="37">
        <v>144.5</v>
      </c>
      <c r="P119" s="38">
        <v>9.1999999999999993</v>
      </c>
      <c r="Q119" s="35" t="s">
        <v>209</v>
      </c>
    </row>
    <row r="120" spans="1:17" ht="84.75" x14ac:dyDescent="0.25">
      <c r="A120" s="36">
        <v>37484</v>
      </c>
      <c r="B120" s="36">
        <v>37484</v>
      </c>
      <c r="C120" s="24">
        <v>2002</v>
      </c>
      <c r="D120" s="351" t="s">
        <v>23</v>
      </c>
      <c r="E120" s="22" t="s">
        <v>86</v>
      </c>
      <c r="F120" s="7" t="s">
        <v>101</v>
      </c>
      <c r="G120" s="33" t="s">
        <v>223</v>
      </c>
      <c r="H120" s="34" t="s">
        <v>224</v>
      </c>
      <c r="I120" s="37">
        <v>3</v>
      </c>
      <c r="J120" s="37">
        <v>50000</v>
      </c>
      <c r="K120" s="37">
        <v>590</v>
      </c>
      <c r="L120" s="37">
        <v>3</v>
      </c>
      <c r="M120" s="20">
        <v>0</v>
      </c>
      <c r="N120" s="37">
        <v>56</v>
      </c>
      <c r="O120" s="37">
        <v>13000</v>
      </c>
      <c r="P120" s="38">
        <v>188.4</v>
      </c>
      <c r="Q120" s="35" t="s">
        <v>209</v>
      </c>
    </row>
    <row r="121" spans="1:17" ht="84.75" x14ac:dyDescent="0.25">
      <c r="A121" s="36">
        <v>37484</v>
      </c>
      <c r="B121" s="36">
        <v>37484</v>
      </c>
      <c r="C121" s="24">
        <v>2002</v>
      </c>
      <c r="D121" s="351" t="s">
        <v>23</v>
      </c>
      <c r="E121" s="22" t="s">
        <v>86</v>
      </c>
      <c r="F121" s="7" t="s">
        <v>49</v>
      </c>
      <c r="G121" s="33" t="s">
        <v>110</v>
      </c>
      <c r="H121" s="34" t="s">
        <v>225</v>
      </c>
      <c r="I121" s="20">
        <v>0</v>
      </c>
      <c r="J121" s="37">
        <v>10000</v>
      </c>
      <c r="K121" s="37">
        <v>2000</v>
      </c>
      <c r="L121" s="37">
        <v>0</v>
      </c>
      <c r="M121" s="20">
        <v>0</v>
      </c>
      <c r="N121" s="37">
        <v>0</v>
      </c>
      <c r="O121" s="37">
        <v>0</v>
      </c>
      <c r="P121" s="38">
        <v>10</v>
      </c>
      <c r="Q121" s="35" t="s">
        <v>154</v>
      </c>
    </row>
    <row r="122" spans="1:17" ht="48.75" x14ac:dyDescent="0.25">
      <c r="A122" s="36">
        <v>37487</v>
      </c>
      <c r="B122" s="36">
        <v>37487</v>
      </c>
      <c r="C122" s="24">
        <v>2002</v>
      </c>
      <c r="D122" s="351" t="s">
        <v>23</v>
      </c>
      <c r="E122" s="22" t="s">
        <v>86</v>
      </c>
      <c r="F122" s="28" t="s">
        <v>160</v>
      </c>
      <c r="G122" s="33" t="s">
        <v>226</v>
      </c>
      <c r="H122" s="34" t="s">
        <v>227</v>
      </c>
      <c r="I122" s="37">
        <v>0</v>
      </c>
      <c r="J122" s="37">
        <v>60</v>
      </c>
      <c r="K122" s="37">
        <v>12</v>
      </c>
      <c r="L122" s="37">
        <v>0</v>
      </c>
      <c r="M122" s="20">
        <v>0</v>
      </c>
      <c r="N122" s="37">
        <v>0</v>
      </c>
      <c r="O122" s="37">
        <v>0</v>
      </c>
      <c r="P122" s="38">
        <v>0.06</v>
      </c>
      <c r="Q122" s="35" t="s">
        <v>154</v>
      </c>
    </row>
    <row r="123" spans="1:17" ht="84.75" x14ac:dyDescent="0.25">
      <c r="A123" s="36">
        <v>37494</v>
      </c>
      <c r="B123" s="36">
        <v>37494</v>
      </c>
      <c r="C123" s="24">
        <v>2002</v>
      </c>
      <c r="D123" s="351" t="s">
        <v>23</v>
      </c>
      <c r="E123" s="22" t="s">
        <v>86</v>
      </c>
      <c r="F123" s="7" t="s">
        <v>49</v>
      </c>
      <c r="G123" s="33" t="s">
        <v>228</v>
      </c>
      <c r="H123" s="34" t="s">
        <v>229</v>
      </c>
      <c r="I123" s="37">
        <v>0</v>
      </c>
      <c r="J123" s="37">
        <v>20000</v>
      </c>
      <c r="K123" s="37">
        <v>4000</v>
      </c>
      <c r="L123" s="37">
        <v>0</v>
      </c>
      <c r="M123" s="20">
        <v>0</v>
      </c>
      <c r="N123" s="37">
        <v>0</v>
      </c>
      <c r="O123" s="37">
        <v>8000</v>
      </c>
      <c r="P123" s="38">
        <v>10</v>
      </c>
      <c r="Q123" s="35" t="s">
        <v>154</v>
      </c>
    </row>
    <row r="124" spans="1:17" ht="84.75" x14ac:dyDescent="0.25">
      <c r="A124" s="36">
        <v>37499</v>
      </c>
      <c r="B124" s="36">
        <v>37499</v>
      </c>
      <c r="C124" s="24">
        <v>2002</v>
      </c>
      <c r="D124" s="351" t="s">
        <v>23</v>
      </c>
      <c r="E124" s="22" t="s">
        <v>86</v>
      </c>
      <c r="F124" s="7" t="s">
        <v>62</v>
      </c>
      <c r="G124" s="33" t="s">
        <v>230</v>
      </c>
      <c r="H124" s="34" t="s">
        <v>231</v>
      </c>
      <c r="I124" s="37">
        <v>0</v>
      </c>
      <c r="J124" s="20">
        <v>0</v>
      </c>
      <c r="K124" s="20">
        <v>0</v>
      </c>
      <c r="L124" s="37">
        <v>0</v>
      </c>
      <c r="M124" s="20">
        <v>0</v>
      </c>
      <c r="N124" s="37">
        <v>0</v>
      </c>
      <c r="O124" s="37">
        <v>0</v>
      </c>
      <c r="P124" s="38">
        <v>0</v>
      </c>
      <c r="Q124" s="35" t="s">
        <v>154</v>
      </c>
    </row>
    <row r="125" spans="1:17" ht="36.75" x14ac:dyDescent="0.25">
      <c r="A125" s="36">
        <v>37500</v>
      </c>
      <c r="B125" s="36">
        <v>37500</v>
      </c>
      <c r="C125" s="24">
        <v>2002</v>
      </c>
      <c r="D125" s="351" t="s">
        <v>23</v>
      </c>
      <c r="E125" s="22" t="s">
        <v>86</v>
      </c>
      <c r="F125" s="7" t="s">
        <v>36</v>
      </c>
      <c r="G125" s="33" t="s">
        <v>232</v>
      </c>
      <c r="H125" s="34" t="s">
        <v>233</v>
      </c>
      <c r="I125" s="37">
        <v>0</v>
      </c>
      <c r="J125" s="37">
        <v>1000</v>
      </c>
      <c r="K125" s="37">
        <v>200</v>
      </c>
      <c r="L125" s="37">
        <v>0</v>
      </c>
      <c r="M125" s="20">
        <v>0</v>
      </c>
      <c r="N125" s="37">
        <v>0</v>
      </c>
      <c r="O125" s="37">
        <v>0</v>
      </c>
      <c r="P125" s="38">
        <v>0.5</v>
      </c>
      <c r="Q125" s="35" t="s">
        <v>154</v>
      </c>
    </row>
    <row r="126" spans="1:17" ht="84.75" x14ac:dyDescent="0.25">
      <c r="A126" s="36">
        <v>37501</v>
      </c>
      <c r="B126" s="36">
        <v>37501</v>
      </c>
      <c r="C126" s="24">
        <v>2002</v>
      </c>
      <c r="D126" s="351" t="s">
        <v>23</v>
      </c>
      <c r="E126" s="22" t="s">
        <v>86</v>
      </c>
      <c r="F126" s="7" t="s">
        <v>87</v>
      </c>
      <c r="G126" s="33" t="s">
        <v>234</v>
      </c>
      <c r="H126" s="34" t="s">
        <v>235</v>
      </c>
      <c r="I126" s="37">
        <v>0</v>
      </c>
      <c r="J126" s="37">
        <v>10</v>
      </c>
      <c r="K126" s="37">
        <v>2</v>
      </c>
      <c r="L126" s="37">
        <v>0</v>
      </c>
      <c r="M126" s="20">
        <v>0</v>
      </c>
      <c r="N126" s="37">
        <v>0</v>
      </c>
      <c r="O126" s="37">
        <v>0</v>
      </c>
      <c r="P126" s="38">
        <v>0.08</v>
      </c>
      <c r="Q126" s="35" t="s">
        <v>154</v>
      </c>
    </row>
    <row r="127" spans="1:17" ht="60.75" x14ac:dyDescent="0.25">
      <c r="A127" s="36">
        <v>37504</v>
      </c>
      <c r="B127" s="36">
        <v>37504</v>
      </c>
      <c r="C127" s="24">
        <v>2002</v>
      </c>
      <c r="D127" s="351" t="s">
        <v>23</v>
      </c>
      <c r="E127" s="22" t="s">
        <v>86</v>
      </c>
      <c r="F127" s="7" t="s">
        <v>25</v>
      </c>
      <c r="G127" s="33" t="s">
        <v>110</v>
      </c>
      <c r="H127" s="34" t="s">
        <v>236</v>
      </c>
      <c r="I127" s="37">
        <v>0</v>
      </c>
      <c r="J127" s="20">
        <v>0</v>
      </c>
      <c r="K127" s="20">
        <v>0</v>
      </c>
      <c r="L127" s="37">
        <v>0</v>
      </c>
      <c r="M127" s="20">
        <v>0</v>
      </c>
      <c r="N127" s="37">
        <v>0</v>
      </c>
      <c r="O127" s="37">
        <v>0</v>
      </c>
      <c r="P127" s="38">
        <v>0</v>
      </c>
      <c r="Q127" s="35" t="s">
        <v>154</v>
      </c>
    </row>
    <row r="128" spans="1:17" ht="60.75" x14ac:dyDescent="0.25">
      <c r="A128" s="36">
        <v>37504</v>
      </c>
      <c r="B128" s="36">
        <v>37504</v>
      </c>
      <c r="C128" s="24">
        <v>2002</v>
      </c>
      <c r="D128" s="351" t="s">
        <v>23</v>
      </c>
      <c r="E128" s="22" t="s">
        <v>86</v>
      </c>
      <c r="F128" s="7" t="s">
        <v>72</v>
      </c>
      <c r="G128" s="33" t="s">
        <v>237</v>
      </c>
      <c r="H128" s="34" t="s">
        <v>238</v>
      </c>
      <c r="I128" s="37">
        <v>0</v>
      </c>
      <c r="J128" s="37">
        <v>20</v>
      </c>
      <c r="K128" s="37">
        <v>4</v>
      </c>
      <c r="L128" s="37">
        <v>1</v>
      </c>
      <c r="M128" s="20">
        <v>0</v>
      </c>
      <c r="N128" s="37">
        <v>0</v>
      </c>
      <c r="O128" s="37">
        <v>0</v>
      </c>
      <c r="P128" s="38">
        <v>0.03</v>
      </c>
      <c r="Q128" s="35" t="s">
        <v>154</v>
      </c>
    </row>
    <row r="129" spans="1:17" ht="144.75" x14ac:dyDescent="0.25">
      <c r="A129" s="36">
        <v>37505</v>
      </c>
      <c r="B129" s="36">
        <v>37505</v>
      </c>
      <c r="C129" s="24">
        <v>2002</v>
      </c>
      <c r="D129" s="351" t="s">
        <v>23</v>
      </c>
      <c r="E129" s="22" t="s">
        <v>86</v>
      </c>
      <c r="F129" s="7" t="s">
        <v>25</v>
      </c>
      <c r="G129" s="33" t="s">
        <v>110</v>
      </c>
      <c r="H129" s="34" t="s">
        <v>239</v>
      </c>
      <c r="I129" s="37">
        <v>0</v>
      </c>
      <c r="J129" s="37">
        <v>2000</v>
      </c>
      <c r="K129" s="37">
        <v>400</v>
      </c>
      <c r="L129" s="37">
        <v>0</v>
      </c>
      <c r="M129" s="20">
        <v>0</v>
      </c>
      <c r="N129" s="37">
        <v>0</v>
      </c>
      <c r="O129" s="37">
        <v>0</v>
      </c>
      <c r="P129" s="38">
        <v>2.5</v>
      </c>
      <c r="Q129" s="35" t="s">
        <v>154</v>
      </c>
    </row>
    <row r="130" spans="1:17" ht="60.75" x14ac:dyDescent="0.25">
      <c r="A130" s="36">
        <v>37505</v>
      </c>
      <c r="B130" s="36">
        <v>37505</v>
      </c>
      <c r="C130" s="24">
        <v>2002</v>
      </c>
      <c r="D130" s="351" t="s">
        <v>23</v>
      </c>
      <c r="E130" s="22" t="s">
        <v>86</v>
      </c>
      <c r="F130" s="28" t="s">
        <v>160</v>
      </c>
      <c r="G130" s="33" t="s">
        <v>240</v>
      </c>
      <c r="H130" s="34" t="s">
        <v>241</v>
      </c>
      <c r="I130" s="37">
        <v>0</v>
      </c>
      <c r="J130" s="37">
        <v>25</v>
      </c>
      <c r="K130" s="37">
        <v>5</v>
      </c>
      <c r="L130" s="37">
        <v>0</v>
      </c>
      <c r="M130" s="20">
        <v>0</v>
      </c>
      <c r="N130" s="37">
        <v>0</v>
      </c>
      <c r="O130" s="37">
        <v>0</v>
      </c>
      <c r="P130" s="38">
        <v>0.05</v>
      </c>
      <c r="Q130" s="35" t="s">
        <v>154</v>
      </c>
    </row>
    <row r="131" spans="1:17" ht="96.75" x14ac:dyDescent="0.25">
      <c r="A131" s="36">
        <v>37507</v>
      </c>
      <c r="B131" s="36">
        <v>37507</v>
      </c>
      <c r="C131" s="24">
        <v>2002</v>
      </c>
      <c r="D131" s="351" t="s">
        <v>23</v>
      </c>
      <c r="E131" s="22" t="s">
        <v>86</v>
      </c>
      <c r="F131" s="7" t="s">
        <v>91</v>
      </c>
      <c r="G131" s="33" t="s">
        <v>242</v>
      </c>
      <c r="H131" s="34" t="s">
        <v>243</v>
      </c>
      <c r="I131" s="37">
        <v>0</v>
      </c>
      <c r="J131" s="20">
        <v>0</v>
      </c>
      <c r="K131" s="20">
        <v>0</v>
      </c>
      <c r="L131" s="37">
        <v>0</v>
      </c>
      <c r="M131" s="20">
        <v>0</v>
      </c>
      <c r="N131" s="37">
        <v>0</v>
      </c>
      <c r="O131" s="37">
        <v>0</v>
      </c>
      <c r="P131" s="38">
        <v>0</v>
      </c>
      <c r="Q131" s="35" t="s">
        <v>154</v>
      </c>
    </row>
    <row r="132" spans="1:17" ht="144.75" x14ac:dyDescent="0.25">
      <c r="A132" s="36">
        <v>37508</v>
      </c>
      <c r="B132" s="36">
        <v>37508</v>
      </c>
      <c r="C132" s="24">
        <v>2002</v>
      </c>
      <c r="D132" s="351" t="s">
        <v>23</v>
      </c>
      <c r="E132" s="22" t="s">
        <v>86</v>
      </c>
      <c r="F132" s="7" t="s">
        <v>75</v>
      </c>
      <c r="G132" s="33" t="s">
        <v>244</v>
      </c>
      <c r="H132" s="34" t="s">
        <v>245</v>
      </c>
      <c r="I132" s="37">
        <v>0</v>
      </c>
      <c r="J132" s="37">
        <v>700</v>
      </c>
      <c r="K132" s="37">
        <v>50</v>
      </c>
      <c r="L132" s="37">
        <v>0</v>
      </c>
      <c r="M132" s="20">
        <v>0</v>
      </c>
      <c r="N132" s="37">
        <v>0</v>
      </c>
      <c r="O132" s="37">
        <v>0</v>
      </c>
      <c r="P132" s="38">
        <f>50*2500/1000000</f>
        <v>0.125</v>
      </c>
      <c r="Q132" s="35" t="s">
        <v>154</v>
      </c>
    </row>
    <row r="133" spans="1:17" ht="72.75" x14ac:dyDescent="0.25">
      <c r="A133" s="36">
        <v>37508</v>
      </c>
      <c r="B133" s="36">
        <v>37508</v>
      </c>
      <c r="C133" s="24">
        <v>2002</v>
      </c>
      <c r="D133" s="351" t="s">
        <v>23</v>
      </c>
      <c r="E133" s="22" t="s">
        <v>86</v>
      </c>
      <c r="F133" s="7" t="s">
        <v>56</v>
      </c>
      <c r="G133" s="33" t="s">
        <v>110</v>
      </c>
      <c r="H133" s="34" t="s">
        <v>246</v>
      </c>
      <c r="I133" s="37">
        <v>0</v>
      </c>
      <c r="J133" s="20">
        <v>0</v>
      </c>
      <c r="K133" s="20">
        <v>0</v>
      </c>
      <c r="L133" s="37">
        <v>0</v>
      </c>
      <c r="M133" s="20">
        <v>0</v>
      </c>
      <c r="N133" s="37">
        <v>0</v>
      </c>
      <c r="O133" s="37">
        <v>0</v>
      </c>
      <c r="P133" s="38">
        <v>0</v>
      </c>
      <c r="Q133" s="35" t="s">
        <v>154</v>
      </c>
    </row>
    <row r="134" spans="1:17" ht="72.75" x14ac:dyDescent="0.25">
      <c r="A134" s="36">
        <v>37508</v>
      </c>
      <c r="B134" s="36">
        <v>37508</v>
      </c>
      <c r="C134" s="24">
        <v>2002</v>
      </c>
      <c r="D134" s="351" t="s">
        <v>23</v>
      </c>
      <c r="E134" s="22" t="s">
        <v>86</v>
      </c>
      <c r="F134" s="7" t="s">
        <v>33</v>
      </c>
      <c r="G134" s="33" t="s">
        <v>247</v>
      </c>
      <c r="H134" s="34" t="s">
        <v>248</v>
      </c>
      <c r="I134" s="37">
        <v>0</v>
      </c>
      <c r="J134" s="37">
        <v>200</v>
      </c>
      <c r="K134" s="37">
        <v>50</v>
      </c>
      <c r="L134" s="37">
        <v>0</v>
      </c>
      <c r="M134" s="20">
        <v>0</v>
      </c>
      <c r="N134" s="37">
        <v>0</v>
      </c>
      <c r="O134" s="37">
        <v>0</v>
      </c>
      <c r="P134" s="38">
        <f>50*2500/1000000</f>
        <v>0.125</v>
      </c>
      <c r="Q134" s="35" t="s">
        <v>154</v>
      </c>
    </row>
    <row r="135" spans="1:17" ht="216.75" x14ac:dyDescent="0.25">
      <c r="A135" s="36">
        <v>37508</v>
      </c>
      <c r="B135" s="36">
        <v>37508</v>
      </c>
      <c r="C135" s="24">
        <v>2002</v>
      </c>
      <c r="D135" s="351" t="s">
        <v>23</v>
      </c>
      <c r="E135" s="22" t="s">
        <v>86</v>
      </c>
      <c r="F135" s="7" t="s">
        <v>91</v>
      </c>
      <c r="G135" s="33" t="s">
        <v>249</v>
      </c>
      <c r="H135" s="34" t="s">
        <v>250</v>
      </c>
      <c r="I135" s="37">
        <v>0</v>
      </c>
      <c r="J135" s="37">
        <v>50</v>
      </c>
      <c r="K135" s="20">
        <v>0</v>
      </c>
      <c r="L135" s="37">
        <v>1</v>
      </c>
      <c r="M135" s="20">
        <v>0</v>
      </c>
      <c r="N135" s="37">
        <v>0</v>
      </c>
      <c r="O135" s="37">
        <v>0</v>
      </c>
      <c r="P135" s="38">
        <v>0.05</v>
      </c>
      <c r="Q135" s="35" t="s">
        <v>154</v>
      </c>
    </row>
    <row r="136" spans="1:17" ht="48.75" x14ac:dyDescent="0.25">
      <c r="A136" s="36">
        <v>37508</v>
      </c>
      <c r="B136" s="36">
        <v>37508</v>
      </c>
      <c r="C136" s="24">
        <v>2002</v>
      </c>
      <c r="D136" s="351" t="s">
        <v>23</v>
      </c>
      <c r="E136" s="22" t="s">
        <v>86</v>
      </c>
      <c r="F136" s="7" t="s">
        <v>36</v>
      </c>
      <c r="G136" s="33" t="s">
        <v>232</v>
      </c>
      <c r="H136" s="34" t="s">
        <v>251</v>
      </c>
      <c r="I136" s="37">
        <v>0</v>
      </c>
      <c r="J136" s="37">
        <f>K136*5</f>
        <v>355</v>
      </c>
      <c r="K136" s="37">
        <v>71</v>
      </c>
      <c r="L136" s="37">
        <v>0</v>
      </c>
      <c r="M136" s="20">
        <v>0</v>
      </c>
      <c r="N136" s="37">
        <v>0</v>
      </c>
      <c r="O136" s="37">
        <v>0</v>
      </c>
      <c r="P136" s="38">
        <v>0.17749999999999999</v>
      </c>
      <c r="Q136" s="35" t="s">
        <v>154</v>
      </c>
    </row>
    <row r="137" spans="1:17" ht="72.75" x14ac:dyDescent="0.25">
      <c r="A137" s="36">
        <v>37508</v>
      </c>
      <c r="B137" s="36">
        <v>37508</v>
      </c>
      <c r="C137" s="24">
        <v>2002</v>
      </c>
      <c r="D137" s="351" t="s">
        <v>23</v>
      </c>
      <c r="E137" s="22" t="s">
        <v>86</v>
      </c>
      <c r="F137" s="7" t="s">
        <v>67</v>
      </c>
      <c r="G137" s="33" t="s">
        <v>110</v>
      </c>
      <c r="H137" s="34" t="s">
        <v>252</v>
      </c>
      <c r="I137" s="37">
        <v>0</v>
      </c>
      <c r="J137" s="20">
        <v>0</v>
      </c>
      <c r="K137" s="20">
        <v>0</v>
      </c>
      <c r="L137" s="37">
        <v>0</v>
      </c>
      <c r="M137" s="20">
        <v>0</v>
      </c>
      <c r="N137" s="37">
        <v>0</v>
      </c>
      <c r="O137" s="37">
        <v>0</v>
      </c>
      <c r="P137" s="38">
        <v>0</v>
      </c>
      <c r="Q137" s="35" t="s">
        <v>154</v>
      </c>
    </row>
    <row r="138" spans="1:17" ht="48.75" x14ac:dyDescent="0.25">
      <c r="A138" s="36">
        <v>37509</v>
      </c>
      <c r="B138" s="36">
        <v>37509</v>
      </c>
      <c r="C138" s="24">
        <v>2002</v>
      </c>
      <c r="D138" s="351" t="s">
        <v>23</v>
      </c>
      <c r="E138" s="22" t="s">
        <v>86</v>
      </c>
      <c r="F138" s="7" t="s">
        <v>56</v>
      </c>
      <c r="G138" s="33" t="s">
        <v>110</v>
      </c>
      <c r="H138" s="34" t="s">
        <v>253</v>
      </c>
      <c r="I138" s="37">
        <v>0</v>
      </c>
      <c r="J138" s="37">
        <v>150</v>
      </c>
      <c r="K138" s="37">
        <v>30</v>
      </c>
      <c r="L138" s="37">
        <v>0</v>
      </c>
      <c r="M138" s="20">
        <v>0</v>
      </c>
      <c r="N138" s="37">
        <v>0</v>
      </c>
      <c r="O138" s="37">
        <v>0</v>
      </c>
      <c r="P138" s="38">
        <v>7.4999999999999997E-2</v>
      </c>
      <c r="Q138" s="35" t="s">
        <v>154</v>
      </c>
    </row>
    <row r="139" spans="1:17" ht="156.75" x14ac:dyDescent="0.25">
      <c r="A139" s="36">
        <v>37510</v>
      </c>
      <c r="B139" s="36">
        <v>37510</v>
      </c>
      <c r="C139" s="24">
        <v>2002</v>
      </c>
      <c r="D139" s="351" t="s">
        <v>23</v>
      </c>
      <c r="E139" s="22" t="s">
        <v>86</v>
      </c>
      <c r="F139" s="7" t="s">
        <v>68</v>
      </c>
      <c r="G139" s="33" t="s">
        <v>110</v>
      </c>
      <c r="H139" s="34" t="s">
        <v>254</v>
      </c>
      <c r="I139" s="37">
        <v>0</v>
      </c>
      <c r="J139" s="37">
        <v>4000</v>
      </c>
      <c r="K139" s="20">
        <v>0</v>
      </c>
      <c r="L139" s="37">
        <v>0</v>
      </c>
      <c r="M139" s="20">
        <v>0</v>
      </c>
      <c r="N139" s="37">
        <v>0</v>
      </c>
      <c r="O139" s="37">
        <v>0</v>
      </c>
      <c r="P139" s="38">
        <v>0</v>
      </c>
      <c r="Q139" s="35" t="s">
        <v>154</v>
      </c>
    </row>
    <row r="140" spans="1:17" ht="144.75" x14ac:dyDescent="0.25">
      <c r="A140" s="36">
        <v>37510</v>
      </c>
      <c r="B140" s="36">
        <v>37510</v>
      </c>
      <c r="C140" s="24">
        <v>2002</v>
      </c>
      <c r="D140" s="351" t="s">
        <v>23</v>
      </c>
      <c r="E140" s="22" t="s">
        <v>86</v>
      </c>
      <c r="F140" s="7" t="s">
        <v>91</v>
      </c>
      <c r="G140" s="33" t="s">
        <v>255</v>
      </c>
      <c r="H140" s="34" t="s">
        <v>256</v>
      </c>
      <c r="I140" s="37">
        <v>5</v>
      </c>
      <c r="J140" s="37">
        <v>620</v>
      </c>
      <c r="K140" s="37">
        <v>300</v>
      </c>
      <c r="L140" s="37">
        <v>0</v>
      </c>
      <c r="M140" s="20">
        <v>0</v>
      </c>
      <c r="N140" s="37">
        <v>0</v>
      </c>
      <c r="O140" s="37">
        <v>0</v>
      </c>
      <c r="P140" s="38">
        <v>8.3000000000000007</v>
      </c>
      <c r="Q140" s="35" t="s">
        <v>154</v>
      </c>
    </row>
    <row r="141" spans="1:17" ht="48.75" x14ac:dyDescent="0.25">
      <c r="A141" s="36">
        <v>37510</v>
      </c>
      <c r="B141" s="36">
        <v>37510</v>
      </c>
      <c r="C141" s="24">
        <v>2002</v>
      </c>
      <c r="D141" s="351" t="s">
        <v>23</v>
      </c>
      <c r="E141" s="22" t="s">
        <v>86</v>
      </c>
      <c r="F141" s="7" t="s">
        <v>84</v>
      </c>
      <c r="G141" s="33" t="s">
        <v>257</v>
      </c>
      <c r="H141" s="34" t="s">
        <v>258</v>
      </c>
      <c r="I141" s="37">
        <v>0</v>
      </c>
      <c r="J141" s="37">
        <v>350</v>
      </c>
      <c r="K141" s="37">
        <v>70</v>
      </c>
      <c r="L141" s="37">
        <v>0</v>
      </c>
      <c r="M141" s="20">
        <v>0</v>
      </c>
      <c r="N141" s="37">
        <v>0</v>
      </c>
      <c r="O141" s="37">
        <v>0</v>
      </c>
      <c r="P141" s="38">
        <v>0.17499999999999999</v>
      </c>
      <c r="Q141" s="35" t="s">
        <v>154</v>
      </c>
    </row>
    <row r="142" spans="1:17" ht="192.75" x14ac:dyDescent="0.25">
      <c r="A142" s="36">
        <v>37510</v>
      </c>
      <c r="B142" s="36">
        <v>37510</v>
      </c>
      <c r="C142" s="24">
        <v>2002</v>
      </c>
      <c r="D142" s="351" t="s">
        <v>23</v>
      </c>
      <c r="E142" s="22" t="s">
        <v>86</v>
      </c>
      <c r="F142" s="7" t="s">
        <v>45</v>
      </c>
      <c r="G142" s="33" t="s">
        <v>259</v>
      </c>
      <c r="H142" s="34" t="s">
        <v>260</v>
      </c>
      <c r="I142" s="37">
        <v>1</v>
      </c>
      <c r="J142" s="20">
        <v>0</v>
      </c>
      <c r="K142" s="20">
        <v>0</v>
      </c>
      <c r="L142" s="37">
        <v>0</v>
      </c>
      <c r="M142" s="20">
        <v>0</v>
      </c>
      <c r="N142" s="37">
        <v>0</v>
      </c>
      <c r="O142" s="37">
        <v>0</v>
      </c>
      <c r="P142" s="38">
        <v>0.08</v>
      </c>
      <c r="Q142" s="35" t="s">
        <v>154</v>
      </c>
    </row>
    <row r="143" spans="1:17" ht="36.75" x14ac:dyDescent="0.25">
      <c r="A143" s="36">
        <v>37511</v>
      </c>
      <c r="B143" s="36">
        <v>37511</v>
      </c>
      <c r="C143" s="24">
        <v>2002</v>
      </c>
      <c r="D143" s="351" t="s">
        <v>23</v>
      </c>
      <c r="E143" s="22" t="s">
        <v>86</v>
      </c>
      <c r="F143" s="7" t="s">
        <v>97</v>
      </c>
      <c r="G143" s="33" t="s">
        <v>261</v>
      </c>
      <c r="H143" s="34" t="s">
        <v>262</v>
      </c>
      <c r="I143" s="37">
        <v>0</v>
      </c>
      <c r="J143" s="37">
        <v>90</v>
      </c>
      <c r="K143" s="37">
        <v>18</v>
      </c>
      <c r="L143" s="37">
        <v>0</v>
      </c>
      <c r="M143" s="20">
        <v>0</v>
      </c>
      <c r="N143" s="37">
        <v>0</v>
      </c>
      <c r="O143" s="37">
        <v>0</v>
      </c>
      <c r="P143" s="38">
        <v>4.4999999999999998E-2</v>
      </c>
      <c r="Q143" s="35" t="s">
        <v>154</v>
      </c>
    </row>
    <row r="144" spans="1:17" ht="36.75" x14ac:dyDescent="0.25">
      <c r="A144" s="36">
        <v>37511</v>
      </c>
      <c r="B144" s="36">
        <v>37511</v>
      </c>
      <c r="C144" s="24">
        <v>2002</v>
      </c>
      <c r="D144" s="351" t="s">
        <v>23</v>
      </c>
      <c r="E144" s="22" t="s">
        <v>86</v>
      </c>
      <c r="F144" s="28" t="s">
        <v>160</v>
      </c>
      <c r="G144" s="33" t="s">
        <v>263</v>
      </c>
      <c r="H144" s="34" t="s">
        <v>264</v>
      </c>
      <c r="I144" s="37">
        <v>0</v>
      </c>
      <c r="J144" s="37">
        <v>800</v>
      </c>
      <c r="K144" s="37">
        <v>160</v>
      </c>
      <c r="L144" s="37">
        <v>0</v>
      </c>
      <c r="M144" s="20">
        <v>0</v>
      </c>
      <c r="N144" s="37">
        <v>0</v>
      </c>
      <c r="O144" s="37">
        <v>0</v>
      </c>
      <c r="P144" s="38">
        <f>K144*2500/1000000</f>
        <v>0.4</v>
      </c>
      <c r="Q144" s="35" t="s">
        <v>154</v>
      </c>
    </row>
    <row r="145" spans="1:17" ht="156.75" x14ac:dyDescent="0.25">
      <c r="A145" s="36">
        <v>37511</v>
      </c>
      <c r="B145" s="36">
        <v>37511</v>
      </c>
      <c r="C145" s="24">
        <v>2002</v>
      </c>
      <c r="D145" s="351" t="s">
        <v>23</v>
      </c>
      <c r="E145" s="22" t="s">
        <v>86</v>
      </c>
      <c r="F145" s="7" t="s">
        <v>53</v>
      </c>
      <c r="G145" s="33" t="s">
        <v>110</v>
      </c>
      <c r="H145" s="34" t="s">
        <v>265</v>
      </c>
      <c r="I145" s="37">
        <v>0</v>
      </c>
      <c r="J145" s="37">
        <v>2500</v>
      </c>
      <c r="K145" s="37">
        <v>500</v>
      </c>
      <c r="L145" s="37">
        <v>0</v>
      </c>
      <c r="M145" s="20">
        <v>0</v>
      </c>
      <c r="N145" s="37">
        <v>0</v>
      </c>
      <c r="O145" s="37">
        <v>0</v>
      </c>
      <c r="P145" s="38">
        <f>500*1250/1000000</f>
        <v>0.625</v>
      </c>
      <c r="Q145" s="35" t="s">
        <v>154</v>
      </c>
    </row>
    <row r="146" spans="1:17" ht="108.75" x14ac:dyDescent="0.25">
      <c r="A146" s="36">
        <v>37511</v>
      </c>
      <c r="B146" s="36">
        <v>37511</v>
      </c>
      <c r="C146" s="24">
        <v>2002</v>
      </c>
      <c r="D146" s="351" t="s">
        <v>23</v>
      </c>
      <c r="E146" s="22" t="s">
        <v>86</v>
      </c>
      <c r="F146" s="7" t="s">
        <v>77</v>
      </c>
      <c r="G146" s="33" t="s">
        <v>110</v>
      </c>
      <c r="H146" s="34" t="s">
        <v>266</v>
      </c>
      <c r="I146" s="37">
        <v>1</v>
      </c>
      <c r="J146" s="20">
        <v>0</v>
      </c>
      <c r="K146" s="20">
        <v>0</v>
      </c>
      <c r="L146" s="37">
        <v>0</v>
      </c>
      <c r="M146" s="20">
        <v>0</v>
      </c>
      <c r="N146" s="37">
        <v>0</v>
      </c>
      <c r="O146" s="37">
        <v>0</v>
      </c>
      <c r="P146" s="38">
        <v>0</v>
      </c>
      <c r="Q146" s="35" t="s">
        <v>154</v>
      </c>
    </row>
    <row r="147" spans="1:17" ht="156.75" x14ac:dyDescent="0.25">
      <c r="A147" s="36">
        <v>37511</v>
      </c>
      <c r="B147" s="36">
        <v>37511</v>
      </c>
      <c r="C147" s="24">
        <v>2002</v>
      </c>
      <c r="D147" s="351" t="s">
        <v>23</v>
      </c>
      <c r="E147" s="22" t="s">
        <v>86</v>
      </c>
      <c r="F147" s="7" t="s">
        <v>75</v>
      </c>
      <c r="G147" s="33" t="s">
        <v>267</v>
      </c>
      <c r="H147" s="34" t="s">
        <v>268</v>
      </c>
      <c r="I147" s="37">
        <v>0</v>
      </c>
      <c r="J147" s="37">
        <v>150</v>
      </c>
      <c r="K147" s="37">
        <v>30</v>
      </c>
      <c r="L147" s="37">
        <v>0</v>
      </c>
      <c r="M147" s="20">
        <v>0</v>
      </c>
      <c r="N147" s="37">
        <v>0</v>
      </c>
      <c r="O147" s="37">
        <v>0</v>
      </c>
      <c r="P147" s="38">
        <v>7.4999999999999997E-2</v>
      </c>
      <c r="Q147" s="35" t="s">
        <v>154</v>
      </c>
    </row>
    <row r="148" spans="1:17" ht="168.75" x14ac:dyDescent="0.25">
      <c r="A148" s="36">
        <v>37511</v>
      </c>
      <c r="B148" s="36">
        <v>37511</v>
      </c>
      <c r="C148" s="24">
        <v>2002</v>
      </c>
      <c r="D148" s="351" t="s">
        <v>23</v>
      </c>
      <c r="E148" s="22" t="s">
        <v>86</v>
      </c>
      <c r="F148" s="7" t="s">
        <v>75</v>
      </c>
      <c r="G148" s="33" t="s">
        <v>269</v>
      </c>
      <c r="H148" s="34" t="s">
        <v>270</v>
      </c>
      <c r="I148" s="37">
        <v>0</v>
      </c>
      <c r="J148" s="37">
        <v>1000</v>
      </c>
      <c r="K148" s="37">
        <v>225</v>
      </c>
      <c r="L148" s="37">
        <v>0</v>
      </c>
      <c r="M148" s="20">
        <v>0</v>
      </c>
      <c r="N148" s="37">
        <v>0</v>
      </c>
      <c r="O148" s="37">
        <v>0</v>
      </c>
      <c r="P148" s="38">
        <v>0.28125</v>
      </c>
      <c r="Q148" s="35" t="s">
        <v>154</v>
      </c>
    </row>
    <row r="149" spans="1:17" ht="120.75" x14ac:dyDescent="0.25">
      <c r="A149" s="36">
        <v>37513</v>
      </c>
      <c r="B149" s="36">
        <v>37513</v>
      </c>
      <c r="C149" s="24">
        <v>2002</v>
      </c>
      <c r="D149" s="351" t="s">
        <v>23</v>
      </c>
      <c r="E149" s="22" t="s">
        <v>86</v>
      </c>
      <c r="F149" s="7" t="s">
        <v>58</v>
      </c>
      <c r="G149" s="33" t="s">
        <v>271</v>
      </c>
      <c r="H149" s="34" t="s">
        <v>272</v>
      </c>
      <c r="I149" s="37">
        <v>0</v>
      </c>
      <c r="J149" s="20">
        <v>0</v>
      </c>
      <c r="K149" s="20">
        <v>0</v>
      </c>
      <c r="L149" s="37">
        <v>0</v>
      </c>
      <c r="M149" s="20">
        <v>0</v>
      </c>
      <c r="N149" s="37">
        <v>0</v>
      </c>
      <c r="O149" s="37">
        <v>0</v>
      </c>
      <c r="P149" s="38">
        <v>0.4</v>
      </c>
      <c r="Q149" s="35" t="s">
        <v>154</v>
      </c>
    </row>
    <row r="150" spans="1:17" ht="60.75" x14ac:dyDescent="0.25">
      <c r="A150" s="36">
        <v>37513</v>
      </c>
      <c r="B150" s="36">
        <v>37513</v>
      </c>
      <c r="C150" s="24">
        <v>2002</v>
      </c>
      <c r="D150" s="351" t="s">
        <v>23</v>
      </c>
      <c r="E150" s="22" t="s">
        <v>86</v>
      </c>
      <c r="F150" s="7" t="s">
        <v>75</v>
      </c>
      <c r="G150" s="33" t="s">
        <v>273</v>
      </c>
      <c r="H150" s="34" t="s">
        <v>274</v>
      </c>
      <c r="I150" s="37">
        <v>0</v>
      </c>
      <c r="J150" s="20">
        <v>0</v>
      </c>
      <c r="K150" s="37">
        <v>10</v>
      </c>
      <c r="L150" s="37">
        <v>0</v>
      </c>
      <c r="M150" s="20">
        <v>0</v>
      </c>
      <c r="N150" s="37">
        <v>0</v>
      </c>
      <c r="O150" s="37">
        <v>0</v>
      </c>
      <c r="P150" s="38">
        <v>0</v>
      </c>
      <c r="Q150" s="35" t="s">
        <v>154</v>
      </c>
    </row>
    <row r="151" spans="1:17" ht="48.75" x14ac:dyDescent="0.25">
      <c r="A151" s="36">
        <v>37513</v>
      </c>
      <c r="B151" s="36">
        <v>37513</v>
      </c>
      <c r="C151" s="24">
        <v>2002</v>
      </c>
      <c r="D151" s="351" t="s">
        <v>23</v>
      </c>
      <c r="E151" s="22" t="s">
        <v>86</v>
      </c>
      <c r="F151" s="28" t="s">
        <v>157</v>
      </c>
      <c r="G151" s="33" t="s">
        <v>206</v>
      </c>
      <c r="H151" s="34" t="s">
        <v>275</v>
      </c>
      <c r="I151" s="37">
        <v>0</v>
      </c>
      <c r="J151" s="20">
        <v>0</v>
      </c>
      <c r="K151" s="37">
        <v>600</v>
      </c>
      <c r="L151" s="37">
        <v>0</v>
      </c>
      <c r="M151" s="20">
        <v>0</v>
      </c>
      <c r="N151" s="37">
        <v>0</v>
      </c>
      <c r="O151" s="37">
        <v>0</v>
      </c>
      <c r="P151" s="38">
        <f>K151*500/1000000</f>
        <v>0.3</v>
      </c>
      <c r="Q151" s="35" t="s">
        <v>154</v>
      </c>
    </row>
    <row r="152" spans="1:17" ht="276.75" x14ac:dyDescent="0.25">
      <c r="A152" s="36">
        <v>37513</v>
      </c>
      <c r="B152" s="36">
        <v>37513</v>
      </c>
      <c r="C152" s="24">
        <v>2002</v>
      </c>
      <c r="D152" s="351" t="s">
        <v>23</v>
      </c>
      <c r="E152" s="22" t="s">
        <v>86</v>
      </c>
      <c r="F152" s="28" t="s">
        <v>160</v>
      </c>
      <c r="G152" s="33" t="s">
        <v>110</v>
      </c>
      <c r="H152" s="34" t="s">
        <v>276</v>
      </c>
      <c r="I152" s="37">
        <v>0</v>
      </c>
      <c r="J152" s="20">
        <v>0</v>
      </c>
      <c r="K152" s="37">
        <v>10</v>
      </c>
      <c r="L152" s="37">
        <v>0</v>
      </c>
      <c r="M152" s="20">
        <v>0</v>
      </c>
      <c r="N152" s="37">
        <v>0</v>
      </c>
      <c r="O152" s="37">
        <v>0</v>
      </c>
      <c r="P152" s="38">
        <v>3.5000000000000003E-2</v>
      </c>
      <c r="Q152" s="35" t="s">
        <v>154</v>
      </c>
    </row>
    <row r="153" spans="1:17" ht="36.75" x14ac:dyDescent="0.25">
      <c r="A153" s="36">
        <v>37514</v>
      </c>
      <c r="B153" s="36">
        <v>37514</v>
      </c>
      <c r="C153" s="24">
        <v>2002</v>
      </c>
      <c r="D153" s="351" t="s">
        <v>23</v>
      </c>
      <c r="E153" s="22" t="s">
        <v>86</v>
      </c>
      <c r="F153" s="7" t="s">
        <v>75</v>
      </c>
      <c r="G153" s="33" t="s">
        <v>110</v>
      </c>
      <c r="H153" s="34" t="s">
        <v>277</v>
      </c>
      <c r="I153" s="37">
        <v>0</v>
      </c>
      <c r="J153" s="37">
        <v>107</v>
      </c>
      <c r="K153" s="37">
        <v>29</v>
      </c>
      <c r="L153" s="37">
        <v>0</v>
      </c>
      <c r="M153" s="20">
        <v>0</v>
      </c>
      <c r="N153" s="37">
        <v>0</v>
      </c>
      <c r="O153" s="37">
        <v>0</v>
      </c>
      <c r="P153" s="38">
        <v>7.2499999999999995E-2</v>
      </c>
      <c r="Q153" s="35" t="s">
        <v>154</v>
      </c>
    </row>
    <row r="154" spans="1:17" ht="60.75" x14ac:dyDescent="0.25">
      <c r="A154" s="36">
        <v>37514</v>
      </c>
      <c r="B154" s="36">
        <v>37514</v>
      </c>
      <c r="C154" s="24">
        <v>2002</v>
      </c>
      <c r="D154" s="351" t="s">
        <v>23</v>
      </c>
      <c r="E154" s="22" t="s">
        <v>86</v>
      </c>
      <c r="F154" s="7" t="s">
        <v>75</v>
      </c>
      <c r="G154" s="33" t="s">
        <v>278</v>
      </c>
      <c r="H154" s="34" t="s">
        <v>279</v>
      </c>
      <c r="I154" s="37">
        <v>0</v>
      </c>
      <c r="J154" s="37">
        <v>465</v>
      </c>
      <c r="K154" s="37">
        <v>93</v>
      </c>
      <c r="L154" s="37">
        <v>0</v>
      </c>
      <c r="M154" s="20">
        <v>0</v>
      </c>
      <c r="N154" s="37">
        <v>0</v>
      </c>
      <c r="O154" s="37">
        <v>0</v>
      </c>
      <c r="P154" s="38">
        <v>0.38250000000000001</v>
      </c>
      <c r="Q154" s="35" t="s">
        <v>154</v>
      </c>
    </row>
    <row r="155" spans="1:17" ht="60.75" x14ac:dyDescent="0.25">
      <c r="A155" s="36">
        <v>37515</v>
      </c>
      <c r="B155" s="36">
        <v>37515</v>
      </c>
      <c r="C155" s="24">
        <v>2002</v>
      </c>
      <c r="D155" s="351" t="s">
        <v>23</v>
      </c>
      <c r="E155" s="22" t="s">
        <v>86</v>
      </c>
      <c r="F155" s="7" t="s">
        <v>53</v>
      </c>
      <c r="G155" s="33" t="s">
        <v>280</v>
      </c>
      <c r="H155" s="34" t="s">
        <v>281</v>
      </c>
      <c r="I155" s="37">
        <v>0</v>
      </c>
      <c r="J155" s="37">
        <v>900</v>
      </c>
      <c r="K155" s="37">
        <v>180</v>
      </c>
      <c r="L155" s="37">
        <v>0</v>
      </c>
      <c r="M155" s="20">
        <v>0</v>
      </c>
      <c r="N155" s="37">
        <v>0</v>
      </c>
      <c r="O155" s="37">
        <v>0</v>
      </c>
      <c r="P155" s="38">
        <f>180*500/1000000</f>
        <v>0.09</v>
      </c>
      <c r="Q155" s="35" t="s">
        <v>154</v>
      </c>
    </row>
    <row r="156" spans="1:17" ht="276.75" x14ac:dyDescent="0.25">
      <c r="A156" s="36">
        <v>37515</v>
      </c>
      <c r="B156" s="36">
        <v>37515</v>
      </c>
      <c r="C156" s="24">
        <v>2002</v>
      </c>
      <c r="D156" s="351" t="s">
        <v>23</v>
      </c>
      <c r="E156" s="22" t="s">
        <v>86</v>
      </c>
      <c r="F156" s="7" t="s">
        <v>68</v>
      </c>
      <c r="G156" s="33" t="s">
        <v>110</v>
      </c>
      <c r="H156" s="34" t="s">
        <v>282</v>
      </c>
      <c r="I156" s="37">
        <v>3</v>
      </c>
      <c r="J156" s="37">
        <v>2125</v>
      </c>
      <c r="K156" s="20">
        <v>0</v>
      </c>
      <c r="L156" s="37">
        <v>0</v>
      </c>
      <c r="M156" s="20">
        <v>0</v>
      </c>
      <c r="N156" s="37">
        <v>0</v>
      </c>
      <c r="O156" s="37">
        <v>0</v>
      </c>
      <c r="P156" s="38">
        <v>0</v>
      </c>
      <c r="Q156" s="35" t="s">
        <v>154</v>
      </c>
    </row>
    <row r="157" spans="1:17" ht="60.75" x14ac:dyDescent="0.25">
      <c r="A157" s="36">
        <v>37515</v>
      </c>
      <c r="B157" s="36">
        <v>37515</v>
      </c>
      <c r="C157" s="24">
        <v>2002</v>
      </c>
      <c r="D157" s="351" t="s">
        <v>23</v>
      </c>
      <c r="E157" s="22" t="s">
        <v>86</v>
      </c>
      <c r="F157" s="7" t="s">
        <v>77</v>
      </c>
      <c r="G157" s="33" t="s">
        <v>283</v>
      </c>
      <c r="H157" s="34" t="s">
        <v>284</v>
      </c>
      <c r="I157" s="37">
        <v>1</v>
      </c>
      <c r="J157" s="37">
        <v>90</v>
      </c>
      <c r="K157" s="37">
        <v>18</v>
      </c>
      <c r="L157" s="37">
        <v>0</v>
      </c>
      <c r="M157" s="20">
        <v>0</v>
      </c>
      <c r="N157" s="37">
        <v>0</v>
      </c>
      <c r="O157" s="37">
        <v>0</v>
      </c>
      <c r="P157" s="38">
        <v>7.4999999999999997E-2</v>
      </c>
      <c r="Q157" s="35" t="s">
        <v>154</v>
      </c>
    </row>
    <row r="158" spans="1:17" ht="36.75" x14ac:dyDescent="0.25">
      <c r="A158" s="36">
        <v>37515</v>
      </c>
      <c r="B158" s="36">
        <v>37515</v>
      </c>
      <c r="C158" s="24">
        <v>2002</v>
      </c>
      <c r="D158" s="351" t="s">
        <v>23</v>
      </c>
      <c r="E158" s="22" t="s">
        <v>86</v>
      </c>
      <c r="F158" s="7" t="s">
        <v>101</v>
      </c>
      <c r="G158" s="33" t="s">
        <v>26</v>
      </c>
      <c r="H158" s="34" t="s">
        <v>285</v>
      </c>
      <c r="I158" s="37">
        <v>1</v>
      </c>
      <c r="J158" s="37">
        <v>150</v>
      </c>
      <c r="K158" s="37">
        <v>31</v>
      </c>
      <c r="L158" s="37">
        <v>0</v>
      </c>
      <c r="M158" s="20">
        <v>0</v>
      </c>
      <c r="N158" s="37">
        <v>0</v>
      </c>
      <c r="O158" s="37">
        <v>0</v>
      </c>
      <c r="P158" s="38">
        <v>2.325E-2</v>
      </c>
      <c r="Q158" s="35" t="s">
        <v>154</v>
      </c>
    </row>
    <row r="159" spans="1:17" ht="72.75" x14ac:dyDescent="0.25">
      <c r="A159" s="36">
        <v>37516</v>
      </c>
      <c r="B159" s="36">
        <v>37516</v>
      </c>
      <c r="C159" s="24">
        <v>2002</v>
      </c>
      <c r="D159" s="351" t="s">
        <v>23</v>
      </c>
      <c r="E159" s="22" t="s">
        <v>86</v>
      </c>
      <c r="F159" s="7" t="s">
        <v>36</v>
      </c>
      <c r="G159" s="33" t="s">
        <v>286</v>
      </c>
      <c r="H159" s="34" t="s">
        <v>287</v>
      </c>
      <c r="I159" s="37">
        <v>0</v>
      </c>
      <c r="J159" s="37">
        <v>343</v>
      </c>
      <c r="K159" s="37">
        <v>100</v>
      </c>
      <c r="L159" s="37">
        <v>0</v>
      </c>
      <c r="M159" s="20">
        <v>0</v>
      </c>
      <c r="N159" s="37">
        <v>0</v>
      </c>
      <c r="O159" s="37">
        <v>0</v>
      </c>
      <c r="P159" s="38">
        <v>1.9</v>
      </c>
      <c r="Q159" s="35" t="s">
        <v>154</v>
      </c>
    </row>
    <row r="160" spans="1:17" ht="132.75" x14ac:dyDescent="0.25">
      <c r="A160" s="36">
        <v>37516</v>
      </c>
      <c r="B160" s="36">
        <v>37516</v>
      </c>
      <c r="C160" s="24">
        <v>2002</v>
      </c>
      <c r="D160" s="351" t="s">
        <v>23</v>
      </c>
      <c r="E160" s="22" t="s">
        <v>86</v>
      </c>
      <c r="F160" s="28" t="s">
        <v>160</v>
      </c>
      <c r="G160" s="33" t="s">
        <v>26</v>
      </c>
      <c r="H160" s="34" t="s">
        <v>288</v>
      </c>
      <c r="I160" s="37">
        <v>0</v>
      </c>
      <c r="J160" s="37">
        <v>650</v>
      </c>
      <c r="K160" s="37">
        <v>23</v>
      </c>
      <c r="L160" s="37">
        <v>0</v>
      </c>
      <c r="M160" s="20">
        <v>0</v>
      </c>
      <c r="N160" s="37">
        <v>0</v>
      </c>
      <c r="O160" s="37">
        <v>0</v>
      </c>
      <c r="P160" s="38">
        <f>K160*2500/1000000</f>
        <v>5.7500000000000002E-2</v>
      </c>
      <c r="Q160" s="35" t="s">
        <v>154</v>
      </c>
    </row>
    <row r="161" spans="1:17" ht="132.75" x14ac:dyDescent="0.25">
      <c r="A161" s="36">
        <v>37516</v>
      </c>
      <c r="B161" s="36">
        <v>37516</v>
      </c>
      <c r="C161" s="24">
        <v>2002</v>
      </c>
      <c r="D161" s="351" t="s">
        <v>23</v>
      </c>
      <c r="E161" s="22" t="s">
        <v>86</v>
      </c>
      <c r="F161" s="7" t="s">
        <v>53</v>
      </c>
      <c r="G161" s="33" t="s">
        <v>289</v>
      </c>
      <c r="H161" s="34" t="s">
        <v>290</v>
      </c>
      <c r="I161" s="37">
        <v>0</v>
      </c>
      <c r="J161" s="37">
        <v>500</v>
      </c>
      <c r="K161" s="37">
        <v>90</v>
      </c>
      <c r="L161" s="37">
        <v>0</v>
      </c>
      <c r="M161" s="20">
        <v>0</v>
      </c>
      <c r="N161" s="37">
        <v>0</v>
      </c>
      <c r="O161" s="37">
        <v>0</v>
      </c>
      <c r="P161" s="38">
        <v>0.1125</v>
      </c>
      <c r="Q161" s="35" t="s">
        <v>154</v>
      </c>
    </row>
    <row r="162" spans="1:17" ht="72.75" x14ac:dyDescent="0.25">
      <c r="A162" s="36">
        <v>37517</v>
      </c>
      <c r="B162" s="36">
        <v>37517</v>
      </c>
      <c r="C162" s="24">
        <v>2002</v>
      </c>
      <c r="D162" s="351" t="s">
        <v>23</v>
      </c>
      <c r="E162" s="22" t="s">
        <v>86</v>
      </c>
      <c r="F162" s="7" t="s">
        <v>91</v>
      </c>
      <c r="G162" s="33" t="s">
        <v>291</v>
      </c>
      <c r="H162" s="34" t="s">
        <v>292</v>
      </c>
      <c r="I162" s="37">
        <v>3</v>
      </c>
      <c r="J162" s="20">
        <v>0</v>
      </c>
      <c r="K162" s="20">
        <v>0</v>
      </c>
      <c r="L162" s="37">
        <v>0</v>
      </c>
      <c r="M162" s="20">
        <v>0</v>
      </c>
      <c r="N162" s="37">
        <v>0</v>
      </c>
      <c r="O162" s="37">
        <v>0</v>
      </c>
      <c r="P162" s="38">
        <v>3.2</v>
      </c>
      <c r="Q162" s="35" t="s">
        <v>154</v>
      </c>
    </row>
    <row r="163" spans="1:17" ht="48.75" x14ac:dyDescent="0.25">
      <c r="A163" s="36">
        <v>37518</v>
      </c>
      <c r="B163" s="36">
        <v>37518</v>
      </c>
      <c r="C163" s="24">
        <v>2002</v>
      </c>
      <c r="D163" s="351" t="s">
        <v>23</v>
      </c>
      <c r="E163" s="22" t="s">
        <v>86</v>
      </c>
      <c r="F163" s="28" t="s">
        <v>160</v>
      </c>
      <c r="G163" s="33" t="s">
        <v>293</v>
      </c>
      <c r="H163" s="34" t="s">
        <v>294</v>
      </c>
      <c r="I163" s="37">
        <v>0</v>
      </c>
      <c r="J163" s="37">
        <v>500</v>
      </c>
      <c r="K163" s="37">
        <v>100</v>
      </c>
      <c r="L163" s="37">
        <v>0</v>
      </c>
      <c r="M163" s="20">
        <v>0</v>
      </c>
      <c r="N163" s="37">
        <v>0</v>
      </c>
      <c r="O163" s="37">
        <v>0</v>
      </c>
      <c r="P163" s="38">
        <v>0.25</v>
      </c>
      <c r="Q163" s="35" t="s">
        <v>154</v>
      </c>
    </row>
    <row r="164" spans="1:17" ht="204.75" x14ac:dyDescent="0.25">
      <c r="A164" s="36">
        <v>37518</v>
      </c>
      <c r="B164" s="36">
        <v>37518</v>
      </c>
      <c r="C164" s="24">
        <v>2002</v>
      </c>
      <c r="D164" s="351" t="s">
        <v>23</v>
      </c>
      <c r="E164" s="22" t="s">
        <v>86</v>
      </c>
      <c r="F164" s="7" t="s">
        <v>101</v>
      </c>
      <c r="G164" s="33" t="s">
        <v>295</v>
      </c>
      <c r="H164" s="34" t="s">
        <v>296</v>
      </c>
      <c r="I164" s="37">
        <v>1</v>
      </c>
      <c r="J164" s="37">
        <v>2000</v>
      </c>
      <c r="K164" s="37">
        <v>20</v>
      </c>
      <c r="L164" s="37">
        <v>0</v>
      </c>
      <c r="M164" s="20">
        <v>0</v>
      </c>
      <c r="N164" s="37">
        <v>0</v>
      </c>
      <c r="O164" s="37">
        <v>0</v>
      </c>
      <c r="P164" s="38">
        <f>K164*2500/1000000</f>
        <v>0.05</v>
      </c>
      <c r="Q164" s="35" t="s">
        <v>154</v>
      </c>
    </row>
    <row r="165" spans="1:17" ht="72.75" x14ac:dyDescent="0.25">
      <c r="A165" s="36">
        <v>37518</v>
      </c>
      <c r="B165" s="36">
        <v>37518</v>
      </c>
      <c r="C165" s="24">
        <v>2002</v>
      </c>
      <c r="D165" s="351" t="s">
        <v>23</v>
      </c>
      <c r="E165" s="22" t="s">
        <v>86</v>
      </c>
      <c r="F165" s="7" t="s">
        <v>84</v>
      </c>
      <c r="G165" s="33" t="s">
        <v>110</v>
      </c>
      <c r="H165" s="34" t="s">
        <v>297</v>
      </c>
      <c r="I165" s="37">
        <v>0</v>
      </c>
      <c r="J165" s="37">
        <v>75</v>
      </c>
      <c r="K165" s="20">
        <v>0</v>
      </c>
      <c r="L165" s="37">
        <v>0</v>
      </c>
      <c r="M165" s="20">
        <v>0</v>
      </c>
      <c r="N165" s="37">
        <v>0</v>
      </c>
      <c r="O165" s="37">
        <v>0</v>
      </c>
      <c r="P165" s="38">
        <v>0</v>
      </c>
      <c r="Q165" s="35" t="s">
        <v>154</v>
      </c>
    </row>
    <row r="166" spans="1:17" ht="108.75" x14ac:dyDescent="0.25">
      <c r="A166" s="36">
        <v>37519</v>
      </c>
      <c r="B166" s="36">
        <v>37519</v>
      </c>
      <c r="C166" s="24">
        <v>2002</v>
      </c>
      <c r="D166" s="351" t="s">
        <v>23</v>
      </c>
      <c r="E166" s="22" t="s">
        <v>86</v>
      </c>
      <c r="F166" s="28" t="s">
        <v>163</v>
      </c>
      <c r="G166" s="33" t="s">
        <v>110</v>
      </c>
      <c r="H166" s="34" t="s">
        <v>298</v>
      </c>
      <c r="I166" s="37">
        <v>3</v>
      </c>
      <c r="J166" s="37">
        <v>1380000</v>
      </c>
      <c r="K166" s="37">
        <v>83500</v>
      </c>
      <c r="L166" s="37">
        <v>2631</v>
      </c>
      <c r="M166" s="37">
        <v>72</v>
      </c>
      <c r="N166" s="37">
        <v>0</v>
      </c>
      <c r="O166" s="37">
        <v>0</v>
      </c>
      <c r="P166" s="38">
        <v>6535</v>
      </c>
      <c r="Q166" s="35" t="s">
        <v>209</v>
      </c>
    </row>
    <row r="167" spans="1:17" ht="108.75" x14ac:dyDescent="0.25">
      <c r="A167" s="36">
        <v>37521</v>
      </c>
      <c r="B167" s="36">
        <v>37521</v>
      </c>
      <c r="C167" s="24">
        <v>2002</v>
      </c>
      <c r="D167" s="351" t="s">
        <v>23</v>
      </c>
      <c r="E167" s="22" t="s">
        <v>86</v>
      </c>
      <c r="F167" s="28" t="s">
        <v>151</v>
      </c>
      <c r="G167" s="33" t="s">
        <v>26</v>
      </c>
      <c r="H167" s="34" t="s">
        <v>299</v>
      </c>
      <c r="I167" s="39">
        <v>1</v>
      </c>
      <c r="J167" s="37">
        <v>309532</v>
      </c>
      <c r="K167" s="37">
        <v>6181</v>
      </c>
      <c r="L167" s="37">
        <v>454</v>
      </c>
      <c r="M167" s="37">
        <v>56</v>
      </c>
      <c r="N167" s="37">
        <v>0</v>
      </c>
      <c r="O167" s="37">
        <v>0</v>
      </c>
      <c r="P167" s="38">
        <v>2342</v>
      </c>
      <c r="Q167" s="35" t="s">
        <v>209</v>
      </c>
    </row>
    <row r="168" spans="1:17" ht="48.75" x14ac:dyDescent="0.25">
      <c r="A168" s="36">
        <v>37524</v>
      </c>
      <c r="B168" s="36">
        <v>37524</v>
      </c>
      <c r="C168" s="24">
        <v>2002</v>
      </c>
      <c r="D168" s="351" t="s">
        <v>23</v>
      </c>
      <c r="E168" s="22" t="s">
        <v>86</v>
      </c>
      <c r="F168" s="7" t="s">
        <v>58</v>
      </c>
      <c r="G168" s="33" t="s">
        <v>300</v>
      </c>
      <c r="H168" s="34" t="s">
        <v>301</v>
      </c>
      <c r="I168" s="37">
        <v>0</v>
      </c>
      <c r="J168" s="37">
        <v>500</v>
      </c>
      <c r="K168" s="37">
        <v>120</v>
      </c>
      <c r="L168" s="37">
        <v>0</v>
      </c>
      <c r="M168" s="37">
        <v>0</v>
      </c>
      <c r="N168" s="37">
        <v>0</v>
      </c>
      <c r="O168" s="37">
        <v>0</v>
      </c>
      <c r="P168" s="38">
        <v>0.3</v>
      </c>
      <c r="Q168" s="35" t="s">
        <v>154</v>
      </c>
    </row>
    <row r="169" spans="1:17" ht="24.75" x14ac:dyDescent="0.25">
      <c r="A169" s="36">
        <v>37524</v>
      </c>
      <c r="B169" s="36">
        <v>37524</v>
      </c>
      <c r="C169" s="24">
        <v>2002</v>
      </c>
      <c r="D169" s="351" t="s">
        <v>23</v>
      </c>
      <c r="E169" s="22" t="s">
        <v>86</v>
      </c>
      <c r="F169" s="7" t="s">
        <v>72</v>
      </c>
      <c r="G169" s="33" t="s">
        <v>302</v>
      </c>
      <c r="H169" s="34" t="s">
        <v>303</v>
      </c>
      <c r="I169" s="37">
        <v>0</v>
      </c>
      <c r="J169" s="37">
        <v>250</v>
      </c>
      <c r="K169" s="37">
        <v>51</v>
      </c>
      <c r="L169" s="37">
        <v>0</v>
      </c>
      <c r="M169" s="37">
        <v>0</v>
      </c>
      <c r="N169" s="37">
        <v>0</v>
      </c>
      <c r="O169" s="37">
        <v>0</v>
      </c>
      <c r="P169" s="38">
        <v>0.1275</v>
      </c>
      <c r="Q169" s="35" t="s">
        <v>154</v>
      </c>
    </row>
    <row r="170" spans="1:17" ht="36.75" x14ac:dyDescent="0.25">
      <c r="A170" s="36">
        <v>37536</v>
      </c>
      <c r="B170" s="36">
        <v>37536</v>
      </c>
      <c r="C170" s="24">
        <v>2002</v>
      </c>
      <c r="D170" s="351" t="s">
        <v>23</v>
      </c>
      <c r="E170" s="22" t="s">
        <v>86</v>
      </c>
      <c r="F170" s="7" t="s">
        <v>45</v>
      </c>
      <c r="G170" s="33" t="s">
        <v>110</v>
      </c>
      <c r="H170" s="34" t="s">
        <v>304</v>
      </c>
      <c r="I170" s="37">
        <v>1</v>
      </c>
      <c r="J170" s="37">
        <v>1000</v>
      </c>
      <c r="K170" s="37">
        <v>1725</v>
      </c>
      <c r="L170" s="37">
        <v>0</v>
      </c>
      <c r="M170" s="37">
        <v>0</v>
      </c>
      <c r="N170" s="37">
        <v>0</v>
      </c>
      <c r="O170" s="37">
        <v>0</v>
      </c>
      <c r="P170" s="38">
        <f>K170*750/1000000</f>
        <v>1.29375</v>
      </c>
      <c r="Q170" s="35" t="s">
        <v>154</v>
      </c>
    </row>
    <row r="171" spans="1:17" ht="84.75" x14ac:dyDescent="0.25">
      <c r="A171" s="36">
        <v>37553</v>
      </c>
      <c r="B171" s="36">
        <v>37553</v>
      </c>
      <c r="C171" s="24">
        <v>2002</v>
      </c>
      <c r="D171" s="351" t="s">
        <v>23</v>
      </c>
      <c r="E171" s="22" t="s">
        <v>86</v>
      </c>
      <c r="F171" s="7" t="s">
        <v>67</v>
      </c>
      <c r="G171" s="33" t="s">
        <v>305</v>
      </c>
      <c r="H171" s="34" t="s">
        <v>306</v>
      </c>
      <c r="I171" s="37">
        <v>2</v>
      </c>
      <c r="J171" s="37">
        <v>374500</v>
      </c>
      <c r="K171" s="37">
        <v>33347</v>
      </c>
      <c r="L171" s="37">
        <v>375</v>
      </c>
      <c r="M171" s="37">
        <v>96</v>
      </c>
      <c r="N171" s="37">
        <v>0</v>
      </c>
      <c r="O171" s="37">
        <v>0</v>
      </c>
      <c r="P171" s="38">
        <v>915.2</v>
      </c>
      <c r="Q171" s="35" t="s">
        <v>209</v>
      </c>
    </row>
    <row r="172" spans="1:17" ht="60.75" x14ac:dyDescent="0.25">
      <c r="A172" s="36">
        <v>37553</v>
      </c>
      <c r="B172" s="36">
        <v>37553</v>
      </c>
      <c r="C172" s="24">
        <v>2002</v>
      </c>
      <c r="D172" s="351" t="s">
        <v>23</v>
      </c>
      <c r="E172" s="22" t="s">
        <v>86</v>
      </c>
      <c r="F172" s="7" t="s">
        <v>60</v>
      </c>
      <c r="G172" s="33" t="s">
        <v>307</v>
      </c>
      <c r="H172" s="34" t="s">
        <v>308</v>
      </c>
      <c r="I172" s="37">
        <v>0</v>
      </c>
      <c r="J172" s="37">
        <v>151452</v>
      </c>
      <c r="K172" s="37">
        <v>97</v>
      </c>
      <c r="L172" s="37">
        <v>1</v>
      </c>
      <c r="M172" s="37">
        <v>0</v>
      </c>
      <c r="N172" s="37">
        <v>220</v>
      </c>
      <c r="O172" s="37">
        <v>0</v>
      </c>
      <c r="P172" s="38">
        <v>329.5</v>
      </c>
      <c r="Q172" s="35" t="s">
        <v>209</v>
      </c>
    </row>
    <row r="173" spans="1:17" ht="72.75" x14ac:dyDescent="0.25">
      <c r="A173" s="36">
        <v>37564</v>
      </c>
      <c r="B173" s="36">
        <v>37564</v>
      </c>
      <c r="C173" s="24">
        <v>2002</v>
      </c>
      <c r="D173" s="351" t="s">
        <v>23</v>
      </c>
      <c r="E173" s="22" t="s">
        <v>86</v>
      </c>
      <c r="F173" s="7" t="s">
        <v>53</v>
      </c>
      <c r="G173" s="33" t="s">
        <v>110</v>
      </c>
      <c r="H173" s="34" t="s">
        <v>309</v>
      </c>
      <c r="I173" s="37">
        <v>1</v>
      </c>
      <c r="J173" s="20">
        <v>0</v>
      </c>
      <c r="K173" s="20">
        <v>0</v>
      </c>
      <c r="L173" s="37">
        <v>0</v>
      </c>
      <c r="M173" s="37">
        <v>0</v>
      </c>
      <c r="N173" s="37">
        <v>0</v>
      </c>
      <c r="O173" s="37">
        <v>0</v>
      </c>
      <c r="P173" s="38">
        <v>3.5000000000000003E-2</v>
      </c>
      <c r="Q173" s="35" t="s">
        <v>154</v>
      </c>
    </row>
    <row r="174" spans="1:17" ht="60.75" x14ac:dyDescent="0.25">
      <c r="A174" s="36">
        <v>37567</v>
      </c>
      <c r="B174" s="36">
        <v>37567</v>
      </c>
      <c r="C174" s="24">
        <v>2002</v>
      </c>
      <c r="D174" s="351" t="s">
        <v>23</v>
      </c>
      <c r="E174" s="22" t="s">
        <v>86</v>
      </c>
      <c r="F174" s="7" t="s">
        <v>36</v>
      </c>
      <c r="G174" s="33" t="s">
        <v>310</v>
      </c>
      <c r="H174" s="34" t="s">
        <v>311</v>
      </c>
      <c r="I174" s="37">
        <v>0</v>
      </c>
      <c r="J174" s="37">
        <v>750</v>
      </c>
      <c r="K174" s="37">
        <v>222</v>
      </c>
      <c r="L174" s="37">
        <v>0</v>
      </c>
      <c r="M174" s="37">
        <v>0</v>
      </c>
      <c r="N174" s="37">
        <v>0</v>
      </c>
      <c r="O174" s="37">
        <v>0</v>
      </c>
      <c r="P174" s="38">
        <f>K174*2500/1000000</f>
        <v>0.55500000000000005</v>
      </c>
      <c r="Q174" s="35" t="s">
        <v>154</v>
      </c>
    </row>
    <row r="175" spans="1:17" ht="48.75" x14ac:dyDescent="0.25">
      <c r="A175" s="36">
        <v>37613</v>
      </c>
      <c r="B175" s="36">
        <v>37613</v>
      </c>
      <c r="C175" s="24">
        <v>2002</v>
      </c>
      <c r="D175" s="351" t="s">
        <v>23</v>
      </c>
      <c r="E175" s="22" t="s">
        <v>86</v>
      </c>
      <c r="F175" s="7" t="s">
        <v>87</v>
      </c>
      <c r="G175" s="33" t="s">
        <v>110</v>
      </c>
      <c r="H175" s="34" t="s">
        <v>312</v>
      </c>
      <c r="I175" s="37">
        <v>0</v>
      </c>
      <c r="J175" s="37">
        <v>3750</v>
      </c>
      <c r="K175" s="20">
        <v>0</v>
      </c>
      <c r="L175" s="37">
        <v>0</v>
      </c>
      <c r="M175" s="37">
        <v>0</v>
      </c>
      <c r="N175" s="37">
        <v>0</v>
      </c>
      <c r="O175" s="37">
        <v>0</v>
      </c>
      <c r="P175" s="38">
        <v>0</v>
      </c>
      <c r="Q175" s="35" t="s">
        <v>154</v>
      </c>
    </row>
    <row r="176" spans="1:17" ht="36.75" x14ac:dyDescent="0.25">
      <c r="A176" s="23">
        <v>37348</v>
      </c>
      <c r="B176" s="23">
        <v>37348</v>
      </c>
      <c r="C176" s="24">
        <v>2002</v>
      </c>
      <c r="D176" s="351" t="s">
        <v>23</v>
      </c>
      <c r="E176" s="14" t="s">
        <v>24</v>
      </c>
      <c r="F176" s="7" t="s">
        <v>87</v>
      </c>
      <c r="G176" s="33" t="s">
        <v>110</v>
      </c>
      <c r="H176" s="34" t="s">
        <v>313</v>
      </c>
      <c r="I176" s="37">
        <v>0</v>
      </c>
      <c r="J176" s="20">
        <v>0</v>
      </c>
      <c r="K176" s="20">
        <v>0</v>
      </c>
      <c r="L176" s="37">
        <v>0</v>
      </c>
      <c r="M176" s="37">
        <v>0</v>
      </c>
      <c r="N176" s="37">
        <v>0</v>
      </c>
      <c r="O176" s="37">
        <v>0</v>
      </c>
      <c r="P176" s="26">
        <v>32</v>
      </c>
      <c r="Q176" s="35" t="s">
        <v>154</v>
      </c>
    </row>
    <row r="177" spans="1:17" ht="24.75" x14ac:dyDescent="0.25">
      <c r="A177" s="23">
        <v>37370</v>
      </c>
      <c r="B177" s="23">
        <v>37370</v>
      </c>
      <c r="C177" s="24">
        <v>2002</v>
      </c>
      <c r="D177" s="351" t="s">
        <v>23</v>
      </c>
      <c r="E177" s="14" t="s">
        <v>24</v>
      </c>
      <c r="F177" s="28" t="s">
        <v>210</v>
      </c>
      <c r="G177" s="33" t="s">
        <v>110</v>
      </c>
      <c r="H177" s="34" t="s">
        <v>314</v>
      </c>
      <c r="I177" s="37">
        <v>0</v>
      </c>
      <c r="J177" s="20">
        <v>0</v>
      </c>
      <c r="K177" s="20">
        <v>0</v>
      </c>
      <c r="L177" s="37">
        <v>0</v>
      </c>
      <c r="M177" s="37">
        <v>0</v>
      </c>
      <c r="N177" s="37">
        <v>0</v>
      </c>
      <c r="O177" s="37">
        <v>0</v>
      </c>
      <c r="P177" s="26">
        <v>110</v>
      </c>
      <c r="Q177" s="35" t="s">
        <v>154</v>
      </c>
    </row>
    <row r="178" spans="1:17" ht="60.75" x14ac:dyDescent="0.25">
      <c r="A178" s="23">
        <v>37378</v>
      </c>
      <c r="B178" s="23">
        <v>37378</v>
      </c>
      <c r="C178" s="24">
        <v>2002</v>
      </c>
      <c r="D178" s="351" t="s">
        <v>23</v>
      </c>
      <c r="E178" s="14" t="s">
        <v>24</v>
      </c>
      <c r="F178" s="7" t="s">
        <v>97</v>
      </c>
      <c r="G178" s="33" t="s">
        <v>110</v>
      </c>
      <c r="H178" s="34" t="s">
        <v>315</v>
      </c>
      <c r="I178" s="37">
        <v>0</v>
      </c>
      <c r="J178" s="20">
        <v>0</v>
      </c>
      <c r="K178" s="20">
        <v>0</v>
      </c>
      <c r="L178" s="37">
        <v>0</v>
      </c>
      <c r="M178" s="37">
        <v>0</v>
      </c>
      <c r="N178" s="37">
        <v>0</v>
      </c>
      <c r="O178" s="37">
        <v>0</v>
      </c>
      <c r="P178" s="26">
        <v>20</v>
      </c>
      <c r="Q178" s="35" t="s">
        <v>154</v>
      </c>
    </row>
    <row r="179" spans="1:17" ht="24.75" x14ac:dyDescent="0.25">
      <c r="A179" s="23">
        <v>37380</v>
      </c>
      <c r="B179" s="23">
        <v>37380</v>
      </c>
      <c r="C179" s="24">
        <v>2002</v>
      </c>
      <c r="D179" s="351" t="s">
        <v>23</v>
      </c>
      <c r="E179" s="14" t="s">
        <v>24</v>
      </c>
      <c r="F179" s="7" t="s">
        <v>45</v>
      </c>
      <c r="G179" s="33" t="s">
        <v>110</v>
      </c>
      <c r="H179" s="34" t="s">
        <v>316</v>
      </c>
      <c r="I179" s="37">
        <v>0</v>
      </c>
      <c r="J179" s="20">
        <v>0</v>
      </c>
      <c r="K179" s="20">
        <v>0</v>
      </c>
      <c r="L179" s="37">
        <v>0</v>
      </c>
      <c r="M179" s="37">
        <v>0</v>
      </c>
      <c r="N179" s="37">
        <v>0</v>
      </c>
      <c r="O179" s="37">
        <v>0</v>
      </c>
      <c r="P179" s="26">
        <v>5.5</v>
      </c>
      <c r="Q179" s="35" t="s">
        <v>154</v>
      </c>
    </row>
    <row r="180" spans="1:17" x14ac:dyDescent="0.25">
      <c r="A180" s="23">
        <v>37408</v>
      </c>
      <c r="B180" s="23">
        <v>37408</v>
      </c>
      <c r="C180" s="24">
        <v>2002</v>
      </c>
      <c r="D180" s="351" t="s">
        <v>23</v>
      </c>
      <c r="E180" s="14" t="s">
        <v>24</v>
      </c>
      <c r="F180" s="7" t="s">
        <v>101</v>
      </c>
      <c r="G180" s="33" t="s">
        <v>110</v>
      </c>
      <c r="H180" s="34" t="s">
        <v>317</v>
      </c>
      <c r="I180" s="37">
        <v>0</v>
      </c>
      <c r="J180" s="20">
        <v>0</v>
      </c>
      <c r="K180" s="20">
        <v>0</v>
      </c>
      <c r="L180" s="37">
        <v>0</v>
      </c>
      <c r="M180" s="37">
        <v>0</v>
      </c>
      <c r="N180" s="37">
        <v>0</v>
      </c>
      <c r="O180" s="37">
        <v>0</v>
      </c>
      <c r="P180" s="26">
        <v>100</v>
      </c>
      <c r="Q180" s="35" t="s">
        <v>154</v>
      </c>
    </row>
    <row r="181" spans="1:17" x14ac:dyDescent="0.25">
      <c r="A181" s="23">
        <v>37414</v>
      </c>
      <c r="B181" s="23">
        <v>37414</v>
      </c>
      <c r="C181" s="24">
        <v>2002</v>
      </c>
      <c r="D181" s="351" t="s">
        <v>23</v>
      </c>
      <c r="E181" s="14" t="s">
        <v>24</v>
      </c>
      <c r="F181" s="7" t="s">
        <v>91</v>
      </c>
      <c r="G181" s="33" t="s">
        <v>110</v>
      </c>
      <c r="H181" s="34" t="s">
        <v>318</v>
      </c>
      <c r="I181" s="37">
        <v>0</v>
      </c>
      <c r="J181" s="20">
        <v>0</v>
      </c>
      <c r="K181" s="20">
        <v>0</v>
      </c>
      <c r="L181" s="37">
        <v>0</v>
      </c>
      <c r="M181" s="37">
        <v>0</v>
      </c>
      <c r="N181" s="37">
        <v>0</v>
      </c>
      <c r="O181" s="37">
        <v>0</v>
      </c>
      <c r="P181" s="26">
        <v>1.8</v>
      </c>
      <c r="Q181" s="35" t="s">
        <v>154</v>
      </c>
    </row>
    <row r="182" spans="1:17" x14ac:dyDescent="0.25">
      <c r="A182" s="23">
        <v>37412</v>
      </c>
      <c r="B182" s="23">
        <v>37412</v>
      </c>
      <c r="C182" s="24">
        <v>2002</v>
      </c>
      <c r="D182" s="351" t="s">
        <v>23</v>
      </c>
      <c r="E182" s="14" t="s">
        <v>24</v>
      </c>
      <c r="F182" s="7" t="s">
        <v>75</v>
      </c>
      <c r="G182" s="33" t="s">
        <v>26</v>
      </c>
      <c r="H182" s="34" t="s">
        <v>319</v>
      </c>
      <c r="I182" s="37">
        <v>0</v>
      </c>
      <c r="J182" s="20">
        <v>0</v>
      </c>
      <c r="K182" s="20">
        <v>0</v>
      </c>
      <c r="L182" s="37">
        <v>0</v>
      </c>
      <c r="M182" s="37">
        <v>0</v>
      </c>
      <c r="N182" s="37">
        <v>0</v>
      </c>
      <c r="O182" s="37">
        <v>0</v>
      </c>
      <c r="P182" s="26">
        <v>12.7</v>
      </c>
      <c r="Q182" s="35" t="s">
        <v>154</v>
      </c>
    </row>
    <row r="183" spans="1:17" x14ac:dyDescent="0.25">
      <c r="A183" s="23">
        <v>37412</v>
      </c>
      <c r="B183" s="23">
        <v>37412</v>
      </c>
      <c r="C183" s="24">
        <v>2002</v>
      </c>
      <c r="D183" s="351" t="s">
        <v>23</v>
      </c>
      <c r="E183" s="14" t="s">
        <v>24</v>
      </c>
      <c r="F183" s="7" t="s">
        <v>82</v>
      </c>
      <c r="G183" s="33" t="s">
        <v>110</v>
      </c>
      <c r="H183" s="34" t="s">
        <v>164</v>
      </c>
      <c r="I183" s="37">
        <v>0</v>
      </c>
      <c r="J183" s="20">
        <v>0</v>
      </c>
      <c r="K183" s="20">
        <v>0</v>
      </c>
      <c r="L183" s="37">
        <v>0</v>
      </c>
      <c r="M183" s="37">
        <v>0</v>
      </c>
      <c r="N183" s="37">
        <v>0</v>
      </c>
      <c r="O183" s="37">
        <v>0</v>
      </c>
      <c r="P183" s="26">
        <v>12</v>
      </c>
      <c r="Q183" s="35" t="s">
        <v>154</v>
      </c>
    </row>
    <row r="184" spans="1:17" ht="36.75" x14ac:dyDescent="0.25">
      <c r="A184" s="23">
        <v>37412</v>
      </c>
      <c r="B184" s="23">
        <v>37412</v>
      </c>
      <c r="C184" s="24">
        <v>2002</v>
      </c>
      <c r="D184" s="351" t="s">
        <v>23</v>
      </c>
      <c r="E184" s="14" t="s">
        <v>24</v>
      </c>
      <c r="F184" s="7" t="s">
        <v>84</v>
      </c>
      <c r="G184" s="33" t="s">
        <v>110</v>
      </c>
      <c r="H184" s="34" t="s">
        <v>320</v>
      </c>
      <c r="I184" s="37">
        <v>0</v>
      </c>
      <c r="J184" s="20">
        <v>52000</v>
      </c>
      <c r="K184" s="20">
        <v>0</v>
      </c>
      <c r="L184" s="37">
        <v>0</v>
      </c>
      <c r="M184" s="37">
        <v>0</v>
      </c>
      <c r="N184" s="37">
        <v>0</v>
      </c>
      <c r="O184" s="37">
        <v>0</v>
      </c>
      <c r="P184" s="26">
        <v>65</v>
      </c>
      <c r="Q184" s="35" t="s">
        <v>154</v>
      </c>
    </row>
    <row r="185" spans="1:17" x14ac:dyDescent="0.25">
      <c r="A185" s="23">
        <v>37257</v>
      </c>
      <c r="B185" s="23">
        <v>37621</v>
      </c>
      <c r="C185" s="24">
        <v>2002</v>
      </c>
      <c r="D185" s="351" t="s">
        <v>23</v>
      </c>
      <c r="E185" s="22" t="s">
        <v>42</v>
      </c>
      <c r="F185" s="7" t="s">
        <v>40</v>
      </c>
      <c r="G185" s="33" t="s">
        <v>26</v>
      </c>
      <c r="H185" s="34" t="s">
        <v>164</v>
      </c>
      <c r="I185" s="24">
        <v>8</v>
      </c>
      <c r="J185" s="20">
        <v>0</v>
      </c>
      <c r="K185" s="20">
        <v>0</v>
      </c>
      <c r="L185" s="37">
        <v>0</v>
      </c>
      <c r="M185" s="37">
        <v>0</v>
      </c>
      <c r="N185" s="37">
        <v>0</v>
      </c>
      <c r="O185" s="37">
        <v>0</v>
      </c>
      <c r="P185" s="38">
        <v>0</v>
      </c>
      <c r="Q185" s="35" t="s">
        <v>154</v>
      </c>
    </row>
    <row r="186" spans="1:17" x14ac:dyDescent="0.25">
      <c r="A186" s="23">
        <v>37257</v>
      </c>
      <c r="B186" s="23">
        <v>37621</v>
      </c>
      <c r="C186" s="24">
        <v>2002</v>
      </c>
      <c r="D186" s="351" t="s">
        <v>23</v>
      </c>
      <c r="E186" s="22" t="s">
        <v>42</v>
      </c>
      <c r="F186" s="7" t="s">
        <v>45</v>
      </c>
      <c r="G186" s="33" t="s">
        <v>26</v>
      </c>
      <c r="H186" s="34" t="s">
        <v>164</v>
      </c>
      <c r="I186" s="24">
        <v>1</v>
      </c>
      <c r="J186" s="20">
        <v>0</v>
      </c>
      <c r="K186" s="20">
        <v>0</v>
      </c>
      <c r="L186" s="37">
        <v>0</v>
      </c>
      <c r="M186" s="37">
        <v>0</v>
      </c>
      <c r="N186" s="37">
        <v>0</v>
      </c>
      <c r="O186" s="37">
        <v>0</v>
      </c>
      <c r="P186" s="38">
        <v>0</v>
      </c>
      <c r="Q186" s="35" t="s">
        <v>154</v>
      </c>
    </row>
    <row r="187" spans="1:17" x14ac:dyDescent="0.25">
      <c r="A187" s="23">
        <v>37257</v>
      </c>
      <c r="B187" s="23">
        <v>37621</v>
      </c>
      <c r="C187" s="24">
        <v>2002</v>
      </c>
      <c r="D187" s="351" t="s">
        <v>23</v>
      </c>
      <c r="E187" s="22" t="s">
        <v>42</v>
      </c>
      <c r="F187" s="28" t="s">
        <v>151</v>
      </c>
      <c r="G187" s="33" t="s">
        <v>26</v>
      </c>
      <c r="H187" s="34" t="s">
        <v>164</v>
      </c>
      <c r="I187" s="37">
        <v>0</v>
      </c>
      <c r="J187" s="20">
        <v>0</v>
      </c>
      <c r="K187" s="20">
        <v>0</v>
      </c>
      <c r="L187" s="37">
        <v>0</v>
      </c>
      <c r="M187" s="37">
        <v>0</v>
      </c>
      <c r="N187" s="37">
        <v>0</v>
      </c>
      <c r="O187" s="37">
        <v>0</v>
      </c>
      <c r="P187" s="38">
        <v>0</v>
      </c>
      <c r="Q187" s="35" t="s">
        <v>154</v>
      </c>
    </row>
    <row r="188" spans="1:17" x14ac:dyDescent="0.25">
      <c r="A188" s="23">
        <v>37257</v>
      </c>
      <c r="B188" s="23">
        <v>37621</v>
      </c>
      <c r="C188" s="24">
        <v>2002</v>
      </c>
      <c r="D188" s="351" t="s">
        <v>23</v>
      </c>
      <c r="E188" s="22" t="s">
        <v>42</v>
      </c>
      <c r="F188" s="7" t="s">
        <v>91</v>
      </c>
      <c r="G188" s="33" t="s">
        <v>26</v>
      </c>
      <c r="H188" s="34" t="s">
        <v>164</v>
      </c>
      <c r="I188" s="24">
        <v>5</v>
      </c>
      <c r="J188" s="20">
        <v>0</v>
      </c>
      <c r="K188" s="20">
        <v>0</v>
      </c>
      <c r="L188" s="37">
        <v>0</v>
      </c>
      <c r="M188" s="37">
        <v>0</v>
      </c>
      <c r="N188" s="37">
        <v>0</v>
      </c>
      <c r="O188" s="37">
        <v>0</v>
      </c>
      <c r="P188" s="38">
        <v>0</v>
      </c>
      <c r="Q188" s="35" t="s">
        <v>154</v>
      </c>
    </row>
    <row r="189" spans="1:17" x14ac:dyDescent="0.25">
      <c r="A189" s="23">
        <v>37257</v>
      </c>
      <c r="B189" s="23">
        <v>37621</v>
      </c>
      <c r="C189" s="24">
        <v>2002</v>
      </c>
      <c r="D189" s="351" t="s">
        <v>23</v>
      </c>
      <c r="E189" s="22" t="s">
        <v>42</v>
      </c>
      <c r="F189" s="7" t="s">
        <v>30</v>
      </c>
      <c r="G189" s="33" t="s">
        <v>26</v>
      </c>
      <c r="H189" s="34" t="s">
        <v>164</v>
      </c>
      <c r="I189" s="24">
        <v>14</v>
      </c>
      <c r="J189" s="20">
        <v>0</v>
      </c>
      <c r="K189" s="20">
        <v>0</v>
      </c>
      <c r="L189" s="37">
        <v>0</v>
      </c>
      <c r="M189" s="37">
        <v>0</v>
      </c>
      <c r="N189" s="37">
        <v>0</v>
      </c>
      <c r="O189" s="37">
        <v>0</v>
      </c>
      <c r="P189" s="38">
        <v>0</v>
      </c>
      <c r="Q189" s="35" t="s">
        <v>154</v>
      </c>
    </row>
    <row r="190" spans="1:17" x14ac:dyDescent="0.25">
      <c r="A190" s="23">
        <v>37257</v>
      </c>
      <c r="B190" s="23">
        <v>37621</v>
      </c>
      <c r="C190" s="24">
        <v>2002</v>
      </c>
      <c r="D190" s="351" t="s">
        <v>23</v>
      </c>
      <c r="E190" s="22" t="s">
        <v>42</v>
      </c>
      <c r="F190" s="28" t="s">
        <v>210</v>
      </c>
      <c r="G190" s="33" t="s">
        <v>26</v>
      </c>
      <c r="H190" s="34" t="s">
        <v>164</v>
      </c>
      <c r="I190" s="24">
        <v>1</v>
      </c>
      <c r="J190" s="20">
        <v>0</v>
      </c>
      <c r="K190" s="20">
        <v>0</v>
      </c>
      <c r="L190" s="37">
        <v>0</v>
      </c>
      <c r="M190" s="37">
        <v>0</v>
      </c>
      <c r="N190" s="37">
        <v>0</v>
      </c>
      <c r="O190" s="37">
        <v>0</v>
      </c>
      <c r="P190" s="38">
        <v>0</v>
      </c>
      <c r="Q190" s="35" t="s">
        <v>154</v>
      </c>
    </row>
    <row r="191" spans="1:17" x14ac:dyDescent="0.25">
      <c r="A191" s="23">
        <v>37257</v>
      </c>
      <c r="B191" s="23">
        <v>37621</v>
      </c>
      <c r="C191" s="24">
        <v>2002</v>
      </c>
      <c r="D191" s="351" t="s">
        <v>23</v>
      </c>
      <c r="E191" s="22" t="s">
        <v>42</v>
      </c>
      <c r="F191" s="7" t="s">
        <v>87</v>
      </c>
      <c r="G191" s="33" t="s">
        <v>26</v>
      </c>
      <c r="H191" s="34" t="s">
        <v>164</v>
      </c>
      <c r="I191" s="24">
        <v>1</v>
      </c>
      <c r="J191" s="20">
        <v>0</v>
      </c>
      <c r="K191" s="20">
        <v>0</v>
      </c>
      <c r="L191" s="37">
        <v>0</v>
      </c>
      <c r="M191" s="37">
        <v>0</v>
      </c>
      <c r="N191" s="37">
        <v>0</v>
      </c>
      <c r="O191" s="37">
        <v>0</v>
      </c>
      <c r="P191" s="38">
        <v>0</v>
      </c>
      <c r="Q191" s="35" t="s">
        <v>154</v>
      </c>
    </row>
    <row r="192" spans="1:17" x14ac:dyDescent="0.25">
      <c r="A192" s="23">
        <v>37257</v>
      </c>
      <c r="B192" s="23">
        <v>37621</v>
      </c>
      <c r="C192" s="24">
        <v>2002</v>
      </c>
      <c r="D192" s="351" t="s">
        <v>23</v>
      </c>
      <c r="E192" s="22" t="s">
        <v>42</v>
      </c>
      <c r="F192" s="7" t="s">
        <v>62</v>
      </c>
      <c r="G192" s="33" t="s">
        <v>26</v>
      </c>
      <c r="H192" s="34" t="s">
        <v>164</v>
      </c>
      <c r="I192" s="20">
        <v>3</v>
      </c>
      <c r="J192" s="20">
        <v>50</v>
      </c>
      <c r="K192" s="20">
        <v>0</v>
      </c>
      <c r="L192" s="37">
        <v>0</v>
      </c>
      <c r="M192" s="37">
        <v>0</v>
      </c>
      <c r="N192" s="37">
        <v>0</v>
      </c>
      <c r="O192" s="37">
        <v>0</v>
      </c>
      <c r="P192" s="38">
        <v>0</v>
      </c>
      <c r="Q192" s="35" t="s">
        <v>154</v>
      </c>
    </row>
    <row r="193" spans="1:17" x14ac:dyDescent="0.25">
      <c r="A193" s="23">
        <v>37257</v>
      </c>
      <c r="B193" s="23">
        <v>37621</v>
      </c>
      <c r="C193" s="24">
        <v>2002</v>
      </c>
      <c r="D193" s="351" t="s">
        <v>23</v>
      </c>
      <c r="E193" s="22" t="s">
        <v>42</v>
      </c>
      <c r="F193" s="28" t="s">
        <v>210</v>
      </c>
      <c r="G193" s="33" t="s">
        <v>26</v>
      </c>
      <c r="H193" s="34" t="s">
        <v>164</v>
      </c>
      <c r="I193" s="24">
        <v>1</v>
      </c>
      <c r="J193" s="20">
        <v>0</v>
      </c>
      <c r="K193" s="20">
        <v>0</v>
      </c>
      <c r="L193" s="37">
        <v>0</v>
      </c>
      <c r="M193" s="37">
        <v>0</v>
      </c>
      <c r="N193" s="37">
        <v>0</v>
      </c>
      <c r="O193" s="37">
        <v>0</v>
      </c>
      <c r="P193" s="38">
        <v>0</v>
      </c>
      <c r="Q193" s="35" t="s">
        <v>154</v>
      </c>
    </row>
    <row r="194" spans="1:17" x14ac:dyDescent="0.25">
      <c r="A194" s="23">
        <v>37257</v>
      </c>
      <c r="B194" s="23">
        <v>37621</v>
      </c>
      <c r="C194" s="24">
        <v>2002</v>
      </c>
      <c r="D194" s="351" t="s">
        <v>23</v>
      </c>
      <c r="E194" s="22" t="s">
        <v>42</v>
      </c>
      <c r="F194" s="7" t="s">
        <v>53</v>
      </c>
      <c r="G194" s="33" t="s">
        <v>26</v>
      </c>
      <c r="H194" s="34" t="s">
        <v>164</v>
      </c>
      <c r="I194" s="37">
        <v>0</v>
      </c>
      <c r="J194" s="20">
        <v>0</v>
      </c>
      <c r="K194" s="20">
        <v>500</v>
      </c>
      <c r="L194" s="37">
        <v>0</v>
      </c>
      <c r="M194" s="37">
        <v>0</v>
      </c>
      <c r="N194" s="37">
        <v>0</v>
      </c>
      <c r="O194" s="37">
        <v>0</v>
      </c>
      <c r="P194" s="26">
        <v>5</v>
      </c>
      <c r="Q194" s="35" t="s">
        <v>154</v>
      </c>
    </row>
    <row r="195" spans="1:17" ht="84.75" x14ac:dyDescent="0.25">
      <c r="A195" s="23">
        <v>37257</v>
      </c>
      <c r="B195" s="23">
        <v>37621</v>
      </c>
      <c r="C195" s="24">
        <v>2002</v>
      </c>
      <c r="D195" s="351" t="s">
        <v>23</v>
      </c>
      <c r="E195" s="22" t="s">
        <v>42</v>
      </c>
      <c r="F195" s="7" t="s">
        <v>62</v>
      </c>
      <c r="G195" s="33" t="s">
        <v>26</v>
      </c>
      <c r="H195" s="34" t="s">
        <v>321</v>
      </c>
      <c r="I195" s="20">
        <v>1</v>
      </c>
      <c r="J195" s="20">
        <v>0</v>
      </c>
      <c r="K195" s="20">
        <v>0</v>
      </c>
      <c r="L195" s="37">
        <v>0</v>
      </c>
      <c r="M195" s="37">
        <v>0</v>
      </c>
      <c r="N195" s="37">
        <v>0</v>
      </c>
      <c r="O195" s="37">
        <v>0</v>
      </c>
      <c r="P195" s="26">
        <v>1.6</v>
      </c>
      <c r="Q195" s="35" t="s">
        <v>154</v>
      </c>
    </row>
    <row r="196" spans="1:17" x14ac:dyDescent="0.25">
      <c r="A196" s="23">
        <v>37257</v>
      </c>
      <c r="B196" s="23">
        <v>37621</v>
      </c>
      <c r="C196" s="24">
        <v>2002</v>
      </c>
      <c r="D196" s="351" t="s">
        <v>23</v>
      </c>
      <c r="E196" s="22" t="s">
        <v>42</v>
      </c>
      <c r="F196" s="7" t="s">
        <v>87</v>
      </c>
      <c r="G196" s="33" t="s">
        <v>26</v>
      </c>
      <c r="H196" s="34" t="s">
        <v>164</v>
      </c>
      <c r="I196" s="20">
        <v>1</v>
      </c>
      <c r="J196" s="20">
        <v>0</v>
      </c>
      <c r="K196" s="20">
        <v>0</v>
      </c>
      <c r="L196" s="37">
        <v>0</v>
      </c>
      <c r="M196" s="37">
        <v>0</v>
      </c>
      <c r="N196" s="37">
        <v>0</v>
      </c>
      <c r="O196" s="37">
        <v>0</v>
      </c>
      <c r="P196" s="38">
        <v>0</v>
      </c>
      <c r="Q196" s="35" t="s">
        <v>154</v>
      </c>
    </row>
    <row r="197" spans="1:17" x14ac:dyDescent="0.25">
      <c r="A197" s="23">
        <v>37257</v>
      </c>
      <c r="B197" s="23">
        <v>37621</v>
      </c>
      <c r="C197" s="24">
        <v>2002</v>
      </c>
      <c r="D197" s="351" t="s">
        <v>23</v>
      </c>
      <c r="E197" s="22" t="s">
        <v>42</v>
      </c>
      <c r="F197" s="7" t="s">
        <v>53</v>
      </c>
      <c r="G197" s="33" t="s">
        <v>26</v>
      </c>
      <c r="H197" s="34" t="s">
        <v>164</v>
      </c>
      <c r="I197" s="20">
        <v>1</v>
      </c>
      <c r="J197" s="20">
        <v>0</v>
      </c>
      <c r="K197" s="20">
        <v>0</v>
      </c>
      <c r="L197" s="37">
        <v>0</v>
      </c>
      <c r="M197" s="37">
        <v>0</v>
      </c>
      <c r="N197" s="37">
        <v>0</v>
      </c>
      <c r="O197" s="37">
        <v>0</v>
      </c>
      <c r="P197" s="38">
        <v>0</v>
      </c>
      <c r="Q197" s="35" t="s">
        <v>154</v>
      </c>
    </row>
    <row r="198" spans="1:17" x14ac:dyDescent="0.25">
      <c r="A198" s="23">
        <v>37257</v>
      </c>
      <c r="B198" s="23">
        <v>37621</v>
      </c>
      <c r="C198" s="24">
        <v>2002</v>
      </c>
      <c r="D198" s="351" t="s">
        <v>23</v>
      </c>
      <c r="E198" s="22" t="s">
        <v>42</v>
      </c>
      <c r="F198" s="7" t="s">
        <v>40</v>
      </c>
      <c r="G198" s="33" t="s">
        <v>26</v>
      </c>
      <c r="H198" s="34" t="s">
        <v>164</v>
      </c>
      <c r="I198" s="20">
        <v>16</v>
      </c>
      <c r="J198" s="20">
        <v>321</v>
      </c>
      <c r="K198" s="20">
        <v>0</v>
      </c>
      <c r="L198" s="37">
        <v>0</v>
      </c>
      <c r="M198" s="37">
        <v>0</v>
      </c>
      <c r="N198" s="37">
        <v>0</v>
      </c>
      <c r="O198" s="37">
        <v>0</v>
      </c>
      <c r="P198" s="38">
        <v>0</v>
      </c>
      <c r="Q198" s="35" t="s">
        <v>154</v>
      </c>
    </row>
    <row r="199" spans="1:17" x14ac:dyDescent="0.25">
      <c r="A199" s="23">
        <v>37257</v>
      </c>
      <c r="B199" s="23">
        <v>37621</v>
      </c>
      <c r="C199" s="24">
        <v>2002</v>
      </c>
      <c r="D199" s="351" t="s">
        <v>23</v>
      </c>
      <c r="E199" s="22" t="s">
        <v>42</v>
      </c>
      <c r="F199" s="7" t="s">
        <v>53</v>
      </c>
      <c r="G199" s="33" t="s">
        <v>26</v>
      </c>
      <c r="H199" s="34" t="s">
        <v>164</v>
      </c>
      <c r="I199" s="20">
        <v>3</v>
      </c>
      <c r="J199" s="20">
        <v>0</v>
      </c>
      <c r="K199" s="20">
        <v>0</v>
      </c>
      <c r="L199" s="37">
        <v>0</v>
      </c>
      <c r="M199" s="37">
        <v>0</v>
      </c>
      <c r="N199" s="37">
        <v>0</v>
      </c>
      <c r="O199" s="37">
        <v>0</v>
      </c>
      <c r="P199" s="38">
        <v>0</v>
      </c>
      <c r="Q199" s="35" t="s">
        <v>154</v>
      </c>
    </row>
    <row r="200" spans="1:17" x14ac:dyDescent="0.25">
      <c r="A200" s="23">
        <v>37257</v>
      </c>
      <c r="B200" s="23">
        <v>37621</v>
      </c>
      <c r="C200" s="24">
        <v>2002</v>
      </c>
      <c r="D200" s="351" t="s">
        <v>23</v>
      </c>
      <c r="E200" s="22" t="s">
        <v>42</v>
      </c>
      <c r="F200" s="7" t="s">
        <v>68</v>
      </c>
      <c r="G200" s="33" t="s">
        <v>26</v>
      </c>
      <c r="H200" s="34" t="s">
        <v>164</v>
      </c>
      <c r="I200" s="20">
        <v>1</v>
      </c>
      <c r="J200" s="20">
        <v>0</v>
      </c>
      <c r="K200" s="20">
        <v>0</v>
      </c>
      <c r="L200" s="37">
        <v>0</v>
      </c>
      <c r="M200" s="37">
        <v>0</v>
      </c>
      <c r="N200" s="37">
        <v>0</v>
      </c>
      <c r="O200" s="37">
        <v>0</v>
      </c>
      <c r="P200" s="38">
        <v>0</v>
      </c>
      <c r="Q200" s="35" t="s">
        <v>154</v>
      </c>
    </row>
    <row r="201" spans="1:17" x14ac:dyDescent="0.25">
      <c r="A201" s="23">
        <v>37257</v>
      </c>
      <c r="B201" s="23">
        <v>37621</v>
      </c>
      <c r="C201" s="24">
        <v>2002</v>
      </c>
      <c r="D201" s="351" t="s">
        <v>23</v>
      </c>
      <c r="E201" s="22" t="s">
        <v>42</v>
      </c>
      <c r="F201" s="7" t="s">
        <v>101</v>
      </c>
      <c r="G201" s="33" t="s">
        <v>26</v>
      </c>
      <c r="H201" s="34" t="s">
        <v>164</v>
      </c>
      <c r="I201" s="37">
        <v>0</v>
      </c>
      <c r="J201" s="20">
        <v>2000</v>
      </c>
      <c r="K201" s="20">
        <v>4000</v>
      </c>
      <c r="L201" s="37">
        <v>0</v>
      </c>
      <c r="M201" s="37">
        <v>0</v>
      </c>
      <c r="N201" s="37">
        <v>0</v>
      </c>
      <c r="O201" s="37">
        <v>0</v>
      </c>
      <c r="P201" s="26">
        <v>40.299999999999997</v>
      </c>
      <c r="Q201" s="35" t="s">
        <v>154</v>
      </c>
    </row>
    <row r="202" spans="1:17" ht="36.75" x14ac:dyDescent="0.25">
      <c r="A202" s="23">
        <v>37257</v>
      </c>
      <c r="B202" s="23">
        <v>37621</v>
      </c>
      <c r="C202" s="24">
        <v>2002</v>
      </c>
      <c r="D202" s="351" t="s">
        <v>23</v>
      </c>
      <c r="E202" s="22" t="s">
        <v>42</v>
      </c>
      <c r="F202" s="7" t="s">
        <v>25</v>
      </c>
      <c r="G202" s="33" t="s">
        <v>26</v>
      </c>
      <c r="H202" s="34" t="s">
        <v>322</v>
      </c>
      <c r="I202" s="37">
        <v>0</v>
      </c>
      <c r="J202" s="20">
        <v>0</v>
      </c>
      <c r="K202" s="20">
        <v>0</v>
      </c>
      <c r="L202" s="37">
        <v>0</v>
      </c>
      <c r="M202" s="37">
        <v>0</v>
      </c>
      <c r="N202" s="37">
        <v>0</v>
      </c>
      <c r="O202" s="37">
        <v>0</v>
      </c>
      <c r="P202" s="38">
        <v>0</v>
      </c>
      <c r="Q202" s="35" t="s">
        <v>154</v>
      </c>
    </row>
    <row r="203" spans="1:17" x14ac:dyDescent="0.25">
      <c r="A203" s="23">
        <v>37257</v>
      </c>
      <c r="B203" s="23">
        <v>37621</v>
      </c>
      <c r="C203" s="24">
        <v>2002</v>
      </c>
      <c r="D203" s="351" t="s">
        <v>23</v>
      </c>
      <c r="E203" s="22" t="s">
        <v>42</v>
      </c>
      <c r="F203" s="28" t="s">
        <v>210</v>
      </c>
      <c r="G203" s="33" t="s">
        <v>26</v>
      </c>
      <c r="H203" s="34" t="s">
        <v>164</v>
      </c>
      <c r="I203" s="20">
        <v>1</v>
      </c>
      <c r="J203" s="20">
        <v>18000</v>
      </c>
      <c r="K203" s="20">
        <v>0</v>
      </c>
      <c r="L203" s="37">
        <v>0</v>
      </c>
      <c r="M203" s="37">
        <v>0</v>
      </c>
      <c r="N203" s="37">
        <v>0</v>
      </c>
      <c r="O203" s="37">
        <v>0</v>
      </c>
      <c r="P203" s="38">
        <v>0</v>
      </c>
      <c r="Q203" s="35" t="s">
        <v>154</v>
      </c>
    </row>
    <row r="204" spans="1:17" x14ac:dyDescent="0.25">
      <c r="A204" s="23">
        <v>37257</v>
      </c>
      <c r="B204" s="23">
        <v>37621</v>
      </c>
      <c r="C204" s="24">
        <v>2002</v>
      </c>
      <c r="D204" s="351" t="s">
        <v>23</v>
      </c>
      <c r="E204" s="22" t="s">
        <v>42</v>
      </c>
      <c r="F204" s="7" t="s">
        <v>40</v>
      </c>
      <c r="G204" s="33" t="s">
        <v>26</v>
      </c>
      <c r="H204" s="34" t="s">
        <v>164</v>
      </c>
      <c r="I204" s="20">
        <v>1</v>
      </c>
      <c r="J204" s="20">
        <v>0</v>
      </c>
      <c r="K204" s="20">
        <v>0</v>
      </c>
      <c r="L204" s="37">
        <v>0</v>
      </c>
      <c r="M204" s="37">
        <v>0</v>
      </c>
      <c r="N204" s="37">
        <v>0</v>
      </c>
      <c r="O204" s="37">
        <v>0</v>
      </c>
      <c r="P204" s="38">
        <v>0</v>
      </c>
      <c r="Q204" s="35" t="s">
        <v>154</v>
      </c>
    </row>
    <row r="205" spans="1:17" x14ac:dyDescent="0.25">
      <c r="A205" s="23">
        <v>37257</v>
      </c>
      <c r="B205" s="23">
        <v>37621</v>
      </c>
      <c r="C205" s="24">
        <v>2002</v>
      </c>
      <c r="D205" s="351" t="s">
        <v>23</v>
      </c>
      <c r="E205" s="22" t="s">
        <v>42</v>
      </c>
      <c r="F205" s="7" t="s">
        <v>49</v>
      </c>
      <c r="G205" s="33" t="s">
        <v>26</v>
      </c>
      <c r="H205" s="34" t="s">
        <v>164</v>
      </c>
      <c r="I205" s="37">
        <v>0</v>
      </c>
      <c r="J205" s="20">
        <v>40000</v>
      </c>
      <c r="K205" s="20">
        <v>0</v>
      </c>
      <c r="L205" s="37">
        <v>0</v>
      </c>
      <c r="M205" s="37">
        <v>0</v>
      </c>
      <c r="N205" s="37">
        <v>0</v>
      </c>
      <c r="O205" s="37">
        <v>0</v>
      </c>
      <c r="P205" s="38">
        <v>0</v>
      </c>
      <c r="Q205" s="35" t="s">
        <v>154</v>
      </c>
    </row>
    <row r="206" spans="1:17" x14ac:dyDescent="0.25">
      <c r="A206" s="23">
        <v>37257</v>
      </c>
      <c r="B206" s="23">
        <v>37621</v>
      </c>
      <c r="C206" s="24">
        <v>2002</v>
      </c>
      <c r="D206" s="351" t="s">
        <v>23</v>
      </c>
      <c r="E206" s="22" t="s">
        <v>42</v>
      </c>
      <c r="F206" s="7" t="s">
        <v>45</v>
      </c>
      <c r="G206" s="33" t="s">
        <v>26</v>
      </c>
      <c r="H206" s="34" t="s">
        <v>164</v>
      </c>
      <c r="I206" s="20">
        <v>3</v>
      </c>
      <c r="J206" s="20">
        <v>0</v>
      </c>
      <c r="K206" s="20">
        <v>0</v>
      </c>
      <c r="L206" s="37">
        <v>0</v>
      </c>
      <c r="M206" s="37">
        <v>0</v>
      </c>
      <c r="N206" s="37">
        <v>0</v>
      </c>
      <c r="O206" s="37">
        <v>0</v>
      </c>
      <c r="P206" s="38">
        <v>0</v>
      </c>
      <c r="Q206" s="35" t="s">
        <v>154</v>
      </c>
    </row>
    <row r="207" spans="1:17" x14ac:dyDescent="0.25">
      <c r="A207" s="23">
        <v>37257</v>
      </c>
      <c r="B207" s="23">
        <v>37621</v>
      </c>
      <c r="C207" s="24">
        <v>2002</v>
      </c>
      <c r="D207" s="351" t="s">
        <v>23</v>
      </c>
      <c r="E207" s="22" t="s">
        <v>42</v>
      </c>
      <c r="F207" s="7" t="s">
        <v>87</v>
      </c>
      <c r="G207" s="33" t="s">
        <v>26</v>
      </c>
      <c r="H207" s="34" t="s">
        <v>164</v>
      </c>
      <c r="I207" s="20">
        <v>2</v>
      </c>
      <c r="J207" s="20">
        <v>0</v>
      </c>
      <c r="K207" s="20">
        <v>0</v>
      </c>
      <c r="L207" s="37">
        <v>0</v>
      </c>
      <c r="M207" s="37">
        <v>0</v>
      </c>
      <c r="N207" s="37">
        <v>0</v>
      </c>
      <c r="O207" s="37">
        <v>0</v>
      </c>
      <c r="P207" s="38">
        <v>0</v>
      </c>
      <c r="Q207" s="35" t="s">
        <v>154</v>
      </c>
    </row>
    <row r="208" spans="1:17" ht="36.75" x14ac:dyDescent="0.25">
      <c r="A208" s="23">
        <v>37272</v>
      </c>
      <c r="B208" s="23">
        <v>37272</v>
      </c>
      <c r="C208" s="24">
        <v>2002</v>
      </c>
      <c r="D208" s="351" t="s">
        <v>23</v>
      </c>
      <c r="E208" s="28" t="s">
        <v>323</v>
      </c>
      <c r="F208" s="28" t="s">
        <v>160</v>
      </c>
      <c r="G208" s="33" t="s">
        <v>110</v>
      </c>
      <c r="H208" s="34" t="s">
        <v>324</v>
      </c>
      <c r="I208" s="37">
        <v>0</v>
      </c>
      <c r="J208" s="20">
        <v>0</v>
      </c>
      <c r="K208" s="20">
        <v>0</v>
      </c>
      <c r="L208" s="37">
        <v>0</v>
      </c>
      <c r="M208" s="37">
        <v>0</v>
      </c>
      <c r="N208" s="37">
        <v>0</v>
      </c>
      <c r="O208" s="37">
        <v>0</v>
      </c>
      <c r="P208" s="38">
        <v>0</v>
      </c>
      <c r="Q208" s="35" t="s">
        <v>154</v>
      </c>
    </row>
    <row r="209" spans="1:17" x14ac:dyDescent="0.25">
      <c r="A209" s="23">
        <v>37299</v>
      </c>
      <c r="B209" s="23">
        <v>37299</v>
      </c>
      <c r="C209" s="24">
        <v>2002</v>
      </c>
      <c r="D209" s="351" t="s">
        <v>23</v>
      </c>
      <c r="E209" s="28" t="s">
        <v>323</v>
      </c>
      <c r="F209" s="7" t="s">
        <v>30</v>
      </c>
      <c r="G209" s="33" t="s">
        <v>110</v>
      </c>
      <c r="H209" s="34" t="s">
        <v>325</v>
      </c>
      <c r="I209" s="20">
        <v>5</v>
      </c>
      <c r="J209" s="20">
        <v>0</v>
      </c>
      <c r="K209" s="20">
        <f>86+50</f>
        <v>136</v>
      </c>
      <c r="L209" s="37">
        <v>0</v>
      </c>
      <c r="M209" s="37">
        <v>0</v>
      </c>
      <c r="N209" s="37">
        <v>0</v>
      </c>
      <c r="O209" s="37">
        <v>0</v>
      </c>
      <c r="P209" s="26">
        <v>1.6</v>
      </c>
      <c r="Q209" s="35" t="s">
        <v>154</v>
      </c>
    </row>
    <row r="210" spans="1:17" x14ac:dyDescent="0.25">
      <c r="A210" s="23">
        <v>37385</v>
      </c>
      <c r="B210" s="23">
        <v>37385</v>
      </c>
      <c r="C210" s="24">
        <v>2002</v>
      </c>
      <c r="D210" s="351" t="s">
        <v>23</v>
      </c>
      <c r="E210" s="28" t="s">
        <v>323</v>
      </c>
      <c r="F210" s="7" t="s">
        <v>36</v>
      </c>
      <c r="G210" s="33" t="s">
        <v>110</v>
      </c>
      <c r="H210" s="34" t="s">
        <v>164</v>
      </c>
      <c r="I210" s="37">
        <v>0</v>
      </c>
      <c r="J210" s="20">
        <v>0</v>
      </c>
      <c r="K210" s="20">
        <v>60</v>
      </c>
      <c r="L210" s="37">
        <v>0</v>
      </c>
      <c r="M210" s="37">
        <v>0</v>
      </c>
      <c r="N210" s="37">
        <v>0</v>
      </c>
      <c r="O210" s="37">
        <v>0</v>
      </c>
      <c r="P210" s="26">
        <v>0.6</v>
      </c>
      <c r="Q210" s="35" t="s">
        <v>154</v>
      </c>
    </row>
    <row r="211" spans="1:17" x14ac:dyDescent="0.25">
      <c r="A211" s="23">
        <v>37424</v>
      </c>
      <c r="B211" s="23">
        <v>37424</v>
      </c>
      <c r="C211" s="24">
        <v>2002</v>
      </c>
      <c r="D211" s="351" t="s">
        <v>23</v>
      </c>
      <c r="E211" s="28" t="s">
        <v>323</v>
      </c>
      <c r="F211" s="7" t="s">
        <v>56</v>
      </c>
      <c r="G211" s="33" t="s">
        <v>110</v>
      </c>
      <c r="H211" s="34" t="s">
        <v>326</v>
      </c>
      <c r="I211" s="37">
        <v>0</v>
      </c>
      <c r="J211" s="20">
        <v>0</v>
      </c>
      <c r="K211" s="20">
        <v>35</v>
      </c>
      <c r="L211" s="37">
        <v>0</v>
      </c>
      <c r="M211" s="37">
        <v>0</v>
      </c>
      <c r="N211" s="37">
        <v>0</v>
      </c>
      <c r="O211" s="37">
        <v>0</v>
      </c>
      <c r="P211" s="26">
        <v>0.3</v>
      </c>
      <c r="Q211" s="35" t="s">
        <v>154</v>
      </c>
    </row>
    <row r="212" spans="1:17" x14ac:dyDescent="0.25">
      <c r="A212" s="23">
        <v>37257</v>
      </c>
      <c r="B212" s="23">
        <v>37621</v>
      </c>
      <c r="C212" s="24">
        <v>2002</v>
      </c>
      <c r="D212" s="351" t="s">
        <v>23</v>
      </c>
      <c r="E212" s="28" t="s">
        <v>327</v>
      </c>
      <c r="F212" s="7" t="s">
        <v>45</v>
      </c>
      <c r="G212" s="33" t="s">
        <v>26</v>
      </c>
      <c r="H212" s="34" t="s">
        <v>164</v>
      </c>
      <c r="I212" s="24">
        <v>1</v>
      </c>
      <c r="J212" s="20">
        <v>0</v>
      </c>
      <c r="K212" s="20">
        <v>0</v>
      </c>
      <c r="L212" s="37">
        <v>0</v>
      </c>
      <c r="M212" s="37">
        <v>0</v>
      </c>
      <c r="N212" s="37">
        <v>0</v>
      </c>
      <c r="O212" s="37">
        <v>0</v>
      </c>
      <c r="P212" s="38">
        <v>0</v>
      </c>
      <c r="Q212" s="35" t="s">
        <v>154</v>
      </c>
    </row>
    <row r="213" spans="1:17" x14ac:dyDescent="0.25">
      <c r="A213" s="23">
        <v>37257</v>
      </c>
      <c r="B213" s="23">
        <v>37621</v>
      </c>
      <c r="C213" s="24">
        <v>2002</v>
      </c>
      <c r="D213" s="351" t="s">
        <v>23</v>
      </c>
      <c r="E213" s="28" t="s">
        <v>327</v>
      </c>
      <c r="F213" s="7" t="s">
        <v>40</v>
      </c>
      <c r="G213" s="33" t="s">
        <v>26</v>
      </c>
      <c r="H213" s="34" t="s">
        <v>164</v>
      </c>
      <c r="I213" s="24">
        <v>1</v>
      </c>
      <c r="J213" s="20">
        <v>0</v>
      </c>
      <c r="K213" s="20">
        <v>0</v>
      </c>
      <c r="L213" s="37">
        <v>0</v>
      </c>
      <c r="M213" s="37">
        <v>0</v>
      </c>
      <c r="N213" s="37">
        <v>0</v>
      </c>
      <c r="O213" s="37">
        <v>0</v>
      </c>
      <c r="P213" s="38">
        <v>0</v>
      </c>
      <c r="Q213" s="35" t="s">
        <v>154</v>
      </c>
    </row>
    <row r="214" spans="1:17" ht="72.75" x14ac:dyDescent="0.25">
      <c r="A214" s="36">
        <v>37285</v>
      </c>
      <c r="B214" s="36">
        <v>37285</v>
      </c>
      <c r="C214" s="24">
        <v>2002</v>
      </c>
      <c r="D214" s="35" t="s">
        <v>17</v>
      </c>
      <c r="E214" s="6" t="s">
        <v>328</v>
      </c>
      <c r="F214" s="28" t="s">
        <v>157</v>
      </c>
      <c r="G214" s="33" t="s">
        <v>110</v>
      </c>
      <c r="H214" s="34" t="s">
        <v>329</v>
      </c>
      <c r="I214" s="37">
        <v>0</v>
      </c>
      <c r="J214" s="20">
        <v>0</v>
      </c>
      <c r="K214" s="20">
        <v>0</v>
      </c>
      <c r="L214" s="37">
        <v>0</v>
      </c>
      <c r="M214" s="37">
        <v>0</v>
      </c>
      <c r="N214" s="37">
        <v>0</v>
      </c>
      <c r="O214" s="37">
        <v>0</v>
      </c>
      <c r="P214" s="38">
        <v>0</v>
      </c>
      <c r="Q214" s="35" t="s">
        <v>154</v>
      </c>
    </row>
    <row r="215" spans="1:17" ht="72.75" x14ac:dyDescent="0.25">
      <c r="A215" s="36">
        <v>37287</v>
      </c>
      <c r="B215" s="36">
        <v>37287</v>
      </c>
      <c r="C215" s="24">
        <v>2002</v>
      </c>
      <c r="D215" s="35" t="s">
        <v>17</v>
      </c>
      <c r="E215" s="30" t="s">
        <v>122</v>
      </c>
      <c r="F215" s="7" t="s">
        <v>72</v>
      </c>
      <c r="G215" s="33" t="s">
        <v>110</v>
      </c>
      <c r="H215" s="34" t="s">
        <v>330</v>
      </c>
      <c r="I215" s="37">
        <v>0</v>
      </c>
      <c r="J215" s="20">
        <v>0</v>
      </c>
      <c r="K215" s="20">
        <v>0</v>
      </c>
      <c r="L215" s="20">
        <v>2</v>
      </c>
      <c r="M215" s="37">
        <v>0</v>
      </c>
      <c r="N215" s="37">
        <v>0</v>
      </c>
      <c r="O215" s="37">
        <v>0</v>
      </c>
      <c r="P215" s="38">
        <v>0</v>
      </c>
      <c r="Q215" s="35" t="s">
        <v>154</v>
      </c>
    </row>
    <row r="216" spans="1:17" ht="36.75" x14ac:dyDescent="0.25">
      <c r="A216" s="36">
        <v>37293</v>
      </c>
      <c r="B216" s="36">
        <v>37293</v>
      </c>
      <c r="C216" s="24">
        <v>2002</v>
      </c>
      <c r="D216" s="35" t="s">
        <v>17</v>
      </c>
      <c r="E216" s="6" t="s">
        <v>18</v>
      </c>
      <c r="F216" s="7" t="s">
        <v>47</v>
      </c>
      <c r="G216" s="33" t="s">
        <v>110</v>
      </c>
      <c r="H216" s="34" t="s">
        <v>331</v>
      </c>
      <c r="I216" s="37">
        <v>0</v>
      </c>
      <c r="J216" s="20">
        <v>216</v>
      </c>
      <c r="K216" s="20">
        <v>0</v>
      </c>
      <c r="L216" s="37">
        <v>0</v>
      </c>
      <c r="M216" s="37">
        <v>0</v>
      </c>
      <c r="N216" s="37">
        <v>0</v>
      </c>
      <c r="O216" s="37">
        <v>0</v>
      </c>
      <c r="P216" s="38">
        <v>0</v>
      </c>
      <c r="Q216" s="35" t="s">
        <v>154</v>
      </c>
    </row>
    <row r="217" spans="1:17" ht="60.75" x14ac:dyDescent="0.25">
      <c r="A217" s="36">
        <v>37417</v>
      </c>
      <c r="B217" s="36">
        <v>37417</v>
      </c>
      <c r="C217" s="24">
        <v>2002</v>
      </c>
      <c r="D217" s="35" t="s">
        <v>17</v>
      </c>
      <c r="E217" s="30" t="s">
        <v>122</v>
      </c>
      <c r="F217" s="7" t="s">
        <v>80</v>
      </c>
      <c r="G217" s="33" t="s">
        <v>110</v>
      </c>
      <c r="H217" s="34" t="s">
        <v>332</v>
      </c>
      <c r="I217" s="37">
        <v>0</v>
      </c>
      <c r="J217" s="20">
        <v>0</v>
      </c>
      <c r="K217" s="20">
        <v>0</v>
      </c>
      <c r="L217" s="20">
        <v>1</v>
      </c>
      <c r="M217" s="37">
        <v>0</v>
      </c>
      <c r="N217" s="37">
        <v>0</v>
      </c>
      <c r="O217" s="37">
        <v>0</v>
      </c>
      <c r="P217" s="26">
        <v>0.05</v>
      </c>
      <c r="Q217" s="35" t="s">
        <v>154</v>
      </c>
    </row>
    <row r="218" spans="1:17" ht="72.75" x14ac:dyDescent="0.25">
      <c r="A218" s="36">
        <v>37420</v>
      </c>
      <c r="B218" s="36">
        <v>37420</v>
      </c>
      <c r="C218" s="24">
        <v>2002</v>
      </c>
      <c r="D218" s="35" t="s">
        <v>17</v>
      </c>
      <c r="E218" s="6" t="s">
        <v>333</v>
      </c>
      <c r="F218" s="7" t="s">
        <v>60</v>
      </c>
      <c r="G218" s="33" t="s">
        <v>334</v>
      </c>
      <c r="H218" s="34" t="s">
        <v>335</v>
      </c>
      <c r="I218" s="20">
        <v>2</v>
      </c>
      <c r="J218" s="20">
        <v>0</v>
      </c>
      <c r="K218" s="20">
        <v>0</v>
      </c>
      <c r="L218" s="37">
        <v>0</v>
      </c>
      <c r="M218" s="37">
        <v>0</v>
      </c>
      <c r="N218" s="37">
        <v>0</v>
      </c>
      <c r="O218" s="37">
        <v>0</v>
      </c>
      <c r="P218" s="38">
        <v>0</v>
      </c>
      <c r="Q218" s="35" t="s">
        <v>154</v>
      </c>
    </row>
    <row r="219" spans="1:17" ht="48.75" x14ac:dyDescent="0.25">
      <c r="A219" s="36">
        <v>37526</v>
      </c>
      <c r="B219" s="36">
        <v>37526</v>
      </c>
      <c r="C219" s="24">
        <v>2002</v>
      </c>
      <c r="D219" s="35" t="s">
        <v>17</v>
      </c>
      <c r="E219" s="30" t="s">
        <v>122</v>
      </c>
      <c r="F219" s="7" t="s">
        <v>58</v>
      </c>
      <c r="G219" s="33" t="s">
        <v>336</v>
      </c>
      <c r="H219" s="34" t="s">
        <v>337</v>
      </c>
      <c r="I219" s="37">
        <v>0</v>
      </c>
      <c r="J219" s="37">
        <v>600</v>
      </c>
      <c r="K219" s="37">
        <v>120</v>
      </c>
      <c r="L219" s="37">
        <v>0</v>
      </c>
      <c r="M219" s="37">
        <v>0</v>
      </c>
      <c r="N219" s="37">
        <v>0</v>
      </c>
      <c r="O219" s="37">
        <v>0</v>
      </c>
      <c r="P219" s="38">
        <v>1.5</v>
      </c>
      <c r="Q219" s="35" t="s">
        <v>154</v>
      </c>
    </row>
    <row r="220" spans="1:17" ht="48.75" x14ac:dyDescent="0.25">
      <c r="A220" s="36">
        <v>37560</v>
      </c>
      <c r="B220" s="36">
        <v>37560</v>
      </c>
      <c r="C220" s="24">
        <v>2002</v>
      </c>
      <c r="D220" s="35" t="s">
        <v>17</v>
      </c>
      <c r="E220" s="6" t="s">
        <v>328</v>
      </c>
      <c r="F220" s="28" t="s">
        <v>157</v>
      </c>
      <c r="G220" s="33" t="s">
        <v>110</v>
      </c>
      <c r="H220" s="34" t="s">
        <v>338</v>
      </c>
      <c r="I220" s="37">
        <v>0</v>
      </c>
      <c r="J220" s="37">
        <v>120</v>
      </c>
      <c r="K220" s="20">
        <v>0</v>
      </c>
      <c r="L220" s="37">
        <v>0</v>
      </c>
      <c r="M220" s="37">
        <v>0</v>
      </c>
      <c r="N220" s="37">
        <v>0</v>
      </c>
      <c r="O220" s="37">
        <v>0</v>
      </c>
      <c r="P220" s="38">
        <v>0.108</v>
      </c>
      <c r="Q220" s="35" t="s">
        <v>154</v>
      </c>
    </row>
    <row r="221" spans="1:17" ht="60.75" x14ac:dyDescent="0.25">
      <c r="A221" s="36">
        <v>37619</v>
      </c>
      <c r="B221" s="36">
        <v>37619</v>
      </c>
      <c r="C221" s="24">
        <v>2002</v>
      </c>
      <c r="D221" s="35" t="s">
        <v>17</v>
      </c>
      <c r="E221" s="6" t="s">
        <v>328</v>
      </c>
      <c r="F221" s="28" t="s">
        <v>151</v>
      </c>
      <c r="G221" s="33" t="s">
        <v>110</v>
      </c>
      <c r="H221" s="34" t="s">
        <v>339</v>
      </c>
      <c r="I221" s="37">
        <v>0</v>
      </c>
      <c r="J221" s="20">
        <v>0</v>
      </c>
      <c r="K221" s="20">
        <v>0</v>
      </c>
      <c r="L221" s="37">
        <v>0</v>
      </c>
      <c r="M221" s="37">
        <v>0</v>
      </c>
      <c r="N221" s="37">
        <v>0</v>
      </c>
      <c r="O221" s="37">
        <v>0</v>
      </c>
      <c r="P221" s="38">
        <v>0</v>
      </c>
      <c r="Q221" s="35" t="s">
        <v>154</v>
      </c>
    </row>
    <row r="222" spans="1:17" x14ac:dyDescent="0.25">
      <c r="A222" s="23">
        <v>37306</v>
      </c>
      <c r="B222" s="23">
        <v>37306</v>
      </c>
      <c r="C222" s="24">
        <v>2002</v>
      </c>
      <c r="D222" s="35" t="s">
        <v>28</v>
      </c>
      <c r="E222" s="30" t="s">
        <v>133</v>
      </c>
      <c r="F222" s="7" t="s">
        <v>62</v>
      </c>
      <c r="G222" s="33" t="s">
        <v>110</v>
      </c>
      <c r="H222" s="34" t="s">
        <v>340</v>
      </c>
      <c r="I222" s="20">
        <v>4</v>
      </c>
      <c r="J222" s="20">
        <v>4</v>
      </c>
      <c r="K222" s="20">
        <v>0</v>
      </c>
      <c r="L222" s="37">
        <v>0</v>
      </c>
      <c r="M222" s="37">
        <v>0</v>
      </c>
      <c r="N222" s="37">
        <v>0</v>
      </c>
      <c r="O222" s="37">
        <v>0</v>
      </c>
      <c r="P222" s="38">
        <v>0</v>
      </c>
      <c r="Q222" s="35" t="s">
        <v>154</v>
      </c>
    </row>
    <row r="223" spans="1:17" ht="84.75" x14ac:dyDescent="0.25">
      <c r="A223" s="23">
        <v>37429</v>
      </c>
      <c r="B223" s="23">
        <v>37429</v>
      </c>
      <c r="C223" s="24">
        <v>2002</v>
      </c>
      <c r="D223" s="35" t="s">
        <v>28</v>
      </c>
      <c r="E223" s="30" t="s">
        <v>133</v>
      </c>
      <c r="F223" s="28" t="s">
        <v>210</v>
      </c>
      <c r="G223" s="33" t="s">
        <v>110</v>
      </c>
      <c r="H223" s="34" t="s">
        <v>341</v>
      </c>
      <c r="I223" s="20">
        <v>1</v>
      </c>
      <c r="J223" s="20">
        <v>4</v>
      </c>
      <c r="K223" s="20">
        <v>1</v>
      </c>
      <c r="L223" s="37">
        <v>0</v>
      </c>
      <c r="M223" s="37">
        <v>0</v>
      </c>
      <c r="N223" s="37">
        <v>0</v>
      </c>
      <c r="O223" s="37">
        <v>0</v>
      </c>
      <c r="P223" s="26">
        <v>0.05</v>
      </c>
      <c r="Q223" s="35" t="s">
        <v>154</v>
      </c>
    </row>
    <row r="224" spans="1:17" ht="144.75" x14ac:dyDescent="0.25">
      <c r="A224" s="23">
        <v>37434</v>
      </c>
      <c r="B224" s="23">
        <v>37434</v>
      </c>
      <c r="C224" s="24">
        <v>2002</v>
      </c>
      <c r="D224" s="35" t="s">
        <v>28</v>
      </c>
      <c r="E224" s="30" t="s">
        <v>133</v>
      </c>
      <c r="F224" s="7" t="s">
        <v>62</v>
      </c>
      <c r="G224" s="33" t="s">
        <v>342</v>
      </c>
      <c r="H224" s="34" t="s">
        <v>343</v>
      </c>
      <c r="I224" s="37">
        <v>0</v>
      </c>
      <c r="J224" s="20">
        <v>13</v>
      </c>
      <c r="K224" s="20">
        <v>0</v>
      </c>
      <c r="L224" s="37">
        <v>0</v>
      </c>
      <c r="M224" s="37">
        <v>0</v>
      </c>
      <c r="N224" s="37">
        <v>0</v>
      </c>
      <c r="O224" s="37">
        <v>0</v>
      </c>
      <c r="P224" s="26">
        <v>2.0448</v>
      </c>
      <c r="Q224" s="35" t="s">
        <v>154</v>
      </c>
    </row>
    <row r="225" spans="1:17" ht="48.75" x14ac:dyDescent="0.25">
      <c r="A225" s="23">
        <v>37445</v>
      </c>
      <c r="B225" s="23">
        <v>37445</v>
      </c>
      <c r="C225" s="24">
        <v>2002</v>
      </c>
      <c r="D225" s="35" t="s">
        <v>28</v>
      </c>
      <c r="E225" s="30" t="s">
        <v>133</v>
      </c>
      <c r="F225" s="28" t="s">
        <v>151</v>
      </c>
      <c r="G225" s="33" t="s">
        <v>344</v>
      </c>
      <c r="H225" s="34" t="s">
        <v>345</v>
      </c>
      <c r="I225" s="20">
        <v>1</v>
      </c>
      <c r="J225" s="20">
        <v>7</v>
      </c>
      <c r="K225" s="20">
        <v>0</v>
      </c>
      <c r="L225" s="37">
        <v>0</v>
      </c>
      <c r="M225" s="37">
        <v>0</v>
      </c>
      <c r="N225" s="37">
        <v>0</v>
      </c>
      <c r="O225" s="37">
        <v>0</v>
      </c>
      <c r="P225" s="38">
        <v>0</v>
      </c>
      <c r="Q225" s="35" t="s">
        <v>154</v>
      </c>
    </row>
    <row r="226" spans="1:17" ht="36.75" x14ac:dyDescent="0.25">
      <c r="A226" s="23">
        <v>37446</v>
      </c>
      <c r="B226" s="23">
        <v>37446</v>
      </c>
      <c r="C226" s="24">
        <v>2002</v>
      </c>
      <c r="D226" s="35" t="s">
        <v>28</v>
      </c>
      <c r="E226" s="30" t="s">
        <v>133</v>
      </c>
      <c r="F226" s="28" t="s">
        <v>160</v>
      </c>
      <c r="G226" s="33" t="s">
        <v>346</v>
      </c>
      <c r="H226" s="34" t="s">
        <v>347</v>
      </c>
      <c r="I226" s="37">
        <v>0</v>
      </c>
      <c r="J226" s="20">
        <v>1</v>
      </c>
      <c r="K226" s="20">
        <v>0</v>
      </c>
      <c r="L226" s="37">
        <v>0</v>
      </c>
      <c r="M226" s="37">
        <v>0</v>
      </c>
      <c r="N226" s="37">
        <v>0</v>
      </c>
      <c r="O226" s="37">
        <v>0</v>
      </c>
      <c r="P226" s="38">
        <v>0</v>
      </c>
      <c r="Q226" s="35" t="s">
        <v>154</v>
      </c>
    </row>
    <row r="227" spans="1:17" ht="72.75" x14ac:dyDescent="0.25">
      <c r="A227" s="23">
        <v>37447</v>
      </c>
      <c r="B227" s="23">
        <v>37447</v>
      </c>
      <c r="C227" s="24">
        <v>2002</v>
      </c>
      <c r="D227" s="35" t="s">
        <v>28</v>
      </c>
      <c r="E227" s="30" t="s">
        <v>133</v>
      </c>
      <c r="F227" s="7" t="s">
        <v>80</v>
      </c>
      <c r="G227" s="33" t="s">
        <v>348</v>
      </c>
      <c r="H227" s="34" t="s">
        <v>349</v>
      </c>
      <c r="I227" s="37">
        <v>0</v>
      </c>
      <c r="J227" s="20">
        <v>10</v>
      </c>
      <c r="K227" s="20">
        <v>0</v>
      </c>
      <c r="L227" s="37">
        <v>0</v>
      </c>
      <c r="M227" s="37">
        <v>0</v>
      </c>
      <c r="N227" s="37">
        <v>0</v>
      </c>
      <c r="O227" s="37">
        <v>0</v>
      </c>
      <c r="P227" s="26">
        <f>(12.5*25000)/1000000</f>
        <v>0.3125</v>
      </c>
      <c r="Q227" s="35" t="s">
        <v>154</v>
      </c>
    </row>
    <row r="228" spans="1:17" ht="24.75" x14ac:dyDescent="0.25">
      <c r="A228" s="23">
        <v>37449</v>
      </c>
      <c r="B228" s="23">
        <v>37449</v>
      </c>
      <c r="C228" s="24">
        <v>2002</v>
      </c>
      <c r="D228" s="35" t="s">
        <v>28</v>
      </c>
      <c r="E228" s="30" t="s">
        <v>133</v>
      </c>
      <c r="F228" s="28" t="s">
        <v>157</v>
      </c>
      <c r="G228" s="33" t="s">
        <v>110</v>
      </c>
      <c r="H228" s="34" t="s">
        <v>350</v>
      </c>
      <c r="I228" s="37">
        <v>0</v>
      </c>
      <c r="J228" s="20">
        <v>2</v>
      </c>
      <c r="K228" s="20">
        <v>0</v>
      </c>
      <c r="L228" s="37">
        <v>0</v>
      </c>
      <c r="M228" s="37">
        <v>0</v>
      </c>
      <c r="N228" s="37">
        <v>0</v>
      </c>
      <c r="O228" s="37">
        <v>0</v>
      </c>
      <c r="P228" s="26">
        <v>0.1</v>
      </c>
      <c r="Q228" s="35" t="s">
        <v>154</v>
      </c>
    </row>
    <row r="229" spans="1:17" ht="24.75" x14ac:dyDescent="0.25">
      <c r="A229" s="23">
        <v>37453</v>
      </c>
      <c r="B229" s="23">
        <v>37453</v>
      </c>
      <c r="C229" s="24">
        <v>2002</v>
      </c>
      <c r="D229" s="35" t="s">
        <v>28</v>
      </c>
      <c r="E229" s="30" t="s">
        <v>133</v>
      </c>
      <c r="F229" s="7" t="s">
        <v>56</v>
      </c>
      <c r="G229" s="33" t="s">
        <v>351</v>
      </c>
      <c r="H229" s="34" t="s">
        <v>352</v>
      </c>
      <c r="I229" s="37">
        <v>0</v>
      </c>
      <c r="J229" s="20">
        <v>1</v>
      </c>
      <c r="K229" s="20">
        <v>0</v>
      </c>
      <c r="L229" s="37">
        <v>0</v>
      </c>
      <c r="M229" s="37">
        <v>0</v>
      </c>
      <c r="N229" s="37">
        <v>0</v>
      </c>
      <c r="O229" s="37">
        <v>0</v>
      </c>
      <c r="P229" s="38">
        <v>0</v>
      </c>
      <c r="Q229" s="35" t="s">
        <v>154</v>
      </c>
    </row>
    <row r="230" spans="1:17" ht="36.75" x14ac:dyDescent="0.25">
      <c r="A230" s="23">
        <v>37456</v>
      </c>
      <c r="B230" s="23">
        <v>37456</v>
      </c>
      <c r="C230" s="24">
        <v>2002</v>
      </c>
      <c r="D230" s="35" t="s">
        <v>28</v>
      </c>
      <c r="E230" s="30" t="s">
        <v>133</v>
      </c>
      <c r="F230" s="7" t="s">
        <v>53</v>
      </c>
      <c r="G230" s="33" t="s">
        <v>353</v>
      </c>
      <c r="H230" s="34" t="s">
        <v>354</v>
      </c>
      <c r="I230" s="37">
        <v>0</v>
      </c>
      <c r="J230" s="20">
        <v>268</v>
      </c>
      <c r="K230" s="20">
        <v>0</v>
      </c>
      <c r="L230" s="37">
        <v>0</v>
      </c>
      <c r="M230" s="37">
        <v>0</v>
      </c>
      <c r="N230" s="37">
        <v>0</v>
      </c>
      <c r="O230" s="37">
        <v>0</v>
      </c>
      <c r="P230" s="38">
        <v>0</v>
      </c>
      <c r="Q230" s="35" t="s">
        <v>154</v>
      </c>
    </row>
    <row r="231" spans="1:17" ht="24.75" x14ac:dyDescent="0.25">
      <c r="A231" s="23">
        <v>37462</v>
      </c>
      <c r="B231" s="23">
        <v>37462</v>
      </c>
      <c r="C231" s="24">
        <v>2002</v>
      </c>
      <c r="D231" s="35" t="s">
        <v>28</v>
      </c>
      <c r="E231" s="30" t="s">
        <v>133</v>
      </c>
      <c r="F231" s="28" t="s">
        <v>157</v>
      </c>
      <c r="G231" s="33" t="s">
        <v>110</v>
      </c>
      <c r="H231" s="34" t="s">
        <v>355</v>
      </c>
      <c r="I231" s="37">
        <v>0</v>
      </c>
      <c r="J231" s="20">
        <v>6</v>
      </c>
      <c r="K231" s="20">
        <v>0</v>
      </c>
      <c r="L231" s="37">
        <v>0</v>
      </c>
      <c r="M231" s="37">
        <v>0</v>
      </c>
      <c r="N231" s="37">
        <v>0</v>
      </c>
      <c r="O231" s="37">
        <v>0</v>
      </c>
      <c r="P231" s="38">
        <v>0</v>
      </c>
      <c r="Q231" s="35" t="s">
        <v>154</v>
      </c>
    </row>
    <row r="232" spans="1:17" ht="48.75" x14ac:dyDescent="0.25">
      <c r="A232" s="23">
        <v>37466</v>
      </c>
      <c r="B232" s="23">
        <v>37466</v>
      </c>
      <c r="C232" s="24">
        <v>2002</v>
      </c>
      <c r="D232" s="35" t="s">
        <v>28</v>
      </c>
      <c r="E232" s="30" t="s">
        <v>133</v>
      </c>
      <c r="F232" s="28" t="s">
        <v>157</v>
      </c>
      <c r="G232" s="33" t="s">
        <v>110</v>
      </c>
      <c r="H232" s="34" t="s">
        <v>356</v>
      </c>
      <c r="I232" s="37">
        <v>0</v>
      </c>
      <c r="J232" s="20">
        <v>4</v>
      </c>
      <c r="K232" s="20">
        <v>0</v>
      </c>
      <c r="L232" s="37">
        <v>0</v>
      </c>
      <c r="M232" s="37">
        <v>0</v>
      </c>
      <c r="N232" s="37">
        <v>0</v>
      </c>
      <c r="O232" s="37">
        <v>0</v>
      </c>
      <c r="P232" s="26">
        <v>0.03</v>
      </c>
      <c r="Q232" s="35" t="s">
        <v>154</v>
      </c>
    </row>
    <row r="233" spans="1:17" ht="36.75" x14ac:dyDescent="0.25">
      <c r="A233" s="23">
        <v>37476</v>
      </c>
      <c r="B233" s="23">
        <v>37476</v>
      </c>
      <c r="C233" s="24">
        <v>2002</v>
      </c>
      <c r="D233" s="35" t="s">
        <v>28</v>
      </c>
      <c r="E233" s="30" t="s">
        <v>133</v>
      </c>
      <c r="F233" s="28" t="s">
        <v>157</v>
      </c>
      <c r="G233" s="33" t="s">
        <v>110</v>
      </c>
      <c r="H233" s="34" t="s">
        <v>357</v>
      </c>
      <c r="I233" s="37">
        <v>0</v>
      </c>
      <c r="J233" s="20">
        <v>5</v>
      </c>
      <c r="K233" s="20">
        <v>1</v>
      </c>
      <c r="L233" s="37">
        <v>0</v>
      </c>
      <c r="M233" s="37">
        <v>0</v>
      </c>
      <c r="N233" s="37">
        <v>0</v>
      </c>
      <c r="O233" s="37">
        <v>0</v>
      </c>
      <c r="P233" s="26">
        <v>0.03</v>
      </c>
      <c r="Q233" s="35" t="s">
        <v>154</v>
      </c>
    </row>
    <row r="234" spans="1:17" ht="48.75" x14ac:dyDescent="0.25">
      <c r="A234" s="23">
        <v>37496</v>
      </c>
      <c r="B234" s="23">
        <v>37496</v>
      </c>
      <c r="C234" s="24">
        <v>2002</v>
      </c>
      <c r="D234" s="35" t="s">
        <v>28</v>
      </c>
      <c r="E234" s="30" t="s">
        <v>133</v>
      </c>
      <c r="F234" s="7" t="s">
        <v>56</v>
      </c>
      <c r="G234" s="33" t="s">
        <v>358</v>
      </c>
      <c r="H234" s="34" t="s">
        <v>359</v>
      </c>
      <c r="I234" s="20">
        <v>2</v>
      </c>
      <c r="J234" s="20">
        <v>0</v>
      </c>
      <c r="K234" s="20">
        <v>0</v>
      </c>
      <c r="L234" s="37">
        <v>0</v>
      </c>
      <c r="M234" s="37">
        <v>0</v>
      </c>
      <c r="N234" s="37">
        <v>0</v>
      </c>
      <c r="O234" s="37">
        <v>0</v>
      </c>
      <c r="P234" s="38">
        <v>0</v>
      </c>
      <c r="Q234" s="35" t="s">
        <v>154</v>
      </c>
    </row>
    <row r="235" spans="1:17" ht="36.75" x14ac:dyDescent="0.25">
      <c r="A235" s="23">
        <v>37548</v>
      </c>
      <c r="B235" s="23">
        <v>37548</v>
      </c>
      <c r="C235" s="24">
        <v>2002</v>
      </c>
      <c r="D235" s="35" t="s">
        <v>28</v>
      </c>
      <c r="E235" s="30" t="s">
        <v>133</v>
      </c>
      <c r="F235" s="7" t="s">
        <v>53</v>
      </c>
      <c r="G235" s="33" t="s">
        <v>110</v>
      </c>
      <c r="H235" s="34" t="s">
        <v>360</v>
      </c>
      <c r="I235" s="20">
        <v>4</v>
      </c>
      <c r="J235" s="20">
        <v>0</v>
      </c>
      <c r="K235" s="20">
        <v>0</v>
      </c>
      <c r="L235" s="37">
        <v>0</v>
      </c>
      <c r="M235" s="37">
        <v>0</v>
      </c>
      <c r="N235" s="37">
        <v>0</v>
      </c>
      <c r="O235" s="37">
        <v>0</v>
      </c>
      <c r="P235" s="26">
        <v>0.03</v>
      </c>
      <c r="Q235" s="35" t="s">
        <v>154</v>
      </c>
    </row>
    <row r="236" spans="1:17" ht="48.75" x14ac:dyDescent="0.25">
      <c r="A236" s="23">
        <v>37553</v>
      </c>
      <c r="B236" s="23">
        <v>37553</v>
      </c>
      <c r="C236" s="24">
        <v>2002</v>
      </c>
      <c r="D236" s="35" t="s">
        <v>28</v>
      </c>
      <c r="E236" s="30" t="s">
        <v>133</v>
      </c>
      <c r="F236" s="7" t="s">
        <v>62</v>
      </c>
      <c r="G236" s="33" t="s">
        <v>110</v>
      </c>
      <c r="H236" s="34" t="s">
        <v>361</v>
      </c>
      <c r="I236" s="20">
        <v>1</v>
      </c>
      <c r="J236" s="20">
        <v>2</v>
      </c>
      <c r="K236" s="20">
        <v>0</v>
      </c>
      <c r="L236" s="37">
        <v>0</v>
      </c>
      <c r="M236" s="37">
        <v>0</v>
      </c>
      <c r="N236" s="37">
        <v>0</v>
      </c>
      <c r="O236" s="37">
        <v>0</v>
      </c>
      <c r="P236" s="38">
        <v>0</v>
      </c>
      <c r="Q236" s="35" t="s">
        <v>154</v>
      </c>
    </row>
    <row r="237" spans="1:17" ht="48.75" x14ac:dyDescent="0.25">
      <c r="A237" s="23">
        <v>37590</v>
      </c>
      <c r="B237" s="23">
        <v>37590</v>
      </c>
      <c r="C237" s="24">
        <v>2002</v>
      </c>
      <c r="D237" s="35" t="s">
        <v>28</v>
      </c>
      <c r="E237" s="30" t="s">
        <v>133</v>
      </c>
      <c r="F237" s="7" t="s">
        <v>97</v>
      </c>
      <c r="G237" s="33" t="s">
        <v>110</v>
      </c>
      <c r="H237" s="34" t="s">
        <v>362</v>
      </c>
      <c r="I237" s="37">
        <v>0</v>
      </c>
      <c r="J237" s="20">
        <v>4</v>
      </c>
      <c r="K237" s="20">
        <v>0</v>
      </c>
      <c r="L237" s="37">
        <v>0</v>
      </c>
      <c r="M237" s="37">
        <v>0</v>
      </c>
      <c r="N237" s="37">
        <v>0</v>
      </c>
      <c r="O237" s="37">
        <v>0</v>
      </c>
      <c r="P237" s="38">
        <v>0</v>
      </c>
      <c r="Q237" s="35" t="s">
        <v>154</v>
      </c>
    </row>
    <row r="238" spans="1:17" ht="60.75" x14ac:dyDescent="0.25">
      <c r="A238" s="23">
        <v>37595</v>
      </c>
      <c r="B238" s="23">
        <v>37595</v>
      </c>
      <c r="C238" s="24">
        <v>2002</v>
      </c>
      <c r="D238" s="35" t="s">
        <v>28</v>
      </c>
      <c r="E238" s="30" t="s">
        <v>133</v>
      </c>
      <c r="F238" s="7" t="s">
        <v>62</v>
      </c>
      <c r="G238" s="33" t="s">
        <v>110</v>
      </c>
      <c r="H238" s="34" t="s">
        <v>363</v>
      </c>
      <c r="I238" s="37">
        <v>0</v>
      </c>
      <c r="J238" s="20">
        <v>4</v>
      </c>
      <c r="K238" s="20">
        <v>0</v>
      </c>
      <c r="L238" s="37">
        <v>0</v>
      </c>
      <c r="M238" s="37">
        <v>0</v>
      </c>
      <c r="N238" s="37">
        <v>0</v>
      </c>
      <c r="O238" s="37">
        <v>0</v>
      </c>
      <c r="P238" s="26">
        <v>4.3749999999999997E-2</v>
      </c>
      <c r="Q238" s="35" t="s">
        <v>154</v>
      </c>
    </row>
    <row r="239" spans="1:17" ht="60.75" x14ac:dyDescent="0.25">
      <c r="A239" s="23">
        <v>37602</v>
      </c>
      <c r="B239" s="23">
        <v>37602</v>
      </c>
      <c r="C239" s="24">
        <v>2002</v>
      </c>
      <c r="D239" s="35" t="s">
        <v>28</v>
      </c>
      <c r="E239" s="30" t="s">
        <v>133</v>
      </c>
      <c r="F239" s="7" t="s">
        <v>53</v>
      </c>
      <c r="G239" s="33" t="s">
        <v>170</v>
      </c>
      <c r="H239" s="34" t="s">
        <v>364</v>
      </c>
      <c r="I239" s="37">
        <v>0</v>
      </c>
      <c r="J239" s="20">
        <v>25</v>
      </c>
      <c r="K239" s="20">
        <v>0</v>
      </c>
      <c r="L239" s="37">
        <v>0</v>
      </c>
      <c r="M239" s="37">
        <v>0</v>
      </c>
      <c r="N239" s="37">
        <v>0</v>
      </c>
      <c r="O239" s="37">
        <v>0</v>
      </c>
      <c r="P239" s="38">
        <v>0</v>
      </c>
      <c r="Q239" s="35" t="s">
        <v>154</v>
      </c>
    </row>
    <row r="240" spans="1:17" ht="60.75" x14ac:dyDescent="0.25">
      <c r="A240" s="23">
        <v>37607</v>
      </c>
      <c r="B240" s="23">
        <v>37607</v>
      </c>
      <c r="C240" s="24">
        <v>2002</v>
      </c>
      <c r="D240" s="35" t="s">
        <v>28</v>
      </c>
      <c r="E240" s="30" t="s">
        <v>133</v>
      </c>
      <c r="F240" s="7" t="s">
        <v>72</v>
      </c>
      <c r="G240" s="33" t="s">
        <v>365</v>
      </c>
      <c r="H240" s="34" t="s">
        <v>366</v>
      </c>
      <c r="I240" s="20">
        <v>3</v>
      </c>
      <c r="J240" s="20">
        <v>8</v>
      </c>
      <c r="K240" s="20">
        <v>0</v>
      </c>
      <c r="L240" s="37">
        <v>0</v>
      </c>
      <c r="M240" s="37">
        <v>0</v>
      </c>
      <c r="N240" s="37">
        <v>0</v>
      </c>
      <c r="O240" s="37">
        <v>0</v>
      </c>
      <c r="P240" s="26">
        <v>0.03</v>
      </c>
      <c r="Q240" s="35" t="s">
        <v>154</v>
      </c>
    </row>
    <row r="241" spans="1:17" ht="36.75" x14ac:dyDescent="0.25">
      <c r="A241" s="23">
        <v>37610</v>
      </c>
      <c r="B241" s="23">
        <v>37610</v>
      </c>
      <c r="C241" s="24">
        <v>2002</v>
      </c>
      <c r="D241" s="35" t="s">
        <v>28</v>
      </c>
      <c r="E241" s="30" t="s">
        <v>133</v>
      </c>
      <c r="F241" s="7" t="s">
        <v>53</v>
      </c>
      <c r="G241" s="33" t="s">
        <v>170</v>
      </c>
      <c r="H241" s="34" t="s">
        <v>367</v>
      </c>
      <c r="I241" s="37">
        <v>0</v>
      </c>
      <c r="J241" s="20">
        <v>3</v>
      </c>
      <c r="K241" s="20">
        <v>0</v>
      </c>
      <c r="L241" s="37">
        <v>0</v>
      </c>
      <c r="M241" s="37">
        <v>0</v>
      </c>
      <c r="N241" s="37">
        <v>0</v>
      </c>
      <c r="O241" s="37">
        <v>0</v>
      </c>
      <c r="P241" s="38">
        <v>0</v>
      </c>
      <c r="Q241" s="35" t="s">
        <v>154</v>
      </c>
    </row>
    <row r="242" spans="1:17" ht="60.75" x14ac:dyDescent="0.25">
      <c r="A242" s="23">
        <v>37621</v>
      </c>
      <c r="B242" s="23">
        <v>37621</v>
      </c>
      <c r="C242" s="24">
        <v>2002</v>
      </c>
      <c r="D242" s="35" t="s">
        <v>28</v>
      </c>
      <c r="E242" s="30" t="s">
        <v>133</v>
      </c>
      <c r="F242" s="28" t="s">
        <v>210</v>
      </c>
      <c r="G242" s="33" t="s">
        <v>110</v>
      </c>
      <c r="H242" s="34" t="s">
        <v>368</v>
      </c>
      <c r="I242" s="20">
        <v>30</v>
      </c>
      <c r="J242" s="20">
        <v>47</v>
      </c>
      <c r="K242" s="20">
        <v>0</v>
      </c>
      <c r="L242" s="37">
        <v>0</v>
      </c>
      <c r="M242" s="37">
        <v>0</v>
      </c>
      <c r="N242" s="37">
        <v>0</v>
      </c>
      <c r="O242" s="37">
        <v>0</v>
      </c>
      <c r="P242" s="26">
        <v>10</v>
      </c>
      <c r="Q242" s="35" t="s">
        <v>154</v>
      </c>
    </row>
    <row r="243" spans="1:17" ht="60.75" x14ac:dyDescent="0.25">
      <c r="A243" s="23">
        <v>37273</v>
      </c>
      <c r="B243" s="23">
        <v>37273</v>
      </c>
      <c r="C243" s="24">
        <v>2002</v>
      </c>
      <c r="D243" s="35" t="s">
        <v>28</v>
      </c>
      <c r="E243" s="6" t="s">
        <v>369</v>
      </c>
      <c r="F243" s="28" t="s">
        <v>151</v>
      </c>
      <c r="G243" s="33" t="s">
        <v>110</v>
      </c>
      <c r="H243" s="34" t="s">
        <v>370</v>
      </c>
      <c r="I243" s="37">
        <v>0</v>
      </c>
      <c r="J243" s="20">
        <v>0</v>
      </c>
      <c r="K243" s="20">
        <v>0</v>
      </c>
      <c r="L243" s="37">
        <v>0</v>
      </c>
      <c r="M243" s="37">
        <v>0</v>
      </c>
      <c r="N243" s="37">
        <v>0</v>
      </c>
      <c r="O243" s="37">
        <v>0</v>
      </c>
      <c r="P243" s="38">
        <v>0</v>
      </c>
      <c r="Q243" s="35" t="s">
        <v>154</v>
      </c>
    </row>
    <row r="244" spans="1:17" ht="60.75" x14ac:dyDescent="0.25">
      <c r="A244" s="23">
        <v>37273</v>
      </c>
      <c r="B244" s="23">
        <v>37273</v>
      </c>
      <c r="C244" s="24">
        <v>2002</v>
      </c>
      <c r="D244" s="35" t="s">
        <v>28</v>
      </c>
      <c r="E244" s="6" t="s">
        <v>369</v>
      </c>
      <c r="F244" s="7" t="s">
        <v>25</v>
      </c>
      <c r="G244" s="33" t="s">
        <v>110</v>
      </c>
      <c r="H244" s="34" t="s">
        <v>371</v>
      </c>
      <c r="I244" s="37">
        <v>0</v>
      </c>
      <c r="J244" s="20">
        <v>100</v>
      </c>
      <c r="K244" s="20">
        <v>0</v>
      </c>
      <c r="L244" s="37">
        <v>0</v>
      </c>
      <c r="M244" s="37">
        <v>0</v>
      </c>
      <c r="N244" s="37">
        <v>0</v>
      </c>
      <c r="O244" s="37">
        <v>0</v>
      </c>
      <c r="P244" s="26">
        <f>22000*12.5/1000000</f>
        <v>0.27500000000000002</v>
      </c>
      <c r="Q244" s="35" t="s">
        <v>154</v>
      </c>
    </row>
    <row r="245" spans="1:17" ht="72.75" x14ac:dyDescent="0.25">
      <c r="A245" s="23">
        <v>37276</v>
      </c>
      <c r="B245" s="23">
        <v>37276</v>
      </c>
      <c r="C245" s="24">
        <v>2002</v>
      </c>
      <c r="D245" s="35" t="s">
        <v>28</v>
      </c>
      <c r="E245" s="6" t="s">
        <v>369</v>
      </c>
      <c r="F245" s="28" t="s">
        <v>210</v>
      </c>
      <c r="G245" s="33" t="s">
        <v>110</v>
      </c>
      <c r="H245" s="34" t="s">
        <v>372</v>
      </c>
      <c r="I245" s="37">
        <v>0</v>
      </c>
      <c r="J245" s="20">
        <v>800</v>
      </c>
      <c r="K245" s="20">
        <v>0</v>
      </c>
      <c r="L245" s="37">
        <v>0</v>
      </c>
      <c r="M245" s="37">
        <v>0</v>
      </c>
      <c r="N245" s="37">
        <v>0</v>
      </c>
      <c r="O245" s="37">
        <v>0</v>
      </c>
      <c r="P245" s="38">
        <v>0</v>
      </c>
      <c r="Q245" s="35" t="s">
        <v>154</v>
      </c>
    </row>
    <row r="246" spans="1:17" ht="120.75" x14ac:dyDescent="0.25">
      <c r="A246" s="23">
        <v>37391</v>
      </c>
      <c r="B246" s="23">
        <v>37391</v>
      </c>
      <c r="C246" s="24">
        <v>2002</v>
      </c>
      <c r="D246" s="35" t="s">
        <v>28</v>
      </c>
      <c r="E246" s="6" t="s">
        <v>369</v>
      </c>
      <c r="F246" s="28" t="s">
        <v>210</v>
      </c>
      <c r="G246" s="33" t="s">
        <v>373</v>
      </c>
      <c r="H246" s="34" t="s">
        <v>374</v>
      </c>
      <c r="I246" s="37">
        <v>0</v>
      </c>
      <c r="J246" s="20">
        <v>5</v>
      </c>
      <c r="K246" s="20">
        <v>0</v>
      </c>
      <c r="L246" s="37">
        <v>0</v>
      </c>
      <c r="M246" s="37">
        <v>0</v>
      </c>
      <c r="N246" s="37">
        <v>0</v>
      </c>
      <c r="O246" s="37">
        <v>0</v>
      </c>
      <c r="P246" s="26">
        <v>5.8</v>
      </c>
      <c r="Q246" s="35" t="s">
        <v>154</v>
      </c>
    </row>
    <row r="247" spans="1:17" ht="120.75" x14ac:dyDescent="0.25">
      <c r="A247" s="23">
        <v>37411</v>
      </c>
      <c r="B247" s="23">
        <v>37411</v>
      </c>
      <c r="C247" s="24">
        <v>2002</v>
      </c>
      <c r="D247" s="35" t="s">
        <v>28</v>
      </c>
      <c r="E247" s="6" t="s">
        <v>369</v>
      </c>
      <c r="F247" s="7" t="s">
        <v>53</v>
      </c>
      <c r="G247" s="33" t="s">
        <v>110</v>
      </c>
      <c r="H247" s="34" t="s">
        <v>375</v>
      </c>
      <c r="I247" s="37">
        <v>0</v>
      </c>
      <c r="J247" s="20">
        <v>2000</v>
      </c>
      <c r="K247" s="20">
        <v>0</v>
      </c>
      <c r="L247" s="37">
        <v>0</v>
      </c>
      <c r="M247" s="37">
        <v>0</v>
      </c>
      <c r="N247" s="37">
        <v>0</v>
      </c>
      <c r="O247" s="37">
        <v>0</v>
      </c>
      <c r="P247" s="38">
        <v>0</v>
      </c>
      <c r="Q247" s="35" t="s">
        <v>154</v>
      </c>
    </row>
    <row r="248" spans="1:17" ht="84.75" x14ac:dyDescent="0.25">
      <c r="A248" s="23">
        <v>37423</v>
      </c>
      <c r="B248" s="23">
        <v>37423</v>
      </c>
      <c r="C248" s="24">
        <v>2002</v>
      </c>
      <c r="D248" s="35" t="s">
        <v>28</v>
      </c>
      <c r="E248" s="6" t="s">
        <v>369</v>
      </c>
      <c r="F248" s="28" t="s">
        <v>210</v>
      </c>
      <c r="G248" s="33" t="s">
        <v>376</v>
      </c>
      <c r="H248" s="34" t="s">
        <v>377</v>
      </c>
      <c r="I248" s="37">
        <v>0</v>
      </c>
      <c r="J248" s="20">
        <v>0</v>
      </c>
      <c r="K248" s="20">
        <v>0</v>
      </c>
      <c r="L248" s="37">
        <v>0</v>
      </c>
      <c r="M248" s="37">
        <v>0</v>
      </c>
      <c r="N248" s="37">
        <v>0</v>
      </c>
      <c r="O248" s="37">
        <v>0</v>
      </c>
      <c r="P248" s="38">
        <v>0</v>
      </c>
      <c r="Q248" s="35" t="s">
        <v>154</v>
      </c>
    </row>
    <row r="249" spans="1:17" ht="24.75" x14ac:dyDescent="0.25">
      <c r="A249" s="23">
        <v>37441</v>
      </c>
      <c r="B249" s="23">
        <v>37441</v>
      </c>
      <c r="C249" s="24">
        <v>2002</v>
      </c>
      <c r="D249" s="35" t="s">
        <v>28</v>
      </c>
      <c r="E249" s="6" t="s">
        <v>369</v>
      </c>
      <c r="F249" s="7" t="s">
        <v>87</v>
      </c>
      <c r="G249" s="33" t="s">
        <v>378</v>
      </c>
      <c r="H249" s="34" t="s">
        <v>379</v>
      </c>
      <c r="I249" s="37">
        <v>0</v>
      </c>
      <c r="J249" s="20">
        <v>0</v>
      </c>
      <c r="K249" s="20">
        <v>0</v>
      </c>
      <c r="L249" s="37">
        <v>0</v>
      </c>
      <c r="M249" s="37">
        <v>0</v>
      </c>
      <c r="N249" s="37">
        <v>0</v>
      </c>
      <c r="O249" s="37">
        <v>0</v>
      </c>
      <c r="P249" s="26">
        <v>2.5000000000000001E-2</v>
      </c>
      <c r="Q249" s="35" t="s">
        <v>154</v>
      </c>
    </row>
    <row r="250" spans="1:17" ht="48.75" x14ac:dyDescent="0.25">
      <c r="A250" s="23">
        <v>37274</v>
      </c>
      <c r="B250" s="23">
        <v>37274</v>
      </c>
      <c r="C250" s="24">
        <v>2002</v>
      </c>
      <c r="D250" s="35" t="s">
        <v>28</v>
      </c>
      <c r="E250" s="30" t="s">
        <v>125</v>
      </c>
      <c r="F250" s="7" t="s">
        <v>75</v>
      </c>
      <c r="G250" s="33" t="s">
        <v>110</v>
      </c>
      <c r="H250" s="34" t="s">
        <v>380</v>
      </c>
      <c r="I250" s="20">
        <v>1</v>
      </c>
      <c r="J250" s="20">
        <v>150</v>
      </c>
      <c r="K250" s="20">
        <v>37</v>
      </c>
      <c r="L250" s="20">
        <v>0</v>
      </c>
      <c r="M250" s="37">
        <v>0</v>
      </c>
      <c r="N250" s="37">
        <v>0</v>
      </c>
      <c r="O250" s="37">
        <v>0</v>
      </c>
      <c r="P250" s="26">
        <v>0.37</v>
      </c>
      <c r="Q250" s="35" t="s">
        <v>154</v>
      </c>
    </row>
    <row r="251" spans="1:17" ht="48.75" x14ac:dyDescent="0.25">
      <c r="A251" s="23">
        <v>37306</v>
      </c>
      <c r="B251" s="23">
        <v>37306</v>
      </c>
      <c r="C251" s="24">
        <v>2002</v>
      </c>
      <c r="D251" s="35" t="s">
        <v>28</v>
      </c>
      <c r="E251" s="30" t="s">
        <v>125</v>
      </c>
      <c r="F251" s="28" t="s">
        <v>157</v>
      </c>
      <c r="G251" s="33" t="s">
        <v>110</v>
      </c>
      <c r="H251" s="34" t="s">
        <v>381</v>
      </c>
      <c r="I251" s="37">
        <v>0</v>
      </c>
      <c r="J251" s="20">
        <v>10</v>
      </c>
      <c r="K251" s="20">
        <v>0</v>
      </c>
      <c r="L251" s="20">
        <v>0</v>
      </c>
      <c r="M251" s="37">
        <v>0</v>
      </c>
      <c r="N251" s="37">
        <v>0</v>
      </c>
      <c r="O251" s="37">
        <v>0</v>
      </c>
      <c r="P251" s="38">
        <v>0</v>
      </c>
      <c r="Q251" s="35" t="s">
        <v>154</v>
      </c>
    </row>
    <row r="252" spans="1:17" ht="108.75" x14ac:dyDescent="0.25">
      <c r="A252" s="23">
        <v>37307</v>
      </c>
      <c r="B252" s="23">
        <v>37307</v>
      </c>
      <c r="C252" s="24">
        <v>2002</v>
      </c>
      <c r="D252" s="35" t="s">
        <v>28</v>
      </c>
      <c r="E252" s="30" t="s">
        <v>125</v>
      </c>
      <c r="F252" s="7" t="s">
        <v>72</v>
      </c>
      <c r="G252" s="33" t="s">
        <v>110</v>
      </c>
      <c r="H252" s="34" t="s">
        <v>382</v>
      </c>
      <c r="I252" s="20">
        <v>2</v>
      </c>
      <c r="J252" s="20">
        <v>24</v>
      </c>
      <c r="K252" s="20">
        <v>0</v>
      </c>
      <c r="L252" s="20">
        <v>0</v>
      </c>
      <c r="M252" s="37">
        <v>0</v>
      </c>
      <c r="N252" s="37">
        <v>0</v>
      </c>
      <c r="O252" s="37">
        <v>0</v>
      </c>
      <c r="P252" s="38">
        <v>0</v>
      </c>
      <c r="Q252" s="35" t="s">
        <v>154</v>
      </c>
    </row>
    <row r="253" spans="1:17" ht="120.75" x14ac:dyDescent="0.25">
      <c r="A253" s="23">
        <v>37355</v>
      </c>
      <c r="B253" s="23">
        <v>37355</v>
      </c>
      <c r="C253" s="24">
        <v>2002</v>
      </c>
      <c r="D253" s="35" t="s">
        <v>28</v>
      </c>
      <c r="E253" s="30" t="s">
        <v>125</v>
      </c>
      <c r="F253" s="28" t="s">
        <v>210</v>
      </c>
      <c r="G253" s="33" t="s">
        <v>110</v>
      </c>
      <c r="H253" s="34" t="s">
        <v>383</v>
      </c>
      <c r="I253" s="37">
        <v>0</v>
      </c>
      <c r="J253" s="20">
        <v>0</v>
      </c>
      <c r="K253" s="20">
        <v>0</v>
      </c>
      <c r="L253" s="20">
        <v>0</v>
      </c>
      <c r="M253" s="37">
        <v>0</v>
      </c>
      <c r="N253" s="37">
        <v>0</v>
      </c>
      <c r="O253" s="37">
        <v>0</v>
      </c>
      <c r="P253" s="38">
        <v>0</v>
      </c>
      <c r="Q253" s="35" t="s">
        <v>154</v>
      </c>
    </row>
    <row r="254" spans="1:17" ht="108.75" x14ac:dyDescent="0.25">
      <c r="A254" s="23">
        <v>37386</v>
      </c>
      <c r="B254" s="23">
        <v>37386</v>
      </c>
      <c r="C254" s="24">
        <v>2002</v>
      </c>
      <c r="D254" s="35" t="s">
        <v>28</v>
      </c>
      <c r="E254" s="30" t="s">
        <v>125</v>
      </c>
      <c r="F254" s="7" t="s">
        <v>25</v>
      </c>
      <c r="G254" s="33" t="s">
        <v>110</v>
      </c>
      <c r="H254" s="34" t="s">
        <v>384</v>
      </c>
      <c r="I254" s="37">
        <v>0</v>
      </c>
      <c r="J254" s="20">
        <v>0</v>
      </c>
      <c r="K254" s="20">
        <v>0</v>
      </c>
      <c r="L254" s="20">
        <v>0</v>
      </c>
      <c r="M254" s="37">
        <v>0</v>
      </c>
      <c r="N254" s="37">
        <v>0</v>
      </c>
      <c r="O254" s="37">
        <v>0</v>
      </c>
      <c r="P254" s="26">
        <f>5.8*10000/1000000</f>
        <v>5.8000000000000003E-2</v>
      </c>
      <c r="Q254" s="35" t="s">
        <v>154</v>
      </c>
    </row>
    <row r="255" spans="1:17" x14ac:dyDescent="0.25">
      <c r="A255" s="23">
        <v>37447</v>
      </c>
      <c r="B255" s="23">
        <v>37447</v>
      </c>
      <c r="C255" s="24">
        <v>2002</v>
      </c>
      <c r="D255" s="35" t="s">
        <v>28</v>
      </c>
      <c r="E255" s="30" t="s">
        <v>125</v>
      </c>
      <c r="F255" s="7" t="s">
        <v>62</v>
      </c>
      <c r="G255" s="33" t="s">
        <v>110</v>
      </c>
      <c r="H255" s="34" t="s">
        <v>385</v>
      </c>
      <c r="I255" s="37">
        <v>0</v>
      </c>
      <c r="J255" s="20">
        <v>1</v>
      </c>
      <c r="K255" s="20">
        <v>0</v>
      </c>
      <c r="L255" s="20">
        <v>0</v>
      </c>
      <c r="M255" s="37">
        <v>0</v>
      </c>
      <c r="N255" s="37">
        <v>0</v>
      </c>
      <c r="O255" s="37">
        <v>0</v>
      </c>
      <c r="P255" s="38">
        <v>0</v>
      </c>
      <c r="Q255" s="35" t="s">
        <v>154</v>
      </c>
    </row>
    <row r="256" spans="1:17" ht="24.75" x14ac:dyDescent="0.25">
      <c r="A256" s="23">
        <v>37348</v>
      </c>
      <c r="B256" s="23">
        <v>37348</v>
      </c>
      <c r="C256" s="24">
        <v>2002</v>
      </c>
      <c r="D256" s="35" t="s">
        <v>28</v>
      </c>
      <c r="E256" s="40" t="s">
        <v>29</v>
      </c>
      <c r="F256" s="7" t="s">
        <v>82</v>
      </c>
      <c r="G256" s="33" t="s">
        <v>386</v>
      </c>
      <c r="H256" s="34" t="s">
        <v>387</v>
      </c>
      <c r="I256" s="37">
        <v>0</v>
      </c>
      <c r="J256" s="20">
        <v>0</v>
      </c>
      <c r="K256" s="20">
        <v>0</v>
      </c>
      <c r="L256" s="20">
        <v>0</v>
      </c>
      <c r="M256" s="37">
        <v>0</v>
      </c>
      <c r="N256" s="37">
        <v>0</v>
      </c>
      <c r="O256" s="37">
        <v>0</v>
      </c>
      <c r="P256" s="26">
        <v>22</v>
      </c>
      <c r="Q256" s="35" t="s">
        <v>154</v>
      </c>
    </row>
    <row r="257" spans="1:17" ht="36.75" x14ac:dyDescent="0.25">
      <c r="A257" s="23">
        <v>37357</v>
      </c>
      <c r="B257" s="23">
        <v>37357</v>
      </c>
      <c r="C257" s="24">
        <v>2002</v>
      </c>
      <c r="D257" s="35" t="s">
        <v>28</v>
      </c>
      <c r="E257" s="40" t="s">
        <v>29</v>
      </c>
      <c r="F257" s="7" t="s">
        <v>53</v>
      </c>
      <c r="G257" s="33" t="s">
        <v>110</v>
      </c>
      <c r="H257" s="34" t="s">
        <v>388</v>
      </c>
      <c r="I257" s="37">
        <v>0</v>
      </c>
      <c r="J257" s="20">
        <v>0</v>
      </c>
      <c r="K257" s="20">
        <v>0</v>
      </c>
      <c r="L257" s="20">
        <v>0</v>
      </c>
      <c r="M257" s="37">
        <v>0</v>
      </c>
      <c r="N257" s="37">
        <v>0</v>
      </c>
      <c r="O257" s="37">
        <v>0</v>
      </c>
      <c r="P257" s="26">
        <v>88.1</v>
      </c>
      <c r="Q257" s="35" t="s">
        <v>154</v>
      </c>
    </row>
    <row r="258" spans="1:17" ht="36.75" x14ac:dyDescent="0.25">
      <c r="A258" s="23">
        <v>37357</v>
      </c>
      <c r="B258" s="23">
        <v>37357</v>
      </c>
      <c r="C258" s="24">
        <v>2002</v>
      </c>
      <c r="D258" s="35" t="s">
        <v>28</v>
      </c>
      <c r="E258" s="40" t="s">
        <v>29</v>
      </c>
      <c r="F258" s="28" t="s">
        <v>210</v>
      </c>
      <c r="G258" s="33" t="s">
        <v>110</v>
      </c>
      <c r="H258" s="34" t="s">
        <v>389</v>
      </c>
      <c r="I258" s="37">
        <v>0</v>
      </c>
      <c r="J258" s="20">
        <v>0</v>
      </c>
      <c r="K258" s="20">
        <v>0</v>
      </c>
      <c r="L258" s="20">
        <v>0</v>
      </c>
      <c r="M258" s="37">
        <v>0</v>
      </c>
      <c r="N258" s="37">
        <v>0</v>
      </c>
      <c r="O258" s="37">
        <v>0</v>
      </c>
      <c r="P258" s="26">
        <v>0.06</v>
      </c>
      <c r="Q258" s="35" t="s">
        <v>154</v>
      </c>
    </row>
    <row r="259" spans="1:17" ht="24.75" x14ac:dyDescent="0.25">
      <c r="A259" s="23">
        <v>37371</v>
      </c>
      <c r="B259" s="23">
        <v>37371</v>
      </c>
      <c r="C259" s="24">
        <v>2002</v>
      </c>
      <c r="D259" s="35" t="s">
        <v>28</v>
      </c>
      <c r="E259" s="40" t="s">
        <v>29</v>
      </c>
      <c r="F259" s="7" t="s">
        <v>40</v>
      </c>
      <c r="G259" s="33" t="s">
        <v>110</v>
      </c>
      <c r="H259" s="34" t="s">
        <v>390</v>
      </c>
      <c r="I259" s="37">
        <v>0</v>
      </c>
      <c r="J259" s="20">
        <v>0</v>
      </c>
      <c r="K259" s="20">
        <v>0</v>
      </c>
      <c r="L259" s="20">
        <v>0</v>
      </c>
      <c r="M259" s="37">
        <v>0</v>
      </c>
      <c r="N259" s="37">
        <v>0</v>
      </c>
      <c r="O259" s="37">
        <v>0</v>
      </c>
      <c r="P259" s="26">
        <v>41</v>
      </c>
      <c r="Q259" s="35" t="s">
        <v>154</v>
      </c>
    </row>
    <row r="260" spans="1:17" x14ac:dyDescent="0.25">
      <c r="A260" s="23">
        <v>37374</v>
      </c>
      <c r="B260" s="23">
        <v>37374</v>
      </c>
      <c r="C260" s="24">
        <v>2002</v>
      </c>
      <c r="D260" s="35" t="s">
        <v>28</v>
      </c>
      <c r="E260" s="40" t="s">
        <v>29</v>
      </c>
      <c r="F260" s="28" t="s">
        <v>151</v>
      </c>
      <c r="G260" s="33" t="s">
        <v>110</v>
      </c>
      <c r="H260" s="34" t="s">
        <v>391</v>
      </c>
      <c r="I260" s="37">
        <v>0</v>
      </c>
      <c r="J260" s="20">
        <v>0</v>
      </c>
      <c r="K260" s="20">
        <v>0</v>
      </c>
      <c r="L260" s="20">
        <v>0</v>
      </c>
      <c r="M260" s="37">
        <v>0</v>
      </c>
      <c r="N260" s="37">
        <v>0</v>
      </c>
      <c r="O260" s="37">
        <v>0</v>
      </c>
      <c r="P260" s="26">
        <v>10</v>
      </c>
      <c r="Q260" s="35" t="s">
        <v>154</v>
      </c>
    </row>
    <row r="261" spans="1:17" x14ac:dyDescent="0.25">
      <c r="A261" s="23">
        <v>37403</v>
      </c>
      <c r="B261" s="23">
        <v>37403</v>
      </c>
      <c r="C261" s="24">
        <v>2002</v>
      </c>
      <c r="D261" s="35" t="s">
        <v>28</v>
      </c>
      <c r="E261" s="40" t="s">
        <v>29</v>
      </c>
      <c r="F261" s="7" t="s">
        <v>33</v>
      </c>
      <c r="G261" s="33" t="s">
        <v>110</v>
      </c>
      <c r="H261" s="34" t="s">
        <v>164</v>
      </c>
      <c r="I261" s="37">
        <v>0</v>
      </c>
      <c r="J261" s="20">
        <v>0</v>
      </c>
      <c r="K261" s="20">
        <v>0</v>
      </c>
      <c r="L261" s="20">
        <v>0</v>
      </c>
      <c r="M261" s="37">
        <v>0</v>
      </c>
      <c r="N261" s="37">
        <v>0</v>
      </c>
      <c r="O261" s="37">
        <v>0</v>
      </c>
      <c r="P261" s="38">
        <v>0</v>
      </c>
      <c r="Q261" s="35" t="s">
        <v>154</v>
      </c>
    </row>
    <row r="262" spans="1:17" ht="24.75" x14ac:dyDescent="0.25">
      <c r="A262" s="23">
        <v>37426</v>
      </c>
      <c r="B262" s="23">
        <v>37426</v>
      </c>
      <c r="C262" s="24">
        <v>2002</v>
      </c>
      <c r="D262" s="35" t="s">
        <v>28</v>
      </c>
      <c r="E262" s="40" t="s">
        <v>29</v>
      </c>
      <c r="F262" s="7" t="s">
        <v>87</v>
      </c>
      <c r="G262" s="33" t="s">
        <v>392</v>
      </c>
      <c r="H262" s="34" t="s">
        <v>393</v>
      </c>
      <c r="I262" s="37">
        <v>0</v>
      </c>
      <c r="J262" s="20">
        <v>0</v>
      </c>
      <c r="K262" s="20">
        <v>0</v>
      </c>
      <c r="L262" s="20">
        <v>0</v>
      </c>
      <c r="M262" s="37">
        <v>0</v>
      </c>
      <c r="N262" s="37">
        <v>0</v>
      </c>
      <c r="O262" s="37">
        <v>0</v>
      </c>
      <c r="P262" s="26">
        <v>0.01</v>
      </c>
      <c r="Q262" s="35" t="s">
        <v>154</v>
      </c>
    </row>
    <row r="263" spans="1:17" x14ac:dyDescent="0.25">
      <c r="A263" s="23">
        <v>37492</v>
      </c>
      <c r="B263" s="23">
        <v>37492</v>
      </c>
      <c r="C263" s="24">
        <v>2002</v>
      </c>
      <c r="D263" s="35" t="s">
        <v>28</v>
      </c>
      <c r="E263" s="40" t="s">
        <v>29</v>
      </c>
      <c r="F263" s="7" t="s">
        <v>30</v>
      </c>
      <c r="G263" s="33" t="s">
        <v>110</v>
      </c>
      <c r="H263" s="34" t="s">
        <v>394</v>
      </c>
      <c r="I263" s="37">
        <v>0</v>
      </c>
      <c r="J263" s="20">
        <v>0</v>
      </c>
      <c r="K263" s="20">
        <v>0</v>
      </c>
      <c r="L263" s="20">
        <v>0</v>
      </c>
      <c r="M263" s="37">
        <v>0</v>
      </c>
      <c r="N263" s="37">
        <v>0</v>
      </c>
      <c r="O263" s="37">
        <v>0</v>
      </c>
      <c r="P263" s="38">
        <v>0</v>
      </c>
      <c r="Q263" s="35" t="s">
        <v>154</v>
      </c>
    </row>
    <row r="264" spans="1:17" ht="48.75" x14ac:dyDescent="0.25">
      <c r="A264" s="23">
        <v>37496</v>
      </c>
      <c r="B264" s="23">
        <v>37496</v>
      </c>
      <c r="C264" s="24">
        <v>2002</v>
      </c>
      <c r="D264" s="35" t="s">
        <v>28</v>
      </c>
      <c r="E264" s="40" t="s">
        <v>29</v>
      </c>
      <c r="F264" s="7" t="s">
        <v>30</v>
      </c>
      <c r="G264" s="33" t="s">
        <v>395</v>
      </c>
      <c r="H264" s="34" t="s">
        <v>396</v>
      </c>
      <c r="I264" s="37">
        <v>0</v>
      </c>
      <c r="J264" s="20">
        <v>0</v>
      </c>
      <c r="K264" s="20">
        <v>0</v>
      </c>
      <c r="L264" s="20">
        <v>0</v>
      </c>
      <c r="M264" s="37">
        <v>0</v>
      </c>
      <c r="N264" s="37">
        <v>0</v>
      </c>
      <c r="O264" s="37">
        <v>0</v>
      </c>
      <c r="P264" s="26">
        <f>9000*1000/1000000</f>
        <v>9</v>
      </c>
      <c r="Q264" s="35" t="s">
        <v>154</v>
      </c>
    </row>
    <row r="265" spans="1:17" ht="84.75" x14ac:dyDescent="0.25">
      <c r="A265" s="23">
        <v>37547</v>
      </c>
      <c r="B265" s="23">
        <v>37547</v>
      </c>
      <c r="C265" s="24">
        <v>2002</v>
      </c>
      <c r="D265" s="35" t="s">
        <v>28</v>
      </c>
      <c r="E265" s="40" t="s">
        <v>149</v>
      </c>
      <c r="F265" s="28" t="s">
        <v>160</v>
      </c>
      <c r="G265" s="33" t="s">
        <v>110</v>
      </c>
      <c r="H265" s="34" t="s">
        <v>397</v>
      </c>
      <c r="I265" s="37">
        <v>0</v>
      </c>
      <c r="J265" s="20">
        <v>1</v>
      </c>
      <c r="K265" s="20">
        <v>0</v>
      </c>
      <c r="L265" s="20">
        <v>0</v>
      </c>
      <c r="M265" s="37">
        <v>0</v>
      </c>
      <c r="N265" s="37">
        <v>0</v>
      </c>
      <c r="O265" s="37">
        <v>0</v>
      </c>
      <c r="P265" s="38">
        <v>0</v>
      </c>
      <c r="Q265" s="35" t="s">
        <v>154</v>
      </c>
    </row>
    <row r="266" spans="1:17" ht="60.75" x14ac:dyDescent="0.25">
      <c r="A266" s="23">
        <v>37547</v>
      </c>
      <c r="B266" s="23">
        <v>37547</v>
      </c>
      <c r="C266" s="24">
        <v>2002</v>
      </c>
      <c r="D266" s="35" t="s">
        <v>28</v>
      </c>
      <c r="E266" s="40" t="s">
        <v>149</v>
      </c>
      <c r="F266" s="7" t="s">
        <v>36</v>
      </c>
      <c r="G266" s="33" t="s">
        <v>310</v>
      </c>
      <c r="H266" s="34" t="s">
        <v>398</v>
      </c>
      <c r="I266" s="37">
        <v>0</v>
      </c>
      <c r="J266" s="20">
        <v>15</v>
      </c>
      <c r="K266" s="20">
        <v>3</v>
      </c>
      <c r="L266" s="20">
        <v>0</v>
      </c>
      <c r="M266" s="37">
        <v>0</v>
      </c>
      <c r="N266" s="37">
        <v>0</v>
      </c>
      <c r="O266" s="37">
        <v>0</v>
      </c>
      <c r="P266" s="26">
        <v>0.1</v>
      </c>
      <c r="Q266" s="35" t="s">
        <v>154</v>
      </c>
    </row>
    <row r="267" spans="1:17" ht="36.75" x14ac:dyDescent="0.25">
      <c r="A267" s="23">
        <v>37593</v>
      </c>
      <c r="B267" s="23">
        <v>37593</v>
      </c>
      <c r="C267" s="24">
        <v>2002</v>
      </c>
      <c r="D267" s="35" t="s">
        <v>28</v>
      </c>
      <c r="E267" s="40" t="s">
        <v>149</v>
      </c>
      <c r="F267" s="28" t="s">
        <v>157</v>
      </c>
      <c r="G267" s="33" t="s">
        <v>110</v>
      </c>
      <c r="H267" s="34" t="s">
        <v>399</v>
      </c>
      <c r="I267" s="37">
        <v>0</v>
      </c>
      <c r="J267" s="20">
        <v>1</v>
      </c>
      <c r="K267" s="20">
        <v>0</v>
      </c>
      <c r="L267" s="20">
        <v>0</v>
      </c>
      <c r="M267" s="37">
        <v>0</v>
      </c>
      <c r="N267" s="37">
        <v>0</v>
      </c>
      <c r="O267" s="37">
        <v>0</v>
      </c>
      <c r="P267" s="38">
        <v>0</v>
      </c>
      <c r="Q267" s="35" t="s">
        <v>154</v>
      </c>
    </row>
    <row r="268" spans="1:17" ht="36.75" x14ac:dyDescent="0.25">
      <c r="A268" s="23">
        <v>37595</v>
      </c>
      <c r="B268" s="23">
        <v>37595</v>
      </c>
      <c r="C268" s="24">
        <v>2002</v>
      </c>
      <c r="D268" s="35" t="s">
        <v>28</v>
      </c>
      <c r="E268" s="40" t="s">
        <v>149</v>
      </c>
      <c r="F268" s="7" t="s">
        <v>75</v>
      </c>
      <c r="G268" s="33" t="s">
        <v>110</v>
      </c>
      <c r="H268" s="34" t="s">
        <v>400</v>
      </c>
      <c r="I268" s="37">
        <v>0</v>
      </c>
      <c r="J268" s="20">
        <v>1</v>
      </c>
      <c r="K268" s="20">
        <v>0</v>
      </c>
      <c r="L268" s="20">
        <v>0</v>
      </c>
      <c r="M268" s="37">
        <v>0</v>
      </c>
      <c r="N268" s="37">
        <v>0</v>
      </c>
      <c r="O268" s="37">
        <v>0</v>
      </c>
      <c r="P268" s="38">
        <v>0</v>
      </c>
      <c r="Q268" s="35" t="s">
        <v>154</v>
      </c>
    </row>
    <row r="269" spans="1:17" ht="36.75" x14ac:dyDescent="0.25">
      <c r="A269" s="23">
        <v>37615</v>
      </c>
      <c r="B269" s="23">
        <v>37615</v>
      </c>
      <c r="C269" s="24">
        <v>2002</v>
      </c>
      <c r="D269" s="35" t="s">
        <v>28</v>
      </c>
      <c r="E269" s="40" t="s">
        <v>149</v>
      </c>
      <c r="F269" s="28" t="s">
        <v>157</v>
      </c>
      <c r="G269" s="33" t="s">
        <v>401</v>
      </c>
      <c r="H269" s="34" t="s">
        <v>402</v>
      </c>
      <c r="I269" s="37">
        <v>0</v>
      </c>
      <c r="J269" s="20">
        <v>0</v>
      </c>
      <c r="K269" s="20">
        <v>0</v>
      </c>
      <c r="L269" s="20">
        <v>0</v>
      </c>
      <c r="M269" s="37">
        <v>0</v>
      </c>
      <c r="N269" s="37">
        <v>0</v>
      </c>
      <c r="O269" s="37">
        <v>0</v>
      </c>
      <c r="P269" s="26">
        <v>2.4E-2</v>
      </c>
      <c r="Q269" s="35" t="s">
        <v>154</v>
      </c>
    </row>
    <row r="270" spans="1:17" ht="36.75" x14ac:dyDescent="0.25">
      <c r="A270" s="23">
        <v>37619</v>
      </c>
      <c r="B270" s="23">
        <v>37619</v>
      </c>
      <c r="C270" s="24">
        <v>2002</v>
      </c>
      <c r="D270" s="35" t="s">
        <v>28</v>
      </c>
      <c r="E270" s="40" t="s">
        <v>149</v>
      </c>
      <c r="F270" s="28" t="s">
        <v>157</v>
      </c>
      <c r="G270" s="33" t="s">
        <v>110</v>
      </c>
      <c r="H270" s="34" t="s">
        <v>403</v>
      </c>
      <c r="I270" s="37">
        <v>0</v>
      </c>
      <c r="J270" s="20">
        <v>2</v>
      </c>
      <c r="K270" s="20">
        <v>0</v>
      </c>
      <c r="L270" s="20">
        <v>0</v>
      </c>
      <c r="M270" s="37">
        <v>0</v>
      </c>
      <c r="N270" s="37">
        <v>0</v>
      </c>
      <c r="O270" s="37">
        <v>0</v>
      </c>
      <c r="P270" s="38">
        <v>0</v>
      </c>
      <c r="Q270" s="35" t="s">
        <v>154</v>
      </c>
    </row>
    <row r="271" spans="1:17" ht="36.75" x14ac:dyDescent="0.25">
      <c r="A271" s="23">
        <v>37343</v>
      </c>
      <c r="B271" s="23">
        <v>37343</v>
      </c>
      <c r="C271" s="24">
        <v>2002</v>
      </c>
      <c r="D271" s="24" t="s">
        <v>130</v>
      </c>
      <c r="E271" s="30" t="s">
        <v>136</v>
      </c>
      <c r="F271" s="7" t="s">
        <v>53</v>
      </c>
      <c r="G271" s="33" t="s">
        <v>110</v>
      </c>
      <c r="H271" s="34" t="s">
        <v>404</v>
      </c>
      <c r="I271" s="20">
        <v>2</v>
      </c>
      <c r="J271" s="20">
        <v>0</v>
      </c>
      <c r="K271" s="20">
        <v>0</v>
      </c>
      <c r="L271" s="20">
        <v>0</v>
      </c>
      <c r="M271" s="37">
        <v>0</v>
      </c>
      <c r="N271" s="37">
        <v>0</v>
      </c>
      <c r="O271" s="37">
        <v>0</v>
      </c>
      <c r="P271" s="38">
        <v>0</v>
      </c>
      <c r="Q271" s="35" t="s">
        <v>154</v>
      </c>
    </row>
    <row r="272" spans="1:17" x14ac:dyDescent="0.25">
      <c r="A272" s="23">
        <v>37337</v>
      </c>
      <c r="B272" s="23">
        <v>37337</v>
      </c>
      <c r="C272" s="24">
        <v>2002</v>
      </c>
      <c r="D272" s="24" t="s">
        <v>130</v>
      </c>
      <c r="E272" s="30" t="s">
        <v>136</v>
      </c>
      <c r="F272" s="7" t="s">
        <v>40</v>
      </c>
      <c r="G272" s="33" t="s">
        <v>110</v>
      </c>
      <c r="H272" s="34" t="s">
        <v>164</v>
      </c>
      <c r="I272" s="37">
        <v>0</v>
      </c>
      <c r="J272" s="20">
        <v>0</v>
      </c>
      <c r="K272" s="20">
        <v>0</v>
      </c>
      <c r="L272" s="20">
        <v>0</v>
      </c>
      <c r="M272" s="37">
        <v>0</v>
      </c>
      <c r="N272" s="37">
        <v>0</v>
      </c>
      <c r="O272" s="37">
        <v>0</v>
      </c>
      <c r="P272" s="38">
        <v>0</v>
      </c>
      <c r="Q272" s="35" t="s">
        <v>154</v>
      </c>
    </row>
    <row r="273" spans="1:17" ht="96.75" x14ac:dyDescent="0.25">
      <c r="A273" s="23">
        <v>37317</v>
      </c>
      <c r="B273" s="23">
        <v>37317</v>
      </c>
      <c r="C273" s="24">
        <v>2002</v>
      </c>
      <c r="D273" s="24" t="s">
        <v>130</v>
      </c>
      <c r="E273" s="41" t="s">
        <v>405</v>
      </c>
      <c r="F273" s="7" t="s">
        <v>84</v>
      </c>
      <c r="G273" s="33" t="s">
        <v>110</v>
      </c>
      <c r="H273" s="34" t="s">
        <v>406</v>
      </c>
      <c r="I273" s="37">
        <v>0</v>
      </c>
      <c r="J273" s="20">
        <v>0</v>
      </c>
      <c r="K273" s="20">
        <v>0</v>
      </c>
      <c r="L273" s="20">
        <v>0</v>
      </c>
      <c r="M273" s="37">
        <v>0</v>
      </c>
      <c r="N273" s="37">
        <v>0</v>
      </c>
      <c r="O273" s="37">
        <v>0</v>
      </c>
      <c r="P273" s="38">
        <v>0</v>
      </c>
      <c r="Q273" s="35" t="s">
        <v>154</v>
      </c>
    </row>
    <row r="274" spans="1:17" ht="36.75" x14ac:dyDescent="0.25">
      <c r="A274" s="23">
        <v>37302</v>
      </c>
      <c r="B274" s="23">
        <v>37302</v>
      </c>
      <c r="C274" s="24">
        <v>2002</v>
      </c>
      <c r="D274" s="24" t="s">
        <v>130</v>
      </c>
      <c r="E274" s="30" t="s">
        <v>136</v>
      </c>
      <c r="F274" s="7" t="s">
        <v>60</v>
      </c>
      <c r="G274" s="33" t="s">
        <v>110</v>
      </c>
      <c r="H274" s="34" t="s">
        <v>407</v>
      </c>
      <c r="I274" s="37">
        <v>0</v>
      </c>
      <c r="J274" s="20">
        <v>0</v>
      </c>
      <c r="K274" s="20">
        <v>0</v>
      </c>
      <c r="L274" s="20">
        <v>0</v>
      </c>
      <c r="M274" s="37">
        <v>0</v>
      </c>
      <c r="N274" s="37">
        <v>0</v>
      </c>
      <c r="O274" s="37">
        <v>0</v>
      </c>
      <c r="P274" s="38">
        <v>0</v>
      </c>
      <c r="Q274" s="35" t="s">
        <v>154</v>
      </c>
    </row>
    <row r="275" spans="1:17" ht="132.75" x14ac:dyDescent="0.25">
      <c r="A275" s="23">
        <v>37454</v>
      </c>
      <c r="B275" s="23">
        <v>37454</v>
      </c>
      <c r="C275" s="24">
        <v>2002</v>
      </c>
      <c r="D275" s="24" t="s">
        <v>130</v>
      </c>
      <c r="E275" s="28" t="s">
        <v>408</v>
      </c>
      <c r="F275" s="7" t="s">
        <v>87</v>
      </c>
      <c r="G275" s="33" t="s">
        <v>110</v>
      </c>
      <c r="H275" s="34" t="s">
        <v>409</v>
      </c>
      <c r="I275" s="37">
        <v>0</v>
      </c>
      <c r="J275" s="20">
        <v>0</v>
      </c>
      <c r="K275" s="20">
        <v>0</v>
      </c>
      <c r="L275" s="20">
        <v>0</v>
      </c>
      <c r="M275" s="37">
        <v>0</v>
      </c>
      <c r="N275" s="37">
        <v>0</v>
      </c>
      <c r="O275" s="37">
        <v>0</v>
      </c>
      <c r="P275" s="38">
        <v>0</v>
      </c>
      <c r="Q275" s="35" t="s">
        <v>154</v>
      </c>
    </row>
    <row r="276" spans="1:17" ht="108.75" x14ac:dyDescent="0.25">
      <c r="A276" s="23">
        <v>37479</v>
      </c>
      <c r="B276" s="23">
        <v>37479</v>
      </c>
      <c r="C276" s="24">
        <v>2002</v>
      </c>
      <c r="D276" s="24" t="s">
        <v>130</v>
      </c>
      <c r="E276" s="28" t="s">
        <v>131</v>
      </c>
      <c r="F276" s="7" t="s">
        <v>72</v>
      </c>
      <c r="G276" s="33" t="s">
        <v>110</v>
      </c>
      <c r="H276" s="34" t="s">
        <v>410</v>
      </c>
      <c r="I276" s="20">
        <v>2</v>
      </c>
      <c r="J276" s="20">
        <v>0</v>
      </c>
      <c r="K276" s="20">
        <v>0</v>
      </c>
      <c r="L276" s="20">
        <v>0</v>
      </c>
      <c r="M276" s="37">
        <v>0</v>
      </c>
      <c r="N276" s="37">
        <v>0</v>
      </c>
      <c r="O276" s="37">
        <v>0</v>
      </c>
      <c r="P276" s="38">
        <v>0</v>
      </c>
      <c r="Q276" s="35" t="s">
        <v>154</v>
      </c>
    </row>
    <row r="277" spans="1:17" ht="132.75" x14ac:dyDescent="0.25">
      <c r="A277" s="23">
        <v>37489</v>
      </c>
      <c r="B277" s="23">
        <v>37489</v>
      </c>
      <c r="C277" s="24">
        <v>2002</v>
      </c>
      <c r="D277" s="24" t="s">
        <v>130</v>
      </c>
      <c r="E277" s="28" t="s">
        <v>131</v>
      </c>
      <c r="F277" s="7" t="s">
        <v>99</v>
      </c>
      <c r="G277" s="33" t="s">
        <v>26</v>
      </c>
      <c r="H277" s="34" t="s">
        <v>411</v>
      </c>
      <c r="I277" s="20">
        <v>5</v>
      </c>
      <c r="J277" s="20">
        <v>3032</v>
      </c>
      <c r="K277" s="20">
        <v>0</v>
      </c>
      <c r="L277" s="20">
        <v>0</v>
      </c>
      <c r="M277" s="37">
        <v>0</v>
      </c>
      <c r="N277" s="37">
        <v>0</v>
      </c>
      <c r="O277" s="37">
        <v>0</v>
      </c>
      <c r="P277" s="26">
        <v>50</v>
      </c>
      <c r="Q277" s="35" t="s">
        <v>154</v>
      </c>
    </row>
    <row r="278" spans="1:17" ht="36.75" x14ac:dyDescent="0.25">
      <c r="A278" s="23">
        <v>37257</v>
      </c>
      <c r="B278" s="23">
        <v>37257</v>
      </c>
      <c r="C278" s="24">
        <v>2002</v>
      </c>
      <c r="D278" s="24" t="s">
        <v>141</v>
      </c>
      <c r="E278" s="30" t="s">
        <v>133</v>
      </c>
      <c r="F278" s="28" t="s">
        <v>160</v>
      </c>
      <c r="G278" s="33" t="s">
        <v>110</v>
      </c>
      <c r="H278" s="34" t="s">
        <v>412</v>
      </c>
      <c r="I278" s="37">
        <v>0</v>
      </c>
      <c r="J278" s="20">
        <v>2</v>
      </c>
      <c r="K278" s="20">
        <v>0</v>
      </c>
      <c r="L278" s="20">
        <v>0</v>
      </c>
      <c r="M278" s="37">
        <v>0</v>
      </c>
      <c r="N278" s="37">
        <v>0</v>
      </c>
      <c r="O278" s="37">
        <v>0</v>
      </c>
      <c r="P278" s="38">
        <v>0</v>
      </c>
      <c r="Q278" s="35" t="s">
        <v>154</v>
      </c>
    </row>
    <row r="279" spans="1:17" ht="36.75" x14ac:dyDescent="0.25">
      <c r="A279" s="23">
        <v>37258</v>
      </c>
      <c r="B279" s="23">
        <v>37258</v>
      </c>
      <c r="C279" s="24">
        <v>2002</v>
      </c>
      <c r="D279" s="24" t="s">
        <v>141</v>
      </c>
      <c r="E279" s="42" t="s">
        <v>149</v>
      </c>
      <c r="F279" s="7" t="s">
        <v>56</v>
      </c>
      <c r="G279" s="33" t="s">
        <v>110</v>
      </c>
      <c r="H279" s="34" t="s">
        <v>413</v>
      </c>
      <c r="I279" s="37">
        <v>0</v>
      </c>
      <c r="J279" s="20">
        <v>3</v>
      </c>
      <c r="K279" s="20">
        <v>0</v>
      </c>
      <c r="L279" s="20">
        <v>0</v>
      </c>
      <c r="M279" s="37">
        <v>0</v>
      </c>
      <c r="N279" s="37">
        <v>0</v>
      </c>
      <c r="O279" s="37">
        <v>0</v>
      </c>
      <c r="P279" s="38">
        <v>0</v>
      </c>
      <c r="Q279" s="35" t="s">
        <v>154</v>
      </c>
    </row>
    <row r="280" spans="1:17" ht="72.75" x14ac:dyDescent="0.25">
      <c r="A280" s="23">
        <v>37268</v>
      </c>
      <c r="B280" s="23">
        <v>37268</v>
      </c>
      <c r="C280" s="24">
        <v>2002</v>
      </c>
      <c r="D280" s="24" t="s">
        <v>141</v>
      </c>
      <c r="E280" s="42" t="s">
        <v>149</v>
      </c>
      <c r="F280" s="28" t="s">
        <v>157</v>
      </c>
      <c r="G280" s="33" t="s">
        <v>110</v>
      </c>
      <c r="H280" s="34" t="s">
        <v>414</v>
      </c>
      <c r="I280" s="37">
        <v>0</v>
      </c>
      <c r="J280" s="20">
        <v>0</v>
      </c>
      <c r="K280" s="20">
        <v>60</v>
      </c>
      <c r="L280" s="20">
        <v>0</v>
      </c>
      <c r="M280" s="37">
        <v>0</v>
      </c>
      <c r="N280" s="37">
        <v>0</v>
      </c>
      <c r="O280" s="37">
        <v>0</v>
      </c>
      <c r="P280" s="26">
        <v>0.1</v>
      </c>
      <c r="Q280" s="35" t="s">
        <v>154</v>
      </c>
    </row>
    <row r="281" spans="1:17" ht="24.75" x14ac:dyDescent="0.25">
      <c r="A281" s="23">
        <v>37270</v>
      </c>
      <c r="B281" s="23">
        <v>37270</v>
      </c>
      <c r="C281" s="24">
        <v>2002</v>
      </c>
      <c r="D281" s="24" t="s">
        <v>141</v>
      </c>
      <c r="E281" s="30" t="s">
        <v>133</v>
      </c>
      <c r="F281" s="28" t="s">
        <v>157</v>
      </c>
      <c r="G281" s="33" t="s">
        <v>110</v>
      </c>
      <c r="H281" s="34" t="s">
        <v>415</v>
      </c>
      <c r="I281" s="20">
        <v>1</v>
      </c>
      <c r="J281" s="20">
        <v>0</v>
      </c>
      <c r="K281" s="20">
        <v>0</v>
      </c>
      <c r="L281" s="20">
        <v>0</v>
      </c>
      <c r="M281" s="37">
        <v>0</v>
      </c>
      <c r="N281" s="37">
        <v>0</v>
      </c>
      <c r="O281" s="37">
        <v>0</v>
      </c>
      <c r="P281" s="38">
        <v>0</v>
      </c>
      <c r="Q281" s="35" t="s">
        <v>154</v>
      </c>
    </row>
    <row r="282" spans="1:17" ht="108.75" x14ac:dyDescent="0.25">
      <c r="A282" s="23">
        <v>37272</v>
      </c>
      <c r="B282" s="23">
        <v>37272</v>
      </c>
      <c r="C282" s="24">
        <v>2002</v>
      </c>
      <c r="D282" s="24" t="s">
        <v>141</v>
      </c>
      <c r="E282" s="6" t="s">
        <v>333</v>
      </c>
      <c r="F282" s="7" t="s">
        <v>53</v>
      </c>
      <c r="G282" s="33" t="s">
        <v>416</v>
      </c>
      <c r="H282" s="34" t="s">
        <v>417</v>
      </c>
      <c r="I282" s="37">
        <v>0</v>
      </c>
      <c r="J282" s="20">
        <v>5000</v>
      </c>
      <c r="K282" s="20">
        <v>0</v>
      </c>
      <c r="L282" s="20">
        <v>0</v>
      </c>
      <c r="M282" s="37">
        <v>0</v>
      </c>
      <c r="N282" s="37">
        <v>0</v>
      </c>
      <c r="O282" s="37">
        <v>0</v>
      </c>
      <c r="P282" s="26">
        <v>0.1</v>
      </c>
      <c r="Q282" s="35" t="s">
        <v>154</v>
      </c>
    </row>
    <row r="283" spans="1:17" ht="24.75" x14ac:dyDescent="0.25">
      <c r="A283" s="23">
        <v>37301</v>
      </c>
      <c r="B283" s="23">
        <v>37301</v>
      </c>
      <c r="C283" s="24">
        <v>2002</v>
      </c>
      <c r="D283" s="24" t="s">
        <v>141</v>
      </c>
      <c r="E283" s="30" t="s">
        <v>142</v>
      </c>
      <c r="F283" s="7" t="s">
        <v>65</v>
      </c>
      <c r="G283" s="33" t="s">
        <v>418</v>
      </c>
      <c r="H283" s="34" t="s">
        <v>419</v>
      </c>
      <c r="I283" s="20">
        <v>6</v>
      </c>
      <c r="J283" s="20">
        <v>25</v>
      </c>
      <c r="K283" s="20">
        <v>0</v>
      </c>
      <c r="L283" s="20">
        <v>0</v>
      </c>
      <c r="M283" s="37">
        <v>0</v>
      </c>
      <c r="N283" s="37">
        <v>0</v>
      </c>
      <c r="O283" s="37">
        <v>0</v>
      </c>
      <c r="P283" s="26">
        <v>0.6</v>
      </c>
      <c r="Q283" s="35" t="s">
        <v>154</v>
      </c>
    </row>
    <row r="284" spans="1:17" ht="409.6" x14ac:dyDescent="0.25">
      <c r="A284" s="23">
        <v>37313</v>
      </c>
      <c r="B284" s="23">
        <v>37313</v>
      </c>
      <c r="C284" s="24">
        <v>2002</v>
      </c>
      <c r="D284" s="24" t="s">
        <v>141</v>
      </c>
      <c r="E284" s="42" t="s">
        <v>420</v>
      </c>
      <c r="F284" s="7" t="s">
        <v>99</v>
      </c>
      <c r="G284" s="33" t="s">
        <v>26</v>
      </c>
      <c r="H284" s="34" t="s">
        <v>421</v>
      </c>
      <c r="I284" s="37">
        <v>0</v>
      </c>
      <c r="J284" s="20">
        <v>0</v>
      </c>
      <c r="K284" s="20">
        <v>0</v>
      </c>
      <c r="L284" s="20">
        <v>0</v>
      </c>
      <c r="M284" s="37">
        <v>0</v>
      </c>
      <c r="N284" s="37">
        <v>0</v>
      </c>
      <c r="O284" s="37">
        <v>0</v>
      </c>
      <c r="P284" s="38">
        <v>0</v>
      </c>
      <c r="Q284" s="35" t="s">
        <v>154</v>
      </c>
    </row>
    <row r="285" spans="1:17" ht="48.75" x14ac:dyDescent="0.25">
      <c r="A285" s="23">
        <v>37314</v>
      </c>
      <c r="B285" s="23">
        <v>37314</v>
      </c>
      <c r="C285" s="24">
        <v>2002</v>
      </c>
      <c r="D285" s="24" t="s">
        <v>141</v>
      </c>
      <c r="E285" s="42" t="s">
        <v>149</v>
      </c>
      <c r="F285" s="28" t="s">
        <v>157</v>
      </c>
      <c r="G285" s="33" t="s">
        <v>110</v>
      </c>
      <c r="H285" s="34" t="s">
        <v>422</v>
      </c>
      <c r="I285" s="20">
        <v>3</v>
      </c>
      <c r="J285" s="20">
        <v>0</v>
      </c>
      <c r="K285" s="20">
        <v>0</v>
      </c>
      <c r="L285" s="20">
        <v>0</v>
      </c>
      <c r="M285" s="37">
        <v>0</v>
      </c>
      <c r="N285" s="37">
        <v>0</v>
      </c>
      <c r="O285" s="37">
        <v>0</v>
      </c>
      <c r="P285" s="38">
        <v>0</v>
      </c>
      <c r="Q285" s="35" t="s">
        <v>154</v>
      </c>
    </row>
    <row r="286" spans="1:17" ht="48.75" x14ac:dyDescent="0.25">
      <c r="A286" s="23">
        <v>37319</v>
      </c>
      <c r="B286" s="23">
        <v>37319</v>
      </c>
      <c r="C286" s="24">
        <v>2002</v>
      </c>
      <c r="D286" s="24" t="s">
        <v>141</v>
      </c>
      <c r="E286" s="6" t="s">
        <v>333</v>
      </c>
      <c r="F286" s="28" t="s">
        <v>157</v>
      </c>
      <c r="G286" s="33" t="s">
        <v>423</v>
      </c>
      <c r="H286" s="34" t="s">
        <v>424</v>
      </c>
      <c r="I286" s="37">
        <v>0</v>
      </c>
      <c r="J286" s="20">
        <v>340</v>
      </c>
      <c r="K286" s="20">
        <v>70</v>
      </c>
      <c r="L286" s="20">
        <v>0</v>
      </c>
      <c r="M286" s="37">
        <v>0</v>
      </c>
      <c r="N286" s="37">
        <v>0</v>
      </c>
      <c r="O286" s="37">
        <v>0</v>
      </c>
      <c r="P286" s="38">
        <v>0</v>
      </c>
      <c r="Q286" s="35" t="s">
        <v>154</v>
      </c>
    </row>
    <row r="287" spans="1:17" ht="72.75" x14ac:dyDescent="0.25">
      <c r="A287" s="23">
        <v>37333</v>
      </c>
      <c r="B287" s="23">
        <v>37333</v>
      </c>
      <c r="C287" s="24">
        <v>2002</v>
      </c>
      <c r="D287" s="24" t="s">
        <v>141</v>
      </c>
      <c r="E287" s="30" t="s">
        <v>142</v>
      </c>
      <c r="F287" s="7" t="s">
        <v>60</v>
      </c>
      <c r="G287" s="33" t="s">
        <v>425</v>
      </c>
      <c r="H287" s="34" t="s">
        <v>426</v>
      </c>
      <c r="I287" s="20">
        <v>27</v>
      </c>
      <c r="J287" s="20">
        <v>0</v>
      </c>
      <c r="K287" s="20">
        <v>0</v>
      </c>
      <c r="L287" s="20">
        <v>0</v>
      </c>
      <c r="M287" s="37">
        <v>0</v>
      </c>
      <c r="N287" s="37">
        <v>0</v>
      </c>
      <c r="O287" s="37">
        <v>0</v>
      </c>
      <c r="P287" s="26">
        <v>0.6</v>
      </c>
      <c r="Q287" s="35" t="s">
        <v>154</v>
      </c>
    </row>
    <row r="288" spans="1:17" ht="72.75" x14ac:dyDescent="0.25">
      <c r="A288" s="23">
        <v>37333</v>
      </c>
      <c r="B288" s="23">
        <v>37333</v>
      </c>
      <c r="C288" s="24">
        <v>2002</v>
      </c>
      <c r="D288" s="24" t="s">
        <v>141</v>
      </c>
      <c r="E288" s="30" t="s">
        <v>142</v>
      </c>
      <c r="F288" s="7" t="s">
        <v>36</v>
      </c>
      <c r="G288" s="33" t="s">
        <v>110</v>
      </c>
      <c r="H288" s="34" t="s">
        <v>427</v>
      </c>
      <c r="I288" s="20">
        <v>8</v>
      </c>
      <c r="J288" s="20">
        <v>16</v>
      </c>
      <c r="K288" s="20">
        <v>0</v>
      </c>
      <c r="L288" s="20">
        <v>0</v>
      </c>
      <c r="M288" s="37">
        <v>0</v>
      </c>
      <c r="N288" s="37">
        <v>0</v>
      </c>
      <c r="O288" s="37">
        <v>0</v>
      </c>
      <c r="P288" s="26">
        <v>0.05</v>
      </c>
      <c r="Q288" s="35" t="s">
        <v>154</v>
      </c>
    </row>
    <row r="289" spans="1:17" ht="84.75" x14ac:dyDescent="0.25">
      <c r="A289" s="23">
        <v>37336</v>
      </c>
      <c r="B289" s="23">
        <v>37336</v>
      </c>
      <c r="C289" s="24">
        <v>2002</v>
      </c>
      <c r="D289" s="24" t="s">
        <v>141</v>
      </c>
      <c r="E289" s="30" t="s">
        <v>142</v>
      </c>
      <c r="F289" s="28" t="s">
        <v>160</v>
      </c>
      <c r="G289" s="33" t="s">
        <v>428</v>
      </c>
      <c r="H289" s="34" t="s">
        <v>429</v>
      </c>
      <c r="I289" s="20">
        <v>10</v>
      </c>
      <c r="J289" s="20">
        <v>60</v>
      </c>
      <c r="K289" s="20">
        <v>0</v>
      </c>
      <c r="L289" s="20">
        <v>0</v>
      </c>
      <c r="M289" s="37">
        <v>0</v>
      </c>
      <c r="N289" s="37">
        <v>0</v>
      </c>
      <c r="O289" s="37">
        <v>0</v>
      </c>
      <c r="P289" s="26">
        <v>0.6</v>
      </c>
      <c r="Q289" s="35" t="s">
        <v>154</v>
      </c>
    </row>
    <row r="290" spans="1:17" ht="36.75" x14ac:dyDescent="0.25">
      <c r="A290" s="23">
        <v>37336</v>
      </c>
      <c r="B290" s="23">
        <v>37336</v>
      </c>
      <c r="C290" s="24">
        <v>2002</v>
      </c>
      <c r="D290" s="24" t="s">
        <v>141</v>
      </c>
      <c r="E290" s="30" t="s">
        <v>142</v>
      </c>
      <c r="F290" s="7" t="s">
        <v>91</v>
      </c>
      <c r="G290" s="33" t="s">
        <v>110</v>
      </c>
      <c r="H290" s="34" t="s">
        <v>430</v>
      </c>
      <c r="I290" s="20">
        <v>2</v>
      </c>
      <c r="J290" s="20">
        <v>0</v>
      </c>
      <c r="K290" s="20">
        <v>0</v>
      </c>
      <c r="L290" s="20">
        <v>0</v>
      </c>
      <c r="M290" s="37">
        <v>0</v>
      </c>
      <c r="N290" s="37">
        <v>0</v>
      </c>
      <c r="O290" s="37">
        <v>0</v>
      </c>
      <c r="P290" s="26">
        <v>3.5000000000000003E-2</v>
      </c>
      <c r="Q290" s="35" t="s">
        <v>154</v>
      </c>
    </row>
    <row r="291" spans="1:17" ht="36.75" x14ac:dyDescent="0.25">
      <c r="A291" s="23">
        <v>37337</v>
      </c>
      <c r="B291" s="23">
        <v>37337</v>
      </c>
      <c r="C291" s="24">
        <v>2002</v>
      </c>
      <c r="D291" s="24" t="s">
        <v>141</v>
      </c>
      <c r="E291" s="30" t="s">
        <v>142</v>
      </c>
      <c r="F291" s="28" t="s">
        <v>210</v>
      </c>
      <c r="G291" s="33" t="s">
        <v>110</v>
      </c>
      <c r="H291" s="34" t="s">
        <v>431</v>
      </c>
      <c r="I291" s="20">
        <v>1</v>
      </c>
      <c r="J291" s="20">
        <v>7</v>
      </c>
      <c r="K291" s="20">
        <v>0</v>
      </c>
      <c r="L291" s="20">
        <v>0</v>
      </c>
      <c r="M291" s="37">
        <v>0</v>
      </c>
      <c r="N291" s="37">
        <v>0</v>
      </c>
      <c r="O291" s="37">
        <v>0</v>
      </c>
      <c r="P291" s="26">
        <v>0.26250000000000001</v>
      </c>
      <c r="Q291" s="35" t="s">
        <v>154</v>
      </c>
    </row>
    <row r="292" spans="1:17" ht="24.75" x14ac:dyDescent="0.25">
      <c r="A292" s="23">
        <v>37338</v>
      </c>
      <c r="B292" s="23">
        <v>37338</v>
      </c>
      <c r="C292" s="24">
        <v>2002</v>
      </c>
      <c r="D292" s="24" t="s">
        <v>141</v>
      </c>
      <c r="E292" s="30" t="s">
        <v>142</v>
      </c>
      <c r="F292" s="7" t="s">
        <v>99</v>
      </c>
      <c r="G292" s="33" t="s">
        <v>26</v>
      </c>
      <c r="H292" s="34" t="s">
        <v>432</v>
      </c>
      <c r="I292" s="20">
        <v>14</v>
      </c>
      <c r="J292" s="20">
        <v>118</v>
      </c>
      <c r="K292" s="20">
        <v>0</v>
      </c>
      <c r="L292" s="20">
        <v>0</v>
      </c>
      <c r="M292" s="37">
        <v>0</v>
      </c>
      <c r="N292" s="37">
        <v>0</v>
      </c>
      <c r="O292" s="37">
        <v>0</v>
      </c>
      <c r="P292" s="38">
        <v>0</v>
      </c>
      <c r="Q292" s="35" t="s">
        <v>154</v>
      </c>
    </row>
    <row r="293" spans="1:17" ht="24.75" x14ac:dyDescent="0.25">
      <c r="A293" s="23">
        <v>37339</v>
      </c>
      <c r="B293" s="23">
        <v>37339</v>
      </c>
      <c r="C293" s="24">
        <v>2002</v>
      </c>
      <c r="D293" s="24" t="s">
        <v>141</v>
      </c>
      <c r="E293" s="30" t="s">
        <v>133</v>
      </c>
      <c r="F293" s="7" t="s">
        <v>53</v>
      </c>
      <c r="G293" s="33" t="s">
        <v>433</v>
      </c>
      <c r="H293" s="34" t="s">
        <v>434</v>
      </c>
      <c r="I293" s="37">
        <v>0</v>
      </c>
      <c r="J293" s="20">
        <v>50</v>
      </c>
      <c r="K293" s="20">
        <v>0</v>
      </c>
      <c r="L293" s="20">
        <v>0</v>
      </c>
      <c r="M293" s="37">
        <v>0</v>
      </c>
      <c r="N293" s="37">
        <v>0</v>
      </c>
      <c r="O293" s="37">
        <v>0</v>
      </c>
      <c r="P293" s="38">
        <v>0</v>
      </c>
      <c r="Q293" s="35" t="s">
        <v>154</v>
      </c>
    </row>
    <row r="294" spans="1:17" ht="108.75" x14ac:dyDescent="0.25">
      <c r="A294" s="23">
        <v>37358</v>
      </c>
      <c r="B294" s="23">
        <v>37358</v>
      </c>
      <c r="C294" s="24">
        <v>2002</v>
      </c>
      <c r="D294" s="24" t="s">
        <v>141</v>
      </c>
      <c r="E294" s="6" t="s">
        <v>333</v>
      </c>
      <c r="F294" s="28" t="s">
        <v>157</v>
      </c>
      <c r="G294" s="33" t="s">
        <v>206</v>
      </c>
      <c r="H294" s="34" t="s">
        <v>435</v>
      </c>
      <c r="I294" s="37">
        <v>0</v>
      </c>
      <c r="J294" s="20">
        <v>500000</v>
      </c>
      <c r="K294" s="20">
        <v>0</v>
      </c>
      <c r="L294" s="20">
        <v>0</v>
      </c>
      <c r="M294" s="37">
        <v>0</v>
      </c>
      <c r="N294" s="37">
        <v>0</v>
      </c>
      <c r="O294" s="37">
        <v>0</v>
      </c>
      <c r="P294" s="38">
        <v>0</v>
      </c>
      <c r="Q294" s="35" t="s">
        <v>154</v>
      </c>
    </row>
    <row r="295" spans="1:17" ht="60.75" x14ac:dyDescent="0.25">
      <c r="A295" s="23">
        <v>37367</v>
      </c>
      <c r="B295" s="23">
        <v>37367</v>
      </c>
      <c r="C295" s="24">
        <v>2002</v>
      </c>
      <c r="D295" s="24" t="s">
        <v>141</v>
      </c>
      <c r="E295" s="30" t="s">
        <v>142</v>
      </c>
      <c r="F295" s="7" t="s">
        <v>49</v>
      </c>
      <c r="G295" s="33" t="s">
        <v>436</v>
      </c>
      <c r="H295" s="34" t="s">
        <v>437</v>
      </c>
      <c r="I295" s="20">
        <v>5</v>
      </c>
      <c r="J295" s="20">
        <v>0</v>
      </c>
      <c r="K295" s="20">
        <v>0</v>
      </c>
      <c r="L295" s="20">
        <v>0</v>
      </c>
      <c r="M295" s="37">
        <v>0</v>
      </c>
      <c r="N295" s="37">
        <v>0</v>
      </c>
      <c r="O295" s="37">
        <v>0</v>
      </c>
      <c r="P295" s="26">
        <v>1</v>
      </c>
      <c r="Q295" s="35" t="s">
        <v>154</v>
      </c>
    </row>
    <row r="296" spans="1:17" ht="36.75" x14ac:dyDescent="0.25">
      <c r="A296" s="23">
        <v>37371</v>
      </c>
      <c r="B296" s="23">
        <v>37371</v>
      </c>
      <c r="C296" s="24">
        <v>2002</v>
      </c>
      <c r="D296" s="24" t="s">
        <v>141</v>
      </c>
      <c r="E296" s="30" t="s">
        <v>142</v>
      </c>
      <c r="F296" s="7" t="s">
        <v>30</v>
      </c>
      <c r="G296" s="33" t="s">
        <v>110</v>
      </c>
      <c r="H296" s="34" t="s">
        <v>438</v>
      </c>
      <c r="I296" s="37">
        <v>0</v>
      </c>
      <c r="J296" s="20">
        <v>6</v>
      </c>
      <c r="K296" s="20">
        <v>0</v>
      </c>
      <c r="L296" s="20">
        <v>0</v>
      </c>
      <c r="M296" s="37">
        <v>0</v>
      </c>
      <c r="N296" s="37">
        <v>0</v>
      </c>
      <c r="O296" s="37">
        <v>0</v>
      </c>
      <c r="P296" s="26">
        <v>1.5</v>
      </c>
      <c r="Q296" s="35" t="s">
        <v>154</v>
      </c>
    </row>
    <row r="297" spans="1:17" ht="24.75" x14ac:dyDescent="0.25">
      <c r="A297" s="23">
        <v>37377</v>
      </c>
      <c r="B297" s="23">
        <v>37377</v>
      </c>
      <c r="C297" s="24">
        <v>2002</v>
      </c>
      <c r="D297" s="24" t="s">
        <v>141</v>
      </c>
      <c r="E297" s="30" t="s">
        <v>133</v>
      </c>
      <c r="F297" s="7" t="s">
        <v>53</v>
      </c>
      <c r="G297" s="33" t="s">
        <v>110</v>
      </c>
      <c r="H297" s="34" t="s">
        <v>439</v>
      </c>
      <c r="I297" s="20">
        <v>2</v>
      </c>
      <c r="J297" s="20">
        <v>2</v>
      </c>
      <c r="K297" s="20">
        <v>0</v>
      </c>
      <c r="L297" s="20">
        <v>0</v>
      </c>
      <c r="M297" s="37">
        <v>0</v>
      </c>
      <c r="N297" s="37">
        <v>0</v>
      </c>
      <c r="O297" s="37">
        <v>0</v>
      </c>
      <c r="P297" s="26">
        <v>3.5000000000000003E-2</v>
      </c>
      <c r="Q297" s="35" t="s">
        <v>154</v>
      </c>
    </row>
    <row r="298" spans="1:17" ht="48.75" x14ac:dyDescent="0.25">
      <c r="A298" s="23">
        <v>37378</v>
      </c>
      <c r="B298" s="23">
        <v>37378</v>
      </c>
      <c r="C298" s="24">
        <v>2002</v>
      </c>
      <c r="D298" s="24" t="s">
        <v>141</v>
      </c>
      <c r="E298" s="30" t="s">
        <v>142</v>
      </c>
      <c r="F298" s="7" t="s">
        <v>68</v>
      </c>
      <c r="G298" s="33" t="s">
        <v>110</v>
      </c>
      <c r="H298" s="34" t="s">
        <v>440</v>
      </c>
      <c r="I298" s="20">
        <v>2</v>
      </c>
      <c r="J298" s="20">
        <v>0</v>
      </c>
      <c r="K298" s="20">
        <v>0</v>
      </c>
      <c r="L298" s="20">
        <v>0</v>
      </c>
      <c r="M298" s="37">
        <v>0</v>
      </c>
      <c r="N298" s="37">
        <v>0</v>
      </c>
      <c r="O298" s="37">
        <v>0</v>
      </c>
      <c r="P298" s="38">
        <v>0</v>
      </c>
      <c r="Q298" s="35" t="s">
        <v>154</v>
      </c>
    </row>
    <row r="299" spans="1:17" ht="108.75" x14ac:dyDescent="0.25">
      <c r="A299" s="23">
        <v>37379</v>
      </c>
      <c r="B299" s="23">
        <v>37379</v>
      </c>
      <c r="C299" s="24">
        <v>2002</v>
      </c>
      <c r="D299" s="24" t="s">
        <v>141</v>
      </c>
      <c r="E299" s="30" t="s">
        <v>142</v>
      </c>
      <c r="F299" s="7" t="s">
        <v>65</v>
      </c>
      <c r="G299" s="33" t="s">
        <v>110</v>
      </c>
      <c r="H299" s="34" t="s">
        <v>441</v>
      </c>
      <c r="I299" s="20">
        <v>10</v>
      </c>
      <c r="J299" s="20">
        <v>3</v>
      </c>
      <c r="K299" s="20">
        <v>0</v>
      </c>
      <c r="L299" s="20">
        <v>0</v>
      </c>
      <c r="M299" s="37">
        <v>0</v>
      </c>
      <c r="N299" s="37">
        <v>0</v>
      </c>
      <c r="O299" s="37">
        <v>0</v>
      </c>
      <c r="P299" s="26">
        <v>0.6</v>
      </c>
      <c r="Q299" s="35" t="s">
        <v>154</v>
      </c>
    </row>
    <row r="300" spans="1:17" ht="36.75" x14ac:dyDescent="0.25">
      <c r="A300" s="23">
        <v>37380</v>
      </c>
      <c r="B300" s="23">
        <v>37380</v>
      </c>
      <c r="C300" s="24">
        <v>2002</v>
      </c>
      <c r="D300" s="24" t="s">
        <v>141</v>
      </c>
      <c r="E300" s="30" t="s">
        <v>133</v>
      </c>
      <c r="F300" s="7" t="s">
        <v>60</v>
      </c>
      <c r="G300" s="33" t="s">
        <v>110</v>
      </c>
      <c r="H300" s="34" t="s">
        <v>442</v>
      </c>
      <c r="I300" s="20">
        <v>1</v>
      </c>
      <c r="J300" s="20">
        <v>7</v>
      </c>
      <c r="K300" s="20">
        <v>0</v>
      </c>
      <c r="L300" s="20">
        <v>0</v>
      </c>
      <c r="M300" s="37">
        <v>0</v>
      </c>
      <c r="N300" s="37">
        <v>0</v>
      </c>
      <c r="O300" s="37">
        <v>0</v>
      </c>
      <c r="P300" s="38">
        <v>0</v>
      </c>
      <c r="Q300" s="35" t="s">
        <v>154</v>
      </c>
    </row>
    <row r="301" spans="1:17" ht="72.75" x14ac:dyDescent="0.25">
      <c r="A301" s="23">
        <v>37390</v>
      </c>
      <c r="B301" s="23">
        <v>37390</v>
      </c>
      <c r="C301" s="24">
        <v>2002</v>
      </c>
      <c r="D301" s="24" t="s">
        <v>141</v>
      </c>
      <c r="E301" s="30" t="s">
        <v>142</v>
      </c>
      <c r="F301" s="7" t="s">
        <v>53</v>
      </c>
      <c r="G301" s="33" t="s">
        <v>110</v>
      </c>
      <c r="H301" s="34" t="s">
        <v>443</v>
      </c>
      <c r="I301" s="20">
        <v>1</v>
      </c>
      <c r="J301" s="20">
        <v>1</v>
      </c>
      <c r="K301" s="20">
        <v>0</v>
      </c>
      <c r="L301" s="20">
        <v>0</v>
      </c>
      <c r="M301" s="37">
        <v>0</v>
      </c>
      <c r="N301" s="37">
        <v>0</v>
      </c>
      <c r="O301" s="37">
        <v>0</v>
      </c>
      <c r="P301" s="38">
        <v>0</v>
      </c>
      <c r="Q301" s="35" t="s">
        <v>154</v>
      </c>
    </row>
    <row r="302" spans="1:17" ht="72.75" x14ac:dyDescent="0.25">
      <c r="A302" s="23">
        <v>37397</v>
      </c>
      <c r="B302" s="23">
        <v>37397</v>
      </c>
      <c r="C302" s="24">
        <v>2002</v>
      </c>
      <c r="D302" s="24" t="s">
        <v>141</v>
      </c>
      <c r="E302" s="30" t="s">
        <v>142</v>
      </c>
      <c r="F302" s="7" t="s">
        <v>53</v>
      </c>
      <c r="G302" s="33" t="s">
        <v>110</v>
      </c>
      <c r="H302" s="34" t="s">
        <v>444</v>
      </c>
      <c r="I302" s="20">
        <v>3</v>
      </c>
      <c r="J302" s="20">
        <v>13</v>
      </c>
      <c r="K302" s="20">
        <v>0</v>
      </c>
      <c r="L302" s="20">
        <v>0</v>
      </c>
      <c r="M302" s="37">
        <v>0</v>
      </c>
      <c r="N302" s="37">
        <v>0</v>
      </c>
      <c r="O302" s="37">
        <v>0</v>
      </c>
      <c r="P302" s="38">
        <v>0</v>
      </c>
      <c r="Q302" s="35" t="s">
        <v>154</v>
      </c>
    </row>
    <row r="303" spans="1:17" ht="24.75" x14ac:dyDescent="0.25">
      <c r="A303" s="23">
        <v>37412</v>
      </c>
      <c r="B303" s="23">
        <v>37412</v>
      </c>
      <c r="C303" s="24">
        <v>2002</v>
      </c>
      <c r="D303" s="24" t="s">
        <v>141</v>
      </c>
      <c r="E303" s="30" t="s">
        <v>142</v>
      </c>
      <c r="F303" s="7" t="s">
        <v>53</v>
      </c>
      <c r="G303" s="33" t="s">
        <v>110</v>
      </c>
      <c r="H303" s="34" t="s">
        <v>445</v>
      </c>
      <c r="I303" s="20">
        <v>1</v>
      </c>
      <c r="J303" s="20">
        <v>0</v>
      </c>
      <c r="K303" s="20">
        <v>0</v>
      </c>
      <c r="L303" s="20">
        <v>0</v>
      </c>
      <c r="M303" s="37">
        <v>0</v>
      </c>
      <c r="N303" s="37">
        <v>0</v>
      </c>
      <c r="O303" s="37">
        <v>0</v>
      </c>
      <c r="P303" s="26">
        <v>3.5000000000000003E-2</v>
      </c>
      <c r="Q303" s="35" t="s">
        <v>154</v>
      </c>
    </row>
    <row r="304" spans="1:17" ht="24.75" x14ac:dyDescent="0.25">
      <c r="A304" s="23">
        <v>37413</v>
      </c>
      <c r="B304" s="23">
        <v>37413</v>
      </c>
      <c r="C304" s="24">
        <v>2002</v>
      </c>
      <c r="D304" s="24" t="s">
        <v>141</v>
      </c>
      <c r="E304" s="30" t="s">
        <v>142</v>
      </c>
      <c r="F304" s="7" t="s">
        <v>53</v>
      </c>
      <c r="G304" s="33" t="s">
        <v>110</v>
      </c>
      <c r="H304" s="34" t="s">
        <v>446</v>
      </c>
      <c r="I304" s="20">
        <v>1</v>
      </c>
      <c r="J304" s="20">
        <v>0</v>
      </c>
      <c r="K304" s="20">
        <v>0</v>
      </c>
      <c r="L304" s="20">
        <v>0</v>
      </c>
      <c r="M304" s="37">
        <v>0</v>
      </c>
      <c r="N304" s="37">
        <v>0</v>
      </c>
      <c r="O304" s="37">
        <v>0</v>
      </c>
      <c r="P304" s="26">
        <v>3.5000000000000003E-2</v>
      </c>
      <c r="Q304" s="35" t="s">
        <v>154</v>
      </c>
    </row>
    <row r="305" spans="1:17" ht="96.75" x14ac:dyDescent="0.25">
      <c r="A305" s="23">
        <v>37417</v>
      </c>
      <c r="B305" s="23">
        <v>37417</v>
      </c>
      <c r="C305" s="24">
        <v>2002</v>
      </c>
      <c r="D305" s="24" t="s">
        <v>141</v>
      </c>
      <c r="E305" s="42" t="s">
        <v>447</v>
      </c>
      <c r="F305" s="7" t="s">
        <v>58</v>
      </c>
      <c r="G305" s="33" t="s">
        <v>110</v>
      </c>
      <c r="H305" s="34" t="s">
        <v>448</v>
      </c>
      <c r="I305" s="37">
        <v>0</v>
      </c>
      <c r="J305" s="20">
        <v>0</v>
      </c>
      <c r="K305" s="20">
        <v>0</v>
      </c>
      <c r="L305" s="20">
        <v>0</v>
      </c>
      <c r="M305" s="37">
        <v>0</v>
      </c>
      <c r="N305" s="37">
        <v>0</v>
      </c>
      <c r="O305" s="37">
        <v>0</v>
      </c>
      <c r="P305" s="26">
        <v>12</v>
      </c>
      <c r="Q305" s="35" t="s">
        <v>154</v>
      </c>
    </row>
    <row r="306" spans="1:17" ht="36.75" x14ac:dyDescent="0.25">
      <c r="A306" s="23">
        <v>37417</v>
      </c>
      <c r="B306" s="23">
        <v>37417</v>
      </c>
      <c r="C306" s="24">
        <v>2002</v>
      </c>
      <c r="D306" s="24" t="s">
        <v>141</v>
      </c>
      <c r="E306" s="30" t="s">
        <v>142</v>
      </c>
      <c r="F306" s="7" t="s">
        <v>40</v>
      </c>
      <c r="G306" s="33" t="s">
        <v>449</v>
      </c>
      <c r="H306" s="34" t="s">
        <v>450</v>
      </c>
      <c r="I306" s="20">
        <v>6</v>
      </c>
      <c r="J306" s="20">
        <v>8</v>
      </c>
      <c r="K306" s="20">
        <v>0</v>
      </c>
      <c r="L306" s="20">
        <v>0</v>
      </c>
      <c r="M306" s="37">
        <v>0</v>
      </c>
      <c r="N306" s="37">
        <v>0</v>
      </c>
      <c r="O306" s="37">
        <v>0</v>
      </c>
      <c r="P306" s="38">
        <v>0</v>
      </c>
      <c r="Q306" s="35" t="s">
        <v>154</v>
      </c>
    </row>
    <row r="307" spans="1:17" ht="36.75" x14ac:dyDescent="0.25">
      <c r="A307" s="23">
        <v>37422</v>
      </c>
      <c r="B307" s="23">
        <v>37422</v>
      </c>
      <c r="C307" s="24">
        <v>2002</v>
      </c>
      <c r="D307" s="24" t="s">
        <v>141</v>
      </c>
      <c r="E307" s="30" t="s">
        <v>133</v>
      </c>
      <c r="F307" s="7" t="s">
        <v>53</v>
      </c>
      <c r="G307" s="33" t="s">
        <v>451</v>
      </c>
      <c r="H307" s="34" t="s">
        <v>452</v>
      </c>
      <c r="I307" s="37">
        <v>0</v>
      </c>
      <c r="J307" s="20">
        <v>2</v>
      </c>
      <c r="K307" s="20">
        <v>0</v>
      </c>
      <c r="L307" s="20">
        <v>0</v>
      </c>
      <c r="M307" s="37">
        <v>0</v>
      </c>
      <c r="N307" s="37">
        <v>0</v>
      </c>
      <c r="O307" s="37">
        <v>0</v>
      </c>
      <c r="P307" s="38">
        <v>0</v>
      </c>
      <c r="Q307" s="35" t="s">
        <v>154</v>
      </c>
    </row>
    <row r="308" spans="1:17" ht="72.75" x14ac:dyDescent="0.25">
      <c r="A308" s="23">
        <v>37423</v>
      </c>
      <c r="B308" s="23">
        <v>37423</v>
      </c>
      <c r="C308" s="24">
        <v>2002</v>
      </c>
      <c r="D308" s="24" t="s">
        <v>141</v>
      </c>
      <c r="E308" s="6" t="s">
        <v>333</v>
      </c>
      <c r="F308" s="28" t="s">
        <v>151</v>
      </c>
      <c r="G308" s="33" t="s">
        <v>110</v>
      </c>
      <c r="H308" s="34" t="s">
        <v>453</v>
      </c>
      <c r="I308" s="37">
        <v>0</v>
      </c>
      <c r="J308" s="20">
        <v>4000</v>
      </c>
      <c r="K308" s="20">
        <v>0</v>
      </c>
      <c r="L308" s="20">
        <v>0</v>
      </c>
      <c r="M308" s="37">
        <v>0</v>
      </c>
      <c r="N308" s="37">
        <v>0</v>
      </c>
      <c r="O308" s="37">
        <v>0</v>
      </c>
      <c r="P308" s="38">
        <v>0</v>
      </c>
      <c r="Q308" s="35" t="s">
        <v>154</v>
      </c>
    </row>
    <row r="309" spans="1:17" ht="48.75" x14ac:dyDescent="0.25">
      <c r="A309" s="23">
        <v>37427</v>
      </c>
      <c r="B309" s="23">
        <v>37427</v>
      </c>
      <c r="C309" s="24">
        <v>2002</v>
      </c>
      <c r="D309" s="24" t="s">
        <v>141</v>
      </c>
      <c r="E309" s="30" t="s">
        <v>142</v>
      </c>
      <c r="F309" s="28" t="s">
        <v>160</v>
      </c>
      <c r="G309" s="33" t="s">
        <v>110</v>
      </c>
      <c r="H309" s="34" t="s">
        <v>454</v>
      </c>
      <c r="I309" s="20">
        <v>2</v>
      </c>
      <c r="J309" s="20">
        <v>13</v>
      </c>
      <c r="K309" s="20">
        <v>0</v>
      </c>
      <c r="L309" s="20">
        <v>0</v>
      </c>
      <c r="M309" s="37">
        <v>0</v>
      </c>
      <c r="N309" s="37">
        <v>0</v>
      </c>
      <c r="O309" s="37">
        <v>0</v>
      </c>
      <c r="P309" s="26">
        <v>0.04</v>
      </c>
      <c r="Q309" s="35" t="s">
        <v>154</v>
      </c>
    </row>
    <row r="310" spans="1:17" ht="144.75" x14ac:dyDescent="0.25">
      <c r="A310" s="23">
        <v>37430</v>
      </c>
      <c r="B310" s="23">
        <v>37430</v>
      </c>
      <c r="C310" s="24">
        <v>2002</v>
      </c>
      <c r="D310" s="24" t="s">
        <v>141</v>
      </c>
      <c r="E310" s="30" t="s">
        <v>142</v>
      </c>
      <c r="F310" s="7" t="s">
        <v>62</v>
      </c>
      <c r="G310" s="33" t="s">
        <v>455</v>
      </c>
      <c r="H310" s="34" t="s">
        <v>456</v>
      </c>
      <c r="I310" s="20">
        <v>7</v>
      </c>
      <c r="J310" s="20">
        <v>20</v>
      </c>
      <c r="K310" s="20">
        <v>0</v>
      </c>
      <c r="L310" s="20">
        <v>0</v>
      </c>
      <c r="M310" s="37">
        <v>0</v>
      </c>
      <c r="N310" s="37">
        <v>0</v>
      </c>
      <c r="O310" s="37">
        <v>0</v>
      </c>
      <c r="P310" s="26">
        <v>0.6</v>
      </c>
      <c r="Q310" s="35" t="s">
        <v>154</v>
      </c>
    </row>
    <row r="311" spans="1:17" ht="36.75" x14ac:dyDescent="0.25">
      <c r="A311" s="23">
        <v>37440</v>
      </c>
      <c r="B311" s="23">
        <v>37440</v>
      </c>
      <c r="C311" s="24">
        <v>2002</v>
      </c>
      <c r="D311" s="24" t="s">
        <v>141</v>
      </c>
      <c r="E311" s="6" t="s">
        <v>333</v>
      </c>
      <c r="F311" s="7" t="s">
        <v>75</v>
      </c>
      <c r="G311" s="33" t="s">
        <v>110</v>
      </c>
      <c r="H311" s="34" t="s">
        <v>457</v>
      </c>
      <c r="I311" s="20">
        <v>2</v>
      </c>
      <c r="J311" s="20">
        <v>3</v>
      </c>
      <c r="K311" s="20">
        <v>0</v>
      </c>
      <c r="L311" s="20">
        <v>0</v>
      </c>
      <c r="M311" s="37">
        <v>0</v>
      </c>
      <c r="N311" s="37">
        <v>0</v>
      </c>
      <c r="O311" s="37">
        <v>0</v>
      </c>
      <c r="P311" s="38">
        <v>0</v>
      </c>
      <c r="Q311" s="35" t="s">
        <v>154</v>
      </c>
    </row>
    <row r="312" spans="1:17" ht="36.75" x14ac:dyDescent="0.25">
      <c r="A312" s="23">
        <v>37440</v>
      </c>
      <c r="B312" s="23">
        <v>37440</v>
      </c>
      <c r="C312" s="24">
        <v>2002</v>
      </c>
      <c r="D312" s="24" t="s">
        <v>141</v>
      </c>
      <c r="E312" s="6" t="s">
        <v>333</v>
      </c>
      <c r="F312" s="28" t="s">
        <v>160</v>
      </c>
      <c r="G312" s="33" t="s">
        <v>110</v>
      </c>
      <c r="H312" s="34" t="s">
        <v>458</v>
      </c>
      <c r="I312" s="20">
        <v>1</v>
      </c>
      <c r="J312" s="20">
        <v>1</v>
      </c>
      <c r="K312" s="20">
        <v>0</v>
      </c>
      <c r="L312" s="20">
        <v>0</v>
      </c>
      <c r="M312" s="37">
        <v>0</v>
      </c>
      <c r="N312" s="37">
        <v>0</v>
      </c>
      <c r="O312" s="37">
        <v>0</v>
      </c>
      <c r="P312" s="38">
        <v>0</v>
      </c>
      <c r="Q312" s="35" t="s">
        <v>154</v>
      </c>
    </row>
    <row r="313" spans="1:17" ht="24.75" x14ac:dyDescent="0.25">
      <c r="A313" s="23">
        <v>37443</v>
      </c>
      <c r="B313" s="23">
        <v>37443</v>
      </c>
      <c r="C313" s="24">
        <v>2002</v>
      </c>
      <c r="D313" s="24" t="s">
        <v>141</v>
      </c>
      <c r="E313" s="30" t="s">
        <v>142</v>
      </c>
      <c r="F313" s="7" t="s">
        <v>91</v>
      </c>
      <c r="G313" s="33" t="s">
        <v>255</v>
      </c>
      <c r="H313" s="34" t="s">
        <v>459</v>
      </c>
      <c r="I313" s="20">
        <v>4</v>
      </c>
      <c r="J313" s="20">
        <v>36</v>
      </c>
      <c r="K313" s="20">
        <v>0</v>
      </c>
      <c r="L313" s="20">
        <v>0</v>
      </c>
      <c r="M313" s="37">
        <v>0</v>
      </c>
      <c r="N313" s="37">
        <v>0</v>
      </c>
      <c r="O313" s="37">
        <v>0</v>
      </c>
      <c r="P313" s="26">
        <v>0.6</v>
      </c>
      <c r="Q313" s="35" t="s">
        <v>154</v>
      </c>
    </row>
    <row r="314" spans="1:17" ht="48.75" x14ac:dyDescent="0.25">
      <c r="A314" s="23">
        <v>37444</v>
      </c>
      <c r="B314" s="23">
        <v>37444</v>
      </c>
      <c r="C314" s="24">
        <v>2002</v>
      </c>
      <c r="D314" s="24" t="s">
        <v>141</v>
      </c>
      <c r="E314" s="30" t="s">
        <v>142</v>
      </c>
      <c r="F314" s="7" t="s">
        <v>53</v>
      </c>
      <c r="G314" s="33" t="s">
        <v>460</v>
      </c>
      <c r="H314" s="34" t="s">
        <v>461</v>
      </c>
      <c r="I314" s="37">
        <v>0</v>
      </c>
      <c r="J314" s="20">
        <v>11</v>
      </c>
      <c r="K314" s="20">
        <v>0</v>
      </c>
      <c r="L314" s="20">
        <v>0</v>
      </c>
      <c r="M314" s="37">
        <v>0</v>
      </c>
      <c r="N314" s="37">
        <v>0</v>
      </c>
      <c r="O314" s="37">
        <v>0</v>
      </c>
      <c r="P314" s="38">
        <v>0</v>
      </c>
      <c r="Q314" s="35" t="s">
        <v>154</v>
      </c>
    </row>
    <row r="315" spans="1:17" ht="24.75" x14ac:dyDescent="0.25">
      <c r="A315" s="23">
        <v>37445</v>
      </c>
      <c r="B315" s="23">
        <v>37445</v>
      </c>
      <c r="C315" s="24">
        <v>2002</v>
      </c>
      <c r="D315" s="24" t="s">
        <v>141</v>
      </c>
      <c r="E315" s="6" t="s">
        <v>333</v>
      </c>
      <c r="F315" s="7" t="s">
        <v>60</v>
      </c>
      <c r="G315" s="33" t="s">
        <v>462</v>
      </c>
      <c r="H315" s="34" t="s">
        <v>463</v>
      </c>
      <c r="I315" s="37">
        <v>0</v>
      </c>
      <c r="J315" s="20">
        <v>10</v>
      </c>
      <c r="K315" s="20">
        <v>0</v>
      </c>
      <c r="L315" s="20">
        <v>0</v>
      </c>
      <c r="M315" s="37">
        <v>0</v>
      </c>
      <c r="N315" s="37">
        <v>0</v>
      </c>
      <c r="O315" s="37">
        <v>0</v>
      </c>
      <c r="P315" s="38">
        <v>0</v>
      </c>
      <c r="Q315" s="35" t="s">
        <v>154</v>
      </c>
    </row>
    <row r="316" spans="1:17" ht="24.75" x14ac:dyDescent="0.25">
      <c r="A316" s="23">
        <v>37446</v>
      </c>
      <c r="B316" s="23">
        <v>37446</v>
      </c>
      <c r="C316" s="24">
        <v>2002</v>
      </c>
      <c r="D316" s="24" t="s">
        <v>141</v>
      </c>
      <c r="E316" s="6" t="s">
        <v>333</v>
      </c>
      <c r="F316" s="7" t="s">
        <v>72</v>
      </c>
      <c r="G316" s="33" t="s">
        <v>464</v>
      </c>
      <c r="H316" s="34" t="s">
        <v>465</v>
      </c>
      <c r="I316" s="20">
        <v>1</v>
      </c>
      <c r="J316" s="20">
        <v>2</v>
      </c>
      <c r="K316" s="20">
        <v>0</v>
      </c>
      <c r="L316" s="20">
        <v>0</v>
      </c>
      <c r="M316" s="37">
        <v>0</v>
      </c>
      <c r="N316" s="37">
        <v>0</v>
      </c>
      <c r="O316" s="37">
        <v>0</v>
      </c>
      <c r="P316" s="38">
        <v>0</v>
      </c>
      <c r="Q316" s="35" t="s">
        <v>154</v>
      </c>
    </row>
    <row r="317" spans="1:17" ht="24.75" x14ac:dyDescent="0.25">
      <c r="A317" s="23">
        <v>37447</v>
      </c>
      <c r="B317" s="23">
        <v>37447</v>
      </c>
      <c r="C317" s="24">
        <v>2002</v>
      </c>
      <c r="D317" s="24" t="s">
        <v>141</v>
      </c>
      <c r="E317" s="30" t="s">
        <v>142</v>
      </c>
      <c r="F317" s="28" t="s">
        <v>157</v>
      </c>
      <c r="G317" s="33" t="s">
        <v>110</v>
      </c>
      <c r="H317" s="34" t="s">
        <v>466</v>
      </c>
      <c r="I317" s="37">
        <v>0</v>
      </c>
      <c r="J317" s="20">
        <v>12</v>
      </c>
      <c r="K317" s="20">
        <v>0</v>
      </c>
      <c r="L317" s="20">
        <v>0</v>
      </c>
      <c r="M317" s="37">
        <v>0</v>
      </c>
      <c r="N317" s="37">
        <v>0</v>
      </c>
      <c r="O317" s="37">
        <v>0</v>
      </c>
      <c r="P317" s="38">
        <v>0</v>
      </c>
      <c r="Q317" s="35" t="s">
        <v>154</v>
      </c>
    </row>
    <row r="318" spans="1:17" ht="24.75" x14ac:dyDescent="0.25">
      <c r="A318" s="23">
        <v>37448</v>
      </c>
      <c r="B318" s="23">
        <v>37448</v>
      </c>
      <c r="C318" s="24">
        <v>2002</v>
      </c>
      <c r="D318" s="24" t="s">
        <v>141</v>
      </c>
      <c r="E318" s="42" t="s">
        <v>447</v>
      </c>
      <c r="F318" s="7" t="s">
        <v>53</v>
      </c>
      <c r="G318" s="33" t="s">
        <v>110</v>
      </c>
      <c r="H318" s="34" t="s">
        <v>467</v>
      </c>
      <c r="I318" s="37">
        <v>0</v>
      </c>
      <c r="J318" s="20">
        <v>30</v>
      </c>
      <c r="K318" s="20">
        <v>0</v>
      </c>
      <c r="L318" s="20">
        <v>0</v>
      </c>
      <c r="M318" s="37">
        <v>0</v>
      </c>
      <c r="N318" s="37">
        <v>0</v>
      </c>
      <c r="O318" s="37">
        <v>0</v>
      </c>
      <c r="P318" s="26">
        <v>0.17499999999999999</v>
      </c>
      <c r="Q318" s="35" t="s">
        <v>154</v>
      </c>
    </row>
    <row r="319" spans="1:17" ht="60.75" x14ac:dyDescent="0.25">
      <c r="A319" s="23">
        <v>37449</v>
      </c>
      <c r="B319" s="23">
        <v>37449</v>
      </c>
      <c r="C319" s="24">
        <v>2002</v>
      </c>
      <c r="D319" s="24" t="s">
        <v>141</v>
      </c>
      <c r="E319" s="30" t="s">
        <v>142</v>
      </c>
      <c r="F319" s="7" t="s">
        <v>72</v>
      </c>
      <c r="G319" s="33" t="s">
        <v>468</v>
      </c>
      <c r="H319" s="34" t="s">
        <v>469</v>
      </c>
      <c r="I319" s="20">
        <v>1</v>
      </c>
      <c r="J319" s="20">
        <v>32</v>
      </c>
      <c r="K319" s="20">
        <v>0</v>
      </c>
      <c r="L319" s="20">
        <v>0</v>
      </c>
      <c r="M319" s="37">
        <v>0</v>
      </c>
      <c r="N319" s="37">
        <v>0</v>
      </c>
      <c r="O319" s="37">
        <v>0</v>
      </c>
      <c r="P319" s="26">
        <v>0.6</v>
      </c>
      <c r="Q319" s="35" t="s">
        <v>154</v>
      </c>
    </row>
    <row r="320" spans="1:17" ht="36.75" x14ac:dyDescent="0.25">
      <c r="A320" s="23">
        <v>37457</v>
      </c>
      <c r="B320" s="23">
        <v>37457</v>
      </c>
      <c r="C320" s="24">
        <v>2002</v>
      </c>
      <c r="D320" s="24" t="s">
        <v>141</v>
      </c>
      <c r="E320" s="30" t="s">
        <v>142</v>
      </c>
      <c r="F320" s="7" t="s">
        <v>40</v>
      </c>
      <c r="G320" s="33" t="s">
        <v>470</v>
      </c>
      <c r="H320" s="34" t="s">
        <v>471</v>
      </c>
      <c r="I320" s="20">
        <v>6</v>
      </c>
      <c r="J320" s="20">
        <v>0</v>
      </c>
      <c r="K320" s="20">
        <v>0</v>
      </c>
      <c r="L320" s="20">
        <v>0</v>
      </c>
      <c r="M320" s="37">
        <v>0</v>
      </c>
      <c r="N320" s="37">
        <v>0</v>
      </c>
      <c r="O320" s="37">
        <v>0</v>
      </c>
      <c r="P320" s="26">
        <v>1</v>
      </c>
      <c r="Q320" s="35" t="s">
        <v>154</v>
      </c>
    </row>
    <row r="321" spans="1:17" x14ac:dyDescent="0.25">
      <c r="A321" s="23">
        <v>37459</v>
      </c>
      <c r="B321" s="23">
        <v>37459</v>
      </c>
      <c r="C321" s="24">
        <v>2002</v>
      </c>
      <c r="D321" s="24" t="s">
        <v>141</v>
      </c>
      <c r="E321" s="30" t="s">
        <v>142</v>
      </c>
      <c r="F321" s="7" t="s">
        <v>45</v>
      </c>
      <c r="G321" s="33" t="s">
        <v>110</v>
      </c>
      <c r="H321" s="34" t="s">
        <v>472</v>
      </c>
      <c r="I321" s="20">
        <v>2</v>
      </c>
      <c r="J321" s="20">
        <v>0</v>
      </c>
      <c r="K321" s="20">
        <v>0</v>
      </c>
      <c r="L321" s="20">
        <v>0</v>
      </c>
      <c r="M321" s="37">
        <v>0</v>
      </c>
      <c r="N321" s="37">
        <v>0</v>
      </c>
      <c r="O321" s="37">
        <v>0</v>
      </c>
      <c r="P321" s="38">
        <v>0</v>
      </c>
      <c r="Q321" s="35" t="s">
        <v>154</v>
      </c>
    </row>
    <row r="322" spans="1:17" ht="48.75" x14ac:dyDescent="0.25">
      <c r="A322" s="23">
        <v>37465</v>
      </c>
      <c r="B322" s="23">
        <v>37465</v>
      </c>
      <c r="C322" s="24">
        <v>2002</v>
      </c>
      <c r="D322" s="24" t="s">
        <v>141</v>
      </c>
      <c r="E322" s="30" t="s">
        <v>142</v>
      </c>
      <c r="F322" s="28" t="s">
        <v>157</v>
      </c>
      <c r="G322" s="33" t="s">
        <v>110</v>
      </c>
      <c r="H322" s="34" t="s">
        <v>473</v>
      </c>
      <c r="I322" s="37">
        <v>0</v>
      </c>
      <c r="J322" s="20">
        <v>0</v>
      </c>
      <c r="K322" s="20">
        <v>0</v>
      </c>
      <c r="L322" s="20">
        <v>0</v>
      </c>
      <c r="M322" s="37">
        <v>0</v>
      </c>
      <c r="N322" s="37">
        <v>0</v>
      </c>
      <c r="O322" s="37">
        <v>0</v>
      </c>
      <c r="P322" s="26">
        <v>0.27300000000000002</v>
      </c>
      <c r="Q322" s="35" t="s">
        <v>154</v>
      </c>
    </row>
    <row r="323" spans="1:17" ht="36.75" x14ac:dyDescent="0.25">
      <c r="A323" s="23">
        <v>37465</v>
      </c>
      <c r="B323" s="23">
        <v>37465</v>
      </c>
      <c r="C323" s="24">
        <v>2002</v>
      </c>
      <c r="D323" s="24" t="s">
        <v>141</v>
      </c>
      <c r="E323" s="30" t="s">
        <v>142</v>
      </c>
      <c r="F323" s="7" t="s">
        <v>62</v>
      </c>
      <c r="G323" s="33" t="s">
        <v>474</v>
      </c>
      <c r="H323" s="34" t="s">
        <v>475</v>
      </c>
      <c r="I323" s="20">
        <v>2</v>
      </c>
      <c r="J323" s="20">
        <v>5</v>
      </c>
      <c r="K323" s="20">
        <v>0</v>
      </c>
      <c r="L323" s="20">
        <v>0</v>
      </c>
      <c r="M323" s="37">
        <v>0</v>
      </c>
      <c r="N323" s="37">
        <v>0</v>
      </c>
      <c r="O323" s="37">
        <v>0</v>
      </c>
      <c r="P323" s="26">
        <v>0.38</v>
      </c>
      <c r="Q323" s="35" t="s">
        <v>154</v>
      </c>
    </row>
    <row r="324" spans="1:17" ht="60.75" x14ac:dyDescent="0.25">
      <c r="A324" s="23">
        <v>37466</v>
      </c>
      <c r="B324" s="23">
        <v>37466</v>
      </c>
      <c r="C324" s="24">
        <v>2002</v>
      </c>
      <c r="D324" s="24" t="s">
        <v>141</v>
      </c>
      <c r="E324" s="30" t="s">
        <v>142</v>
      </c>
      <c r="F324" s="7" t="s">
        <v>60</v>
      </c>
      <c r="G324" s="33" t="s">
        <v>110</v>
      </c>
      <c r="H324" s="34" t="s">
        <v>476</v>
      </c>
      <c r="I324" s="20">
        <v>3</v>
      </c>
      <c r="J324" s="20">
        <v>8</v>
      </c>
      <c r="K324" s="20">
        <v>0</v>
      </c>
      <c r="L324" s="20">
        <v>0</v>
      </c>
      <c r="M324" s="37">
        <v>0</v>
      </c>
      <c r="N324" s="37">
        <v>0</v>
      </c>
      <c r="O324" s="37">
        <v>0</v>
      </c>
      <c r="P324" s="38">
        <v>0</v>
      </c>
      <c r="Q324" s="35" t="s">
        <v>154</v>
      </c>
    </row>
    <row r="325" spans="1:17" ht="60.75" x14ac:dyDescent="0.25">
      <c r="A325" s="23">
        <v>37469</v>
      </c>
      <c r="B325" s="23">
        <v>37469</v>
      </c>
      <c r="C325" s="24">
        <v>2002</v>
      </c>
      <c r="D325" s="24" t="s">
        <v>141</v>
      </c>
      <c r="E325" s="30" t="s">
        <v>142</v>
      </c>
      <c r="F325" s="7" t="s">
        <v>65</v>
      </c>
      <c r="G325" s="33" t="s">
        <v>477</v>
      </c>
      <c r="H325" s="34" t="s">
        <v>478</v>
      </c>
      <c r="I325" s="20">
        <v>3</v>
      </c>
      <c r="J325" s="20">
        <v>13</v>
      </c>
      <c r="K325" s="20">
        <v>0</v>
      </c>
      <c r="L325" s="20">
        <v>0</v>
      </c>
      <c r="M325" s="37">
        <v>0</v>
      </c>
      <c r="N325" s="37">
        <v>0</v>
      </c>
      <c r="O325" s="37">
        <v>0</v>
      </c>
      <c r="P325" s="26">
        <v>0.6</v>
      </c>
      <c r="Q325" s="35" t="s">
        <v>154</v>
      </c>
    </row>
    <row r="326" spans="1:17" ht="48.75" x14ac:dyDescent="0.25">
      <c r="A326" s="23">
        <v>37473</v>
      </c>
      <c r="B326" s="23">
        <v>37473</v>
      </c>
      <c r="C326" s="24">
        <v>2002</v>
      </c>
      <c r="D326" s="24" t="s">
        <v>141</v>
      </c>
      <c r="E326" s="30" t="s">
        <v>142</v>
      </c>
      <c r="F326" s="7" t="s">
        <v>82</v>
      </c>
      <c r="G326" s="33" t="s">
        <v>110</v>
      </c>
      <c r="H326" s="34" t="s">
        <v>479</v>
      </c>
      <c r="I326" s="20">
        <v>7</v>
      </c>
      <c r="J326" s="20">
        <v>14</v>
      </c>
      <c r="K326" s="20">
        <v>0</v>
      </c>
      <c r="L326" s="20">
        <v>0</v>
      </c>
      <c r="M326" s="37">
        <v>0</v>
      </c>
      <c r="N326" s="37">
        <v>0</v>
      </c>
      <c r="O326" s="37">
        <v>0</v>
      </c>
      <c r="P326" s="26">
        <v>0.6</v>
      </c>
      <c r="Q326" s="35" t="s">
        <v>154</v>
      </c>
    </row>
    <row r="327" spans="1:17" ht="156.75" x14ac:dyDescent="0.25">
      <c r="A327" s="23">
        <v>37474</v>
      </c>
      <c r="B327" s="23">
        <v>37474</v>
      </c>
      <c r="C327" s="24">
        <v>2002</v>
      </c>
      <c r="D327" s="24" t="s">
        <v>141</v>
      </c>
      <c r="E327" s="30" t="s">
        <v>142</v>
      </c>
      <c r="F327" s="7" t="s">
        <v>62</v>
      </c>
      <c r="G327" s="33" t="s">
        <v>110</v>
      </c>
      <c r="H327" s="34" t="s">
        <v>480</v>
      </c>
      <c r="I327" s="20">
        <v>32</v>
      </c>
      <c r="J327" s="20">
        <f>56-32</f>
        <v>24</v>
      </c>
      <c r="K327" s="20">
        <v>0</v>
      </c>
      <c r="L327" s="20">
        <v>0</v>
      </c>
      <c r="M327" s="37">
        <v>0</v>
      </c>
      <c r="N327" s="37">
        <v>0</v>
      </c>
      <c r="O327" s="37">
        <v>0</v>
      </c>
      <c r="P327" s="26">
        <v>0.6</v>
      </c>
      <c r="Q327" s="35" t="s">
        <v>154</v>
      </c>
    </row>
    <row r="328" spans="1:17" ht="132.75" x14ac:dyDescent="0.25">
      <c r="A328" s="23">
        <v>37476</v>
      </c>
      <c r="B328" s="23">
        <v>37476</v>
      </c>
      <c r="C328" s="24">
        <v>2002</v>
      </c>
      <c r="D328" s="24" t="s">
        <v>141</v>
      </c>
      <c r="E328" s="42" t="s">
        <v>447</v>
      </c>
      <c r="F328" s="28" t="s">
        <v>157</v>
      </c>
      <c r="G328" s="33" t="s">
        <v>110</v>
      </c>
      <c r="H328" s="34" t="s">
        <v>481</v>
      </c>
      <c r="I328" s="37">
        <v>0</v>
      </c>
      <c r="J328" s="20">
        <v>900000</v>
      </c>
      <c r="K328" s="20">
        <v>0</v>
      </c>
      <c r="L328" s="20">
        <v>0</v>
      </c>
      <c r="M328" s="37">
        <v>0</v>
      </c>
      <c r="N328" s="37">
        <v>0</v>
      </c>
      <c r="O328" s="37">
        <v>0</v>
      </c>
      <c r="P328" s="38">
        <v>0</v>
      </c>
      <c r="Q328" s="35" t="s">
        <v>154</v>
      </c>
    </row>
    <row r="329" spans="1:17" ht="60.75" x14ac:dyDescent="0.25">
      <c r="A329" s="23">
        <v>37480</v>
      </c>
      <c r="B329" s="23">
        <v>37480</v>
      </c>
      <c r="C329" s="24">
        <v>2002</v>
      </c>
      <c r="D329" s="24" t="s">
        <v>141</v>
      </c>
      <c r="E329" s="30" t="s">
        <v>142</v>
      </c>
      <c r="F329" s="7" t="s">
        <v>87</v>
      </c>
      <c r="G329" s="33" t="s">
        <v>110</v>
      </c>
      <c r="H329" s="34" t="s">
        <v>482</v>
      </c>
      <c r="I329" s="20">
        <v>17</v>
      </c>
      <c r="J329" s="20">
        <v>30</v>
      </c>
      <c r="K329" s="20">
        <v>0</v>
      </c>
      <c r="L329" s="20">
        <v>0</v>
      </c>
      <c r="M329" s="37">
        <v>0</v>
      </c>
      <c r="N329" s="37">
        <v>0</v>
      </c>
      <c r="O329" s="37">
        <v>0</v>
      </c>
      <c r="P329" s="26">
        <v>0.6</v>
      </c>
      <c r="Q329" s="35" t="s">
        <v>154</v>
      </c>
    </row>
    <row r="330" spans="1:17" x14ac:dyDescent="0.25">
      <c r="A330" s="23">
        <v>37483</v>
      </c>
      <c r="B330" s="23">
        <v>37483</v>
      </c>
      <c r="C330" s="24">
        <v>2002</v>
      </c>
      <c r="D330" s="24" t="s">
        <v>141</v>
      </c>
      <c r="E330" s="30" t="s">
        <v>142</v>
      </c>
      <c r="F330" s="7" t="s">
        <v>97</v>
      </c>
      <c r="G330" s="33" t="s">
        <v>110</v>
      </c>
      <c r="H330" s="34" t="s">
        <v>483</v>
      </c>
      <c r="I330" s="20">
        <v>6</v>
      </c>
      <c r="J330" s="20">
        <v>0</v>
      </c>
      <c r="K330" s="20">
        <v>0</v>
      </c>
      <c r="L330" s="20">
        <v>0</v>
      </c>
      <c r="M330" s="37">
        <v>0</v>
      </c>
      <c r="N330" s="37">
        <v>0</v>
      </c>
      <c r="O330" s="37">
        <v>0</v>
      </c>
      <c r="P330" s="38">
        <v>0</v>
      </c>
      <c r="Q330" s="35" t="s">
        <v>154</v>
      </c>
    </row>
    <row r="331" spans="1:17" ht="60.75" x14ac:dyDescent="0.25">
      <c r="A331" s="23">
        <v>37488</v>
      </c>
      <c r="B331" s="23">
        <v>37488</v>
      </c>
      <c r="C331" s="24">
        <v>2002</v>
      </c>
      <c r="D331" s="24" t="s">
        <v>141</v>
      </c>
      <c r="E331" s="30" t="s">
        <v>142</v>
      </c>
      <c r="F331" s="7" t="s">
        <v>82</v>
      </c>
      <c r="G331" s="33" t="s">
        <v>484</v>
      </c>
      <c r="H331" s="34" t="s">
        <v>485</v>
      </c>
      <c r="I331" s="37">
        <v>0</v>
      </c>
      <c r="J331" s="20">
        <v>0</v>
      </c>
      <c r="K331" s="20">
        <v>0</v>
      </c>
      <c r="L331" s="20">
        <v>0</v>
      </c>
      <c r="M331" s="37">
        <v>0</v>
      </c>
      <c r="N331" s="37">
        <v>0</v>
      </c>
      <c r="O331" s="37">
        <v>0</v>
      </c>
      <c r="P331" s="38">
        <v>0</v>
      </c>
      <c r="Q331" s="35" t="s">
        <v>154</v>
      </c>
    </row>
    <row r="332" spans="1:17" ht="84.75" x14ac:dyDescent="0.25">
      <c r="A332" s="23">
        <v>37490</v>
      </c>
      <c r="B332" s="23">
        <v>37490</v>
      </c>
      <c r="C332" s="24">
        <v>2002</v>
      </c>
      <c r="D332" s="24" t="s">
        <v>141</v>
      </c>
      <c r="E332" s="30" t="s">
        <v>142</v>
      </c>
      <c r="F332" s="28" t="s">
        <v>160</v>
      </c>
      <c r="G332" s="33" t="s">
        <v>110</v>
      </c>
      <c r="H332" s="34" t="s">
        <v>486</v>
      </c>
      <c r="I332" s="37">
        <v>0</v>
      </c>
      <c r="J332" s="20">
        <v>10</v>
      </c>
      <c r="K332" s="20">
        <v>0</v>
      </c>
      <c r="L332" s="20">
        <v>0</v>
      </c>
      <c r="M332" s="37">
        <v>0</v>
      </c>
      <c r="N332" s="37">
        <v>0</v>
      </c>
      <c r="O332" s="37">
        <v>0</v>
      </c>
      <c r="P332" s="26">
        <v>0.6</v>
      </c>
      <c r="Q332" s="35" t="s">
        <v>154</v>
      </c>
    </row>
    <row r="333" spans="1:17" ht="24.75" x14ac:dyDescent="0.25">
      <c r="A333" s="23">
        <v>37495</v>
      </c>
      <c r="B333" s="23">
        <v>37495</v>
      </c>
      <c r="C333" s="24">
        <v>2002</v>
      </c>
      <c r="D333" s="24" t="s">
        <v>141</v>
      </c>
      <c r="E333" s="6" t="s">
        <v>333</v>
      </c>
      <c r="F333" s="7" t="s">
        <v>62</v>
      </c>
      <c r="G333" s="33" t="s">
        <v>487</v>
      </c>
      <c r="H333" s="34" t="s">
        <v>488</v>
      </c>
      <c r="I333" s="37">
        <v>0</v>
      </c>
      <c r="J333" s="20">
        <v>75</v>
      </c>
      <c r="K333" s="20">
        <v>0</v>
      </c>
      <c r="L333" s="20">
        <v>0</v>
      </c>
      <c r="M333" s="37">
        <v>0</v>
      </c>
      <c r="N333" s="37">
        <v>0</v>
      </c>
      <c r="O333" s="37">
        <v>0</v>
      </c>
      <c r="P333" s="38">
        <v>0</v>
      </c>
      <c r="Q333" s="35" t="s">
        <v>154</v>
      </c>
    </row>
    <row r="334" spans="1:17" ht="36.75" x14ac:dyDescent="0.25">
      <c r="A334" s="23">
        <v>37497</v>
      </c>
      <c r="B334" s="23">
        <v>37497</v>
      </c>
      <c r="C334" s="24">
        <v>2002</v>
      </c>
      <c r="D334" s="24" t="s">
        <v>141</v>
      </c>
      <c r="E334" s="30" t="s">
        <v>142</v>
      </c>
      <c r="F334" s="7" t="s">
        <v>97</v>
      </c>
      <c r="G334" s="33" t="s">
        <v>489</v>
      </c>
      <c r="H334" s="34" t="s">
        <v>490</v>
      </c>
      <c r="I334" s="37">
        <v>0</v>
      </c>
      <c r="J334" s="20">
        <v>0</v>
      </c>
      <c r="K334" s="20">
        <v>0</v>
      </c>
      <c r="L334" s="20">
        <v>0</v>
      </c>
      <c r="M334" s="37">
        <v>0</v>
      </c>
      <c r="N334" s="37">
        <v>0</v>
      </c>
      <c r="O334" s="37">
        <v>0</v>
      </c>
      <c r="P334" s="38">
        <v>0</v>
      </c>
      <c r="Q334" s="35" t="s">
        <v>154</v>
      </c>
    </row>
    <row r="335" spans="1:17" ht="72.75" x14ac:dyDescent="0.25">
      <c r="A335" s="23">
        <v>37500</v>
      </c>
      <c r="B335" s="23">
        <v>37500</v>
      </c>
      <c r="C335" s="24">
        <v>2002</v>
      </c>
      <c r="D335" s="24" t="s">
        <v>141</v>
      </c>
      <c r="E335" s="30" t="s">
        <v>142</v>
      </c>
      <c r="F335" s="7" t="s">
        <v>62</v>
      </c>
      <c r="G335" s="33" t="s">
        <v>491</v>
      </c>
      <c r="H335" s="34" t="s">
        <v>492</v>
      </c>
      <c r="I335" s="37">
        <v>0</v>
      </c>
      <c r="J335" s="20">
        <v>12</v>
      </c>
      <c r="K335" s="20">
        <v>0</v>
      </c>
      <c r="L335" s="20">
        <v>0</v>
      </c>
      <c r="M335" s="37">
        <v>0</v>
      </c>
      <c r="N335" s="37">
        <v>0</v>
      </c>
      <c r="O335" s="20">
        <v>0</v>
      </c>
      <c r="P335" s="38">
        <v>0</v>
      </c>
      <c r="Q335" s="35" t="s">
        <v>154</v>
      </c>
    </row>
    <row r="336" spans="1:17" ht="60.75" x14ac:dyDescent="0.25">
      <c r="A336" s="23">
        <v>37501</v>
      </c>
      <c r="B336" s="23">
        <v>37501</v>
      </c>
      <c r="C336" s="24">
        <v>2002</v>
      </c>
      <c r="D336" s="24" t="s">
        <v>141</v>
      </c>
      <c r="E336" s="42" t="s">
        <v>149</v>
      </c>
      <c r="F336" s="7" t="s">
        <v>40</v>
      </c>
      <c r="G336" s="33" t="s">
        <v>110</v>
      </c>
      <c r="H336" s="34" t="s">
        <v>493</v>
      </c>
      <c r="I336" s="20">
        <v>5</v>
      </c>
      <c r="J336" s="20">
        <v>0</v>
      </c>
      <c r="K336" s="20">
        <v>1</v>
      </c>
      <c r="L336" s="20">
        <v>0</v>
      </c>
      <c r="M336" s="37">
        <v>0</v>
      </c>
      <c r="N336" s="37">
        <v>0</v>
      </c>
      <c r="O336" s="20">
        <v>0</v>
      </c>
      <c r="P336" s="38">
        <v>0</v>
      </c>
      <c r="Q336" s="35" t="s">
        <v>154</v>
      </c>
    </row>
    <row r="337" spans="1:17" ht="84.75" x14ac:dyDescent="0.25">
      <c r="A337" s="23">
        <v>37502</v>
      </c>
      <c r="B337" s="23">
        <v>37502</v>
      </c>
      <c r="C337" s="24">
        <v>2002</v>
      </c>
      <c r="D337" s="24" t="s">
        <v>141</v>
      </c>
      <c r="E337" s="30" t="s">
        <v>142</v>
      </c>
      <c r="F337" s="7" t="s">
        <v>60</v>
      </c>
      <c r="G337" s="33" t="s">
        <v>110</v>
      </c>
      <c r="H337" s="34" t="s">
        <v>494</v>
      </c>
      <c r="I337" s="37">
        <v>0</v>
      </c>
      <c r="J337" s="20">
        <v>0</v>
      </c>
      <c r="K337" s="20">
        <v>0</v>
      </c>
      <c r="L337" s="20">
        <v>0</v>
      </c>
      <c r="M337" s="37">
        <v>0</v>
      </c>
      <c r="N337" s="37">
        <v>0</v>
      </c>
      <c r="O337" s="20">
        <v>0</v>
      </c>
      <c r="P337" s="38">
        <v>0</v>
      </c>
      <c r="Q337" s="35" t="s">
        <v>154</v>
      </c>
    </row>
    <row r="338" spans="1:17" ht="60.75" x14ac:dyDescent="0.25">
      <c r="A338" s="23">
        <v>37503</v>
      </c>
      <c r="B338" s="23">
        <v>37503</v>
      </c>
      <c r="C338" s="24">
        <v>2002</v>
      </c>
      <c r="D338" s="24" t="s">
        <v>141</v>
      </c>
      <c r="E338" s="30" t="s">
        <v>142</v>
      </c>
      <c r="F338" s="7" t="s">
        <v>56</v>
      </c>
      <c r="G338" s="33" t="s">
        <v>495</v>
      </c>
      <c r="H338" s="34" t="s">
        <v>496</v>
      </c>
      <c r="I338" s="20">
        <v>1</v>
      </c>
      <c r="J338" s="20">
        <v>10</v>
      </c>
      <c r="K338" s="20">
        <v>0</v>
      </c>
      <c r="L338" s="20">
        <v>0</v>
      </c>
      <c r="M338" s="37">
        <v>0</v>
      </c>
      <c r="N338" s="37">
        <v>0</v>
      </c>
      <c r="O338" s="20">
        <v>0</v>
      </c>
      <c r="P338" s="26">
        <v>0.6</v>
      </c>
      <c r="Q338" s="35" t="s">
        <v>154</v>
      </c>
    </row>
    <row r="339" spans="1:17" ht="60.75" x14ac:dyDescent="0.25">
      <c r="A339" s="23">
        <v>37509</v>
      </c>
      <c r="B339" s="23">
        <v>37509</v>
      </c>
      <c r="C339" s="24">
        <v>2002</v>
      </c>
      <c r="D339" s="24" t="s">
        <v>141</v>
      </c>
      <c r="E339" s="42" t="s">
        <v>369</v>
      </c>
      <c r="F339" s="7" t="s">
        <v>68</v>
      </c>
      <c r="G339" s="33" t="s">
        <v>497</v>
      </c>
      <c r="H339" s="34" t="s">
        <v>498</v>
      </c>
      <c r="I339" s="37">
        <v>0</v>
      </c>
      <c r="J339" s="20">
        <v>0</v>
      </c>
      <c r="K339" s="20">
        <v>0</v>
      </c>
      <c r="L339" s="20">
        <v>0</v>
      </c>
      <c r="M339" s="37">
        <v>0</v>
      </c>
      <c r="N339" s="37">
        <v>0</v>
      </c>
      <c r="O339" s="20">
        <v>3</v>
      </c>
      <c r="P339" s="38">
        <v>0</v>
      </c>
      <c r="Q339" s="35" t="s">
        <v>154</v>
      </c>
    </row>
    <row r="340" spans="1:17" ht="144.75" x14ac:dyDescent="0.25">
      <c r="A340" s="23">
        <v>37514</v>
      </c>
      <c r="B340" s="23">
        <v>37514</v>
      </c>
      <c r="C340" s="24">
        <v>2002</v>
      </c>
      <c r="D340" s="24" t="s">
        <v>141</v>
      </c>
      <c r="E340" s="42" t="s">
        <v>447</v>
      </c>
      <c r="F340" s="7" t="s">
        <v>80</v>
      </c>
      <c r="G340" s="33" t="s">
        <v>110</v>
      </c>
      <c r="H340" s="34" t="s">
        <v>499</v>
      </c>
      <c r="I340" s="37">
        <v>0</v>
      </c>
      <c r="J340" s="20">
        <v>0</v>
      </c>
      <c r="K340" s="20">
        <v>0</v>
      </c>
      <c r="L340" s="20">
        <v>0</v>
      </c>
      <c r="M340" s="37">
        <v>0</v>
      </c>
      <c r="N340" s="37">
        <v>0</v>
      </c>
      <c r="O340" s="20">
        <v>0</v>
      </c>
      <c r="P340" s="38">
        <v>0</v>
      </c>
      <c r="Q340" s="35" t="s">
        <v>154</v>
      </c>
    </row>
    <row r="341" spans="1:17" ht="60.75" x14ac:dyDescent="0.25">
      <c r="A341" s="23">
        <v>37515</v>
      </c>
      <c r="B341" s="23">
        <v>37515</v>
      </c>
      <c r="C341" s="24">
        <v>2002</v>
      </c>
      <c r="D341" s="24" t="s">
        <v>141</v>
      </c>
      <c r="E341" s="30" t="s">
        <v>142</v>
      </c>
      <c r="F341" s="7" t="s">
        <v>62</v>
      </c>
      <c r="G341" s="33" t="s">
        <v>500</v>
      </c>
      <c r="H341" s="34" t="s">
        <v>501</v>
      </c>
      <c r="I341" s="20">
        <v>4</v>
      </c>
      <c r="J341" s="20">
        <v>6</v>
      </c>
      <c r="K341" s="20">
        <v>0</v>
      </c>
      <c r="L341" s="20">
        <v>0</v>
      </c>
      <c r="M341" s="37">
        <v>0</v>
      </c>
      <c r="N341" s="37">
        <v>0</v>
      </c>
      <c r="O341" s="20">
        <v>0</v>
      </c>
      <c r="P341" s="26">
        <v>0.04</v>
      </c>
      <c r="Q341" s="35" t="s">
        <v>154</v>
      </c>
    </row>
    <row r="342" spans="1:17" ht="60.75" x14ac:dyDescent="0.25">
      <c r="A342" s="23">
        <v>37516</v>
      </c>
      <c r="B342" s="23">
        <v>37516</v>
      </c>
      <c r="C342" s="24">
        <v>2002</v>
      </c>
      <c r="D342" s="24" t="s">
        <v>141</v>
      </c>
      <c r="E342" s="30" t="s">
        <v>142</v>
      </c>
      <c r="F342" s="7" t="s">
        <v>65</v>
      </c>
      <c r="G342" s="33" t="s">
        <v>110</v>
      </c>
      <c r="H342" s="34" t="s">
        <v>502</v>
      </c>
      <c r="I342" s="37">
        <v>0</v>
      </c>
      <c r="J342" s="20">
        <v>2</v>
      </c>
      <c r="K342" s="20">
        <v>0</v>
      </c>
      <c r="L342" s="20">
        <v>0</v>
      </c>
      <c r="M342" s="37">
        <v>0</v>
      </c>
      <c r="N342" s="37">
        <v>0</v>
      </c>
      <c r="O342" s="20">
        <v>0</v>
      </c>
      <c r="P342" s="26">
        <v>0.6</v>
      </c>
      <c r="Q342" s="35" t="s">
        <v>154</v>
      </c>
    </row>
    <row r="343" spans="1:17" ht="48.75" x14ac:dyDescent="0.25">
      <c r="A343" s="23">
        <v>37516</v>
      </c>
      <c r="B343" s="23">
        <v>37516</v>
      </c>
      <c r="C343" s="24">
        <v>2002</v>
      </c>
      <c r="D343" s="24" t="s">
        <v>141</v>
      </c>
      <c r="E343" s="6" t="s">
        <v>333</v>
      </c>
      <c r="F343" s="7" t="s">
        <v>53</v>
      </c>
      <c r="G343" s="33" t="s">
        <v>503</v>
      </c>
      <c r="H343" s="34" t="s">
        <v>504</v>
      </c>
      <c r="I343" s="37">
        <v>0</v>
      </c>
      <c r="J343" s="20">
        <v>45</v>
      </c>
      <c r="K343" s="20">
        <v>0</v>
      </c>
      <c r="L343" s="20">
        <v>0</v>
      </c>
      <c r="M343" s="37">
        <v>0</v>
      </c>
      <c r="N343" s="37">
        <v>0</v>
      </c>
      <c r="O343" s="20">
        <v>0</v>
      </c>
      <c r="P343" s="38">
        <v>0</v>
      </c>
      <c r="Q343" s="35" t="s">
        <v>154</v>
      </c>
    </row>
    <row r="344" spans="1:17" ht="72.75" x14ac:dyDescent="0.25">
      <c r="A344" s="23">
        <v>37518</v>
      </c>
      <c r="B344" s="23">
        <v>37518</v>
      </c>
      <c r="C344" s="24">
        <v>2002</v>
      </c>
      <c r="D344" s="24" t="s">
        <v>141</v>
      </c>
      <c r="E344" s="6" t="s">
        <v>333</v>
      </c>
      <c r="F344" s="7" t="s">
        <v>58</v>
      </c>
      <c r="G344" s="33" t="s">
        <v>168</v>
      </c>
      <c r="H344" s="34" t="s">
        <v>505</v>
      </c>
      <c r="I344" s="20">
        <v>1</v>
      </c>
      <c r="J344" s="20">
        <v>6</v>
      </c>
      <c r="K344" s="20">
        <v>0</v>
      </c>
      <c r="L344" s="20">
        <v>0</v>
      </c>
      <c r="M344" s="37">
        <v>0</v>
      </c>
      <c r="N344" s="37">
        <v>0</v>
      </c>
      <c r="O344" s="20">
        <v>0</v>
      </c>
      <c r="P344" s="38">
        <v>0</v>
      </c>
      <c r="Q344" s="35" t="s">
        <v>154</v>
      </c>
    </row>
    <row r="345" spans="1:17" ht="72.75" x14ac:dyDescent="0.25">
      <c r="A345" s="23">
        <v>37529</v>
      </c>
      <c r="B345" s="23">
        <v>37529</v>
      </c>
      <c r="C345" s="24">
        <v>2002</v>
      </c>
      <c r="D345" s="24" t="s">
        <v>141</v>
      </c>
      <c r="E345" s="30" t="s">
        <v>133</v>
      </c>
      <c r="F345" s="7" t="s">
        <v>53</v>
      </c>
      <c r="G345" s="33" t="s">
        <v>451</v>
      </c>
      <c r="H345" s="34" t="s">
        <v>506</v>
      </c>
      <c r="I345" s="20">
        <v>6</v>
      </c>
      <c r="J345" s="20">
        <v>1</v>
      </c>
      <c r="K345" s="20">
        <v>0</v>
      </c>
      <c r="L345" s="20">
        <v>0</v>
      </c>
      <c r="M345" s="37">
        <v>0</v>
      </c>
      <c r="N345" s="37">
        <v>0</v>
      </c>
      <c r="O345" s="20">
        <v>0</v>
      </c>
      <c r="P345" s="26">
        <v>0.27</v>
      </c>
      <c r="Q345" s="35" t="s">
        <v>154</v>
      </c>
    </row>
    <row r="346" spans="1:17" ht="36.75" x14ac:dyDescent="0.25">
      <c r="A346" s="23">
        <v>37525</v>
      </c>
      <c r="B346" s="23">
        <v>37525</v>
      </c>
      <c r="C346" s="24">
        <v>2002</v>
      </c>
      <c r="D346" s="24" t="s">
        <v>141</v>
      </c>
      <c r="E346" s="30" t="s">
        <v>133</v>
      </c>
      <c r="F346" s="7" t="s">
        <v>53</v>
      </c>
      <c r="G346" s="33" t="s">
        <v>110</v>
      </c>
      <c r="H346" s="34" t="s">
        <v>507</v>
      </c>
      <c r="I346" s="20">
        <v>1</v>
      </c>
      <c r="J346" s="20">
        <v>15</v>
      </c>
      <c r="K346" s="20">
        <v>0</v>
      </c>
      <c r="L346" s="20">
        <v>0</v>
      </c>
      <c r="M346" s="37">
        <v>0</v>
      </c>
      <c r="N346" s="37">
        <v>0</v>
      </c>
      <c r="O346" s="20">
        <v>0</v>
      </c>
      <c r="P346" s="38">
        <v>0</v>
      </c>
      <c r="Q346" s="35" t="s">
        <v>154</v>
      </c>
    </row>
    <row r="347" spans="1:17" ht="36.75" x14ac:dyDescent="0.25">
      <c r="A347" s="23">
        <v>37522</v>
      </c>
      <c r="B347" s="23">
        <v>37522</v>
      </c>
      <c r="C347" s="24">
        <v>2002</v>
      </c>
      <c r="D347" s="24" t="s">
        <v>141</v>
      </c>
      <c r="E347" s="30" t="s">
        <v>133</v>
      </c>
      <c r="F347" s="7" t="s">
        <v>53</v>
      </c>
      <c r="G347" s="33" t="s">
        <v>508</v>
      </c>
      <c r="H347" s="34" t="s">
        <v>509</v>
      </c>
      <c r="I347" s="20">
        <v>1</v>
      </c>
      <c r="J347" s="20">
        <v>0</v>
      </c>
      <c r="K347" s="20">
        <v>0</v>
      </c>
      <c r="L347" s="20">
        <v>0</v>
      </c>
      <c r="M347" s="37">
        <v>0</v>
      </c>
      <c r="N347" s="37">
        <v>0</v>
      </c>
      <c r="O347" s="20">
        <v>0</v>
      </c>
      <c r="P347" s="38">
        <v>0</v>
      </c>
      <c r="Q347" s="35" t="s">
        <v>154</v>
      </c>
    </row>
    <row r="348" spans="1:17" ht="48.75" x14ac:dyDescent="0.25">
      <c r="A348" s="23">
        <v>37539</v>
      </c>
      <c r="B348" s="23">
        <v>37539</v>
      </c>
      <c r="C348" s="24">
        <v>2002</v>
      </c>
      <c r="D348" s="24" t="s">
        <v>141</v>
      </c>
      <c r="E348" s="6" t="s">
        <v>333</v>
      </c>
      <c r="F348" s="7" t="s">
        <v>101</v>
      </c>
      <c r="G348" s="33" t="s">
        <v>110</v>
      </c>
      <c r="H348" s="34" t="s">
        <v>510</v>
      </c>
      <c r="I348" s="20">
        <v>4</v>
      </c>
      <c r="J348" s="20">
        <v>0</v>
      </c>
      <c r="K348" s="20">
        <v>0</v>
      </c>
      <c r="L348" s="20">
        <v>0</v>
      </c>
      <c r="M348" s="37">
        <v>0</v>
      </c>
      <c r="N348" s="37">
        <v>0</v>
      </c>
      <c r="O348" s="20">
        <v>0</v>
      </c>
      <c r="P348" s="38">
        <v>0</v>
      </c>
      <c r="Q348" s="35" t="s">
        <v>154</v>
      </c>
    </row>
    <row r="349" spans="1:17" ht="24.75" x14ac:dyDescent="0.25">
      <c r="A349" s="23">
        <v>37536</v>
      </c>
      <c r="B349" s="23">
        <v>37536</v>
      </c>
      <c r="C349" s="24">
        <v>2002</v>
      </c>
      <c r="D349" s="24" t="s">
        <v>141</v>
      </c>
      <c r="E349" s="30" t="s">
        <v>142</v>
      </c>
      <c r="F349" s="7" t="s">
        <v>87</v>
      </c>
      <c r="G349" s="33" t="s">
        <v>110</v>
      </c>
      <c r="H349" s="34" t="s">
        <v>511</v>
      </c>
      <c r="I349" s="20">
        <v>6</v>
      </c>
      <c r="J349" s="20">
        <v>30</v>
      </c>
      <c r="K349" s="20">
        <v>0</v>
      </c>
      <c r="L349" s="20">
        <v>0</v>
      </c>
      <c r="M349" s="37">
        <v>0</v>
      </c>
      <c r="N349" s="37">
        <v>0</v>
      </c>
      <c r="O349" s="20">
        <v>0</v>
      </c>
      <c r="P349" s="26">
        <v>0.6</v>
      </c>
      <c r="Q349" s="35" t="s">
        <v>154</v>
      </c>
    </row>
    <row r="350" spans="1:17" ht="36.75" x14ac:dyDescent="0.25">
      <c r="A350" s="23">
        <v>37540</v>
      </c>
      <c r="B350" s="23">
        <v>37540</v>
      </c>
      <c r="C350" s="24">
        <v>2002</v>
      </c>
      <c r="D350" s="24" t="s">
        <v>141</v>
      </c>
      <c r="E350" s="30" t="s">
        <v>142</v>
      </c>
      <c r="F350" s="28" t="s">
        <v>157</v>
      </c>
      <c r="G350" s="33" t="s">
        <v>110</v>
      </c>
      <c r="H350" s="34" t="s">
        <v>512</v>
      </c>
      <c r="I350" s="37">
        <v>0</v>
      </c>
      <c r="J350" s="20">
        <v>34</v>
      </c>
      <c r="K350" s="20">
        <v>0</v>
      </c>
      <c r="L350" s="20">
        <v>0</v>
      </c>
      <c r="M350" s="37">
        <v>0</v>
      </c>
      <c r="N350" s="37">
        <v>0</v>
      </c>
      <c r="O350" s="20">
        <v>0</v>
      </c>
      <c r="P350" s="26">
        <v>0.04</v>
      </c>
      <c r="Q350" s="35" t="s">
        <v>154</v>
      </c>
    </row>
    <row r="351" spans="1:17" ht="36.75" x14ac:dyDescent="0.25">
      <c r="A351" s="23">
        <v>37553</v>
      </c>
      <c r="B351" s="23">
        <v>37553</v>
      </c>
      <c r="C351" s="24">
        <v>2002</v>
      </c>
      <c r="D351" s="24" t="s">
        <v>141</v>
      </c>
      <c r="E351" s="30" t="s">
        <v>136</v>
      </c>
      <c r="F351" s="28" t="s">
        <v>157</v>
      </c>
      <c r="G351" s="33" t="s">
        <v>110</v>
      </c>
      <c r="H351" s="34" t="s">
        <v>513</v>
      </c>
      <c r="I351" s="20">
        <v>4</v>
      </c>
      <c r="J351" s="20">
        <v>0</v>
      </c>
      <c r="K351" s="20">
        <v>0</v>
      </c>
      <c r="L351" s="20">
        <v>0</v>
      </c>
      <c r="M351" s="37">
        <v>0</v>
      </c>
      <c r="N351" s="37">
        <v>0</v>
      </c>
      <c r="O351" s="20">
        <v>0</v>
      </c>
      <c r="P351" s="38">
        <v>0</v>
      </c>
      <c r="Q351" s="35" t="s">
        <v>154</v>
      </c>
    </row>
    <row r="352" spans="1:17" ht="36.75" x14ac:dyDescent="0.25">
      <c r="A352" s="23">
        <v>37556</v>
      </c>
      <c r="B352" s="23">
        <v>37556</v>
      </c>
      <c r="C352" s="24">
        <v>2002</v>
      </c>
      <c r="D352" s="24" t="s">
        <v>141</v>
      </c>
      <c r="E352" s="30" t="s">
        <v>142</v>
      </c>
      <c r="F352" s="7" t="s">
        <v>49</v>
      </c>
      <c r="G352" s="33" t="s">
        <v>110</v>
      </c>
      <c r="H352" s="34" t="s">
        <v>514</v>
      </c>
      <c r="I352" s="20">
        <v>1</v>
      </c>
      <c r="J352" s="20">
        <v>17</v>
      </c>
      <c r="K352" s="20">
        <v>0</v>
      </c>
      <c r="L352" s="20">
        <v>0</v>
      </c>
      <c r="M352" s="37">
        <v>0</v>
      </c>
      <c r="N352" s="37">
        <v>0</v>
      </c>
      <c r="O352" s="20">
        <v>0</v>
      </c>
      <c r="P352" s="26">
        <v>0.6</v>
      </c>
      <c r="Q352" s="35" t="s">
        <v>154</v>
      </c>
    </row>
    <row r="353" spans="1:17" ht="36.75" x14ac:dyDescent="0.25">
      <c r="A353" s="23">
        <v>37559</v>
      </c>
      <c r="B353" s="23">
        <v>37559</v>
      </c>
      <c r="C353" s="24">
        <v>2002</v>
      </c>
      <c r="D353" s="24" t="s">
        <v>141</v>
      </c>
      <c r="E353" s="30" t="s">
        <v>142</v>
      </c>
      <c r="F353" s="7" t="s">
        <v>53</v>
      </c>
      <c r="G353" s="33" t="s">
        <v>515</v>
      </c>
      <c r="H353" s="34" t="s">
        <v>516</v>
      </c>
      <c r="I353" s="37">
        <v>0</v>
      </c>
      <c r="J353" s="20">
        <v>1</v>
      </c>
      <c r="K353" s="20">
        <v>0</v>
      </c>
      <c r="L353" s="20">
        <v>0</v>
      </c>
      <c r="M353" s="37">
        <v>0</v>
      </c>
      <c r="N353" s="37">
        <v>0</v>
      </c>
      <c r="O353" s="20">
        <v>0</v>
      </c>
      <c r="P353" s="26">
        <v>1</v>
      </c>
      <c r="Q353" s="35" t="s">
        <v>154</v>
      </c>
    </row>
    <row r="354" spans="1:17" ht="48.75" x14ac:dyDescent="0.25">
      <c r="A354" s="23">
        <v>37560</v>
      </c>
      <c r="B354" s="23">
        <v>37560</v>
      </c>
      <c r="C354" s="24">
        <v>2002</v>
      </c>
      <c r="D354" s="24" t="s">
        <v>141</v>
      </c>
      <c r="E354" s="6" t="s">
        <v>333</v>
      </c>
      <c r="F354" s="28" t="s">
        <v>157</v>
      </c>
      <c r="G354" s="33" t="s">
        <v>110</v>
      </c>
      <c r="H354" s="34" t="s">
        <v>338</v>
      </c>
      <c r="I354" s="37">
        <v>0</v>
      </c>
      <c r="J354" s="20">
        <v>0</v>
      </c>
      <c r="K354" s="20">
        <v>0</v>
      </c>
      <c r="L354" s="20">
        <v>0</v>
      </c>
      <c r="M354" s="37">
        <v>0</v>
      </c>
      <c r="N354" s="37">
        <v>0</v>
      </c>
      <c r="O354" s="20">
        <v>0</v>
      </c>
      <c r="P354" s="26">
        <v>0.12</v>
      </c>
      <c r="Q354" s="35" t="s">
        <v>154</v>
      </c>
    </row>
    <row r="355" spans="1:17" ht="60.75" x14ac:dyDescent="0.25">
      <c r="A355" s="23">
        <v>37570</v>
      </c>
      <c r="B355" s="23">
        <v>37570</v>
      </c>
      <c r="C355" s="24">
        <v>2002</v>
      </c>
      <c r="D355" s="24" t="s">
        <v>141</v>
      </c>
      <c r="E355" s="30" t="s">
        <v>142</v>
      </c>
      <c r="F355" s="7" t="s">
        <v>60</v>
      </c>
      <c r="G355" s="33" t="s">
        <v>517</v>
      </c>
      <c r="H355" s="34" t="s">
        <v>518</v>
      </c>
      <c r="I355" s="37">
        <v>0</v>
      </c>
      <c r="J355" s="20">
        <v>28</v>
      </c>
      <c r="K355" s="20">
        <v>0</v>
      </c>
      <c r="L355" s="20">
        <v>0</v>
      </c>
      <c r="M355" s="37">
        <v>0</v>
      </c>
      <c r="N355" s="37">
        <v>0</v>
      </c>
      <c r="O355" s="20">
        <v>0</v>
      </c>
      <c r="P355" s="38">
        <v>0</v>
      </c>
      <c r="Q355" s="35" t="s">
        <v>154</v>
      </c>
    </row>
    <row r="356" spans="1:17" ht="48.75" x14ac:dyDescent="0.25">
      <c r="A356" s="23">
        <v>37570</v>
      </c>
      <c r="B356" s="23">
        <v>37570</v>
      </c>
      <c r="C356" s="24">
        <v>2002</v>
      </c>
      <c r="D356" s="24" t="s">
        <v>141</v>
      </c>
      <c r="E356" s="30" t="s">
        <v>142</v>
      </c>
      <c r="F356" s="7" t="s">
        <v>53</v>
      </c>
      <c r="G356" s="33" t="s">
        <v>519</v>
      </c>
      <c r="H356" s="34" t="s">
        <v>520</v>
      </c>
      <c r="I356" s="20">
        <v>2</v>
      </c>
      <c r="J356" s="20">
        <v>22</v>
      </c>
      <c r="K356" s="20">
        <v>0</v>
      </c>
      <c r="L356" s="20">
        <v>0</v>
      </c>
      <c r="M356" s="37">
        <v>0</v>
      </c>
      <c r="N356" s="37">
        <v>0</v>
      </c>
      <c r="O356" s="20">
        <v>0</v>
      </c>
      <c r="P356" s="26">
        <v>0.6</v>
      </c>
      <c r="Q356" s="35" t="s">
        <v>154</v>
      </c>
    </row>
    <row r="357" spans="1:17" ht="36.75" x14ac:dyDescent="0.25">
      <c r="A357" s="23">
        <v>37591</v>
      </c>
      <c r="B357" s="23">
        <v>37591</v>
      </c>
      <c r="C357" s="24">
        <v>2002</v>
      </c>
      <c r="D357" s="24" t="s">
        <v>141</v>
      </c>
      <c r="E357" s="30" t="s">
        <v>142</v>
      </c>
      <c r="F357" s="7" t="s">
        <v>65</v>
      </c>
      <c r="G357" s="33" t="s">
        <v>110</v>
      </c>
      <c r="H357" s="34" t="s">
        <v>521</v>
      </c>
      <c r="I357" s="37">
        <v>0</v>
      </c>
      <c r="J357" s="20">
        <v>5</v>
      </c>
      <c r="K357" s="20">
        <v>0</v>
      </c>
      <c r="L357" s="20">
        <v>0</v>
      </c>
      <c r="M357" s="37">
        <v>0</v>
      </c>
      <c r="N357" s="37">
        <v>0</v>
      </c>
      <c r="O357" s="20">
        <v>0</v>
      </c>
      <c r="P357" s="38">
        <v>0</v>
      </c>
      <c r="Q357" s="35" t="s">
        <v>154</v>
      </c>
    </row>
    <row r="358" spans="1:17" ht="48.75" x14ac:dyDescent="0.25">
      <c r="A358" s="23">
        <v>37592</v>
      </c>
      <c r="B358" s="23">
        <v>37592</v>
      </c>
      <c r="C358" s="24">
        <v>2002</v>
      </c>
      <c r="D358" s="24" t="s">
        <v>141</v>
      </c>
      <c r="E358" s="30" t="s">
        <v>142</v>
      </c>
      <c r="F358" s="7" t="s">
        <v>36</v>
      </c>
      <c r="G358" s="33" t="s">
        <v>522</v>
      </c>
      <c r="H358" s="34" t="s">
        <v>523</v>
      </c>
      <c r="I358" s="20">
        <v>19</v>
      </c>
      <c r="J358" s="20">
        <v>42</v>
      </c>
      <c r="K358" s="20">
        <v>0</v>
      </c>
      <c r="L358" s="20">
        <v>0</v>
      </c>
      <c r="M358" s="37">
        <v>0</v>
      </c>
      <c r="N358" s="37">
        <v>0</v>
      </c>
      <c r="O358" s="20">
        <v>0</v>
      </c>
      <c r="P358" s="26">
        <v>0.6</v>
      </c>
      <c r="Q358" s="35" t="s">
        <v>154</v>
      </c>
    </row>
    <row r="359" spans="1:17" ht="60.75" x14ac:dyDescent="0.25">
      <c r="A359" s="23">
        <v>37596</v>
      </c>
      <c r="B359" s="23">
        <v>37596</v>
      </c>
      <c r="C359" s="24">
        <v>2002</v>
      </c>
      <c r="D359" s="24" t="s">
        <v>141</v>
      </c>
      <c r="E359" s="30" t="s">
        <v>142</v>
      </c>
      <c r="F359" s="7" t="s">
        <v>53</v>
      </c>
      <c r="G359" s="33" t="s">
        <v>524</v>
      </c>
      <c r="H359" s="34" t="s">
        <v>525</v>
      </c>
      <c r="I359" s="20">
        <v>2</v>
      </c>
      <c r="J359" s="20">
        <v>0</v>
      </c>
      <c r="K359" s="20">
        <v>0</v>
      </c>
      <c r="L359" s="20">
        <v>0</v>
      </c>
      <c r="M359" s="37">
        <v>0</v>
      </c>
      <c r="N359" s="37">
        <v>0</v>
      </c>
      <c r="O359" s="20">
        <v>0</v>
      </c>
      <c r="P359" s="26">
        <v>1</v>
      </c>
      <c r="Q359" s="35" t="s">
        <v>154</v>
      </c>
    </row>
    <row r="360" spans="1:17" ht="36.75" x14ac:dyDescent="0.25">
      <c r="A360" s="23">
        <v>37597</v>
      </c>
      <c r="B360" s="23">
        <v>37597</v>
      </c>
      <c r="C360" s="24">
        <v>2002</v>
      </c>
      <c r="D360" s="24" t="s">
        <v>141</v>
      </c>
      <c r="E360" s="6" t="s">
        <v>333</v>
      </c>
      <c r="F360" s="28" t="s">
        <v>157</v>
      </c>
      <c r="G360" s="33" t="s">
        <v>526</v>
      </c>
      <c r="H360" s="34" t="s">
        <v>527</v>
      </c>
      <c r="I360" s="20">
        <v>1</v>
      </c>
      <c r="J360" s="20">
        <v>0</v>
      </c>
      <c r="K360" s="20">
        <v>1</v>
      </c>
      <c r="L360" s="20">
        <v>0</v>
      </c>
      <c r="M360" s="37">
        <v>0</v>
      </c>
      <c r="N360" s="37">
        <v>0</v>
      </c>
      <c r="O360" s="20">
        <v>0</v>
      </c>
      <c r="P360" s="38">
        <v>0</v>
      </c>
      <c r="Q360" s="35" t="s">
        <v>154</v>
      </c>
    </row>
    <row r="361" spans="1:17" ht="36.75" x14ac:dyDescent="0.25">
      <c r="A361" s="23">
        <v>37600</v>
      </c>
      <c r="B361" s="23">
        <v>37600</v>
      </c>
      <c r="C361" s="24">
        <v>2002</v>
      </c>
      <c r="D361" s="24" t="s">
        <v>141</v>
      </c>
      <c r="E361" s="30" t="s">
        <v>142</v>
      </c>
      <c r="F361" s="7" t="s">
        <v>58</v>
      </c>
      <c r="G361" s="33" t="s">
        <v>168</v>
      </c>
      <c r="H361" s="34" t="s">
        <v>528</v>
      </c>
      <c r="I361" s="37">
        <v>0</v>
      </c>
      <c r="J361" s="20">
        <v>3</v>
      </c>
      <c r="K361" s="20">
        <v>0</v>
      </c>
      <c r="L361" s="20">
        <v>0</v>
      </c>
      <c r="M361" s="37">
        <v>0</v>
      </c>
      <c r="N361" s="37">
        <v>0</v>
      </c>
      <c r="O361" s="20">
        <v>0</v>
      </c>
      <c r="P361" s="38">
        <v>0</v>
      </c>
      <c r="Q361" s="35" t="s">
        <v>154</v>
      </c>
    </row>
    <row r="362" spans="1:17" ht="36.75" x14ac:dyDescent="0.25">
      <c r="A362" s="23">
        <v>37611</v>
      </c>
      <c r="B362" s="23">
        <v>37611</v>
      </c>
      <c r="C362" s="24">
        <v>2002</v>
      </c>
      <c r="D362" s="24" t="s">
        <v>141</v>
      </c>
      <c r="E362" s="30" t="s">
        <v>142</v>
      </c>
      <c r="F362" s="7" t="s">
        <v>84</v>
      </c>
      <c r="G362" s="33" t="s">
        <v>110</v>
      </c>
      <c r="H362" s="34" t="s">
        <v>529</v>
      </c>
      <c r="I362" s="37">
        <v>0</v>
      </c>
      <c r="J362" s="20">
        <v>0</v>
      </c>
      <c r="K362" s="20">
        <v>0</v>
      </c>
      <c r="L362" s="20">
        <v>0</v>
      </c>
      <c r="M362" s="37">
        <v>0</v>
      </c>
      <c r="N362" s="37">
        <v>0</v>
      </c>
      <c r="O362" s="20">
        <v>0</v>
      </c>
      <c r="P362" s="26">
        <v>1</v>
      </c>
      <c r="Q362" s="35" t="s">
        <v>154</v>
      </c>
    </row>
    <row r="363" spans="1:17" ht="36.75" x14ac:dyDescent="0.25">
      <c r="A363" s="23">
        <v>37611</v>
      </c>
      <c r="B363" s="23">
        <v>37611</v>
      </c>
      <c r="C363" s="24">
        <v>2002</v>
      </c>
      <c r="D363" s="24" t="s">
        <v>141</v>
      </c>
      <c r="E363" s="30" t="s">
        <v>142</v>
      </c>
      <c r="F363" s="7" t="s">
        <v>62</v>
      </c>
      <c r="G363" s="41" t="s">
        <v>165</v>
      </c>
      <c r="H363" s="34" t="s">
        <v>530</v>
      </c>
      <c r="I363" s="20">
        <v>1</v>
      </c>
      <c r="J363" s="20">
        <v>2</v>
      </c>
      <c r="K363" s="20">
        <v>0</v>
      </c>
      <c r="L363" s="20">
        <v>0</v>
      </c>
      <c r="M363" s="37">
        <v>0</v>
      </c>
      <c r="N363" s="37">
        <v>0</v>
      </c>
      <c r="O363" s="20">
        <v>0</v>
      </c>
      <c r="P363" s="26">
        <v>0.04</v>
      </c>
      <c r="Q363" s="35" t="s">
        <v>154</v>
      </c>
    </row>
    <row r="364" spans="1:17" ht="48.75" x14ac:dyDescent="0.25">
      <c r="A364" s="23">
        <v>37611</v>
      </c>
      <c r="B364" s="23">
        <v>37611</v>
      </c>
      <c r="C364" s="24">
        <v>2002</v>
      </c>
      <c r="D364" s="24" t="s">
        <v>141</v>
      </c>
      <c r="E364" s="30" t="s">
        <v>142</v>
      </c>
      <c r="F364" s="7" t="s">
        <v>53</v>
      </c>
      <c r="G364" s="33" t="s">
        <v>110</v>
      </c>
      <c r="H364" s="34" t="s">
        <v>531</v>
      </c>
      <c r="I364" s="20">
        <v>3</v>
      </c>
      <c r="J364" s="20">
        <v>21</v>
      </c>
      <c r="K364" s="20">
        <v>0</v>
      </c>
      <c r="L364" s="20">
        <v>0</v>
      </c>
      <c r="M364" s="37">
        <v>0</v>
      </c>
      <c r="N364" s="37">
        <v>0</v>
      </c>
      <c r="O364" s="20">
        <v>0</v>
      </c>
      <c r="P364" s="26">
        <v>0.6</v>
      </c>
      <c r="Q364" s="35" t="s">
        <v>154</v>
      </c>
    </row>
    <row r="365" spans="1:17" ht="36.75" x14ac:dyDescent="0.25">
      <c r="A365" s="23">
        <v>37612</v>
      </c>
      <c r="B365" s="23">
        <v>37612</v>
      </c>
      <c r="C365" s="24">
        <v>2002</v>
      </c>
      <c r="D365" s="24" t="s">
        <v>141</v>
      </c>
      <c r="E365" s="30" t="s">
        <v>142</v>
      </c>
      <c r="F365" s="7" t="s">
        <v>72</v>
      </c>
      <c r="G365" s="33" t="s">
        <v>110</v>
      </c>
      <c r="H365" s="34" t="s">
        <v>532</v>
      </c>
      <c r="I365" s="20">
        <v>4</v>
      </c>
      <c r="J365" s="20">
        <v>16</v>
      </c>
      <c r="K365" s="20">
        <v>0</v>
      </c>
      <c r="L365" s="20">
        <v>0</v>
      </c>
      <c r="M365" s="37">
        <v>0</v>
      </c>
      <c r="N365" s="37">
        <v>0</v>
      </c>
      <c r="O365" s="20">
        <v>0</v>
      </c>
      <c r="P365" s="26">
        <v>0.04</v>
      </c>
      <c r="Q365" s="35" t="s">
        <v>154</v>
      </c>
    </row>
    <row r="366" spans="1:17" ht="48" x14ac:dyDescent="0.25">
      <c r="A366" s="21">
        <v>37677</v>
      </c>
      <c r="B366" s="21">
        <v>37677</v>
      </c>
      <c r="C366" s="43">
        <v>2003</v>
      </c>
      <c r="D366" s="351" t="s">
        <v>23</v>
      </c>
      <c r="E366" s="22" t="s">
        <v>86</v>
      </c>
      <c r="F366" s="7" t="s">
        <v>30</v>
      </c>
      <c r="G366" s="44" t="s">
        <v>533</v>
      </c>
      <c r="H366" s="25" t="s">
        <v>534</v>
      </c>
      <c r="I366" s="45">
        <v>0</v>
      </c>
      <c r="J366" s="46">
        <v>0</v>
      </c>
      <c r="K366" s="46">
        <v>14</v>
      </c>
      <c r="L366" s="46">
        <v>0</v>
      </c>
      <c r="M366" s="31">
        <v>0</v>
      </c>
      <c r="N366" s="31">
        <v>0</v>
      </c>
      <c r="O366" s="46">
        <v>0</v>
      </c>
      <c r="P366" s="47">
        <v>4.0300000000000002E-2</v>
      </c>
      <c r="Q366" s="35" t="s">
        <v>154</v>
      </c>
    </row>
    <row r="367" spans="1:17" ht="48" x14ac:dyDescent="0.25">
      <c r="A367" s="48">
        <v>37832</v>
      </c>
      <c r="B367" s="48">
        <v>37832</v>
      </c>
      <c r="C367" s="43">
        <v>2003</v>
      </c>
      <c r="D367" s="351" t="s">
        <v>23</v>
      </c>
      <c r="E367" s="22" t="s">
        <v>86</v>
      </c>
      <c r="F367" s="7" t="s">
        <v>91</v>
      </c>
      <c r="G367" s="44" t="s">
        <v>110</v>
      </c>
      <c r="H367" s="25" t="s">
        <v>535</v>
      </c>
      <c r="I367" s="45">
        <v>0</v>
      </c>
      <c r="J367" s="46">
        <v>25</v>
      </c>
      <c r="K367" s="46">
        <v>95</v>
      </c>
      <c r="L367" s="46">
        <v>0</v>
      </c>
      <c r="M367" s="31">
        <v>0</v>
      </c>
      <c r="N367" s="31">
        <v>0</v>
      </c>
      <c r="O367" s="46">
        <v>0</v>
      </c>
      <c r="P367" s="47">
        <v>0.27300000000000002</v>
      </c>
      <c r="Q367" s="35" t="s">
        <v>154</v>
      </c>
    </row>
    <row r="368" spans="1:17" ht="48" x14ac:dyDescent="0.25">
      <c r="A368" s="21">
        <v>37719</v>
      </c>
      <c r="B368" s="21">
        <v>37719</v>
      </c>
      <c r="C368" s="43">
        <v>2003</v>
      </c>
      <c r="D368" s="351" t="s">
        <v>23</v>
      </c>
      <c r="E368" s="22" t="s">
        <v>86</v>
      </c>
      <c r="F368" s="28" t="s">
        <v>210</v>
      </c>
      <c r="G368" s="44" t="s">
        <v>536</v>
      </c>
      <c r="H368" s="25" t="s">
        <v>537</v>
      </c>
      <c r="I368" s="45">
        <v>3</v>
      </c>
      <c r="J368" s="46">
        <v>143</v>
      </c>
      <c r="K368" s="46">
        <v>28</v>
      </c>
      <c r="L368" s="46">
        <v>0</v>
      </c>
      <c r="M368" s="31">
        <v>0</v>
      </c>
      <c r="N368" s="31">
        <v>0</v>
      </c>
      <c r="O368" s="46">
        <v>0</v>
      </c>
      <c r="P368" s="47">
        <v>0.08</v>
      </c>
      <c r="Q368" s="35" t="s">
        <v>154</v>
      </c>
    </row>
    <row r="369" spans="1:17" ht="48" x14ac:dyDescent="0.25">
      <c r="A369" s="21">
        <v>37722</v>
      </c>
      <c r="B369" s="21">
        <v>37722</v>
      </c>
      <c r="C369" s="43">
        <v>2003</v>
      </c>
      <c r="D369" s="351" t="s">
        <v>23</v>
      </c>
      <c r="E369" s="22" t="s">
        <v>86</v>
      </c>
      <c r="F369" s="7" t="s">
        <v>72</v>
      </c>
      <c r="G369" s="25" t="s">
        <v>538</v>
      </c>
      <c r="H369" s="25" t="s">
        <v>539</v>
      </c>
      <c r="I369" s="46">
        <v>0</v>
      </c>
      <c r="J369" s="46">
        <v>345</v>
      </c>
      <c r="K369" s="46">
        <v>9</v>
      </c>
      <c r="L369" s="46">
        <v>2</v>
      </c>
      <c r="M369" s="31">
        <v>0</v>
      </c>
      <c r="N369" s="31">
        <v>0</v>
      </c>
      <c r="O369" s="46">
        <v>0</v>
      </c>
      <c r="P369" s="47">
        <v>0.25</v>
      </c>
      <c r="Q369" s="35" t="s">
        <v>154</v>
      </c>
    </row>
    <row r="370" spans="1:17" ht="72" x14ac:dyDescent="0.25">
      <c r="A370" s="21">
        <v>37750</v>
      </c>
      <c r="B370" s="21">
        <v>37750</v>
      </c>
      <c r="C370" s="43">
        <v>2003</v>
      </c>
      <c r="D370" s="351" t="s">
        <v>23</v>
      </c>
      <c r="E370" s="22" t="s">
        <v>86</v>
      </c>
      <c r="F370" s="28" t="s">
        <v>160</v>
      </c>
      <c r="G370" s="25" t="s">
        <v>540</v>
      </c>
      <c r="H370" s="25" t="s">
        <v>541</v>
      </c>
      <c r="I370" s="46">
        <v>0</v>
      </c>
      <c r="J370" s="46">
        <v>20</v>
      </c>
      <c r="K370" s="46">
        <v>6</v>
      </c>
      <c r="L370" s="46">
        <v>0</v>
      </c>
      <c r="M370" s="31">
        <v>0</v>
      </c>
      <c r="N370" s="31">
        <v>0</v>
      </c>
      <c r="O370" s="46">
        <v>0</v>
      </c>
      <c r="P370" s="47">
        <v>1.72E-2</v>
      </c>
      <c r="Q370" s="35" t="s">
        <v>154</v>
      </c>
    </row>
    <row r="371" spans="1:17" ht="60" x14ac:dyDescent="0.25">
      <c r="A371" s="21">
        <v>37752</v>
      </c>
      <c r="B371" s="21">
        <v>37752</v>
      </c>
      <c r="C371" s="43">
        <v>2003</v>
      </c>
      <c r="D371" s="351" t="s">
        <v>23</v>
      </c>
      <c r="E371" s="22" t="s">
        <v>86</v>
      </c>
      <c r="F371" s="7" t="s">
        <v>72</v>
      </c>
      <c r="G371" s="25" t="s">
        <v>110</v>
      </c>
      <c r="H371" s="25" t="s">
        <v>542</v>
      </c>
      <c r="I371" s="46">
        <v>0</v>
      </c>
      <c r="J371" s="46">
        <v>900</v>
      </c>
      <c r="K371" s="46">
        <v>30</v>
      </c>
      <c r="L371" s="46">
        <v>2</v>
      </c>
      <c r="M371" s="31">
        <v>0</v>
      </c>
      <c r="N371" s="31">
        <v>0</v>
      </c>
      <c r="O371" s="46">
        <v>0</v>
      </c>
      <c r="P371" s="47">
        <v>0.26319999999999999</v>
      </c>
      <c r="Q371" s="35" t="s">
        <v>154</v>
      </c>
    </row>
    <row r="372" spans="1:17" ht="60" x14ac:dyDescent="0.25">
      <c r="A372" s="21">
        <v>37750</v>
      </c>
      <c r="B372" s="21">
        <v>37750</v>
      </c>
      <c r="C372" s="43">
        <v>2003</v>
      </c>
      <c r="D372" s="351" t="s">
        <v>23</v>
      </c>
      <c r="E372" s="22" t="s">
        <v>86</v>
      </c>
      <c r="F372" s="28" t="s">
        <v>157</v>
      </c>
      <c r="G372" s="25" t="s">
        <v>110</v>
      </c>
      <c r="H372" s="25" t="s">
        <v>543</v>
      </c>
      <c r="I372" s="46">
        <v>0</v>
      </c>
      <c r="J372" s="46">
        <v>12</v>
      </c>
      <c r="K372" s="46">
        <v>0</v>
      </c>
      <c r="L372" s="46">
        <v>0</v>
      </c>
      <c r="M372" s="31">
        <v>0</v>
      </c>
      <c r="N372" s="31">
        <v>0</v>
      </c>
      <c r="O372" s="46">
        <v>0</v>
      </c>
      <c r="P372" s="47">
        <v>0</v>
      </c>
      <c r="Q372" s="35" t="s">
        <v>154</v>
      </c>
    </row>
    <row r="373" spans="1:17" ht="84" x14ac:dyDescent="0.25">
      <c r="A373" s="21">
        <v>37767</v>
      </c>
      <c r="B373" s="21">
        <v>37767</v>
      </c>
      <c r="C373" s="43">
        <v>2003</v>
      </c>
      <c r="D373" s="351" t="s">
        <v>23</v>
      </c>
      <c r="E373" s="22" t="s">
        <v>86</v>
      </c>
      <c r="F373" s="7" t="s">
        <v>58</v>
      </c>
      <c r="G373" s="25" t="s">
        <v>544</v>
      </c>
      <c r="H373" s="25" t="s">
        <v>545</v>
      </c>
      <c r="I373" s="46">
        <v>3</v>
      </c>
      <c r="J373" s="46">
        <v>24</v>
      </c>
      <c r="K373" s="46">
        <v>4</v>
      </c>
      <c r="L373" s="46">
        <v>0</v>
      </c>
      <c r="M373" s="31">
        <v>0</v>
      </c>
      <c r="N373" s="31">
        <v>0</v>
      </c>
      <c r="O373" s="46">
        <v>0</v>
      </c>
      <c r="P373" s="47">
        <v>1.0999999999999999E-2</v>
      </c>
      <c r="Q373" s="35" t="s">
        <v>154</v>
      </c>
    </row>
    <row r="374" spans="1:17" ht="60" x14ac:dyDescent="0.25">
      <c r="A374" s="21">
        <v>37752</v>
      </c>
      <c r="B374" s="21">
        <v>37752</v>
      </c>
      <c r="C374" s="43">
        <v>2003</v>
      </c>
      <c r="D374" s="351" t="s">
        <v>23</v>
      </c>
      <c r="E374" s="22" t="s">
        <v>86</v>
      </c>
      <c r="F374" s="7" t="s">
        <v>36</v>
      </c>
      <c r="G374" s="25" t="s">
        <v>546</v>
      </c>
      <c r="H374" s="25" t="s">
        <v>547</v>
      </c>
      <c r="I374" s="46">
        <v>0</v>
      </c>
      <c r="J374" s="46">
        <v>1020</v>
      </c>
      <c r="K374" s="46">
        <v>204</v>
      </c>
      <c r="L374" s="46">
        <v>0</v>
      </c>
      <c r="M374" s="31">
        <v>0</v>
      </c>
      <c r="N374" s="31">
        <v>0</v>
      </c>
      <c r="O374" s="46">
        <v>0</v>
      </c>
      <c r="P374" s="47">
        <v>0.58699999999999997</v>
      </c>
      <c r="Q374" s="35" t="s">
        <v>154</v>
      </c>
    </row>
    <row r="375" spans="1:17" ht="60" x14ac:dyDescent="0.25">
      <c r="A375" s="21">
        <v>37759</v>
      </c>
      <c r="B375" s="21">
        <v>37761</v>
      </c>
      <c r="C375" s="43">
        <v>2003</v>
      </c>
      <c r="D375" s="351" t="s">
        <v>23</v>
      </c>
      <c r="E375" s="22" t="s">
        <v>86</v>
      </c>
      <c r="F375" s="7" t="s">
        <v>36</v>
      </c>
      <c r="G375" s="25" t="s">
        <v>548</v>
      </c>
      <c r="H375" s="25" t="s">
        <v>549</v>
      </c>
      <c r="I375" s="46">
        <v>0</v>
      </c>
      <c r="J375" s="46">
        <v>385</v>
      </c>
      <c r="K375" s="46">
        <v>77</v>
      </c>
      <c r="L375" s="46">
        <v>0</v>
      </c>
      <c r="M375" s="31">
        <v>0</v>
      </c>
      <c r="N375" s="31">
        <v>0</v>
      </c>
      <c r="O375" s="46">
        <v>0</v>
      </c>
      <c r="P375" s="47">
        <v>0.221</v>
      </c>
      <c r="Q375" s="35" t="s">
        <v>154</v>
      </c>
    </row>
    <row r="376" spans="1:17" ht="60" x14ac:dyDescent="0.25">
      <c r="A376" s="21">
        <v>37764</v>
      </c>
      <c r="B376" s="21">
        <v>37764</v>
      </c>
      <c r="C376" s="43">
        <v>2003</v>
      </c>
      <c r="D376" s="351" t="s">
        <v>23</v>
      </c>
      <c r="E376" s="22" t="s">
        <v>86</v>
      </c>
      <c r="F376" s="7" t="s">
        <v>36</v>
      </c>
      <c r="G376" s="25" t="s">
        <v>550</v>
      </c>
      <c r="H376" s="25" t="s">
        <v>551</v>
      </c>
      <c r="I376" s="46">
        <v>0</v>
      </c>
      <c r="J376" s="46">
        <v>200</v>
      </c>
      <c r="K376" s="46">
        <v>33</v>
      </c>
      <c r="L376" s="46">
        <v>0</v>
      </c>
      <c r="M376" s="31">
        <v>0</v>
      </c>
      <c r="N376" s="31">
        <v>0</v>
      </c>
      <c r="O376" s="46">
        <v>0</v>
      </c>
      <c r="P376" s="47">
        <v>9.5000000000000001E-2</v>
      </c>
      <c r="Q376" s="35" t="s">
        <v>154</v>
      </c>
    </row>
    <row r="377" spans="1:17" ht="72" x14ac:dyDescent="0.25">
      <c r="A377" s="21">
        <v>37766</v>
      </c>
      <c r="B377" s="21">
        <v>37766</v>
      </c>
      <c r="C377" s="43">
        <v>2003</v>
      </c>
      <c r="D377" s="351" t="s">
        <v>23</v>
      </c>
      <c r="E377" s="22" t="s">
        <v>86</v>
      </c>
      <c r="F377" s="7" t="s">
        <v>75</v>
      </c>
      <c r="G377" s="25" t="s">
        <v>552</v>
      </c>
      <c r="H377" s="25" t="s">
        <v>553</v>
      </c>
      <c r="I377" s="46">
        <v>0</v>
      </c>
      <c r="J377" s="46">
        <v>250</v>
      </c>
      <c r="K377" s="46">
        <v>50</v>
      </c>
      <c r="L377" s="46">
        <v>0</v>
      </c>
      <c r="M377" s="31">
        <v>0</v>
      </c>
      <c r="N377" s="31">
        <v>0</v>
      </c>
      <c r="O377" s="46">
        <v>0</v>
      </c>
      <c r="P377" s="47">
        <v>0.14399999999999999</v>
      </c>
      <c r="Q377" s="35" t="s">
        <v>154</v>
      </c>
    </row>
    <row r="378" spans="1:17" ht="72" x14ac:dyDescent="0.25">
      <c r="A378" s="21">
        <v>37767</v>
      </c>
      <c r="B378" s="21">
        <v>37767</v>
      </c>
      <c r="C378" s="43">
        <v>2003</v>
      </c>
      <c r="D378" s="351" t="s">
        <v>23</v>
      </c>
      <c r="E378" s="22" t="s">
        <v>86</v>
      </c>
      <c r="F378" s="7" t="s">
        <v>58</v>
      </c>
      <c r="G378" s="25" t="s">
        <v>554</v>
      </c>
      <c r="H378" s="25" t="s">
        <v>555</v>
      </c>
      <c r="I378" s="46">
        <v>2</v>
      </c>
      <c r="J378" s="46">
        <v>254</v>
      </c>
      <c r="K378" s="46">
        <v>50</v>
      </c>
      <c r="L378" s="46">
        <v>0</v>
      </c>
      <c r="M378" s="31">
        <v>0</v>
      </c>
      <c r="N378" s="31">
        <v>0</v>
      </c>
      <c r="O378" s="46">
        <v>0</v>
      </c>
      <c r="P378" s="47">
        <v>0.14399999999999999</v>
      </c>
      <c r="Q378" s="35" t="s">
        <v>154</v>
      </c>
    </row>
    <row r="379" spans="1:17" ht="60" x14ac:dyDescent="0.25">
      <c r="A379" s="21">
        <v>37767</v>
      </c>
      <c r="B379" s="21">
        <v>37767</v>
      </c>
      <c r="C379" s="43">
        <v>2003</v>
      </c>
      <c r="D379" s="351" t="s">
        <v>23</v>
      </c>
      <c r="E379" s="22" t="s">
        <v>86</v>
      </c>
      <c r="F379" s="7" t="s">
        <v>68</v>
      </c>
      <c r="G379" s="25" t="s">
        <v>556</v>
      </c>
      <c r="H379" s="25" t="s">
        <v>557</v>
      </c>
      <c r="I379" s="46">
        <v>0</v>
      </c>
      <c r="J379" s="46">
        <v>43</v>
      </c>
      <c r="K379" s="46">
        <v>3</v>
      </c>
      <c r="L379" s="46">
        <v>0</v>
      </c>
      <c r="M379" s="31">
        <v>0</v>
      </c>
      <c r="N379" s="31">
        <v>0</v>
      </c>
      <c r="O379" s="46">
        <v>0</v>
      </c>
      <c r="P379" s="47">
        <v>3.4000000000000002E-2</v>
      </c>
      <c r="Q379" s="35" t="s">
        <v>154</v>
      </c>
    </row>
    <row r="380" spans="1:17" ht="48.75" x14ac:dyDescent="0.25">
      <c r="A380" s="48">
        <v>37698</v>
      </c>
      <c r="B380" s="48">
        <v>37698</v>
      </c>
      <c r="C380" s="43">
        <v>2003</v>
      </c>
      <c r="D380" s="351" t="s">
        <v>23</v>
      </c>
      <c r="E380" s="49" t="s">
        <v>323</v>
      </c>
      <c r="F380" s="28" t="s">
        <v>160</v>
      </c>
      <c r="G380" s="33" t="s">
        <v>558</v>
      </c>
      <c r="H380" s="34" t="s">
        <v>559</v>
      </c>
      <c r="I380" s="50">
        <v>0</v>
      </c>
      <c r="J380" s="31">
        <v>0</v>
      </c>
      <c r="K380" s="31">
        <v>0</v>
      </c>
      <c r="L380" s="31">
        <v>0</v>
      </c>
      <c r="M380" s="31">
        <v>0</v>
      </c>
      <c r="N380" s="31">
        <v>0</v>
      </c>
      <c r="O380" s="31">
        <v>0</v>
      </c>
      <c r="P380" s="32">
        <v>0.14399999999999999</v>
      </c>
      <c r="Q380" s="35" t="s">
        <v>154</v>
      </c>
    </row>
    <row r="381" spans="1:17" ht="60" x14ac:dyDescent="0.25">
      <c r="A381" s="21">
        <v>37770</v>
      </c>
      <c r="B381" s="21">
        <v>37770</v>
      </c>
      <c r="C381" s="43">
        <v>2003</v>
      </c>
      <c r="D381" s="351" t="s">
        <v>23</v>
      </c>
      <c r="E381" s="22" t="s">
        <v>86</v>
      </c>
      <c r="F381" s="7" t="s">
        <v>101</v>
      </c>
      <c r="G381" s="25" t="s">
        <v>560</v>
      </c>
      <c r="H381" s="25" t="s">
        <v>561</v>
      </c>
      <c r="I381" s="46">
        <v>0</v>
      </c>
      <c r="J381" s="46">
        <v>115</v>
      </c>
      <c r="K381" s="46">
        <v>50</v>
      </c>
      <c r="L381" s="46">
        <v>1</v>
      </c>
      <c r="M381" s="31">
        <v>0</v>
      </c>
      <c r="N381" s="31">
        <v>0</v>
      </c>
      <c r="O381" s="46">
        <v>0</v>
      </c>
      <c r="P381" s="47">
        <v>0.14399999999999999</v>
      </c>
      <c r="Q381" s="35" t="s">
        <v>154</v>
      </c>
    </row>
    <row r="382" spans="1:17" ht="72" x14ac:dyDescent="0.25">
      <c r="A382" s="21">
        <v>37750</v>
      </c>
      <c r="B382" s="21">
        <v>37750</v>
      </c>
      <c r="C382" s="43">
        <v>2003</v>
      </c>
      <c r="D382" s="351" t="s">
        <v>23</v>
      </c>
      <c r="E382" s="22" t="s">
        <v>86</v>
      </c>
      <c r="F382" s="7" t="s">
        <v>97</v>
      </c>
      <c r="G382" s="25" t="s">
        <v>562</v>
      </c>
      <c r="H382" s="25" t="s">
        <v>563</v>
      </c>
      <c r="I382" s="46">
        <v>0</v>
      </c>
      <c r="J382" s="46">
        <v>64</v>
      </c>
      <c r="K382" s="46">
        <v>14</v>
      </c>
      <c r="L382" s="46">
        <v>0</v>
      </c>
      <c r="M382" s="31">
        <v>0</v>
      </c>
      <c r="N382" s="31">
        <v>0</v>
      </c>
      <c r="O382" s="46">
        <v>0</v>
      </c>
      <c r="P382" s="47">
        <v>4.0300000000000002E-2</v>
      </c>
      <c r="Q382" s="35" t="s">
        <v>154</v>
      </c>
    </row>
    <row r="383" spans="1:17" ht="60" x14ac:dyDescent="0.25">
      <c r="A383" s="21">
        <v>37774</v>
      </c>
      <c r="B383" s="21">
        <v>37774</v>
      </c>
      <c r="C383" s="43">
        <v>2003</v>
      </c>
      <c r="D383" s="351" t="s">
        <v>23</v>
      </c>
      <c r="E383" s="22" t="s">
        <v>86</v>
      </c>
      <c r="F383" s="7" t="s">
        <v>75</v>
      </c>
      <c r="G383" s="25" t="s">
        <v>269</v>
      </c>
      <c r="H383" s="25" t="s">
        <v>564</v>
      </c>
      <c r="I383" s="46">
        <v>0</v>
      </c>
      <c r="J383" s="46">
        <v>140</v>
      </c>
      <c r="K383" s="46">
        <v>28</v>
      </c>
      <c r="L383" s="46">
        <v>0</v>
      </c>
      <c r="M383" s="31">
        <v>0</v>
      </c>
      <c r="N383" s="31">
        <v>0</v>
      </c>
      <c r="O383" s="46">
        <v>0</v>
      </c>
      <c r="P383" s="47">
        <v>0.08</v>
      </c>
      <c r="Q383" s="35" t="s">
        <v>154</v>
      </c>
    </row>
    <row r="384" spans="1:17" ht="72" x14ac:dyDescent="0.25">
      <c r="A384" s="21">
        <v>37777</v>
      </c>
      <c r="B384" s="21">
        <v>37777</v>
      </c>
      <c r="C384" s="43">
        <v>2003</v>
      </c>
      <c r="D384" s="351" t="s">
        <v>23</v>
      </c>
      <c r="E384" s="22" t="s">
        <v>86</v>
      </c>
      <c r="F384" s="7" t="s">
        <v>72</v>
      </c>
      <c r="G384" s="25" t="s">
        <v>565</v>
      </c>
      <c r="H384" s="25" t="s">
        <v>566</v>
      </c>
      <c r="I384" s="46">
        <v>0</v>
      </c>
      <c r="J384" s="46">
        <v>105</v>
      </c>
      <c r="K384" s="46">
        <v>21</v>
      </c>
      <c r="L384" s="46">
        <v>4</v>
      </c>
      <c r="M384" s="31">
        <v>0</v>
      </c>
      <c r="N384" s="31">
        <v>0</v>
      </c>
      <c r="O384" s="46">
        <v>0</v>
      </c>
      <c r="P384" s="47">
        <v>0.06</v>
      </c>
      <c r="Q384" s="35" t="s">
        <v>154</v>
      </c>
    </row>
    <row r="385" spans="1:17" ht="48" x14ac:dyDescent="0.25">
      <c r="A385" s="21">
        <v>37777</v>
      </c>
      <c r="B385" s="21">
        <v>37777</v>
      </c>
      <c r="C385" s="43">
        <v>2003</v>
      </c>
      <c r="D385" s="351" t="s">
        <v>23</v>
      </c>
      <c r="E385" s="22" t="s">
        <v>86</v>
      </c>
      <c r="F385" s="28" t="s">
        <v>210</v>
      </c>
      <c r="G385" s="51" t="s">
        <v>567</v>
      </c>
      <c r="H385" s="51" t="s">
        <v>568</v>
      </c>
      <c r="I385" s="46">
        <v>10</v>
      </c>
      <c r="J385" s="46">
        <v>6327</v>
      </c>
      <c r="K385" s="46">
        <v>1054</v>
      </c>
      <c r="L385" s="46">
        <v>5</v>
      </c>
      <c r="M385" s="31">
        <v>0</v>
      </c>
      <c r="N385" s="31">
        <v>259</v>
      </c>
      <c r="O385" s="46">
        <v>425</v>
      </c>
      <c r="P385" s="47">
        <v>67.17</v>
      </c>
      <c r="Q385" s="50" t="s">
        <v>22</v>
      </c>
    </row>
    <row r="386" spans="1:17" ht="36" x14ac:dyDescent="0.25">
      <c r="A386" s="21">
        <v>37778</v>
      </c>
      <c r="B386" s="21">
        <v>37778</v>
      </c>
      <c r="C386" s="43">
        <v>2003</v>
      </c>
      <c r="D386" s="351" t="s">
        <v>23</v>
      </c>
      <c r="E386" s="22" t="s">
        <v>86</v>
      </c>
      <c r="F386" s="7" t="s">
        <v>45</v>
      </c>
      <c r="G386" s="25" t="s">
        <v>569</v>
      </c>
      <c r="H386" s="25" t="s">
        <v>570</v>
      </c>
      <c r="I386" s="46">
        <v>0</v>
      </c>
      <c r="J386" s="46">
        <v>311</v>
      </c>
      <c r="K386" s="46">
        <v>82</v>
      </c>
      <c r="L386" s="46">
        <v>0</v>
      </c>
      <c r="M386" s="31">
        <v>0</v>
      </c>
      <c r="N386" s="31">
        <v>0</v>
      </c>
      <c r="O386" s="46">
        <v>0</v>
      </c>
      <c r="P386" s="47">
        <v>0.23630000000000001</v>
      </c>
      <c r="Q386" s="35" t="s">
        <v>154</v>
      </c>
    </row>
    <row r="387" spans="1:17" ht="60" x14ac:dyDescent="0.25">
      <c r="A387" s="21">
        <v>37778</v>
      </c>
      <c r="B387" s="21">
        <v>37778</v>
      </c>
      <c r="C387" s="43">
        <v>2003</v>
      </c>
      <c r="D387" s="351" t="s">
        <v>23</v>
      </c>
      <c r="E387" s="22" t="s">
        <v>86</v>
      </c>
      <c r="F387" s="7" t="s">
        <v>82</v>
      </c>
      <c r="G387" s="25" t="s">
        <v>571</v>
      </c>
      <c r="H387" s="25" t="s">
        <v>572</v>
      </c>
      <c r="I387" s="46">
        <v>0</v>
      </c>
      <c r="J387" s="46">
        <v>135</v>
      </c>
      <c r="K387" s="46">
        <v>27</v>
      </c>
      <c r="L387" s="46">
        <v>0</v>
      </c>
      <c r="M387" s="31">
        <v>0</v>
      </c>
      <c r="N387" s="31">
        <v>0</v>
      </c>
      <c r="O387" s="46">
        <v>0</v>
      </c>
      <c r="P387" s="47">
        <v>7.6999999999999999E-2</v>
      </c>
      <c r="Q387" s="35" t="s">
        <v>154</v>
      </c>
    </row>
    <row r="388" spans="1:17" ht="72" x14ac:dyDescent="0.25">
      <c r="A388" s="21">
        <v>37776</v>
      </c>
      <c r="B388" s="21">
        <v>37776</v>
      </c>
      <c r="C388" s="43">
        <v>2003</v>
      </c>
      <c r="D388" s="351" t="s">
        <v>23</v>
      </c>
      <c r="E388" s="22" t="s">
        <v>86</v>
      </c>
      <c r="F388" s="28" t="s">
        <v>151</v>
      </c>
      <c r="G388" s="25" t="s">
        <v>573</v>
      </c>
      <c r="H388" s="25" t="s">
        <v>574</v>
      </c>
      <c r="I388" s="46">
        <v>0</v>
      </c>
      <c r="J388" s="46">
        <v>100</v>
      </c>
      <c r="K388" s="46">
        <v>20</v>
      </c>
      <c r="L388" s="46">
        <v>0</v>
      </c>
      <c r="M388" s="31">
        <v>0</v>
      </c>
      <c r="N388" s="31">
        <v>0</v>
      </c>
      <c r="O388" s="46">
        <v>0</v>
      </c>
      <c r="P388" s="47">
        <v>5.7000000000000002E-2</v>
      </c>
      <c r="Q388" s="35" t="s">
        <v>154</v>
      </c>
    </row>
    <row r="389" spans="1:17" ht="36" x14ac:dyDescent="0.25">
      <c r="A389" s="21">
        <v>37781</v>
      </c>
      <c r="B389" s="21">
        <v>37781</v>
      </c>
      <c r="C389" s="43">
        <v>2003</v>
      </c>
      <c r="D389" s="351" t="s">
        <v>23</v>
      </c>
      <c r="E389" s="22" t="s">
        <v>86</v>
      </c>
      <c r="F389" s="7" t="s">
        <v>82</v>
      </c>
      <c r="G389" s="25" t="s">
        <v>575</v>
      </c>
      <c r="H389" s="25" t="s">
        <v>576</v>
      </c>
      <c r="I389" s="46">
        <v>0</v>
      </c>
      <c r="J389" s="46">
        <v>100</v>
      </c>
      <c r="K389" s="46">
        <v>20</v>
      </c>
      <c r="L389" s="46">
        <v>0</v>
      </c>
      <c r="M389" s="31">
        <v>0</v>
      </c>
      <c r="N389" s="31">
        <v>0</v>
      </c>
      <c r="O389" s="46">
        <v>0</v>
      </c>
      <c r="P389" s="47">
        <v>5.7000000000000002E-2</v>
      </c>
      <c r="Q389" s="35" t="s">
        <v>154</v>
      </c>
    </row>
    <row r="390" spans="1:17" ht="36" x14ac:dyDescent="0.25">
      <c r="A390" s="21">
        <v>37782</v>
      </c>
      <c r="B390" s="21">
        <v>37782</v>
      </c>
      <c r="C390" s="43">
        <v>2003</v>
      </c>
      <c r="D390" s="351" t="s">
        <v>23</v>
      </c>
      <c r="E390" s="22" t="s">
        <v>86</v>
      </c>
      <c r="F390" s="7" t="s">
        <v>45</v>
      </c>
      <c r="G390" s="25" t="s">
        <v>577</v>
      </c>
      <c r="H390" s="25" t="s">
        <v>578</v>
      </c>
      <c r="I390" s="46">
        <v>0</v>
      </c>
      <c r="J390" s="46">
        <v>5</v>
      </c>
      <c r="K390" s="46">
        <v>0</v>
      </c>
      <c r="L390" s="46">
        <v>0</v>
      </c>
      <c r="M390" s="31">
        <v>0</v>
      </c>
      <c r="N390" s="31">
        <v>0</v>
      </c>
      <c r="O390" s="46">
        <v>0</v>
      </c>
      <c r="P390" s="47">
        <v>0</v>
      </c>
      <c r="Q390" s="35" t="s">
        <v>154</v>
      </c>
    </row>
    <row r="391" spans="1:17" ht="60" x14ac:dyDescent="0.25">
      <c r="A391" s="21">
        <v>37782</v>
      </c>
      <c r="B391" s="21">
        <v>37782</v>
      </c>
      <c r="C391" s="43">
        <v>2003</v>
      </c>
      <c r="D391" s="351" t="s">
        <v>23</v>
      </c>
      <c r="E391" s="22" t="s">
        <v>86</v>
      </c>
      <c r="F391" s="7" t="s">
        <v>36</v>
      </c>
      <c r="G391" s="25" t="s">
        <v>579</v>
      </c>
      <c r="H391" s="25" t="s">
        <v>580</v>
      </c>
      <c r="I391" s="46">
        <v>0</v>
      </c>
      <c r="J391" s="46">
        <v>5</v>
      </c>
      <c r="K391" s="46">
        <v>3</v>
      </c>
      <c r="L391" s="46">
        <v>0</v>
      </c>
      <c r="M391" s="31">
        <v>0</v>
      </c>
      <c r="N391" s="31">
        <v>0</v>
      </c>
      <c r="O391" s="46">
        <v>0</v>
      </c>
      <c r="P391" s="47">
        <v>8.0000000000000002E-3</v>
      </c>
      <c r="Q391" s="35" t="s">
        <v>154</v>
      </c>
    </row>
    <row r="392" spans="1:17" ht="36" x14ac:dyDescent="0.25">
      <c r="A392" s="21">
        <v>37783</v>
      </c>
      <c r="B392" s="21">
        <v>37783</v>
      </c>
      <c r="C392" s="43">
        <v>2003</v>
      </c>
      <c r="D392" s="351" t="s">
        <v>23</v>
      </c>
      <c r="E392" s="22" t="s">
        <v>86</v>
      </c>
      <c r="F392" s="7" t="s">
        <v>97</v>
      </c>
      <c r="G392" s="25" t="s">
        <v>536</v>
      </c>
      <c r="H392" s="25" t="s">
        <v>581</v>
      </c>
      <c r="I392" s="46">
        <v>0</v>
      </c>
      <c r="J392" s="46">
        <v>135</v>
      </c>
      <c r="K392" s="46">
        <v>27</v>
      </c>
      <c r="L392" s="46">
        <v>0</v>
      </c>
      <c r="M392" s="31">
        <v>0</v>
      </c>
      <c r="N392" s="31">
        <v>0</v>
      </c>
      <c r="O392" s="46">
        <v>0</v>
      </c>
      <c r="P392" s="47">
        <v>7.6999999999999999E-2</v>
      </c>
      <c r="Q392" s="35" t="s">
        <v>154</v>
      </c>
    </row>
    <row r="393" spans="1:17" ht="60" x14ac:dyDescent="0.25">
      <c r="A393" s="21">
        <v>37783</v>
      </c>
      <c r="B393" s="21">
        <v>37783</v>
      </c>
      <c r="C393" s="43">
        <v>2003</v>
      </c>
      <c r="D393" s="351" t="s">
        <v>23</v>
      </c>
      <c r="E393" s="22" t="s">
        <v>86</v>
      </c>
      <c r="F393" s="7" t="s">
        <v>36</v>
      </c>
      <c r="G393" s="25" t="s">
        <v>582</v>
      </c>
      <c r="H393" s="25" t="s">
        <v>583</v>
      </c>
      <c r="I393" s="46">
        <v>0</v>
      </c>
      <c r="J393" s="46">
        <v>0</v>
      </c>
      <c r="K393" s="46">
        <v>0</v>
      </c>
      <c r="L393" s="46">
        <v>0</v>
      </c>
      <c r="M393" s="31">
        <v>0</v>
      </c>
      <c r="N393" s="31">
        <v>0</v>
      </c>
      <c r="O393" s="46">
        <v>0</v>
      </c>
      <c r="P393" s="47">
        <v>0</v>
      </c>
      <c r="Q393" s="35" t="s">
        <v>154</v>
      </c>
    </row>
    <row r="394" spans="1:17" ht="108" x14ac:dyDescent="0.25">
      <c r="A394" s="21">
        <v>37784</v>
      </c>
      <c r="B394" s="21">
        <v>37784</v>
      </c>
      <c r="C394" s="43">
        <v>2003</v>
      </c>
      <c r="D394" s="351" t="s">
        <v>23</v>
      </c>
      <c r="E394" s="22" t="s">
        <v>86</v>
      </c>
      <c r="F394" s="7" t="s">
        <v>75</v>
      </c>
      <c r="G394" s="25" t="s">
        <v>584</v>
      </c>
      <c r="H394" s="25" t="s">
        <v>585</v>
      </c>
      <c r="I394" s="46">
        <v>0</v>
      </c>
      <c r="J394" s="46">
        <v>679</v>
      </c>
      <c r="K394" s="46">
        <v>178</v>
      </c>
      <c r="L394" s="46">
        <v>0</v>
      </c>
      <c r="M394" s="31">
        <v>0</v>
      </c>
      <c r="N394" s="31">
        <v>0</v>
      </c>
      <c r="O394" s="46">
        <v>0</v>
      </c>
      <c r="P394" s="47">
        <v>0.51300000000000001</v>
      </c>
      <c r="Q394" s="35" t="s">
        <v>154</v>
      </c>
    </row>
    <row r="395" spans="1:17" ht="72" x14ac:dyDescent="0.25">
      <c r="A395" s="21">
        <v>37786</v>
      </c>
      <c r="B395" s="21">
        <v>37787</v>
      </c>
      <c r="C395" s="43">
        <v>2003</v>
      </c>
      <c r="D395" s="351" t="s">
        <v>23</v>
      </c>
      <c r="E395" s="22" t="s">
        <v>86</v>
      </c>
      <c r="F395" s="7" t="s">
        <v>101</v>
      </c>
      <c r="G395" s="25" t="s">
        <v>586</v>
      </c>
      <c r="H395" s="25" t="s">
        <v>587</v>
      </c>
      <c r="I395" s="46">
        <v>1</v>
      </c>
      <c r="J395" s="46">
        <v>478</v>
      </c>
      <c r="K395" s="46">
        <v>95</v>
      </c>
      <c r="L395" s="46">
        <v>0</v>
      </c>
      <c r="M395" s="31">
        <v>0</v>
      </c>
      <c r="N395" s="31">
        <v>0</v>
      </c>
      <c r="O395" s="46">
        <v>0</v>
      </c>
      <c r="P395" s="47">
        <v>0.27300000000000002</v>
      </c>
      <c r="Q395" s="35" t="s">
        <v>154</v>
      </c>
    </row>
    <row r="396" spans="1:17" ht="36" x14ac:dyDescent="0.25">
      <c r="A396" s="21">
        <v>37788</v>
      </c>
      <c r="B396" s="21">
        <v>37788</v>
      </c>
      <c r="C396" s="43">
        <v>2003</v>
      </c>
      <c r="D396" s="351" t="s">
        <v>23</v>
      </c>
      <c r="E396" s="22" t="s">
        <v>86</v>
      </c>
      <c r="F396" s="7" t="s">
        <v>72</v>
      </c>
      <c r="G396" s="25" t="s">
        <v>536</v>
      </c>
      <c r="H396" s="25" t="s">
        <v>588</v>
      </c>
      <c r="I396" s="46">
        <v>0</v>
      </c>
      <c r="J396" s="46">
        <v>20</v>
      </c>
      <c r="K396" s="46">
        <v>4</v>
      </c>
      <c r="L396" s="46">
        <v>0</v>
      </c>
      <c r="M396" s="31">
        <v>0</v>
      </c>
      <c r="N396" s="31">
        <v>0</v>
      </c>
      <c r="O396" s="46">
        <v>0</v>
      </c>
      <c r="P396" s="47">
        <v>1.0999999999999999E-2</v>
      </c>
      <c r="Q396" s="35" t="s">
        <v>154</v>
      </c>
    </row>
    <row r="397" spans="1:17" ht="36" x14ac:dyDescent="0.25">
      <c r="A397" s="21">
        <v>37788</v>
      </c>
      <c r="B397" s="21">
        <v>37788</v>
      </c>
      <c r="C397" s="43">
        <v>2003</v>
      </c>
      <c r="D397" s="351" t="s">
        <v>23</v>
      </c>
      <c r="E397" s="22" t="s">
        <v>86</v>
      </c>
      <c r="F397" s="7" t="s">
        <v>36</v>
      </c>
      <c r="G397" s="25" t="s">
        <v>589</v>
      </c>
      <c r="H397" s="25" t="s">
        <v>590</v>
      </c>
      <c r="I397" s="46">
        <v>0</v>
      </c>
      <c r="J397" s="46">
        <v>125</v>
      </c>
      <c r="K397" s="46">
        <v>25</v>
      </c>
      <c r="L397" s="46">
        <v>0</v>
      </c>
      <c r="M397" s="31">
        <v>0</v>
      </c>
      <c r="N397" s="31">
        <v>0</v>
      </c>
      <c r="O397" s="46">
        <v>0</v>
      </c>
      <c r="P397" s="47">
        <v>7.1999999999999995E-2</v>
      </c>
      <c r="Q397" s="35" t="s">
        <v>154</v>
      </c>
    </row>
    <row r="398" spans="1:17" ht="60" x14ac:dyDescent="0.25">
      <c r="A398" s="21">
        <v>37791</v>
      </c>
      <c r="B398" s="21">
        <v>37791</v>
      </c>
      <c r="C398" s="43">
        <v>2003</v>
      </c>
      <c r="D398" s="351" t="s">
        <v>23</v>
      </c>
      <c r="E398" s="22" t="s">
        <v>86</v>
      </c>
      <c r="F398" s="7" t="s">
        <v>36</v>
      </c>
      <c r="G398" s="25" t="s">
        <v>591</v>
      </c>
      <c r="H398" s="25" t="s">
        <v>592</v>
      </c>
      <c r="I398" s="46">
        <v>0</v>
      </c>
      <c r="J398" s="46">
        <v>760</v>
      </c>
      <c r="K398" s="46">
        <v>152</v>
      </c>
      <c r="L398" s="46">
        <v>0</v>
      </c>
      <c r="M398" s="31">
        <v>0</v>
      </c>
      <c r="N398" s="31">
        <v>0</v>
      </c>
      <c r="O398" s="46">
        <v>0</v>
      </c>
      <c r="P398" s="47">
        <v>0.51</v>
      </c>
      <c r="Q398" s="35" t="s">
        <v>154</v>
      </c>
    </row>
    <row r="399" spans="1:17" ht="108" x14ac:dyDescent="0.25">
      <c r="A399" s="21">
        <v>37793</v>
      </c>
      <c r="B399" s="21">
        <v>37793</v>
      </c>
      <c r="C399" s="43">
        <v>2003</v>
      </c>
      <c r="D399" s="351" t="s">
        <v>23</v>
      </c>
      <c r="E399" s="22" t="s">
        <v>86</v>
      </c>
      <c r="F399" s="7" t="s">
        <v>65</v>
      </c>
      <c r="G399" s="25" t="s">
        <v>593</v>
      </c>
      <c r="H399" s="25" t="s">
        <v>594</v>
      </c>
      <c r="I399" s="46">
        <v>1</v>
      </c>
      <c r="J399" s="46">
        <v>575</v>
      </c>
      <c r="K399" s="46">
        <v>115</v>
      </c>
      <c r="L399" s="46">
        <v>0</v>
      </c>
      <c r="M399" s="31">
        <v>0</v>
      </c>
      <c r="N399" s="31">
        <v>0</v>
      </c>
      <c r="O399" s="46">
        <v>0</v>
      </c>
      <c r="P399" s="47">
        <v>0.33139999999999997</v>
      </c>
      <c r="Q399" s="35" t="s">
        <v>154</v>
      </c>
    </row>
    <row r="400" spans="1:17" ht="36" x14ac:dyDescent="0.25">
      <c r="A400" s="21">
        <v>37793</v>
      </c>
      <c r="B400" s="21">
        <v>37793</v>
      </c>
      <c r="C400" s="43">
        <v>2003</v>
      </c>
      <c r="D400" s="351" t="s">
        <v>23</v>
      </c>
      <c r="E400" s="22" t="s">
        <v>86</v>
      </c>
      <c r="F400" s="7" t="s">
        <v>58</v>
      </c>
      <c r="G400" s="25" t="s">
        <v>595</v>
      </c>
      <c r="H400" s="25" t="s">
        <v>596</v>
      </c>
      <c r="I400" s="46">
        <v>0</v>
      </c>
      <c r="J400" s="46">
        <v>2250</v>
      </c>
      <c r="K400" s="46">
        <v>450</v>
      </c>
      <c r="L400" s="46">
        <v>0</v>
      </c>
      <c r="M400" s="31">
        <v>0</v>
      </c>
      <c r="N400" s="31">
        <v>0</v>
      </c>
      <c r="O400" s="46">
        <v>0</v>
      </c>
      <c r="P400" s="47">
        <v>1.2969999999999999</v>
      </c>
      <c r="Q400" s="35" t="s">
        <v>154</v>
      </c>
    </row>
    <row r="401" spans="1:17" ht="48" x14ac:dyDescent="0.25">
      <c r="A401" s="21">
        <v>37795</v>
      </c>
      <c r="B401" s="21">
        <v>37795</v>
      </c>
      <c r="C401" s="43">
        <v>2003</v>
      </c>
      <c r="D401" s="351" t="s">
        <v>23</v>
      </c>
      <c r="E401" s="22" t="s">
        <v>86</v>
      </c>
      <c r="F401" s="7" t="s">
        <v>72</v>
      </c>
      <c r="G401" s="25" t="s">
        <v>72</v>
      </c>
      <c r="H401" s="25" t="s">
        <v>597</v>
      </c>
      <c r="I401" s="46">
        <v>0</v>
      </c>
      <c r="J401" s="46">
        <v>240</v>
      </c>
      <c r="K401" s="46">
        <v>48</v>
      </c>
      <c r="L401" s="46">
        <v>0</v>
      </c>
      <c r="M401" s="31">
        <v>0</v>
      </c>
      <c r="N401" s="31">
        <v>0</v>
      </c>
      <c r="O401" s="46">
        <v>0</v>
      </c>
      <c r="P401" s="47">
        <v>0.13830000000000001</v>
      </c>
      <c r="Q401" s="35" t="s">
        <v>154</v>
      </c>
    </row>
    <row r="402" spans="1:17" ht="36" x14ac:dyDescent="0.25">
      <c r="A402" s="21">
        <v>37796</v>
      </c>
      <c r="B402" s="21">
        <v>37796</v>
      </c>
      <c r="C402" s="43">
        <v>2003</v>
      </c>
      <c r="D402" s="351" t="s">
        <v>23</v>
      </c>
      <c r="E402" s="22" t="s">
        <v>86</v>
      </c>
      <c r="F402" s="7" t="s">
        <v>65</v>
      </c>
      <c r="G402" s="25" t="s">
        <v>598</v>
      </c>
      <c r="H402" s="25" t="s">
        <v>599</v>
      </c>
      <c r="I402" s="46">
        <v>0</v>
      </c>
      <c r="J402" s="46">
        <v>75</v>
      </c>
      <c r="K402" s="46">
        <v>15</v>
      </c>
      <c r="L402" s="46">
        <v>0</v>
      </c>
      <c r="M402" s="31">
        <v>0</v>
      </c>
      <c r="N402" s="31">
        <v>0</v>
      </c>
      <c r="O402" s="46">
        <v>0</v>
      </c>
      <c r="P402" s="47">
        <v>4.3200000000000002E-2</v>
      </c>
      <c r="Q402" s="35" t="s">
        <v>154</v>
      </c>
    </row>
    <row r="403" spans="1:17" ht="60" x14ac:dyDescent="0.25">
      <c r="A403" s="21">
        <v>37796</v>
      </c>
      <c r="B403" s="21">
        <v>37796</v>
      </c>
      <c r="C403" s="43">
        <v>2003</v>
      </c>
      <c r="D403" s="351" t="s">
        <v>23</v>
      </c>
      <c r="E403" s="22" t="s">
        <v>86</v>
      </c>
      <c r="F403" s="7" t="s">
        <v>58</v>
      </c>
      <c r="G403" s="25" t="s">
        <v>600</v>
      </c>
      <c r="H403" s="25" t="s">
        <v>601</v>
      </c>
      <c r="I403" s="46">
        <v>1</v>
      </c>
      <c r="J403" s="46">
        <v>81</v>
      </c>
      <c r="K403" s="46">
        <v>16</v>
      </c>
      <c r="L403" s="46">
        <v>0</v>
      </c>
      <c r="M403" s="31">
        <v>0</v>
      </c>
      <c r="N403" s="31">
        <v>0</v>
      </c>
      <c r="O403" s="46">
        <v>0</v>
      </c>
      <c r="P403" s="47">
        <v>4.6109999999999998E-2</v>
      </c>
      <c r="Q403" s="35" t="s">
        <v>154</v>
      </c>
    </row>
    <row r="404" spans="1:17" ht="36" x14ac:dyDescent="0.25">
      <c r="A404" s="21">
        <v>37796</v>
      </c>
      <c r="B404" s="21">
        <v>37796</v>
      </c>
      <c r="C404" s="43">
        <v>2003</v>
      </c>
      <c r="D404" s="351" t="s">
        <v>23</v>
      </c>
      <c r="E404" s="22" t="s">
        <v>86</v>
      </c>
      <c r="F404" s="7" t="s">
        <v>36</v>
      </c>
      <c r="G404" s="25" t="s">
        <v>602</v>
      </c>
      <c r="H404" s="25" t="s">
        <v>603</v>
      </c>
      <c r="I404" s="46">
        <v>0</v>
      </c>
      <c r="J404" s="46">
        <v>75</v>
      </c>
      <c r="K404" s="46">
        <v>15</v>
      </c>
      <c r="L404" s="46">
        <v>0</v>
      </c>
      <c r="M404" s="31">
        <v>0</v>
      </c>
      <c r="N404" s="31">
        <v>0</v>
      </c>
      <c r="O404" s="46">
        <v>0</v>
      </c>
      <c r="P404" s="47">
        <v>4.3229999999999998E-2</v>
      </c>
      <c r="Q404" s="35" t="s">
        <v>154</v>
      </c>
    </row>
    <row r="405" spans="1:17" ht="60" x14ac:dyDescent="0.25">
      <c r="A405" s="21">
        <v>37796</v>
      </c>
      <c r="B405" s="21">
        <v>37796</v>
      </c>
      <c r="C405" s="43">
        <v>2003</v>
      </c>
      <c r="D405" s="351" t="s">
        <v>23</v>
      </c>
      <c r="E405" s="22" t="s">
        <v>86</v>
      </c>
      <c r="F405" s="7" t="s">
        <v>65</v>
      </c>
      <c r="G405" s="25" t="s">
        <v>418</v>
      </c>
      <c r="H405" s="25" t="s">
        <v>604</v>
      </c>
      <c r="I405" s="46">
        <v>0</v>
      </c>
      <c r="J405" s="46">
        <v>40</v>
      </c>
      <c r="K405" s="46">
        <v>8</v>
      </c>
      <c r="L405" s="46">
        <v>0</v>
      </c>
      <c r="M405" s="31">
        <v>0</v>
      </c>
      <c r="N405" s="31">
        <v>0</v>
      </c>
      <c r="O405" s="46">
        <v>0</v>
      </c>
      <c r="P405" s="47">
        <v>0.45500000000000002</v>
      </c>
      <c r="Q405" s="35" t="s">
        <v>154</v>
      </c>
    </row>
    <row r="406" spans="1:17" ht="36" x14ac:dyDescent="0.25">
      <c r="A406" s="21">
        <v>37797</v>
      </c>
      <c r="B406" s="21">
        <v>37797</v>
      </c>
      <c r="C406" s="43">
        <v>2003</v>
      </c>
      <c r="D406" s="351" t="s">
        <v>23</v>
      </c>
      <c r="E406" s="22" t="s">
        <v>86</v>
      </c>
      <c r="F406" s="28" t="s">
        <v>210</v>
      </c>
      <c r="G406" s="25" t="s">
        <v>605</v>
      </c>
      <c r="H406" s="25" t="s">
        <v>606</v>
      </c>
      <c r="I406" s="46">
        <v>0</v>
      </c>
      <c r="J406" s="46">
        <v>300</v>
      </c>
      <c r="K406" s="46">
        <v>60</v>
      </c>
      <c r="L406" s="46">
        <v>0</v>
      </c>
      <c r="M406" s="31">
        <v>0</v>
      </c>
      <c r="N406" s="31">
        <v>0</v>
      </c>
      <c r="O406" s="46">
        <v>0</v>
      </c>
      <c r="P406" s="47">
        <v>0.17199999999999999</v>
      </c>
      <c r="Q406" s="35" t="s">
        <v>154</v>
      </c>
    </row>
    <row r="407" spans="1:17" ht="108" x14ac:dyDescent="0.25">
      <c r="A407" s="21">
        <v>37798</v>
      </c>
      <c r="B407" s="21">
        <v>37798</v>
      </c>
      <c r="C407" s="43">
        <v>2003</v>
      </c>
      <c r="D407" s="351" t="s">
        <v>23</v>
      </c>
      <c r="E407" s="22" t="s">
        <v>86</v>
      </c>
      <c r="F407" s="7" t="s">
        <v>72</v>
      </c>
      <c r="G407" s="25" t="s">
        <v>536</v>
      </c>
      <c r="H407" s="52" t="s">
        <v>607</v>
      </c>
      <c r="I407" s="46">
        <v>0</v>
      </c>
      <c r="J407" s="46">
        <v>148076</v>
      </c>
      <c r="K407" s="46">
        <v>29615</v>
      </c>
      <c r="L407" s="46">
        <v>0</v>
      </c>
      <c r="M407" s="31">
        <v>0</v>
      </c>
      <c r="N407" s="31">
        <v>0</v>
      </c>
      <c r="O407" s="46">
        <v>10</v>
      </c>
      <c r="P407" s="47">
        <v>85.35</v>
      </c>
      <c r="Q407" s="35" t="s">
        <v>154</v>
      </c>
    </row>
    <row r="408" spans="1:17" ht="60" x14ac:dyDescent="0.25">
      <c r="A408" s="21">
        <v>37798</v>
      </c>
      <c r="B408" s="21">
        <v>37798</v>
      </c>
      <c r="C408" s="43">
        <v>2003</v>
      </c>
      <c r="D408" s="351" t="s">
        <v>23</v>
      </c>
      <c r="E408" s="22" t="s">
        <v>86</v>
      </c>
      <c r="F408" s="7" t="s">
        <v>80</v>
      </c>
      <c r="G408" s="25" t="s">
        <v>608</v>
      </c>
      <c r="H408" s="52" t="s">
        <v>609</v>
      </c>
      <c r="I408" s="46">
        <v>0</v>
      </c>
      <c r="J408" s="46">
        <v>182</v>
      </c>
      <c r="K408" s="46">
        <v>0</v>
      </c>
      <c r="L408" s="46">
        <v>0</v>
      </c>
      <c r="M408" s="31">
        <v>0</v>
      </c>
      <c r="N408" s="31">
        <v>0</v>
      </c>
      <c r="O408" s="46">
        <v>0</v>
      </c>
      <c r="P408" s="47">
        <v>0</v>
      </c>
      <c r="Q408" s="35" t="s">
        <v>154</v>
      </c>
    </row>
    <row r="409" spans="1:17" ht="48" x14ac:dyDescent="0.25">
      <c r="A409" s="21">
        <v>37802</v>
      </c>
      <c r="B409" s="21">
        <v>37802</v>
      </c>
      <c r="C409" s="43">
        <v>2003</v>
      </c>
      <c r="D409" s="351" t="s">
        <v>23</v>
      </c>
      <c r="E409" s="22" t="s">
        <v>86</v>
      </c>
      <c r="F409" s="7" t="s">
        <v>101</v>
      </c>
      <c r="G409" s="25" t="s">
        <v>610</v>
      </c>
      <c r="H409" s="52" t="s">
        <v>611</v>
      </c>
      <c r="I409" s="46">
        <v>0</v>
      </c>
      <c r="J409" s="46">
        <v>2500</v>
      </c>
      <c r="K409" s="46">
        <v>500</v>
      </c>
      <c r="L409" s="46">
        <v>0</v>
      </c>
      <c r="M409" s="31">
        <v>0</v>
      </c>
      <c r="N409" s="31">
        <v>0</v>
      </c>
      <c r="O409" s="46">
        <v>0</v>
      </c>
      <c r="P409" s="47">
        <v>1.4410000000000001</v>
      </c>
      <c r="Q409" s="35" t="s">
        <v>154</v>
      </c>
    </row>
    <row r="410" spans="1:17" ht="48" x14ac:dyDescent="0.25">
      <c r="A410" s="21">
        <v>37805</v>
      </c>
      <c r="B410" s="21">
        <v>37805</v>
      </c>
      <c r="C410" s="43">
        <v>2003</v>
      </c>
      <c r="D410" s="351" t="s">
        <v>23</v>
      </c>
      <c r="E410" s="22" t="s">
        <v>86</v>
      </c>
      <c r="F410" s="7" t="s">
        <v>72</v>
      </c>
      <c r="G410" s="25" t="s">
        <v>612</v>
      </c>
      <c r="H410" s="52" t="s">
        <v>613</v>
      </c>
      <c r="I410" s="46">
        <v>0</v>
      </c>
      <c r="J410" s="46">
        <v>90</v>
      </c>
      <c r="K410" s="46">
        <v>18</v>
      </c>
      <c r="L410" s="46">
        <v>0</v>
      </c>
      <c r="M410" s="31">
        <v>0</v>
      </c>
      <c r="N410" s="31">
        <v>0</v>
      </c>
      <c r="O410" s="46">
        <v>0</v>
      </c>
      <c r="P410" s="47">
        <v>0.123</v>
      </c>
      <c r="Q410" s="35" t="s">
        <v>154</v>
      </c>
    </row>
    <row r="411" spans="1:17" ht="36" x14ac:dyDescent="0.25">
      <c r="A411" s="21">
        <v>37805</v>
      </c>
      <c r="B411" s="21">
        <v>37805</v>
      </c>
      <c r="C411" s="43">
        <v>2003</v>
      </c>
      <c r="D411" s="351" t="s">
        <v>23</v>
      </c>
      <c r="E411" s="22" t="s">
        <v>86</v>
      </c>
      <c r="F411" s="7" t="s">
        <v>77</v>
      </c>
      <c r="G411" s="25" t="s">
        <v>614</v>
      </c>
      <c r="H411" s="52" t="s">
        <v>615</v>
      </c>
      <c r="I411" s="46">
        <v>0</v>
      </c>
      <c r="J411" s="46">
        <v>63</v>
      </c>
      <c r="K411" s="46">
        <v>13</v>
      </c>
      <c r="L411" s="46">
        <v>0</v>
      </c>
      <c r="M411" s="31">
        <v>0</v>
      </c>
      <c r="N411" s="31">
        <v>0</v>
      </c>
      <c r="O411" s="46">
        <v>0</v>
      </c>
      <c r="P411" s="47">
        <v>3.7400000000000003E-2</v>
      </c>
      <c r="Q411" s="35" t="s">
        <v>154</v>
      </c>
    </row>
    <row r="412" spans="1:17" ht="36" x14ac:dyDescent="0.25">
      <c r="A412" s="21">
        <v>37805</v>
      </c>
      <c r="B412" s="21">
        <v>37805</v>
      </c>
      <c r="C412" s="43">
        <v>2003</v>
      </c>
      <c r="D412" s="351" t="s">
        <v>23</v>
      </c>
      <c r="E412" s="22" t="s">
        <v>86</v>
      </c>
      <c r="F412" s="7" t="s">
        <v>72</v>
      </c>
      <c r="G412" s="25" t="s">
        <v>616</v>
      </c>
      <c r="H412" s="52" t="s">
        <v>617</v>
      </c>
      <c r="I412" s="46">
        <v>0</v>
      </c>
      <c r="J412" s="46">
        <v>400</v>
      </c>
      <c r="K412" s="46">
        <v>80</v>
      </c>
      <c r="L412" s="46">
        <v>0</v>
      </c>
      <c r="M412" s="31">
        <v>0</v>
      </c>
      <c r="N412" s="31">
        <v>0</v>
      </c>
      <c r="O412" s="46">
        <v>0</v>
      </c>
      <c r="P412" s="47">
        <v>0.23</v>
      </c>
      <c r="Q412" s="35" t="s">
        <v>154</v>
      </c>
    </row>
    <row r="413" spans="1:17" ht="84" x14ac:dyDescent="0.25">
      <c r="A413" s="21">
        <v>37806</v>
      </c>
      <c r="B413" s="21">
        <v>37806</v>
      </c>
      <c r="C413" s="43">
        <v>2003</v>
      </c>
      <c r="D413" s="351" t="s">
        <v>23</v>
      </c>
      <c r="E413" s="22" t="s">
        <v>86</v>
      </c>
      <c r="F413" s="7" t="s">
        <v>65</v>
      </c>
      <c r="G413" s="25" t="s">
        <v>618</v>
      </c>
      <c r="H413" s="52" t="s">
        <v>619</v>
      </c>
      <c r="I413" s="46">
        <v>0</v>
      </c>
      <c r="J413" s="46">
        <v>5000</v>
      </c>
      <c r="K413" s="46">
        <v>2000</v>
      </c>
      <c r="L413" s="46">
        <v>0</v>
      </c>
      <c r="M413" s="31">
        <v>0</v>
      </c>
      <c r="N413" s="31">
        <v>0</v>
      </c>
      <c r="O413" s="46">
        <v>0</v>
      </c>
      <c r="P413" s="47">
        <v>5.76</v>
      </c>
      <c r="Q413" s="35" t="s">
        <v>154</v>
      </c>
    </row>
    <row r="414" spans="1:17" ht="60" x14ac:dyDescent="0.25">
      <c r="A414" s="21">
        <v>37807</v>
      </c>
      <c r="B414" s="21">
        <v>37807</v>
      </c>
      <c r="C414" s="43">
        <v>2003</v>
      </c>
      <c r="D414" s="351" t="s">
        <v>23</v>
      </c>
      <c r="E414" s="22" t="s">
        <v>86</v>
      </c>
      <c r="F414" s="7" t="s">
        <v>82</v>
      </c>
      <c r="G414" s="25" t="s">
        <v>620</v>
      </c>
      <c r="H414" s="52" t="s">
        <v>621</v>
      </c>
      <c r="I414" s="46">
        <v>1</v>
      </c>
      <c r="J414" s="46">
        <v>590</v>
      </c>
      <c r="K414" s="46">
        <v>118</v>
      </c>
      <c r="L414" s="46">
        <v>0</v>
      </c>
      <c r="M414" s="31">
        <v>0</v>
      </c>
      <c r="N414" s="31">
        <v>0</v>
      </c>
      <c r="O414" s="46">
        <v>0</v>
      </c>
      <c r="P414" s="47">
        <v>0.34</v>
      </c>
      <c r="Q414" s="35" t="s">
        <v>154</v>
      </c>
    </row>
    <row r="415" spans="1:17" ht="72" x14ac:dyDescent="0.25">
      <c r="A415" s="21">
        <v>37807</v>
      </c>
      <c r="B415" s="21">
        <v>37807</v>
      </c>
      <c r="C415" s="43">
        <v>2003</v>
      </c>
      <c r="D415" s="351" t="s">
        <v>23</v>
      </c>
      <c r="E415" s="22" t="s">
        <v>86</v>
      </c>
      <c r="F415" s="7" t="s">
        <v>62</v>
      </c>
      <c r="G415" s="25" t="s">
        <v>622</v>
      </c>
      <c r="H415" s="52" t="s">
        <v>623</v>
      </c>
      <c r="I415" s="46">
        <v>0</v>
      </c>
      <c r="J415" s="46">
        <v>2500</v>
      </c>
      <c r="K415" s="46">
        <v>500</v>
      </c>
      <c r="L415" s="46">
        <v>0</v>
      </c>
      <c r="M415" s="31">
        <v>0</v>
      </c>
      <c r="N415" s="31">
        <v>0</v>
      </c>
      <c r="O415" s="46">
        <v>0</v>
      </c>
      <c r="P415" s="47">
        <v>2.52</v>
      </c>
      <c r="Q415" s="35" t="s">
        <v>154</v>
      </c>
    </row>
    <row r="416" spans="1:17" ht="36" x14ac:dyDescent="0.25">
      <c r="A416" s="21">
        <v>37808</v>
      </c>
      <c r="B416" s="21">
        <v>37808</v>
      </c>
      <c r="C416" s="43">
        <v>2003</v>
      </c>
      <c r="D416" s="351" t="s">
        <v>23</v>
      </c>
      <c r="E416" s="22" t="s">
        <v>86</v>
      </c>
      <c r="F416" s="7" t="s">
        <v>45</v>
      </c>
      <c r="G416" s="25" t="s">
        <v>624</v>
      </c>
      <c r="H416" s="52" t="s">
        <v>625</v>
      </c>
      <c r="I416" s="46">
        <v>0</v>
      </c>
      <c r="J416" s="46">
        <v>100</v>
      </c>
      <c r="K416" s="46">
        <v>20</v>
      </c>
      <c r="L416" s="46">
        <v>0</v>
      </c>
      <c r="M416" s="31">
        <v>0</v>
      </c>
      <c r="N416" s="31">
        <v>0</v>
      </c>
      <c r="O416" s="46">
        <v>0</v>
      </c>
      <c r="P416" s="47">
        <v>5.8000000000000003E-2</v>
      </c>
      <c r="Q416" s="35" t="s">
        <v>154</v>
      </c>
    </row>
    <row r="417" spans="1:17" ht="36" x14ac:dyDescent="0.25">
      <c r="A417" s="21">
        <v>37810</v>
      </c>
      <c r="B417" s="21">
        <v>37810</v>
      </c>
      <c r="C417" s="43">
        <v>2003</v>
      </c>
      <c r="D417" s="351" t="s">
        <v>23</v>
      </c>
      <c r="E417" s="22" t="s">
        <v>86</v>
      </c>
      <c r="F417" s="7" t="s">
        <v>77</v>
      </c>
      <c r="G417" s="25" t="s">
        <v>626</v>
      </c>
      <c r="H417" s="52" t="s">
        <v>627</v>
      </c>
      <c r="I417" s="46">
        <v>0</v>
      </c>
      <c r="J417" s="46">
        <v>1500</v>
      </c>
      <c r="K417" s="46">
        <v>300</v>
      </c>
      <c r="L417" s="46">
        <v>0</v>
      </c>
      <c r="M417" s="31">
        <v>0</v>
      </c>
      <c r="N417" s="31">
        <v>0</v>
      </c>
      <c r="O417" s="46">
        <v>0</v>
      </c>
      <c r="P417" s="47">
        <v>0.86499999999999999</v>
      </c>
      <c r="Q417" s="35" t="s">
        <v>154</v>
      </c>
    </row>
    <row r="418" spans="1:17" ht="24" x14ac:dyDescent="0.25">
      <c r="A418" s="21">
        <v>37809</v>
      </c>
      <c r="B418" s="21">
        <v>37809</v>
      </c>
      <c r="C418" s="43">
        <v>2003</v>
      </c>
      <c r="D418" s="351" t="s">
        <v>23</v>
      </c>
      <c r="E418" s="22" t="s">
        <v>86</v>
      </c>
      <c r="F418" s="7" t="s">
        <v>77</v>
      </c>
      <c r="G418" s="25" t="s">
        <v>628</v>
      </c>
      <c r="H418" s="52" t="s">
        <v>629</v>
      </c>
      <c r="I418" s="46">
        <v>0</v>
      </c>
      <c r="J418" s="46">
        <v>55</v>
      </c>
      <c r="K418" s="46">
        <v>11</v>
      </c>
      <c r="L418" s="46">
        <v>0</v>
      </c>
      <c r="M418" s="31">
        <v>0</v>
      </c>
      <c r="N418" s="31">
        <v>0</v>
      </c>
      <c r="O418" s="46">
        <v>0</v>
      </c>
      <c r="P418" s="47">
        <v>3.2000000000000001E-2</v>
      </c>
      <c r="Q418" s="35" t="s">
        <v>154</v>
      </c>
    </row>
    <row r="419" spans="1:17" ht="60" x14ac:dyDescent="0.25">
      <c r="A419" s="21">
        <v>37809</v>
      </c>
      <c r="B419" s="21">
        <v>37809</v>
      </c>
      <c r="C419" s="43">
        <v>2003</v>
      </c>
      <c r="D419" s="351" t="s">
        <v>23</v>
      </c>
      <c r="E419" s="22" t="s">
        <v>86</v>
      </c>
      <c r="F419" s="7" t="s">
        <v>56</v>
      </c>
      <c r="G419" s="25" t="s">
        <v>536</v>
      </c>
      <c r="H419" s="52" t="s">
        <v>630</v>
      </c>
      <c r="I419" s="46">
        <v>0</v>
      </c>
      <c r="J419" s="46">
        <v>852</v>
      </c>
      <c r="K419" s="46">
        <v>500</v>
      </c>
      <c r="L419" s="46">
        <v>0</v>
      </c>
      <c r="M419" s="31">
        <v>0</v>
      </c>
      <c r="N419" s="31">
        <v>0</v>
      </c>
      <c r="O419" s="46">
        <v>6515</v>
      </c>
      <c r="P419" s="47">
        <v>1.4</v>
      </c>
      <c r="Q419" s="35" t="s">
        <v>154</v>
      </c>
    </row>
    <row r="420" spans="1:17" ht="84" x14ac:dyDescent="0.25">
      <c r="A420" s="21">
        <v>37809</v>
      </c>
      <c r="B420" s="21">
        <v>37809</v>
      </c>
      <c r="C420" s="43">
        <v>2003</v>
      </c>
      <c r="D420" s="351" t="s">
        <v>23</v>
      </c>
      <c r="E420" s="22" t="s">
        <v>86</v>
      </c>
      <c r="F420" s="28" t="s">
        <v>157</v>
      </c>
      <c r="G420" s="25" t="s">
        <v>110</v>
      </c>
      <c r="H420" s="52" t="s">
        <v>631</v>
      </c>
      <c r="I420" s="46">
        <v>0</v>
      </c>
      <c r="J420" s="46">
        <v>6</v>
      </c>
      <c r="K420" s="46">
        <v>0</v>
      </c>
      <c r="L420" s="46">
        <v>0</v>
      </c>
      <c r="M420" s="31">
        <v>0</v>
      </c>
      <c r="N420" s="31">
        <v>0</v>
      </c>
      <c r="O420" s="46">
        <v>0</v>
      </c>
      <c r="P420" s="47">
        <v>0</v>
      </c>
      <c r="Q420" s="35" t="s">
        <v>154</v>
      </c>
    </row>
    <row r="421" spans="1:17" ht="72" x14ac:dyDescent="0.25">
      <c r="A421" s="21">
        <v>37811</v>
      </c>
      <c r="B421" s="21">
        <v>37811</v>
      </c>
      <c r="C421" s="43">
        <v>2003</v>
      </c>
      <c r="D421" s="351" t="s">
        <v>23</v>
      </c>
      <c r="E421" s="22" t="s">
        <v>86</v>
      </c>
      <c r="F421" s="7" t="s">
        <v>87</v>
      </c>
      <c r="G421" s="25" t="s">
        <v>632</v>
      </c>
      <c r="H421" s="52" t="s">
        <v>633</v>
      </c>
      <c r="I421" s="46">
        <v>0</v>
      </c>
      <c r="J421" s="46">
        <v>120</v>
      </c>
      <c r="K421" s="46">
        <v>24</v>
      </c>
      <c r="L421" s="46">
        <v>0</v>
      </c>
      <c r="M421" s="31">
        <v>0</v>
      </c>
      <c r="N421" s="31">
        <v>0</v>
      </c>
      <c r="O421" s="46">
        <v>0</v>
      </c>
      <c r="P421" s="47">
        <v>6.9000000000000006E-2</v>
      </c>
      <c r="Q421" s="35" t="s">
        <v>154</v>
      </c>
    </row>
    <row r="422" spans="1:17" ht="36" x14ac:dyDescent="0.25">
      <c r="A422" s="21">
        <v>37812</v>
      </c>
      <c r="B422" s="21">
        <v>37812</v>
      </c>
      <c r="C422" s="43">
        <v>2003</v>
      </c>
      <c r="D422" s="351" t="s">
        <v>23</v>
      </c>
      <c r="E422" s="22" t="s">
        <v>86</v>
      </c>
      <c r="F422" s="28" t="s">
        <v>163</v>
      </c>
      <c r="G422" s="25" t="s">
        <v>110</v>
      </c>
      <c r="H422" s="52" t="s">
        <v>634</v>
      </c>
      <c r="I422" s="46">
        <v>0</v>
      </c>
      <c r="J422" s="46">
        <v>650</v>
      </c>
      <c r="K422" s="46">
        <v>0</v>
      </c>
      <c r="L422" s="46">
        <v>0</v>
      </c>
      <c r="M422" s="31">
        <v>0</v>
      </c>
      <c r="N422" s="31">
        <v>0</v>
      </c>
      <c r="O422" s="46">
        <v>0</v>
      </c>
      <c r="P422" s="47">
        <v>0</v>
      </c>
      <c r="Q422" s="35" t="s">
        <v>154</v>
      </c>
    </row>
    <row r="423" spans="1:17" ht="60" x14ac:dyDescent="0.25">
      <c r="A423" s="21">
        <v>37812</v>
      </c>
      <c r="B423" s="21">
        <v>37812</v>
      </c>
      <c r="C423" s="43">
        <v>2003</v>
      </c>
      <c r="D423" s="351" t="s">
        <v>23</v>
      </c>
      <c r="E423" s="22" t="s">
        <v>86</v>
      </c>
      <c r="F423" s="7" t="s">
        <v>80</v>
      </c>
      <c r="G423" s="25" t="s">
        <v>110</v>
      </c>
      <c r="H423" s="52" t="s">
        <v>635</v>
      </c>
      <c r="I423" s="46">
        <v>0</v>
      </c>
      <c r="J423" s="46">
        <v>0</v>
      </c>
      <c r="K423" s="46">
        <v>0</v>
      </c>
      <c r="L423" s="46">
        <v>0</v>
      </c>
      <c r="M423" s="31">
        <v>0</v>
      </c>
      <c r="N423" s="31">
        <v>0</v>
      </c>
      <c r="O423" s="46">
        <v>0</v>
      </c>
      <c r="P423" s="47">
        <v>0</v>
      </c>
      <c r="Q423" s="35" t="s">
        <v>154</v>
      </c>
    </row>
    <row r="424" spans="1:17" ht="60" x14ac:dyDescent="0.25">
      <c r="A424" s="21">
        <v>37781</v>
      </c>
      <c r="B424" s="21">
        <v>37781</v>
      </c>
      <c r="C424" s="43">
        <v>2003</v>
      </c>
      <c r="D424" s="351" t="s">
        <v>23</v>
      </c>
      <c r="E424" s="22" t="s">
        <v>86</v>
      </c>
      <c r="F424" s="7" t="s">
        <v>72</v>
      </c>
      <c r="G424" s="25" t="s">
        <v>72</v>
      </c>
      <c r="H424" s="25" t="s">
        <v>636</v>
      </c>
      <c r="I424" s="46">
        <v>0</v>
      </c>
      <c r="J424" s="46">
        <v>1</v>
      </c>
      <c r="K424" s="46">
        <v>0</v>
      </c>
      <c r="L424" s="46">
        <v>0</v>
      </c>
      <c r="M424" s="31">
        <v>0</v>
      </c>
      <c r="N424" s="31">
        <v>0</v>
      </c>
      <c r="O424" s="46">
        <v>0</v>
      </c>
      <c r="P424" s="47">
        <v>0</v>
      </c>
      <c r="Q424" s="35" t="s">
        <v>154</v>
      </c>
    </row>
    <row r="425" spans="1:17" ht="36" x14ac:dyDescent="0.25">
      <c r="A425" s="21">
        <v>37818</v>
      </c>
      <c r="B425" s="21">
        <v>37818</v>
      </c>
      <c r="C425" s="43">
        <v>2003</v>
      </c>
      <c r="D425" s="351" t="s">
        <v>23</v>
      </c>
      <c r="E425" s="22" t="s">
        <v>86</v>
      </c>
      <c r="F425" s="7" t="s">
        <v>72</v>
      </c>
      <c r="G425" s="25" t="s">
        <v>72</v>
      </c>
      <c r="H425" s="52" t="s">
        <v>637</v>
      </c>
      <c r="I425" s="46">
        <v>0</v>
      </c>
      <c r="J425" s="46">
        <v>50</v>
      </c>
      <c r="K425" s="46">
        <v>10</v>
      </c>
      <c r="L425" s="46">
        <v>0</v>
      </c>
      <c r="M425" s="31">
        <v>0</v>
      </c>
      <c r="N425" s="31">
        <v>0</v>
      </c>
      <c r="O425" s="46">
        <v>0</v>
      </c>
      <c r="P425" s="47">
        <v>2.8000000000000001E-2</v>
      </c>
      <c r="Q425" s="35" t="s">
        <v>154</v>
      </c>
    </row>
    <row r="426" spans="1:17" ht="96" x14ac:dyDescent="0.25">
      <c r="A426" s="21">
        <v>37819</v>
      </c>
      <c r="B426" s="21">
        <v>37819</v>
      </c>
      <c r="C426" s="43">
        <v>2003</v>
      </c>
      <c r="D426" s="351" t="s">
        <v>23</v>
      </c>
      <c r="E426" s="22" t="s">
        <v>86</v>
      </c>
      <c r="F426" s="7" t="s">
        <v>72</v>
      </c>
      <c r="G426" s="25" t="s">
        <v>638</v>
      </c>
      <c r="H426" s="52" t="s">
        <v>639</v>
      </c>
      <c r="I426" s="46">
        <v>11</v>
      </c>
      <c r="J426" s="46">
        <v>13</v>
      </c>
      <c r="K426" s="46">
        <v>2</v>
      </c>
      <c r="L426" s="46">
        <v>0</v>
      </c>
      <c r="M426" s="31">
        <v>0</v>
      </c>
      <c r="N426" s="31">
        <v>0</v>
      </c>
      <c r="O426" s="46">
        <v>0</v>
      </c>
      <c r="P426" s="47">
        <v>5.6000000000000001E-2</v>
      </c>
      <c r="Q426" s="35" t="s">
        <v>154</v>
      </c>
    </row>
    <row r="427" spans="1:17" ht="60" x14ac:dyDescent="0.25">
      <c r="A427" s="21">
        <v>37823</v>
      </c>
      <c r="B427" s="21">
        <v>37823</v>
      </c>
      <c r="C427" s="43">
        <v>2003</v>
      </c>
      <c r="D427" s="351" t="s">
        <v>23</v>
      </c>
      <c r="E427" s="22" t="s">
        <v>86</v>
      </c>
      <c r="F427" s="7" t="s">
        <v>56</v>
      </c>
      <c r="G427" s="25" t="s">
        <v>640</v>
      </c>
      <c r="H427" s="52" t="s">
        <v>641</v>
      </c>
      <c r="I427" s="46">
        <v>0</v>
      </c>
      <c r="J427" s="46">
        <v>20</v>
      </c>
      <c r="K427" s="46">
        <v>4</v>
      </c>
      <c r="L427" s="46">
        <v>0</v>
      </c>
      <c r="M427" s="31">
        <v>0</v>
      </c>
      <c r="N427" s="31">
        <v>0</v>
      </c>
      <c r="O427" s="46">
        <v>0</v>
      </c>
      <c r="P427" s="47">
        <v>1.0999999999999999E-2</v>
      </c>
      <c r="Q427" s="35" t="s">
        <v>154</v>
      </c>
    </row>
    <row r="428" spans="1:17" ht="60" x14ac:dyDescent="0.25">
      <c r="A428" s="21">
        <v>37824</v>
      </c>
      <c r="B428" s="21">
        <v>37824</v>
      </c>
      <c r="C428" s="43">
        <v>2003</v>
      </c>
      <c r="D428" s="351" t="s">
        <v>23</v>
      </c>
      <c r="E428" s="22" t="s">
        <v>86</v>
      </c>
      <c r="F428" s="7" t="s">
        <v>87</v>
      </c>
      <c r="G428" s="25" t="s">
        <v>642</v>
      </c>
      <c r="H428" s="52" t="s">
        <v>643</v>
      </c>
      <c r="I428" s="46">
        <v>3</v>
      </c>
      <c r="J428" s="46">
        <v>0</v>
      </c>
      <c r="K428" s="46">
        <v>0</v>
      </c>
      <c r="L428" s="46">
        <v>0</v>
      </c>
      <c r="M428" s="31">
        <v>0</v>
      </c>
      <c r="N428" s="31">
        <v>0</v>
      </c>
      <c r="O428" s="46">
        <v>0</v>
      </c>
      <c r="P428" s="47">
        <v>0</v>
      </c>
      <c r="Q428" s="35" t="s">
        <v>154</v>
      </c>
    </row>
    <row r="429" spans="1:17" ht="36" x14ac:dyDescent="0.25">
      <c r="A429" s="21">
        <v>37817</v>
      </c>
      <c r="B429" s="21">
        <v>37817</v>
      </c>
      <c r="C429" s="43">
        <v>2003</v>
      </c>
      <c r="D429" s="351" t="s">
        <v>23</v>
      </c>
      <c r="E429" s="22" t="s">
        <v>86</v>
      </c>
      <c r="F429" s="7" t="s">
        <v>87</v>
      </c>
      <c r="G429" s="25" t="s">
        <v>644</v>
      </c>
      <c r="H429" s="52" t="s">
        <v>645</v>
      </c>
      <c r="I429" s="46">
        <v>0</v>
      </c>
      <c r="J429" s="46">
        <v>0</v>
      </c>
      <c r="K429" s="46">
        <v>0</v>
      </c>
      <c r="L429" s="46">
        <v>0</v>
      </c>
      <c r="M429" s="31">
        <v>0</v>
      </c>
      <c r="N429" s="31">
        <v>0</v>
      </c>
      <c r="O429" s="46">
        <v>0</v>
      </c>
      <c r="P429" s="47">
        <v>0</v>
      </c>
      <c r="Q429" s="35" t="s">
        <v>154</v>
      </c>
    </row>
    <row r="430" spans="1:17" ht="48" x14ac:dyDescent="0.25">
      <c r="A430" s="21">
        <v>37825</v>
      </c>
      <c r="B430" s="21">
        <v>37825</v>
      </c>
      <c r="C430" s="43">
        <v>2003</v>
      </c>
      <c r="D430" s="351" t="s">
        <v>23</v>
      </c>
      <c r="E430" s="22" t="s">
        <v>86</v>
      </c>
      <c r="F430" s="7" t="s">
        <v>56</v>
      </c>
      <c r="G430" s="25" t="s">
        <v>646</v>
      </c>
      <c r="H430" s="52" t="s">
        <v>647</v>
      </c>
      <c r="I430" s="46">
        <v>0</v>
      </c>
      <c r="J430" s="46">
        <v>0</v>
      </c>
      <c r="K430" s="46">
        <v>380</v>
      </c>
      <c r="L430" s="46">
        <v>0</v>
      </c>
      <c r="M430" s="31">
        <v>0</v>
      </c>
      <c r="N430" s="31">
        <v>0</v>
      </c>
      <c r="O430" s="46">
        <v>0</v>
      </c>
      <c r="P430" s="47">
        <v>1.095</v>
      </c>
      <c r="Q430" s="35" t="s">
        <v>154</v>
      </c>
    </row>
    <row r="431" spans="1:17" ht="60" x14ac:dyDescent="0.25">
      <c r="A431" s="21">
        <v>37826</v>
      </c>
      <c r="B431" s="21">
        <v>37826</v>
      </c>
      <c r="C431" s="43">
        <v>2003</v>
      </c>
      <c r="D431" s="351" t="s">
        <v>23</v>
      </c>
      <c r="E431" s="22" t="s">
        <v>86</v>
      </c>
      <c r="F431" s="7" t="s">
        <v>36</v>
      </c>
      <c r="G431" s="25" t="s">
        <v>110</v>
      </c>
      <c r="H431" s="52" t="s">
        <v>648</v>
      </c>
      <c r="I431" s="46">
        <v>0</v>
      </c>
      <c r="J431" s="46">
        <v>55</v>
      </c>
      <c r="K431" s="46">
        <v>11</v>
      </c>
      <c r="L431" s="46">
        <v>0</v>
      </c>
      <c r="M431" s="31">
        <v>0</v>
      </c>
      <c r="N431" s="31">
        <v>0</v>
      </c>
      <c r="O431" s="46">
        <v>0</v>
      </c>
      <c r="P431" s="47">
        <v>3.1E-2</v>
      </c>
      <c r="Q431" s="35" t="s">
        <v>154</v>
      </c>
    </row>
    <row r="432" spans="1:17" ht="96" x14ac:dyDescent="0.25">
      <c r="A432" s="21">
        <v>37827</v>
      </c>
      <c r="B432" s="21">
        <v>37827</v>
      </c>
      <c r="C432" s="43">
        <v>2003</v>
      </c>
      <c r="D432" s="351" t="s">
        <v>23</v>
      </c>
      <c r="E432" s="22" t="s">
        <v>86</v>
      </c>
      <c r="F432" s="7" t="s">
        <v>87</v>
      </c>
      <c r="G432" s="25" t="s">
        <v>649</v>
      </c>
      <c r="H432" s="52" t="s">
        <v>650</v>
      </c>
      <c r="I432" s="46">
        <v>0</v>
      </c>
      <c r="J432" s="46">
        <v>505</v>
      </c>
      <c r="K432" s="46">
        <v>95</v>
      </c>
      <c r="L432" s="46">
        <v>0</v>
      </c>
      <c r="M432" s="31">
        <v>0</v>
      </c>
      <c r="N432" s="31">
        <v>0</v>
      </c>
      <c r="O432" s="46">
        <v>0</v>
      </c>
      <c r="P432" s="47">
        <v>0.27300000000000002</v>
      </c>
      <c r="Q432" s="35" t="s">
        <v>154</v>
      </c>
    </row>
    <row r="433" spans="1:17" ht="72" x14ac:dyDescent="0.25">
      <c r="A433" s="21">
        <v>37828</v>
      </c>
      <c r="B433" s="21">
        <v>37828</v>
      </c>
      <c r="C433" s="43">
        <v>2003</v>
      </c>
      <c r="D433" s="351" t="s">
        <v>23</v>
      </c>
      <c r="E433" s="22" t="s">
        <v>86</v>
      </c>
      <c r="F433" s="7" t="s">
        <v>67</v>
      </c>
      <c r="G433" s="25" t="s">
        <v>651</v>
      </c>
      <c r="H433" s="52" t="s">
        <v>652</v>
      </c>
      <c r="I433" s="46">
        <v>0</v>
      </c>
      <c r="J433" s="46">
        <v>300</v>
      </c>
      <c r="K433" s="46">
        <v>60</v>
      </c>
      <c r="L433" s="46">
        <v>0</v>
      </c>
      <c r="M433" s="31">
        <v>0</v>
      </c>
      <c r="N433" s="31">
        <v>0</v>
      </c>
      <c r="O433" s="46">
        <v>0</v>
      </c>
      <c r="P433" s="47">
        <v>0.17199999999999999</v>
      </c>
      <c r="Q433" s="35" t="s">
        <v>154</v>
      </c>
    </row>
    <row r="434" spans="1:17" ht="48" x14ac:dyDescent="0.25">
      <c r="A434" s="21">
        <v>37828</v>
      </c>
      <c r="B434" s="21">
        <v>37828</v>
      </c>
      <c r="C434" s="43">
        <v>2003</v>
      </c>
      <c r="D434" s="351" t="s">
        <v>23</v>
      </c>
      <c r="E434" s="22" t="s">
        <v>86</v>
      </c>
      <c r="F434" s="28" t="s">
        <v>210</v>
      </c>
      <c r="G434" s="25" t="s">
        <v>653</v>
      </c>
      <c r="H434" s="52" t="s">
        <v>654</v>
      </c>
      <c r="I434" s="46">
        <v>0</v>
      </c>
      <c r="J434" s="46">
        <v>100</v>
      </c>
      <c r="K434" s="46">
        <v>20</v>
      </c>
      <c r="L434" s="46">
        <v>0</v>
      </c>
      <c r="M434" s="31">
        <v>0</v>
      </c>
      <c r="N434" s="31">
        <v>0</v>
      </c>
      <c r="O434" s="46">
        <v>0</v>
      </c>
      <c r="P434" s="47">
        <v>5.7000000000000002E-2</v>
      </c>
      <c r="Q434" s="35" t="s">
        <v>154</v>
      </c>
    </row>
    <row r="435" spans="1:17" ht="48" x14ac:dyDescent="0.25">
      <c r="A435" s="21">
        <v>37829</v>
      </c>
      <c r="B435" s="21">
        <v>37829</v>
      </c>
      <c r="C435" s="43">
        <v>2003</v>
      </c>
      <c r="D435" s="351" t="s">
        <v>23</v>
      </c>
      <c r="E435" s="22" t="s">
        <v>86</v>
      </c>
      <c r="F435" s="7" t="s">
        <v>101</v>
      </c>
      <c r="G435" s="25" t="s">
        <v>110</v>
      </c>
      <c r="H435" s="52" t="s">
        <v>655</v>
      </c>
      <c r="I435" s="46">
        <v>3</v>
      </c>
      <c r="J435" s="46">
        <v>3</v>
      </c>
      <c r="K435" s="46">
        <v>0</v>
      </c>
      <c r="L435" s="46">
        <v>0</v>
      </c>
      <c r="M435" s="31">
        <v>0</v>
      </c>
      <c r="N435" s="31">
        <v>0</v>
      </c>
      <c r="O435" s="46">
        <v>0</v>
      </c>
      <c r="P435" s="47">
        <v>0</v>
      </c>
      <c r="Q435" s="35" t="s">
        <v>154</v>
      </c>
    </row>
    <row r="436" spans="1:17" ht="60" x14ac:dyDescent="0.25">
      <c r="A436" s="21">
        <v>37830</v>
      </c>
      <c r="B436" s="21">
        <v>37830</v>
      </c>
      <c r="C436" s="43">
        <v>2003</v>
      </c>
      <c r="D436" s="351" t="s">
        <v>23</v>
      </c>
      <c r="E436" s="22" t="s">
        <v>86</v>
      </c>
      <c r="F436" s="7" t="s">
        <v>36</v>
      </c>
      <c r="G436" s="25" t="s">
        <v>656</v>
      </c>
      <c r="H436" s="52" t="s">
        <v>657</v>
      </c>
      <c r="I436" s="46">
        <v>0</v>
      </c>
      <c r="J436" s="46">
        <v>40</v>
      </c>
      <c r="K436" s="46">
        <v>8</v>
      </c>
      <c r="L436" s="46">
        <v>0</v>
      </c>
      <c r="M436" s="31">
        <v>0</v>
      </c>
      <c r="N436" s="31">
        <v>0</v>
      </c>
      <c r="O436" s="46">
        <v>0</v>
      </c>
      <c r="P436" s="47">
        <v>2.3E-2</v>
      </c>
      <c r="Q436" s="35" t="s">
        <v>154</v>
      </c>
    </row>
    <row r="437" spans="1:17" ht="60" x14ac:dyDescent="0.25">
      <c r="A437" s="21">
        <v>37830</v>
      </c>
      <c r="B437" s="21">
        <v>37830</v>
      </c>
      <c r="C437" s="43">
        <v>2003</v>
      </c>
      <c r="D437" s="351" t="s">
        <v>23</v>
      </c>
      <c r="E437" s="22" t="s">
        <v>86</v>
      </c>
      <c r="F437" s="28" t="s">
        <v>210</v>
      </c>
      <c r="G437" s="25" t="s">
        <v>210</v>
      </c>
      <c r="H437" s="52" t="s">
        <v>658</v>
      </c>
      <c r="I437" s="46">
        <v>1</v>
      </c>
      <c r="J437" s="46">
        <v>1</v>
      </c>
      <c r="K437" s="46">
        <v>0</v>
      </c>
      <c r="L437" s="46">
        <v>0</v>
      </c>
      <c r="M437" s="31">
        <v>0</v>
      </c>
      <c r="N437" s="31">
        <v>0</v>
      </c>
      <c r="O437" s="46">
        <v>0</v>
      </c>
      <c r="P437" s="47">
        <v>0</v>
      </c>
      <c r="Q437" s="35" t="s">
        <v>154</v>
      </c>
    </row>
    <row r="438" spans="1:17" ht="48" x14ac:dyDescent="0.25">
      <c r="A438" s="21">
        <v>37838</v>
      </c>
      <c r="B438" s="21">
        <v>37838</v>
      </c>
      <c r="C438" s="43">
        <v>2003</v>
      </c>
      <c r="D438" s="351" t="s">
        <v>23</v>
      </c>
      <c r="E438" s="22" t="s">
        <v>86</v>
      </c>
      <c r="F438" s="7" t="s">
        <v>53</v>
      </c>
      <c r="G438" s="25" t="s">
        <v>460</v>
      </c>
      <c r="H438" s="52" t="s">
        <v>659</v>
      </c>
      <c r="I438" s="46">
        <v>0</v>
      </c>
      <c r="J438" s="46">
        <v>300</v>
      </c>
      <c r="K438" s="46">
        <v>60</v>
      </c>
      <c r="L438" s="46">
        <v>0</v>
      </c>
      <c r="M438" s="31">
        <v>0</v>
      </c>
      <c r="N438" s="31">
        <v>0</v>
      </c>
      <c r="O438" s="46">
        <v>0</v>
      </c>
      <c r="P438" s="47">
        <v>0.17199999999999999</v>
      </c>
      <c r="Q438" s="35" t="s">
        <v>154</v>
      </c>
    </row>
    <row r="439" spans="1:17" ht="48" x14ac:dyDescent="0.25">
      <c r="A439" s="21">
        <v>37838</v>
      </c>
      <c r="B439" s="21">
        <v>37838</v>
      </c>
      <c r="C439" s="43">
        <v>2003</v>
      </c>
      <c r="D439" s="351" t="s">
        <v>23</v>
      </c>
      <c r="E439" s="22" t="s">
        <v>86</v>
      </c>
      <c r="F439" s="28" t="s">
        <v>157</v>
      </c>
      <c r="G439" s="25" t="s">
        <v>660</v>
      </c>
      <c r="H439" s="52" t="s">
        <v>661</v>
      </c>
      <c r="I439" s="46">
        <v>0</v>
      </c>
      <c r="J439" s="46">
        <v>5</v>
      </c>
      <c r="K439" s="46">
        <v>1</v>
      </c>
      <c r="L439" s="46">
        <v>0</v>
      </c>
      <c r="M439" s="31">
        <v>0</v>
      </c>
      <c r="N439" s="31">
        <v>0</v>
      </c>
      <c r="O439" s="46">
        <v>0</v>
      </c>
      <c r="P439" s="47">
        <v>2.8000000000000001E-2</v>
      </c>
      <c r="Q439" s="35" t="s">
        <v>154</v>
      </c>
    </row>
    <row r="440" spans="1:17" ht="60" x14ac:dyDescent="0.25">
      <c r="A440" s="21">
        <v>37839</v>
      </c>
      <c r="B440" s="21">
        <v>37839</v>
      </c>
      <c r="C440" s="43">
        <v>2003</v>
      </c>
      <c r="D440" s="351" t="s">
        <v>23</v>
      </c>
      <c r="E440" s="22" t="s">
        <v>86</v>
      </c>
      <c r="F440" s="7" t="s">
        <v>56</v>
      </c>
      <c r="G440" s="25" t="s">
        <v>351</v>
      </c>
      <c r="H440" s="52" t="s">
        <v>662</v>
      </c>
      <c r="I440" s="46">
        <v>0</v>
      </c>
      <c r="J440" s="46">
        <v>700</v>
      </c>
      <c r="K440" s="46">
        <v>0</v>
      </c>
      <c r="L440" s="46">
        <v>0</v>
      </c>
      <c r="M440" s="31">
        <v>0</v>
      </c>
      <c r="N440" s="31">
        <v>0</v>
      </c>
      <c r="O440" s="46">
        <v>0</v>
      </c>
      <c r="P440" s="47">
        <v>0</v>
      </c>
      <c r="Q440" s="35" t="s">
        <v>154</v>
      </c>
    </row>
    <row r="441" spans="1:17" ht="36" x14ac:dyDescent="0.25">
      <c r="A441" s="21">
        <v>37840</v>
      </c>
      <c r="B441" s="21">
        <v>37840</v>
      </c>
      <c r="C441" s="43">
        <v>2003</v>
      </c>
      <c r="D441" s="351" t="s">
        <v>23</v>
      </c>
      <c r="E441" s="22" t="s">
        <v>86</v>
      </c>
      <c r="F441" s="7" t="s">
        <v>56</v>
      </c>
      <c r="G441" s="25" t="s">
        <v>663</v>
      </c>
      <c r="H441" s="52" t="s">
        <v>664</v>
      </c>
      <c r="I441" s="46">
        <v>0</v>
      </c>
      <c r="J441" s="46">
        <v>250</v>
      </c>
      <c r="K441" s="46">
        <v>50</v>
      </c>
      <c r="L441" s="46">
        <v>0</v>
      </c>
      <c r="M441" s="31">
        <v>0</v>
      </c>
      <c r="N441" s="31">
        <v>0</v>
      </c>
      <c r="O441" s="46">
        <v>0</v>
      </c>
      <c r="P441" s="47">
        <v>0.14399999999999999</v>
      </c>
      <c r="Q441" s="35" t="s">
        <v>154</v>
      </c>
    </row>
    <row r="442" spans="1:17" ht="60" x14ac:dyDescent="0.25">
      <c r="A442" s="21">
        <v>37842</v>
      </c>
      <c r="B442" s="21">
        <v>37842</v>
      </c>
      <c r="C442" s="43">
        <v>2003</v>
      </c>
      <c r="D442" s="351" t="s">
        <v>23</v>
      </c>
      <c r="E442" s="22" t="s">
        <v>86</v>
      </c>
      <c r="F442" s="7" t="s">
        <v>62</v>
      </c>
      <c r="G442" s="25" t="s">
        <v>665</v>
      </c>
      <c r="H442" s="52" t="s">
        <v>666</v>
      </c>
      <c r="I442" s="46">
        <v>0</v>
      </c>
      <c r="J442" s="46">
        <v>1740</v>
      </c>
      <c r="K442" s="46">
        <v>348</v>
      </c>
      <c r="L442" s="46">
        <v>0</v>
      </c>
      <c r="M442" s="31">
        <v>0</v>
      </c>
      <c r="N442" s="31">
        <v>0</v>
      </c>
      <c r="O442" s="46">
        <v>0</v>
      </c>
      <c r="P442" s="47">
        <v>1.002</v>
      </c>
      <c r="Q442" s="35" t="s">
        <v>154</v>
      </c>
    </row>
    <row r="443" spans="1:17" ht="60" x14ac:dyDescent="0.25">
      <c r="A443" s="21">
        <v>37843</v>
      </c>
      <c r="B443" s="21">
        <v>37843</v>
      </c>
      <c r="C443" s="43">
        <v>2003</v>
      </c>
      <c r="D443" s="351" t="s">
        <v>23</v>
      </c>
      <c r="E443" s="22" t="s">
        <v>86</v>
      </c>
      <c r="F443" s="7" t="s">
        <v>53</v>
      </c>
      <c r="G443" s="25" t="s">
        <v>20</v>
      </c>
      <c r="H443" s="52" t="s">
        <v>667</v>
      </c>
      <c r="I443" s="46">
        <v>0</v>
      </c>
      <c r="J443" s="46">
        <v>430</v>
      </c>
      <c r="K443" s="46">
        <v>97</v>
      </c>
      <c r="L443" s="46">
        <v>0</v>
      </c>
      <c r="M443" s="31">
        <v>0</v>
      </c>
      <c r="N443" s="31">
        <v>0</v>
      </c>
      <c r="O443" s="46">
        <v>0</v>
      </c>
      <c r="P443" s="47">
        <v>0.27900000000000003</v>
      </c>
      <c r="Q443" s="35" t="s">
        <v>154</v>
      </c>
    </row>
    <row r="444" spans="1:17" ht="84" x14ac:dyDescent="0.25">
      <c r="A444" s="21">
        <v>37843</v>
      </c>
      <c r="B444" s="21">
        <v>37843</v>
      </c>
      <c r="C444" s="43">
        <v>2003</v>
      </c>
      <c r="D444" s="351" t="s">
        <v>23</v>
      </c>
      <c r="E444" s="22" t="s">
        <v>86</v>
      </c>
      <c r="F444" s="7" t="s">
        <v>87</v>
      </c>
      <c r="G444" s="25" t="s">
        <v>668</v>
      </c>
      <c r="H444" s="52" t="s">
        <v>669</v>
      </c>
      <c r="I444" s="46">
        <v>0</v>
      </c>
      <c r="J444" s="46">
        <v>300</v>
      </c>
      <c r="K444" s="46">
        <v>60</v>
      </c>
      <c r="L444" s="46">
        <v>0</v>
      </c>
      <c r="M444" s="31">
        <v>0</v>
      </c>
      <c r="N444" s="31">
        <v>0</v>
      </c>
      <c r="O444" s="46">
        <v>0</v>
      </c>
      <c r="P444" s="47">
        <v>0.17199999999999999</v>
      </c>
      <c r="Q444" s="35" t="s">
        <v>154</v>
      </c>
    </row>
    <row r="445" spans="1:17" ht="48" x14ac:dyDescent="0.25">
      <c r="A445" s="21">
        <v>37843</v>
      </c>
      <c r="B445" s="21">
        <v>37843</v>
      </c>
      <c r="C445" s="43">
        <v>2003</v>
      </c>
      <c r="D445" s="351" t="s">
        <v>23</v>
      </c>
      <c r="E445" s="22" t="s">
        <v>86</v>
      </c>
      <c r="F445" s="7" t="s">
        <v>60</v>
      </c>
      <c r="G445" s="25" t="s">
        <v>670</v>
      </c>
      <c r="H445" s="52" t="s">
        <v>671</v>
      </c>
      <c r="I445" s="46">
        <v>0</v>
      </c>
      <c r="J445" s="46">
        <v>115</v>
      </c>
      <c r="K445" s="46">
        <v>23</v>
      </c>
      <c r="L445" s="46">
        <v>0</v>
      </c>
      <c r="M445" s="31">
        <v>0</v>
      </c>
      <c r="N445" s="31">
        <v>0</v>
      </c>
      <c r="O445" s="46">
        <v>0</v>
      </c>
      <c r="P445" s="47">
        <v>6.6000000000000003E-2</v>
      </c>
      <c r="Q445" s="35" t="s">
        <v>154</v>
      </c>
    </row>
    <row r="446" spans="1:17" ht="60" x14ac:dyDescent="0.25">
      <c r="A446" s="21">
        <v>37845</v>
      </c>
      <c r="B446" s="21">
        <v>37845</v>
      </c>
      <c r="C446" s="43">
        <v>2003</v>
      </c>
      <c r="D446" s="351" t="s">
        <v>23</v>
      </c>
      <c r="E446" s="22" t="s">
        <v>86</v>
      </c>
      <c r="F446" s="7" t="s">
        <v>60</v>
      </c>
      <c r="G446" s="44" t="s">
        <v>536</v>
      </c>
      <c r="H446" s="44" t="s">
        <v>672</v>
      </c>
      <c r="I446" s="46">
        <v>0</v>
      </c>
      <c r="J446" s="46">
        <v>60</v>
      </c>
      <c r="K446" s="46">
        <v>12</v>
      </c>
      <c r="L446" s="46">
        <v>0</v>
      </c>
      <c r="M446" s="31">
        <v>0</v>
      </c>
      <c r="N446" s="31">
        <v>0</v>
      </c>
      <c r="O446" s="46">
        <v>0</v>
      </c>
      <c r="P446" s="47">
        <v>3.4000000000000002E-2</v>
      </c>
      <c r="Q446" s="35" t="s">
        <v>154</v>
      </c>
    </row>
    <row r="447" spans="1:17" ht="36" x14ac:dyDescent="0.25">
      <c r="A447" s="21">
        <v>37824</v>
      </c>
      <c r="B447" s="21">
        <v>37824</v>
      </c>
      <c r="C447" s="43">
        <v>2003</v>
      </c>
      <c r="D447" s="351" t="s">
        <v>23</v>
      </c>
      <c r="E447" s="22" t="s">
        <v>86</v>
      </c>
      <c r="F447" s="7" t="s">
        <v>36</v>
      </c>
      <c r="G447" s="25" t="s">
        <v>673</v>
      </c>
      <c r="H447" s="52" t="s">
        <v>674</v>
      </c>
      <c r="I447" s="46">
        <v>0</v>
      </c>
      <c r="J447" s="46">
        <v>10</v>
      </c>
      <c r="K447" s="46">
        <v>2</v>
      </c>
      <c r="L447" s="46">
        <v>0</v>
      </c>
      <c r="M447" s="31">
        <v>0</v>
      </c>
      <c r="N447" s="31">
        <v>0</v>
      </c>
      <c r="O447" s="46">
        <v>0</v>
      </c>
      <c r="P447" s="47">
        <v>5.0000000000000001E-3</v>
      </c>
      <c r="Q447" s="35" t="s">
        <v>154</v>
      </c>
    </row>
    <row r="448" spans="1:17" ht="84" x14ac:dyDescent="0.25">
      <c r="A448" s="21">
        <v>37849</v>
      </c>
      <c r="B448" s="21">
        <v>37849</v>
      </c>
      <c r="C448" s="43">
        <v>2003</v>
      </c>
      <c r="D448" s="351" t="s">
        <v>23</v>
      </c>
      <c r="E448" s="22" t="s">
        <v>86</v>
      </c>
      <c r="F448" s="7" t="s">
        <v>68</v>
      </c>
      <c r="G448" s="44" t="s">
        <v>675</v>
      </c>
      <c r="H448" s="44" t="s">
        <v>676</v>
      </c>
      <c r="I448" s="46">
        <v>1</v>
      </c>
      <c r="J448" s="46">
        <v>123</v>
      </c>
      <c r="K448" s="46">
        <v>14</v>
      </c>
      <c r="L448" s="46">
        <v>0</v>
      </c>
      <c r="M448" s="31">
        <v>0</v>
      </c>
      <c r="N448" s="31">
        <v>0</v>
      </c>
      <c r="O448" s="46">
        <v>0</v>
      </c>
      <c r="P448" s="47">
        <v>0.04</v>
      </c>
      <c r="Q448" s="35" t="s">
        <v>154</v>
      </c>
    </row>
    <row r="449" spans="1:17" ht="48" x14ac:dyDescent="0.25">
      <c r="A449" s="21">
        <v>37852</v>
      </c>
      <c r="B449" s="21">
        <v>37852</v>
      </c>
      <c r="C449" s="43">
        <v>2003</v>
      </c>
      <c r="D449" s="351" t="s">
        <v>23</v>
      </c>
      <c r="E449" s="22" t="s">
        <v>86</v>
      </c>
      <c r="F449" s="7" t="s">
        <v>60</v>
      </c>
      <c r="G449" s="44" t="s">
        <v>677</v>
      </c>
      <c r="H449" s="44" t="s">
        <v>678</v>
      </c>
      <c r="I449" s="46">
        <v>0</v>
      </c>
      <c r="J449" s="46">
        <v>403</v>
      </c>
      <c r="K449" s="46">
        <v>80</v>
      </c>
      <c r="L449" s="46">
        <v>0</v>
      </c>
      <c r="M449" s="31">
        <v>0</v>
      </c>
      <c r="N449" s="31">
        <v>0</v>
      </c>
      <c r="O449" s="46">
        <v>0</v>
      </c>
      <c r="P449" s="47">
        <v>0.23</v>
      </c>
      <c r="Q449" s="35" t="s">
        <v>154</v>
      </c>
    </row>
    <row r="450" spans="1:17" ht="48" x14ac:dyDescent="0.25">
      <c r="A450" s="21">
        <v>37852</v>
      </c>
      <c r="B450" s="21">
        <v>37852</v>
      </c>
      <c r="C450" s="43">
        <v>2003</v>
      </c>
      <c r="D450" s="351" t="s">
        <v>23</v>
      </c>
      <c r="E450" s="22" t="s">
        <v>86</v>
      </c>
      <c r="F450" s="7" t="s">
        <v>36</v>
      </c>
      <c r="G450" s="44" t="s">
        <v>679</v>
      </c>
      <c r="H450" s="44" t="s">
        <v>680</v>
      </c>
      <c r="I450" s="46">
        <v>0</v>
      </c>
      <c r="J450" s="46">
        <v>180</v>
      </c>
      <c r="K450" s="46">
        <v>36</v>
      </c>
      <c r="L450" s="46">
        <v>1</v>
      </c>
      <c r="M450" s="31">
        <v>0</v>
      </c>
      <c r="N450" s="31">
        <v>0</v>
      </c>
      <c r="O450" s="46">
        <v>0</v>
      </c>
      <c r="P450" s="47">
        <v>0.10299999999999999</v>
      </c>
      <c r="Q450" s="35" t="s">
        <v>154</v>
      </c>
    </row>
    <row r="451" spans="1:17" ht="48" x14ac:dyDescent="0.25">
      <c r="A451" s="21">
        <v>37852</v>
      </c>
      <c r="B451" s="21">
        <v>37852</v>
      </c>
      <c r="C451" s="43">
        <v>2003</v>
      </c>
      <c r="D451" s="351" t="s">
        <v>23</v>
      </c>
      <c r="E451" s="22" t="s">
        <v>86</v>
      </c>
      <c r="F451" s="7" t="s">
        <v>77</v>
      </c>
      <c r="G451" s="44" t="s">
        <v>681</v>
      </c>
      <c r="H451" s="44" t="s">
        <v>682</v>
      </c>
      <c r="I451" s="46">
        <v>0</v>
      </c>
      <c r="J451" s="46">
        <v>115</v>
      </c>
      <c r="K451" s="46">
        <v>23</v>
      </c>
      <c r="L451" s="46">
        <v>0</v>
      </c>
      <c r="M451" s="31">
        <v>0</v>
      </c>
      <c r="N451" s="31">
        <v>0</v>
      </c>
      <c r="O451" s="46">
        <v>0</v>
      </c>
      <c r="P451" s="47">
        <v>6.6000000000000003E-2</v>
      </c>
      <c r="Q451" s="35" t="s">
        <v>154</v>
      </c>
    </row>
    <row r="452" spans="1:17" ht="60" x14ac:dyDescent="0.25">
      <c r="A452" s="21">
        <v>37852</v>
      </c>
      <c r="B452" s="21">
        <v>37852</v>
      </c>
      <c r="C452" s="43">
        <v>2003</v>
      </c>
      <c r="D452" s="351" t="s">
        <v>23</v>
      </c>
      <c r="E452" s="22" t="s">
        <v>86</v>
      </c>
      <c r="F452" s="28" t="s">
        <v>157</v>
      </c>
      <c r="G452" s="44" t="s">
        <v>683</v>
      </c>
      <c r="H452" s="44" t="s">
        <v>684</v>
      </c>
      <c r="I452" s="46">
        <v>0</v>
      </c>
      <c r="J452" s="46">
        <v>0</v>
      </c>
      <c r="K452" s="46">
        <v>50</v>
      </c>
      <c r="L452" s="46">
        <v>0</v>
      </c>
      <c r="M452" s="31">
        <v>0</v>
      </c>
      <c r="N452" s="31">
        <v>0</v>
      </c>
      <c r="O452" s="46">
        <v>0</v>
      </c>
      <c r="P452" s="47">
        <v>0.14399999999999999</v>
      </c>
      <c r="Q452" s="35" t="s">
        <v>154</v>
      </c>
    </row>
    <row r="453" spans="1:17" ht="48" x14ac:dyDescent="0.25">
      <c r="A453" s="21">
        <v>37852</v>
      </c>
      <c r="B453" s="21">
        <v>37852</v>
      </c>
      <c r="C453" s="43">
        <v>2003</v>
      </c>
      <c r="D453" s="351" t="s">
        <v>23</v>
      </c>
      <c r="E453" s="22" t="s">
        <v>86</v>
      </c>
      <c r="F453" s="7" t="s">
        <v>62</v>
      </c>
      <c r="G453" s="44" t="s">
        <v>165</v>
      </c>
      <c r="H453" s="44" t="s">
        <v>685</v>
      </c>
      <c r="I453" s="46">
        <v>1</v>
      </c>
      <c r="J453" s="46">
        <v>3</v>
      </c>
      <c r="K453" s="46">
        <v>0</v>
      </c>
      <c r="L453" s="46">
        <v>0</v>
      </c>
      <c r="M453" s="31">
        <v>0</v>
      </c>
      <c r="N453" s="31">
        <v>0</v>
      </c>
      <c r="O453" s="46">
        <v>0</v>
      </c>
      <c r="P453" s="47">
        <v>0</v>
      </c>
      <c r="Q453" s="35" t="s">
        <v>154</v>
      </c>
    </row>
    <row r="454" spans="1:17" ht="60" x14ac:dyDescent="0.25">
      <c r="A454" s="21">
        <v>37853</v>
      </c>
      <c r="B454" s="21">
        <v>37853</v>
      </c>
      <c r="C454" s="43">
        <v>2003</v>
      </c>
      <c r="D454" s="351" t="s">
        <v>23</v>
      </c>
      <c r="E454" s="22" t="s">
        <v>86</v>
      </c>
      <c r="F454" s="28" t="s">
        <v>157</v>
      </c>
      <c r="G454" s="44" t="s">
        <v>686</v>
      </c>
      <c r="H454" s="44" t="s">
        <v>687</v>
      </c>
      <c r="I454" s="46">
        <v>0</v>
      </c>
      <c r="J454" s="46">
        <v>0</v>
      </c>
      <c r="K454" s="46">
        <v>0</v>
      </c>
      <c r="L454" s="46">
        <v>0</v>
      </c>
      <c r="M454" s="31">
        <v>0</v>
      </c>
      <c r="N454" s="31">
        <v>0</v>
      </c>
      <c r="O454" s="46">
        <v>0</v>
      </c>
      <c r="P454" s="47">
        <v>0</v>
      </c>
      <c r="Q454" s="35" t="s">
        <v>154</v>
      </c>
    </row>
    <row r="455" spans="1:17" ht="48" x14ac:dyDescent="0.25">
      <c r="A455" s="21">
        <v>37854</v>
      </c>
      <c r="B455" s="21">
        <v>37854</v>
      </c>
      <c r="C455" s="43">
        <v>2003</v>
      </c>
      <c r="D455" s="351" t="s">
        <v>23</v>
      </c>
      <c r="E455" s="22" t="s">
        <v>86</v>
      </c>
      <c r="F455" s="7" t="s">
        <v>53</v>
      </c>
      <c r="G455" s="44" t="s">
        <v>688</v>
      </c>
      <c r="H455" s="44" t="s">
        <v>689</v>
      </c>
      <c r="I455" s="46">
        <v>0</v>
      </c>
      <c r="J455" s="46">
        <v>0</v>
      </c>
      <c r="K455" s="46">
        <v>0</v>
      </c>
      <c r="L455" s="46">
        <v>0</v>
      </c>
      <c r="M455" s="31">
        <v>0</v>
      </c>
      <c r="N455" s="31">
        <v>0</v>
      </c>
      <c r="O455" s="46">
        <v>0</v>
      </c>
      <c r="P455" s="47">
        <v>0</v>
      </c>
      <c r="Q455" s="35" t="s">
        <v>154</v>
      </c>
    </row>
    <row r="456" spans="1:17" ht="36" x14ac:dyDescent="0.25">
      <c r="A456" s="21">
        <v>37854</v>
      </c>
      <c r="B456" s="21">
        <v>37854</v>
      </c>
      <c r="C456" s="43">
        <v>2003</v>
      </c>
      <c r="D456" s="351" t="s">
        <v>23</v>
      </c>
      <c r="E456" s="22" t="s">
        <v>86</v>
      </c>
      <c r="F456" s="7" t="s">
        <v>36</v>
      </c>
      <c r="G456" s="44" t="s">
        <v>690</v>
      </c>
      <c r="H456" s="44" t="s">
        <v>691</v>
      </c>
      <c r="I456" s="46">
        <v>0</v>
      </c>
      <c r="J456" s="46">
        <v>220</v>
      </c>
      <c r="K456" s="46">
        <v>44</v>
      </c>
      <c r="L456" s="46">
        <v>0</v>
      </c>
      <c r="M456" s="31">
        <v>0</v>
      </c>
      <c r="N456" s="31">
        <v>0</v>
      </c>
      <c r="O456" s="46">
        <v>0</v>
      </c>
      <c r="P456" s="47">
        <v>0.126</v>
      </c>
      <c r="Q456" s="35" t="s">
        <v>154</v>
      </c>
    </row>
    <row r="457" spans="1:17" ht="60" x14ac:dyDescent="0.25">
      <c r="A457" s="21">
        <v>37854</v>
      </c>
      <c r="B457" s="21">
        <v>37854</v>
      </c>
      <c r="C457" s="43">
        <v>2003</v>
      </c>
      <c r="D457" s="351" t="s">
        <v>23</v>
      </c>
      <c r="E457" s="22" t="s">
        <v>86</v>
      </c>
      <c r="F457" s="7" t="s">
        <v>25</v>
      </c>
      <c r="G457" s="44" t="s">
        <v>692</v>
      </c>
      <c r="H457" s="44" t="s">
        <v>693</v>
      </c>
      <c r="I457" s="46">
        <v>1</v>
      </c>
      <c r="J457" s="46">
        <v>1</v>
      </c>
      <c r="K457" s="46">
        <v>0</v>
      </c>
      <c r="L457" s="46">
        <v>0</v>
      </c>
      <c r="M457" s="31">
        <v>0</v>
      </c>
      <c r="N457" s="31">
        <v>0</v>
      </c>
      <c r="O457" s="46">
        <v>0</v>
      </c>
      <c r="P457" s="47">
        <v>0</v>
      </c>
      <c r="Q457" s="35" t="s">
        <v>154</v>
      </c>
    </row>
    <row r="458" spans="1:17" ht="96" x14ac:dyDescent="0.25">
      <c r="A458" s="21">
        <v>37855</v>
      </c>
      <c r="B458" s="21">
        <v>37855</v>
      </c>
      <c r="C458" s="43">
        <v>2003</v>
      </c>
      <c r="D458" s="351" t="s">
        <v>23</v>
      </c>
      <c r="E458" s="22" t="s">
        <v>86</v>
      </c>
      <c r="F458" s="7" t="s">
        <v>60</v>
      </c>
      <c r="G458" s="44" t="s">
        <v>694</v>
      </c>
      <c r="H458" s="44" t="s">
        <v>695</v>
      </c>
      <c r="I458" s="46">
        <v>4</v>
      </c>
      <c r="J458" s="46">
        <v>33</v>
      </c>
      <c r="K458" s="46">
        <v>12</v>
      </c>
      <c r="L458" s="46">
        <v>0</v>
      </c>
      <c r="M458" s="31">
        <v>0</v>
      </c>
      <c r="N458" s="31">
        <v>0</v>
      </c>
      <c r="O458" s="46">
        <v>0</v>
      </c>
      <c r="P458" s="47">
        <v>3.4000000000000002E-2</v>
      </c>
      <c r="Q458" s="35" t="s">
        <v>154</v>
      </c>
    </row>
    <row r="459" spans="1:17" ht="108" x14ac:dyDescent="0.25">
      <c r="A459" s="21">
        <v>37856</v>
      </c>
      <c r="B459" s="21">
        <v>37856</v>
      </c>
      <c r="C459" s="43">
        <v>2003</v>
      </c>
      <c r="D459" s="351" t="s">
        <v>23</v>
      </c>
      <c r="E459" s="22" t="s">
        <v>86</v>
      </c>
      <c r="F459" s="7" t="s">
        <v>56</v>
      </c>
      <c r="G459" s="44" t="s">
        <v>696</v>
      </c>
      <c r="H459" s="44" t="s">
        <v>697</v>
      </c>
      <c r="I459" s="46">
        <v>1</v>
      </c>
      <c r="J459" s="46">
        <v>5</v>
      </c>
      <c r="K459" s="46">
        <v>8</v>
      </c>
      <c r="L459" s="46">
        <v>0</v>
      </c>
      <c r="M459" s="31">
        <v>0</v>
      </c>
      <c r="N459" s="31">
        <v>0</v>
      </c>
      <c r="O459" s="46">
        <v>0</v>
      </c>
      <c r="P459" s="47">
        <v>2.3E-2</v>
      </c>
      <c r="Q459" s="35" t="s">
        <v>154</v>
      </c>
    </row>
    <row r="460" spans="1:17" ht="36" x14ac:dyDescent="0.25">
      <c r="A460" s="21">
        <v>37856</v>
      </c>
      <c r="B460" s="21">
        <v>37856</v>
      </c>
      <c r="C460" s="43">
        <v>2003</v>
      </c>
      <c r="D460" s="351" t="s">
        <v>23</v>
      </c>
      <c r="E460" s="22" t="s">
        <v>86</v>
      </c>
      <c r="F460" s="7" t="s">
        <v>77</v>
      </c>
      <c r="G460" s="44" t="s">
        <v>110</v>
      </c>
      <c r="H460" s="44" t="s">
        <v>698</v>
      </c>
      <c r="I460" s="46">
        <v>5</v>
      </c>
      <c r="J460" s="46">
        <v>15000</v>
      </c>
      <c r="K460" s="46">
        <v>0</v>
      </c>
      <c r="L460" s="46">
        <v>0</v>
      </c>
      <c r="M460" s="31">
        <v>0</v>
      </c>
      <c r="N460" s="31">
        <v>0</v>
      </c>
      <c r="O460" s="46">
        <v>0</v>
      </c>
      <c r="P460" s="47">
        <v>0</v>
      </c>
      <c r="Q460" s="35" t="s">
        <v>154</v>
      </c>
    </row>
    <row r="461" spans="1:17" ht="48" x14ac:dyDescent="0.25">
      <c r="A461" s="21">
        <v>37856</v>
      </c>
      <c r="B461" s="21">
        <v>37856</v>
      </c>
      <c r="C461" s="43">
        <v>2003</v>
      </c>
      <c r="D461" s="351" t="s">
        <v>23</v>
      </c>
      <c r="E461" s="22" t="s">
        <v>86</v>
      </c>
      <c r="F461" s="7" t="s">
        <v>84</v>
      </c>
      <c r="G461" s="44" t="s">
        <v>699</v>
      </c>
      <c r="H461" s="44" t="s">
        <v>700</v>
      </c>
      <c r="I461" s="46">
        <v>0</v>
      </c>
      <c r="J461" s="46">
        <v>20</v>
      </c>
      <c r="K461" s="46">
        <v>4</v>
      </c>
      <c r="L461" s="46">
        <v>0</v>
      </c>
      <c r="M461" s="31">
        <v>0</v>
      </c>
      <c r="N461" s="31">
        <v>0</v>
      </c>
      <c r="O461" s="46">
        <v>0</v>
      </c>
      <c r="P461" s="47">
        <v>1.0999999999999999E-2</v>
      </c>
      <c r="Q461" s="35" t="s">
        <v>154</v>
      </c>
    </row>
    <row r="462" spans="1:17" ht="108" x14ac:dyDescent="0.25">
      <c r="A462" s="21">
        <v>37856</v>
      </c>
      <c r="B462" s="21">
        <v>37856</v>
      </c>
      <c r="C462" s="43">
        <v>2003</v>
      </c>
      <c r="D462" s="351" t="s">
        <v>23</v>
      </c>
      <c r="E462" s="22" t="s">
        <v>86</v>
      </c>
      <c r="F462" s="7" t="s">
        <v>33</v>
      </c>
      <c r="G462" s="25" t="s">
        <v>701</v>
      </c>
      <c r="H462" s="52" t="s">
        <v>702</v>
      </c>
      <c r="I462" s="46">
        <v>4</v>
      </c>
      <c r="J462" s="46">
        <v>5990</v>
      </c>
      <c r="K462" s="46">
        <v>1198</v>
      </c>
      <c r="L462" s="46">
        <v>1</v>
      </c>
      <c r="M462" s="31">
        <v>12</v>
      </c>
      <c r="N462" s="31">
        <v>0</v>
      </c>
      <c r="O462" s="46">
        <v>4146</v>
      </c>
      <c r="P462" s="47">
        <v>0</v>
      </c>
      <c r="Q462" s="35" t="s">
        <v>154</v>
      </c>
    </row>
    <row r="463" spans="1:17" ht="60" x14ac:dyDescent="0.25">
      <c r="A463" s="21">
        <v>37857</v>
      </c>
      <c r="B463" s="21">
        <v>37857</v>
      </c>
      <c r="C463" s="43">
        <v>2003</v>
      </c>
      <c r="D463" s="351" t="s">
        <v>23</v>
      </c>
      <c r="E463" s="22" t="s">
        <v>86</v>
      </c>
      <c r="F463" s="7" t="s">
        <v>87</v>
      </c>
      <c r="G463" s="25" t="s">
        <v>703</v>
      </c>
      <c r="H463" s="52" t="s">
        <v>704</v>
      </c>
      <c r="I463" s="46">
        <v>2</v>
      </c>
      <c r="J463" s="46">
        <v>2</v>
      </c>
      <c r="K463" s="46">
        <v>0</v>
      </c>
      <c r="L463" s="46">
        <v>0</v>
      </c>
      <c r="M463" s="31">
        <v>0</v>
      </c>
      <c r="N463" s="31">
        <v>0</v>
      </c>
      <c r="O463" s="46">
        <v>0</v>
      </c>
      <c r="P463" s="47">
        <v>0</v>
      </c>
      <c r="Q463" s="35" t="s">
        <v>154</v>
      </c>
    </row>
    <row r="464" spans="1:17" ht="60" x14ac:dyDescent="0.25">
      <c r="A464" s="21">
        <v>37857</v>
      </c>
      <c r="B464" s="21">
        <v>37857</v>
      </c>
      <c r="C464" s="43">
        <v>2003</v>
      </c>
      <c r="D464" s="351" t="s">
        <v>23</v>
      </c>
      <c r="E464" s="22" t="s">
        <v>86</v>
      </c>
      <c r="F464" s="7" t="s">
        <v>60</v>
      </c>
      <c r="G464" s="25" t="s">
        <v>705</v>
      </c>
      <c r="H464" s="52" t="s">
        <v>706</v>
      </c>
      <c r="I464" s="46">
        <v>0</v>
      </c>
      <c r="J464" s="46">
        <v>28</v>
      </c>
      <c r="K464" s="46">
        <v>6</v>
      </c>
      <c r="L464" s="46">
        <v>0</v>
      </c>
      <c r="M464" s="31">
        <v>0</v>
      </c>
      <c r="N464" s="31">
        <v>0</v>
      </c>
      <c r="O464" s="46">
        <v>0</v>
      </c>
      <c r="P464" s="47">
        <v>1.7000000000000001E-2</v>
      </c>
      <c r="Q464" s="35" t="s">
        <v>154</v>
      </c>
    </row>
    <row r="465" spans="1:17" ht="48" x14ac:dyDescent="0.25">
      <c r="A465" s="21">
        <v>37857</v>
      </c>
      <c r="B465" s="21">
        <v>37857</v>
      </c>
      <c r="C465" s="43">
        <v>2003</v>
      </c>
      <c r="D465" s="351" t="s">
        <v>23</v>
      </c>
      <c r="E465" s="22" t="s">
        <v>86</v>
      </c>
      <c r="F465" s="7" t="s">
        <v>60</v>
      </c>
      <c r="G465" s="25" t="s">
        <v>707</v>
      </c>
      <c r="H465" s="52" t="s">
        <v>708</v>
      </c>
      <c r="I465" s="46">
        <v>4</v>
      </c>
      <c r="J465" s="46">
        <v>4</v>
      </c>
      <c r="K465" s="46">
        <v>0</v>
      </c>
      <c r="L465" s="46">
        <v>0</v>
      </c>
      <c r="M465" s="31">
        <v>0</v>
      </c>
      <c r="N465" s="31">
        <v>0</v>
      </c>
      <c r="O465" s="46">
        <v>0</v>
      </c>
      <c r="P465" s="47">
        <v>0</v>
      </c>
      <c r="Q465" s="35" t="s">
        <v>154</v>
      </c>
    </row>
    <row r="466" spans="1:17" ht="84" x14ac:dyDescent="0.25">
      <c r="A466" s="21">
        <v>37857</v>
      </c>
      <c r="B466" s="21">
        <v>37857</v>
      </c>
      <c r="C466" s="43">
        <v>2003</v>
      </c>
      <c r="D466" s="351" t="s">
        <v>23</v>
      </c>
      <c r="E466" s="22" t="s">
        <v>86</v>
      </c>
      <c r="F466" s="7" t="s">
        <v>77</v>
      </c>
      <c r="G466" s="25" t="s">
        <v>709</v>
      </c>
      <c r="H466" s="52" t="s">
        <v>710</v>
      </c>
      <c r="I466" s="46">
        <v>4</v>
      </c>
      <c r="J466" s="46">
        <v>1500</v>
      </c>
      <c r="K466" s="46">
        <v>23</v>
      </c>
      <c r="L466" s="46">
        <v>0</v>
      </c>
      <c r="M466" s="31">
        <v>0</v>
      </c>
      <c r="N466" s="31">
        <v>0</v>
      </c>
      <c r="O466" s="46">
        <v>0</v>
      </c>
      <c r="P466" s="47">
        <v>6.6000000000000003E-2</v>
      </c>
      <c r="Q466" s="35" t="s">
        <v>154</v>
      </c>
    </row>
    <row r="467" spans="1:17" ht="36" x14ac:dyDescent="0.25">
      <c r="A467" s="21">
        <v>37860</v>
      </c>
      <c r="B467" s="21">
        <v>37860</v>
      </c>
      <c r="C467" s="43">
        <v>2003</v>
      </c>
      <c r="D467" s="351" t="s">
        <v>23</v>
      </c>
      <c r="E467" s="22" t="s">
        <v>86</v>
      </c>
      <c r="F467" s="7" t="s">
        <v>56</v>
      </c>
      <c r="G467" s="25" t="s">
        <v>711</v>
      </c>
      <c r="H467" s="52" t="s">
        <v>712</v>
      </c>
      <c r="I467" s="46">
        <v>1</v>
      </c>
      <c r="J467" s="46">
        <v>2</v>
      </c>
      <c r="K467" s="46">
        <v>0</v>
      </c>
      <c r="L467" s="46">
        <v>0</v>
      </c>
      <c r="M467" s="31">
        <v>0</v>
      </c>
      <c r="N467" s="31">
        <v>0</v>
      </c>
      <c r="O467" s="46">
        <v>0</v>
      </c>
      <c r="P467" s="47">
        <v>0</v>
      </c>
      <c r="Q467" s="35" t="s">
        <v>154</v>
      </c>
    </row>
    <row r="468" spans="1:17" ht="48" x14ac:dyDescent="0.25">
      <c r="A468" s="21">
        <v>37861</v>
      </c>
      <c r="B468" s="21">
        <v>37861</v>
      </c>
      <c r="C468" s="43">
        <v>2003</v>
      </c>
      <c r="D468" s="351" t="s">
        <v>23</v>
      </c>
      <c r="E468" s="22" t="s">
        <v>86</v>
      </c>
      <c r="F468" s="7" t="s">
        <v>87</v>
      </c>
      <c r="G468" s="25" t="s">
        <v>567</v>
      </c>
      <c r="H468" s="52" t="s">
        <v>713</v>
      </c>
      <c r="I468" s="46">
        <v>4</v>
      </c>
      <c r="J468" s="46">
        <v>4</v>
      </c>
      <c r="K468" s="46">
        <v>0</v>
      </c>
      <c r="L468" s="46">
        <v>0</v>
      </c>
      <c r="M468" s="31">
        <v>0</v>
      </c>
      <c r="N468" s="31">
        <v>0</v>
      </c>
      <c r="O468" s="46">
        <v>0</v>
      </c>
      <c r="P468" s="47">
        <v>0</v>
      </c>
      <c r="Q468" s="35" t="s">
        <v>154</v>
      </c>
    </row>
    <row r="469" spans="1:17" ht="48" x14ac:dyDescent="0.25">
      <c r="A469" s="21">
        <v>37863</v>
      </c>
      <c r="B469" s="21">
        <v>37863</v>
      </c>
      <c r="C469" s="43">
        <v>2003</v>
      </c>
      <c r="D469" s="351" t="s">
        <v>23</v>
      </c>
      <c r="E469" s="22" t="s">
        <v>86</v>
      </c>
      <c r="F469" s="7" t="s">
        <v>72</v>
      </c>
      <c r="G469" s="25" t="s">
        <v>714</v>
      </c>
      <c r="H469" s="52" t="s">
        <v>715</v>
      </c>
      <c r="I469" s="46">
        <v>0</v>
      </c>
      <c r="J469" s="46">
        <v>150</v>
      </c>
      <c r="K469" s="46">
        <v>30</v>
      </c>
      <c r="L469" s="46">
        <v>0</v>
      </c>
      <c r="M469" s="31">
        <v>0</v>
      </c>
      <c r="N469" s="31">
        <v>0</v>
      </c>
      <c r="O469" s="46">
        <v>0</v>
      </c>
      <c r="P469" s="47">
        <v>8.6400000000000005E-2</v>
      </c>
      <c r="Q469" s="35" t="s">
        <v>154</v>
      </c>
    </row>
    <row r="470" spans="1:17" ht="60" x14ac:dyDescent="0.25">
      <c r="A470" s="21">
        <v>37864</v>
      </c>
      <c r="B470" s="21">
        <v>37864</v>
      </c>
      <c r="C470" s="43">
        <v>2003</v>
      </c>
      <c r="D470" s="351" t="s">
        <v>23</v>
      </c>
      <c r="E470" s="22" t="s">
        <v>86</v>
      </c>
      <c r="F470" s="7" t="s">
        <v>36</v>
      </c>
      <c r="G470" s="25" t="s">
        <v>716</v>
      </c>
      <c r="H470" s="52" t="s">
        <v>717</v>
      </c>
      <c r="I470" s="46">
        <v>1</v>
      </c>
      <c r="J470" s="46">
        <v>93</v>
      </c>
      <c r="K470" s="46">
        <v>40</v>
      </c>
      <c r="L470" s="46">
        <v>0</v>
      </c>
      <c r="M470" s="31">
        <v>0</v>
      </c>
      <c r="N470" s="31">
        <v>0</v>
      </c>
      <c r="O470" s="46">
        <v>0</v>
      </c>
      <c r="P470" s="47">
        <v>0.115</v>
      </c>
      <c r="Q470" s="35" t="s">
        <v>154</v>
      </c>
    </row>
    <row r="471" spans="1:17" ht="48" x14ac:dyDescent="0.25">
      <c r="A471" s="21">
        <v>37865</v>
      </c>
      <c r="B471" s="21">
        <v>37865</v>
      </c>
      <c r="C471" s="43">
        <v>2003</v>
      </c>
      <c r="D471" s="351" t="s">
        <v>23</v>
      </c>
      <c r="E471" s="22" t="s">
        <v>86</v>
      </c>
      <c r="F471" s="7" t="s">
        <v>53</v>
      </c>
      <c r="G471" s="25" t="s">
        <v>718</v>
      </c>
      <c r="H471" s="52" t="s">
        <v>719</v>
      </c>
      <c r="I471" s="46">
        <v>0</v>
      </c>
      <c r="J471" s="46">
        <v>641</v>
      </c>
      <c r="K471" s="46">
        <v>120</v>
      </c>
      <c r="L471" s="46">
        <v>0</v>
      </c>
      <c r="M471" s="31">
        <v>0</v>
      </c>
      <c r="N471" s="31">
        <v>0</v>
      </c>
      <c r="O471" s="46">
        <v>0</v>
      </c>
      <c r="P471" s="47">
        <v>0.34499999999999997</v>
      </c>
      <c r="Q471" s="35" t="s">
        <v>154</v>
      </c>
    </row>
    <row r="472" spans="1:17" ht="36" x14ac:dyDescent="0.25">
      <c r="A472" s="21">
        <v>37865</v>
      </c>
      <c r="B472" s="21">
        <v>37865</v>
      </c>
      <c r="C472" s="43">
        <v>2003</v>
      </c>
      <c r="D472" s="351" t="s">
        <v>23</v>
      </c>
      <c r="E472" s="22" t="s">
        <v>86</v>
      </c>
      <c r="F472" s="7" t="s">
        <v>58</v>
      </c>
      <c r="G472" s="25" t="s">
        <v>720</v>
      </c>
      <c r="H472" s="52" t="s">
        <v>721</v>
      </c>
      <c r="I472" s="46">
        <v>0</v>
      </c>
      <c r="J472" s="46">
        <v>0</v>
      </c>
      <c r="K472" s="46">
        <v>8</v>
      </c>
      <c r="L472" s="46">
        <v>0</v>
      </c>
      <c r="M472" s="31">
        <v>0</v>
      </c>
      <c r="N472" s="31">
        <v>0</v>
      </c>
      <c r="O472" s="46">
        <v>0</v>
      </c>
      <c r="P472" s="47">
        <v>2.3E-2</v>
      </c>
      <c r="Q472" s="35" t="s">
        <v>154</v>
      </c>
    </row>
    <row r="473" spans="1:17" ht="72" x14ac:dyDescent="0.25">
      <c r="A473" s="21">
        <v>37868</v>
      </c>
      <c r="B473" s="21">
        <v>37868</v>
      </c>
      <c r="C473" s="43">
        <v>2003</v>
      </c>
      <c r="D473" s="351" t="s">
        <v>23</v>
      </c>
      <c r="E473" s="22" t="s">
        <v>86</v>
      </c>
      <c r="F473" s="7" t="s">
        <v>53</v>
      </c>
      <c r="G473" s="25" t="s">
        <v>722</v>
      </c>
      <c r="H473" s="52" t="s">
        <v>723</v>
      </c>
      <c r="I473" s="46">
        <v>1</v>
      </c>
      <c r="J473" s="46">
        <v>2</v>
      </c>
      <c r="K473" s="46">
        <v>0</v>
      </c>
      <c r="L473" s="46">
        <v>0</v>
      </c>
      <c r="M473" s="31">
        <v>0</v>
      </c>
      <c r="N473" s="31">
        <v>0</v>
      </c>
      <c r="O473" s="46">
        <v>0</v>
      </c>
      <c r="P473" s="47">
        <v>0.46800000000000003</v>
      </c>
      <c r="Q473" s="35" t="s">
        <v>154</v>
      </c>
    </row>
    <row r="474" spans="1:17" ht="24" x14ac:dyDescent="0.25">
      <c r="A474" s="21">
        <v>37868</v>
      </c>
      <c r="B474" s="21">
        <v>37868</v>
      </c>
      <c r="C474" s="43">
        <v>2003</v>
      </c>
      <c r="D474" s="351" t="s">
        <v>23</v>
      </c>
      <c r="E474" s="22" t="s">
        <v>86</v>
      </c>
      <c r="F474" s="7" t="s">
        <v>58</v>
      </c>
      <c r="G474" s="25" t="s">
        <v>724</v>
      </c>
      <c r="H474" s="52" t="s">
        <v>725</v>
      </c>
      <c r="I474" s="46">
        <v>0</v>
      </c>
      <c r="J474" s="46">
        <v>40</v>
      </c>
      <c r="K474" s="46">
        <v>8</v>
      </c>
      <c r="L474" s="46">
        <v>0</v>
      </c>
      <c r="M474" s="31">
        <v>0</v>
      </c>
      <c r="N474" s="31">
        <v>0</v>
      </c>
      <c r="O474" s="46">
        <v>0</v>
      </c>
      <c r="P474" s="47">
        <v>2.3E-2</v>
      </c>
      <c r="Q474" s="35" t="s">
        <v>154</v>
      </c>
    </row>
    <row r="475" spans="1:17" ht="48" x14ac:dyDescent="0.25">
      <c r="A475" s="21">
        <v>37868</v>
      </c>
      <c r="B475" s="21">
        <v>37868</v>
      </c>
      <c r="C475" s="43">
        <v>2003</v>
      </c>
      <c r="D475" s="351" t="s">
        <v>23</v>
      </c>
      <c r="E475" s="22" t="s">
        <v>86</v>
      </c>
      <c r="F475" s="7" t="s">
        <v>53</v>
      </c>
      <c r="G475" s="25" t="s">
        <v>726</v>
      </c>
      <c r="H475" s="52" t="s">
        <v>727</v>
      </c>
      <c r="I475" s="46">
        <v>0</v>
      </c>
      <c r="J475" s="46">
        <v>60</v>
      </c>
      <c r="K475" s="46">
        <v>13</v>
      </c>
      <c r="L475" s="46">
        <v>0</v>
      </c>
      <c r="M475" s="31">
        <v>0</v>
      </c>
      <c r="N475" s="31">
        <v>0</v>
      </c>
      <c r="O475" s="46">
        <v>0</v>
      </c>
      <c r="P475" s="47">
        <v>3.6999999999999998E-2</v>
      </c>
      <c r="Q475" s="35" t="s">
        <v>154</v>
      </c>
    </row>
    <row r="476" spans="1:17" ht="72" x14ac:dyDescent="0.25">
      <c r="A476" s="21">
        <v>37869</v>
      </c>
      <c r="B476" s="21">
        <v>37869</v>
      </c>
      <c r="C476" s="43">
        <v>2003</v>
      </c>
      <c r="D476" s="351" t="s">
        <v>23</v>
      </c>
      <c r="E476" s="22" t="s">
        <v>86</v>
      </c>
      <c r="F476" s="7" t="s">
        <v>60</v>
      </c>
      <c r="G476" s="25" t="s">
        <v>536</v>
      </c>
      <c r="H476" s="52" t="s">
        <v>728</v>
      </c>
      <c r="I476" s="46">
        <v>0</v>
      </c>
      <c r="J476" s="46">
        <v>1021</v>
      </c>
      <c r="K476" s="46">
        <v>222</v>
      </c>
      <c r="L476" s="46">
        <v>59</v>
      </c>
      <c r="M476" s="31">
        <v>0</v>
      </c>
      <c r="N476" s="31">
        <v>0</v>
      </c>
      <c r="O476" s="46">
        <v>39600</v>
      </c>
      <c r="P476" s="47">
        <v>573.16</v>
      </c>
      <c r="Q476" s="35" t="s">
        <v>154</v>
      </c>
    </row>
    <row r="477" spans="1:17" ht="120" x14ac:dyDescent="0.25">
      <c r="A477" s="21">
        <v>37869</v>
      </c>
      <c r="B477" s="21">
        <v>37869</v>
      </c>
      <c r="C477" s="43">
        <v>2003</v>
      </c>
      <c r="D477" s="351" t="s">
        <v>23</v>
      </c>
      <c r="E477" s="22" t="s">
        <v>86</v>
      </c>
      <c r="F477" s="7" t="s">
        <v>56</v>
      </c>
      <c r="G477" s="25" t="s">
        <v>536</v>
      </c>
      <c r="H477" s="52" t="s">
        <v>729</v>
      </c>
      <c r="I477" s="46">
        <v>9</v>
      </c>
      <c r="J477" s="46">
        <v>25780</v>
      </c>
      <c r="K477" s="46">
        <v>5056</v>
      </c>
      <c r="L477" s="46">
        <v>532</v>
      </c>
      <c r="M477" s="31">
        <v>0</v>
      </c>
      <c r="N477" s="31">
        <v>0</v>
      </c>
      <c r="O477" s="46">
        <v>78175</v>
      </c>
      <c r="P477" s="47">
        <v>996.34100000000001</v>
      </c>
      <c r="Q477" s="35" t="s">
        <v>154</v>
      </c>
    </row>
    <row r="478" spans="1:17" ht="60" x14ac:dyDescent="0.25">
      <c r="A478" s="21">
        <v>37869</v>
      </c>
      <c r="B478" s="21">
        <v>37877</v>
      </c>
      <c r="C478" s="43">
        <v>2003</v>
      </c>
      <c r="D478" s="351" t="s">
        <v>23</v>
      </c>
      <c r="E478" s="22" t="s">
        <v>86</v>
      </c>
      <c r="F478" s="7" t="s">
        <v>77</v>
      </c>
      <c r="G478" s="25" t="s">
        <v>730</v>
      </c>
      <c r="H478" s="52" t="s">
        <v>731</v>
      </c>
      <c r="I478" s="46">
        <v>4</v>
      </c>
      <c r="J478" s="46">
        <v>7500</v>
      </c>
      <c r="K478" s="46">
        <v>2220</v>
      </c>
      <c r="L478" s="46">
        <v>0</v>
      </c>
      <c r="M478" s="31">
        <v>0</v>
      </c>
      <c r="N478" s="31">
        <v>0</v>
      </c>
      <c r="O478" s="46">
        <v>600</v>
      </c>
      <c r="P478" s="47">
        <v>6.34</v>
      </c>
      <c r="Q478" s="35" t="s">
        <v>154</v>
      </c>
    </row>
    <row r="479" spans="1:17" ht="60" x14ac:dyDescent="0.25">
      <c r="A479" s="21">
        <v>37870</v>
      </c>
      <c r="B479" s="21">
        <v>37870</v>
      </c>
      <c r="C479" s="43">
        <v>2003</v>
      </c>
      <c r="D479" s="351" t="s">
        <v>23</v>
      </c>
      <c r="E479" s="22" t="s">
        <v>86</v>
      </c>
      <c r="F479" s="7" t="s">
        <v>77</v>
      </c>
      <c r="G479" s="51" t="s">
        <v>77</v>
      </c>
      <c r="H479" s="51" t="s">
        <v>732</v>
      </c>
      <c r="I479" s="46">
        <v>0</v>
      </c>
      <c r="J479" s="46">
        <v>30000</v>
      </c>
      <c r="K479" s="46">
        <v>7000</v>
      </c>
      <c r="L479" s="46">
        <v>0</v>
      </c>
      <c r="M479" s="31">
        <v>0</v>
      </c>
      <c r="N479" s="31">
        <v>0</v>
      </c>
      <c r="O479" s="46">
        <v>5582</v>
      </c>
      <c r="P479" s="47">
        <v>20.173999999999999</v>
      </c>
      <c r="Q479" s="35" t="s">
        <v>154</v>
      </c>
    </row>
    <row r="480" spans="1:17" ht="60" x14ac:dyDescent="0.25">
      <c r="A480" s="21">
        <v>37871</v>
      </c>
      <c r="B480" s="21">
        <v>37871</v>
      </c>
      <c r="C480" s="43">
        <v>2003</v>
      </c>
      <c r="D480" s="351" t="s">
        <v>23</v>
      </c>
      <c r="E480" s="22" t="s">
        <v>86</v>
      </c>
      <c r="F480" s="28" t="s">
        <v>160</v>
      </c>
      <c r="G480" s="51" t="s">
        <v>733</v>
      </c>
      <c r="H480" s="51" t="s">
        <v>734</v>
      </c>
      <c r="I480" s="46">
        <v>0</v>
      </c>
      <c r="J480" s="46">
        <v>100</v>
      </c>
      <c r="K480" s="46">
        <v>3</v>
      </c>
      <c r="L480" s="46">
        <v>0</v>
      </c>
      <c r="M480" s="31">
        <v>0</v>
      </c>
      <c r="N480" s="31">
        <v>0</v>
      </c>
      <c r="O480" s="46">
        <v>0</v>
      </c>
      <c r="P480" s="47">
        <v>8.0000000000000002E-3</v>
      </c>
      <c r="Q480" s="35" t="s">
        <v>154</v>
      </c>
    </row>
    <row r="481" spans="1:17" ht="24" x14ac:dyDescent="0.25">
      <c r="A481" s="21">
        <v>37871</v>
      </c>
      <c r="B481" s="21">
        <v>37871</v>
      </c>
      <c r="C481" s="43">
        <v>2003</v>
      </c>
      <c r="D481" s="351" t="s">
        <v>23</v>
      </c>
      <c r="E481" s="22" t="s">
        <v>86</v>
      </c>
      <c r="F481" s="7" t="s">
        <v>25</v>
      </c>
      <c r="G481" s="51" t="s">
        <v>110</v>
      </c>
      <c r="H481" s="51" t="s">
        <v>735</v>
      </c>
      <c r="I481" s="46">
        <v>0</v>
      </c>
      <c r="J481" s="46">
        <v>0</v>
      </c>
      <c r="K481" s="46">
        <v>5</v>
      </c>
      <c r="L481" s="46">
        <v>0</v>
      </c>
      <c r="M481" s="31">
        <v>0</v>
      </c>
      <c r="N481" s="31">
        <v>0</v>
      </c>
      <c r="O481" s="46">
        <v>0</v>
      </c>
      <c r="P481" s="47">
        <v>4.2999999999999997E-2</v>
      </c>
      <c r="Q481" s="35" t="s">
        <v>154</v>
      </c>
    </row>
    <row r="482" spans="1:17" ht="60" x14ac:dyDescent="0.25">
      <c r="A482" s="21">
        <v>37872</v>
      </c>
      <c r="B482" s="21">
        <v>37872</v>
      </c>
      <c r="C482" s="43">
        <v>2003</v>
      </c>
      <c r="D482" s="351" t="s">
        <v>23</v>
      </c>
      <c r="E482" s="22" t="s">
        <v>86</v>
      </c>
      <c r="F482" s="7" t="s">
        <v>36</v>
      </c>
      <c r="G482" s="51" t="s">
        <v>736</v>
      </c>
      <c r="H482" s="51" t="s">
        <v>737</v>
      </c>
      <c r="I482" s="46">
        <v>1</v>
      </c>
      <c r="J482" s="46">
        <v>2</v>
      </c>
      <c r="K482" s="46">
        <v>0</v>
      </c>
      <c r="L482" s="46">
        <v>0</v>
      </c>
      <c r="M482" s="31">
        <v>0</v>
      </c>
      <c r="N482" s="31">
        <v>0</v>
      </c>
      <c r="O482" s="46">
        <v>0</v>
      </c>
      <c r="P482" s="47">
        <v>0</v>
      </c>
      <c r="Q482" s="35" t="s">
        <v>154</v>
      </c>
    </row>
    <row r="483" spans="1:17" ht="72" x14ac:dyDescent="0.25">
      <c r="A483" s="21">
        <v>37873</v>
      </c>
      <c r="B483" s="21">
        <v>37873</v>
      </c>
      <c r="C483" s="43">
        <v>2003</v>
      </c>
      <c r="D483" s="351" t="s">
        <v>23</v>
      </c>
      <c r="E483" s="22" t="s">
        <v>86</v>
      </c>
      <c r="F483" s="7" t="s">
        <v>67</v>
      </c>
      <c r="G483" s="25" t="s">
        <v>738</v>
      </c>
      <c r="H483" s="52" t="s">
        <v>739</v>
      </c>
      <c r="I483" s="46">
        <v>3</v>
      </c>
      <c r="J483" s="46">
        <v>100000</v>
      </c>
      <c r="K483" s="46">
        <v>4000</v>
      </c>
      <c r="L483" s="46">
        <v>3</v>
      </c>
      <c r="M483" s="31">
        <v>0</v>
      </c>
      <c r="N483" s="31">
        <v>0</v>
      </c>
      <c r="O483" s="46">
        <v>2425</v>
      </c>
      <c r="P483" s="47">
        <v>156.273</v>
      </c>
      <c r="Q483" s="35" t="s">
        <v>154</v>
      </c>
    </row>
    <row r="484" spans="1:17" ht="36" x14ac:dyDescent="0.25">
      <c r="A484" s="21">
        <v>37873</v>
      </c>
      <c r="B484" s="21">
        <v>37873</v>
      </c>
      <c r="C484" s="43">
        <v>2003</v>
      </c>
      <c r="D484" s="351" t="s">
        <v>23</v>
      </c>
      <c r="E484" s="22" t="s">
        <v>86</v>
      </c>
      <c r="F484" s="7" t="s">
        <v>97</v>
      </c>
      <c r="G484" s="25" t="s">
        <v>740</v>
      </c>
      <c r="H484" s="52" t="s">
        <v>741</v>
      </c>
      <c r="I484" s="46">
        <v>0</v>
      </c>
      <c r="J484" s="46">
        <v>35</v>
      </c>
      <c r="K484" s="46">
        <v>7</v>
      </c>
      <c r="L484" s="46">
        <v>0</v>
      </c>
      <c r="M484" s="31">
        <v>0</v>
      </c>
      <c r="N484" s="31">
        <v>0</v>
      </c>
      <c r="O484" s="46">
        <v>0</v>
      </c>
      <c r="P484" s="47">
        <v>0.02</v>
      </c>
      <c r="Q484" s="35" t="s">
        <v>154</v>
      </c>
    </row>
    <row r="485" spans="1:17" ht="36" x14ac:dyDescent="0.25">
      <c r="A485" s="21">
        <v>37874</v>
      </c>
      <c r="B485" s="21">
        <v>37874</v>
      </c>
      <c r="C485" s="43">
        <v>2003</v>
      </c>
      <c r="D485" s="351" t="s">
        <v>23</v>
      </c>
      <c r="E485" s="22" t="s">
        <v>86</v>
      </c>
      <c r="F485" s="7" t="s">
        <v>82</v>
      </c>
      <c r="G485" s="25" t="s">
        <v>742</v>
      </c>
      <c r="H485" s="52" t="s">
        <v>743</v>
      </c>
      <c r="I485" s="46">
        <v>1</v>
      </c>
      <c r="J485" s="46">
        <v>1</v>
      </c>
      <c r="K485" s="46">
        <v>0</v>
      </c>
      <c r="L485" s="46">
        <v>0</v>
      </c>
      <c r="M485" s="31">
        <v>0</v>
      </c>
      <c r="N485" s="31">
        <v>0</v>
      </c>
      <c r="O485" s="46">
        <v>0</v>
      </c>
      <c r="P485" s="47">
        <v>0</v>
      </c>
      <c r="Q485" s="35" t="s">
        <v>154</v>
      </c>
    </row>
    <row r="486" spans="1:17" ht="36" x14ac:dyDescent="0.25">
      <c r="A486" s="21">
        <v>37877</v>
      </c>
      <c r="B486" s="21">
        <v>37877</v>
      </c>
      <c r="C486" s="43">
        <v>2003</v>
      </c>
      <c r="D486" s="351" t="s">
        <v>23</v>
      </c>
      <c r="E486" s="22" t="s">
        <v>86</v>
      </c>
      <c r="F486" s="7" t="s">
        <v>36</v>
      </c>
      <c r="G486" s="25" t="s">
        <v>744</v>
      </c>
      <c r="H486" s="52" t="s">
        <v>745</v>
      </c>
      <c r="I486" s="46">
        <v>0</v>
      </c>
      <c r="J486" s="46">
        <v>1010</v>
      </c>
      <c r="K486" s="46">
        <v>202</v>
      </c>
      <c r="L486" s="46">
        <v>0</v>
      </c>
      <c r="M486" s="31">
        <v>0</v>
      </c>
      <c r="N486" s="31">
        <v>0</v>
      </c>
      <c r="O486" s="46">
        <v>0</v>
      </c>
      <c r="P486" s="47">
        <v>0.57999999999999996</v>
      </c>
      <c r="Q486" s="35" t="s">
        <v>154</v>
      </c>
    </row>
    <row r="487" spans="1:17" ht="36" x14ac:dyDescent="0.25">
      <c r="A487" s="21">
        <v>37877</v>
      </c>
      <c r="B487" s="21">
        <v>37877</v>
      </c>
      <c r="C487" s="43">
        <v>2003</v>
      </c>
      <c r="D487" s="351" t="s">
        <v>23</v>
      </c>
      <c r="E487" s="22" t="s">
        <v>86</v>
      </c>
      <c r="F487" s="7" t="s">
        <v>97</v>
      </c>
      <c r="G487" s="25" t="s">
        <v>746</v>
      </c>
      <c r="H487" s="52" t="s">
        <v>747</v>
      </c>
      <c r="I487" s="46">
        <v>0</v>
      </c>
      <c r="J487" s="46">
        <v>50</v>
      </c>
      <c r="K487" s="46">
        <v>10</v>
      </c>
      <c r="L487" s="46">
        <v>0</v>
      </c>
      <c r="M487" s="31">
        <v>0</v>
      </c>
      <c r="N487" s="31">
        <v>0</v>
      </c>
      <c r="O487" s="46">
        <v>0</v>
      </c>
      <c r="P487" s="47">
        <v>0.03</v>
      </c>
      <c r="Q487" s="35" t="s">
        <v>154</v>
      </c>
    </row>
    <row r="488" spans="1:17" ht="72" x14ac:dyDescent="0.25">
      <c r="A488" s="21">
        <v>37877</v>
      </c>
      <c r="B488" s="21">
        <v>37885</v>
      </c>
      <c r="C488" s="43">
        <v>2003</v>
      </c>
      <c r="D488" s="351" t="s">
        <v>23</v>
      </c>
      <c r="E488" s="22" t="s">
        <v>86</v>
      </c>
      <c r="F488" s="7" t="s">
        <v>101</v>
      </c>
      <c r="G488" s="25" t="s">
        <v>536</v>
      </c>
      <c r="H488" s="52" t="s">
        <v>748</v>
      </c>
      <c r="I488" s="46">
        <v>2</v>
      </c>
      <c r="J488" s="46">
        <v>30000</v>
      </c>
      <c r="K488" s="46">
        <v>3512</v>
      </c>
      <c r="L488" s="46">
        <v>68</v>
      </c>
      <c r="M488" s="31">
        <v>0</v>
      </c>
      <c r="N488" s="31">
        <v>0</v>
      </c>
      <c r="O488" s="46">
        <v>11182</v>
      </c>
      <c r="P488" s="47">
        <v>148.33500000000001</v>
      </c>
      <c r="Q488" s="35" t="s">
        <v>154</v>
      </c>
    </row>
    <row r="489" spans="1:17" ht="60" x14ac:dyDescent="0.25">
      <c r="A489" s="21">
        <v>37878</v>
      </c>
      <c r="B489" s="21">
        <v>37878</v>
      </c>
      <c r="C489" s="43">
        <v>2003</v>
      </c>
      <c r="D489" s="351" t="s">
        <v>23</v>
      </c>
      <c r="E489" s="22" t="s">
        <v>86</v>
      </c>
      <c r="F489" s="7" t="s">
        <v>72</v>
      </c>
      <c r="G489" s="25" t="s">
        <v>536</v>
      </c>
      <c r="H489" s="52" t="s">
        <v>749</v>
      </c>
      <c r="I489" s="46">
        <v>1</v>
      </c>
      <c r="J489" s="46">
        <v>3000</v>
      </c>
      <c r="K489" s="46">
        <v>600</v>
      </c>
      <c r="L489" s="46">
        <v>0</v>
      </c>
      <c r="M489" s="31">
        <v>0</v>
      </c>
      <c r="N489" s="31">
        <v>0</v>
      </c>
      <c r="O489" s="46">
        <v>0</v>
      </c>
      <c r="P489" s="47">
        <v>1.73</v>
      </c>
      <c r="Q489" s="35" t="s">
        <v>154</v>
      </c>
    </row>
    <row r="490" spans="1:17" ht="36" x14ac:dyDescent="0.25">
      <c r="A490" s="21">
        <v>37878</v>
      </c>
      <c r="B490" s="21">
        <v>37878</v>
      </c>
      <c r="C490" s="43">
        <v>2003</v>
      </c>
      <c r="D490" s="351" t="s">
        <v>23</v>
      </c>
      <c r="E490" s="22" t="s">
        <v>86</v>
      </c>
      <c r="F490" s="7" t="s">
        <v>91</v>
      </c>
      <c r="G490" s="25" t="s">
        <v>750</v>
      </c>
      <c r="H490" s="52" t="s">
        <v>751</v>
      </c>
      <c r="I490" s="46">
        <v>0</v>
      </c>
      <c r="J490" s="46">
        <v>19</v>
      </c>
      <c r="K490" s="46">
        <v>0</v>
      </c>
      <c r="L490" s="46">
        <v>0</v>
      </c>
      <c r="M490" s="31">
        <v>0</v>
      </c>
      <c r="N490" s="31">
        <v>0</v>
      </c>
      <c r="O490" s="46">
        <v>0</v>
      </c>
      <c r="P490" s="47">
        <v>0</v>
      </c>
      <c r="Q490" s="35" t="s">
        <v>154</v>
      </c>
    </row>
    <row r="491" spans="1:17" ht="60" x14ac:dyDescent="0.25">
      <c r="A491" s="21">
        <v>37879</v>
      </c>
      <c r="B491" s="21">
        <v>37879</v>
      </c>
      <c r="C491" s="43">
        <v>2003</v>
      </c>
      <c r="D491" s="351" t="s">
        <v>23</v>
      </c>
      <c r="E491" s="22" t="s">
        <v>86</v>
      </c>
      <c r="F491" s="7" t="s">
        <v>68</v>
      </c>
      <c r="G491" s="25" t="s">
        <v>752</v>
      </c>
      <c r="H491" s="52" t="s">
        <v>753</v>
      </c>
      <c r="I491" s="46">
        <v>1</v>
      </c>
      <c r="J491" s="46">
        <v>3</v>
      </c>
      <c r="K491" s="46">
        <v>0</v>
      </c>
      <c r="L491" s="46">
        <v>0</v>
      </c>
      <c r="M491" s="31">
        <v>0</v>
      </c>
      <c r="N491" s="31">
        <v>0</v>
      </c>
      <c r="O491" s="46">
        <v>0</v>
      </c>
      <c r="P491" s="47">
        <v>0</v>
      </c>
      <c r="Q491" s="35" t="s">
        <v>154</v>
      </c>
    </row>
    <row r="492" spans="1:17" ht="60" x14ac:dyDescent="0.25">
      <c r="A492" s="21">
        <v>37879</v>
      </c>
      <c r="B492" s="21">
        <v>37879</v>
      </c>
      <c r="C492" s="43">
        <v>2003</v>
      </c>
      <c r="D492" s="351" t="s">
        <v>23</v>
      </c>
      <c r="E492" s="22" t="s">
        <v>86</v>
      </c>
      <c r="F492" s="7" t="s">
        <v>36</v>
      </c>
      <c r="G492" s="25" t="s">
        <v>546</v>
      </c>
      <c r="H492" s="52" t="s">
        <v>754</v>
      </c>
      <c r="I492" s="46">
        <v>1</v>
      </c>
      <c r="J492" s="46">
        <v>26</v>
      </c>
      <c r="K492" s="46">
        <v>5</v>
      </c>
      <c r="L492" s="46">
        <v>0</v>
      </c>
      <c r="M492" s="31">
        <v>0</v>
      </c>
      <c r="N492" s="31">
        <v>0</v>
      </c>
      <c r="O492" s="46">
        <v>0</v>
      </c>
      <c r="P492" s="47">
        <v>1.4E-2</v>
      </c>
      <c r="Q492" s="35" t="s">
        <v>154</v>
      </c>
    </row>
    <row r="493" spans="1:17" ht="36" x14ac:dyDescent="0.25">
      <c r="A493" s="21">
        <v>37880</v>
      </c>
      <c r="B493" s="21">
        <v>37880</v>
      </c>
      <c r="C493" s="43">
        <v>2003</v>
      </c>
      <c r="D493" s="351" t="s">
        <v>23</v>
      </c>
      <c r="E493" s="22" t="s">
        <v>86</v>
      </c>
      <c r="F493" s="28" t="s">
        <v>210</v>
      </c>
      <c r="G493" s="25" t="s">
        <v>536</v>
      </c>
      <c r="H493" s="52" t="s">
        <v>755</v>
      </c>
      <c r="I493" s="46">
        <v>0</v>
      </c>
      <c r="J493" s="46">
        <v>800</v>
      </c>
      <c r="K493" s="46">
        <v>209</v>
      </c>
      <c r="L493" s="46">
        <v>0</v>
      </c>
      <c r="M493" s="31">
        <v>0</v>
      </c>
      <c r="N493" s="31">
        <v>0</v>
      </c>
      <c r="O493" s="46">
        <v>0</v>
      </c>
      <c r="P493" s="47">
        <v>0.60199999999999998</v>
      </c>
      <c r="Q493" s="35" t="s">
        <v>154</v>
      </c>
    </row>
    <row r="494" spans="1:17" ht="48" x14ac:dyDescent="0.25">
      <c r="A494" s="21">
        <v>37883</v>
      </c>
      <c r="B494" s="21">
        <v>37883</v>
      </c>
      <c r="C494" s="43">
        <v>2003</v>
      </c>
      <c r="D494" s="351" t="s">
        <v>23</v>
      </c>
      <c r="E494" s="22" t="s">
        <v>86</v>
      </c>
      <c r="F494" s="28" t="s">
        <v>160</v>
      </c>
      <c r="G494" s="25" t="s">
        <v>756</v>
      </c>
      <c r="H494" s="52" t="s">
        <v>757</v>
      </c>
      <c r="I494" s="46">
        <v>0</v>
      </c>
      <c r="J494" s="46">
        <v>60</v>
      </c>
      <c r="K494" s="46">
        <v>25</v>
      </c>
      <c r="L494" s="46">
        <v>0</v>
      </c>
      <c r="M494" s="31">
        <v>0</v>
      </c>
      <c r="N494" s="31">
        <v>0</v>
      </c>
      <c r="O494" s="46">
        <v>0</v>
      </c>
      <c r="P494" s="47">
        <v>7.1999999999999995E-2</v>
      </c>
      <c r="Q494" s="35" t="s">
        <v>154</v>
      </c>
    </row>
    <row r="495" spans="1:17" ht="36" x14ac:dyDescent="0.25">
      <c r="A495" s="21">
        <v>37884</v>
      </c>
      <c r="B495" s="21">
        <v>37884</v>
      </c>
      <c r="C495" s="43">
        <v>2003</v>
      </c>
      <c r="D495" s="351" t="s">
        <v>23</v>
      </c>
      <c r="E495" s="22" t="s">
        <v>86</v>
      </c>
      <c r="F495" s="7" t="s">
        <v>91</v>
      </c>
      <c r="G495" s="25" t="s">
        <v>536</v>
      </c>
      <c r="H495" s="52" t="s">
        <v>758</v>
      </c>
      <c r="I495" s="46">
        <v>1</v>
      </c>
      <c r="J495" s="46">
        <v>1</v>
      </c>
      <c r="K495" s="46">
        <v>0</v>
      </c>
      <c r="L495" s="46">
        <v>0</v>
      </c>
      <c r="M495" s="31">
        <v>0</v>
      </c>
      <c r="N495" s="31">
        <v>0</v>
      </c>
      <c r="O495" s="46">
        <v>0</v>
      </c>
      <c r="P495" s="47">
        <v>0</v>
      </c>
      <c r="Q495" s="35" t="s">
        <v>154</v>
      </c>
    </row>
    <row r="496" spans="1:17" ht="72" x14ac:dyDescent="0.25">
      <c r="A496" s="21">
        <v>37885</v>
      </c>
      <c r="B496" s="21">
        <v>37885</v>
      </c>
      <c r="C496" s="43">
        <v>2003</v>
      </c>
      <c r="D496" s="351" t="s">
        <v>23</v>
      </c>
      <c r="E496" s="22" t="s">
        <v>86</v>
      </c>
      <c r="F496" s="7" t="s">
        <v>33</v>
      </c>
      <c r="G496" s="25" t="s">
        <v>536</v>
      </c>
      <c r="H496" s="52" t="s">
        <v>759</v>
      </c>
      <c r="I496" s="46">
        <v>4</v>
      </c>
      <c r="J496" s="46">
        <v>5</v>
      </c>
      <c r="K496" s="46">
        <v>0</v>
      </c>
      <c r="L496" s="46">
        <v>0</v>
      </c>
      <c r="M496" s="31">
        <v>0</v>
      </c>
      <c r="N496" s="31">
        <v>0</v>
      </c>
      <c r="O496" s="46">
        <v>0</v>
      </c>
      <c r="P496" s="47">
        <v>0</v>
      </c>
      <c r="Q496" s="35" t="s">
        <v>154</v>
      </c>
    </row>
    <row r="497" spans="1:17" ht="60" x14ac:dyDescent="0.25">
      <c r="A497" s="21">
        <v>37885</v>
      </c>
      <c r="B497" s="21">
        <v>37885</v>
      </c>
      <c r="C497" s="43">
        <v>2003</v>
      </c>
      <c r="D497" s="351" t="s">
        <v>23</v>
      </c>
      <c r="E497" s="22" t="s">
        <v>86</v>
      </c>
      <c r="F497" s="7" t="s">
        <v>91</v>
      </c>
      <c r="G497" s="25" t="s">
        <v>536</v>
      </c>
      <c r="H497" s="52" t="s">
        <v>760</v>
      </c>
      <c r="I497" s="46">
        <v>2</v>
      </c>
      <c r="J497" s="46">
        <v>147</v>
      </c>
      <c r="K497" s="46">
        <v>30</v>
      </c>
      <c r="L497" s="46">
        <v>0</v>
      </c>
      <c r="M497" s="31">
        <v>0</v>
      </c>
      <c r="N497" s="31">
        <v>0</v>
      </c>
      <c r="O497" s="46">
        <v>0</v>
      </c>
      <c r="P497" s="47">
        <v>8.5999999999999993E-2</v>
      </c>
      <c r="Q497" s="35" t="s">
        <v>154</v>
      </c>
    </row>
    <row r="498" spans="1:17" ht="60" x14ac:dyDescent="0.25">
      <c r="A498" s="21">
        <v>37885</v>
      </c>
      <c r="B498" s="21">
        <v>37885</v>
      </c>
      <c r="C498" s="43">
        <v>2003</v>
      </c>
      <c r="D498" s="351" t="s">
        <v>23</v>
      </c>
      <c r="E498" s="22" t="s">
        <v>86</v>
      </c>
      <c r="F498" s="7" t="s">
        <v>84</v>
      </c>
      <c r="G498" s="25" t="s">
        <v>761</v>
      </c>
      <c r="H498" s="52" t="s">
        <v>762</v>
      </c>
      <c r="I498" s="46">
        <v>2</v>
      </c>
      <c r="J498" s="46">
        <v>2</v>
      </c>
      <c r="K498" s="46">
        <v>28</v>
      </c>
      <c r="L498" s="46">
        <v>0</v>
      </c>
      <c r="M498" s="31">
        <v>0</v>
      </c>
      <c r="N498" s="31">
        <v>0</v>
      </c>
      <c r="O498" s="46">
        <v>0</v>
      </c>
      <c r="P498" s="47">
        <v>0.08</v>
      </c>
      <c r="Q498" s="35" t="s">
        <v>154</v>
      </c>
    </row>
    <row r="499" spans="1:17" ht="84" x14ac:dyDescent="0.25">
      <c r="A499" s="21">
        <v>37886</v>
      </c>
      <c r="B499" s="21">
        <v>37886</v>
      </c>
      <c r="C499" s="43">
        <v>2003</v>
      </c>
      <c r="D499" s="351" t="s">
        <v>23</v>
      </c>
      <c r="E499" s="22" t="s">
        <v>86</v>
      </c>
      <c r="F499" s="7" t="s">
        <v>33</v>
      </c>
      <c r="G499" s="25" t="s">
        <v>536</v>
      </c>
      <c r="H499" s="52" t="s">
        <v>763</v>
      </c>
      <c r="I499" s="46">
        <v>4</v>
      </c>
      <c r="J499" s="46">
        <v>13140</v>
      </c>
      <c r="K499" s="46">
        <v>2633</v>
      </c>
      <c r="L499" s="46">
        <v>17</v>
      </c>
      <c r="M499" s="31">
        <v>4</v>
      </c>
      <c r="N499" s="31">
        <v>2</v>
      </c>
      <c r="O499" s="46">
        <v>3117</v>
      </c>
      <c r="P499" s="47">
        <v>764.3</v>
      </c>
      <c r="Q499" s="35" t="s">
        <v>154</v>
      </c>
    </row>
    <row r="500" spans="1:17" ht="72" x14ac:dyDescent="0.25">
      <c r="A500" s="21">
        <v>37885</v>
      </c>
      <c r="B500" s="21">
        <v>37885</v>
      </c>
      <c r="C500" s="43">
        <v>2003</v>
      </c>
      <c r="D500" s="351" t="s">
        <v>23</v>
      </c>
      <c r="E500" s="22" t="s">
        <v>86</v>
      </c>
      <c r="F500" s="7" t="s">
        <v>87</v>
      </c>
      <c r="G500" s="25" t="s">
        <v>764</v>
      </c>
      <c r="H500" s="52" t="s">
        <v>765</v>
      </c>
      <c r="I500" s="46">
        <v>4</v>
      </c>
      <c r="J500" s="46">
        <v>6317</v>
      </c>
      <c r="K500" s="46">
        <v>0</v>
      </c>
      <c r="L500" s="46">
        <v>0</v>
      </c>
      <c r="M500" s="31">
        <v>0</v>
      </c>
      <c r="N500" s="31">
        <v>0</v>
      </c>
      <c r="O500" s="46">
        <v>0</v>
      </c>
      <c r="P500" s="47">
        <v>13</v>
      </c>
      <c r="Q500" s="35" t="s">
        <v>154</v>
      </c>
    </row>
    <row r="501" spans="1:17" ht="48" x14ac:dyDescent="0.25">
      <c r="A501" s="21">
        <v>37889</v>
      </c>
      <c r="B501" s="21">
        <v>37889</v>
      </c>
      <c r="C501" s="43">
        <v>2003</v>
      </c>
      <c r="D501" s="351" t="s">
        <v>23</v>
      </c>
      <c r="E501" s="22" t="s">
        <v>86</v>
      </c>
      <c r="F501" s="7" t="s">
        <v>58</v>
      </c>
      <c r="G501" s="25" t="s">
        <v>766</v>
      </c>
      <c r="H501" s="52" t="s">
        <v>767</v>
      </c>
      <c r="I501" s="46">
        <v>0</v>
      </c>
      <c r="J501" s="46">
        <v>500</v>
      </c>
      <c r="K501" s="46">
        <v>115</v>
      </c>
      <c r="L501" s="46">
        <v>0</v>
      </c>
      <c r="M501" s="31">
        <v>0</v>
      </c>
      <c r="N501" s="31">
        <v>0</v>
      </c>
      <c r="O501" s="46">
        <v>0</v>
      </c>
      <c r="P501" s="47">
        <v>0.33100000000000002</v>
      </c>
      <c r="Q501" s="35" t="s">
        <v>154</v>
      </c>
    </row>
    <row r="502" spans="1:17" ht="48" x14ac:dyDescent="0.25">
      <c r="A502" s="21">
        <v>37890</v>
      </c>
      <c r="B502" s="21">
        <v>37890</v>
      </c>
      <c r="C502" s="43">
        <v>2003</v>
      </c>
      <c r="D502" s="351" t="s">
        <v>23</v>
      </c>
      <c r="E502" s="22" t="s">
        <v>86</v>
      </c>
      <c r="F502" s="7" t="s">
        <v>75</v>
      </c>
      <c r="G502" s="25" t="s">
        <v>768</v>
      </c>
      <c r="H502" s="52" t="s">
        <v>769</v>
      </c>
      <c r="I502" s="46">
        <v>0</v>
      </c>
      <c r="J502" s="46">
        <v>225</v>
      </c>
      <c r="K502" s="46">
        <v>45</v>
      </c>
      <c r="L502" s="46">
        <v>0</v>
      </c>
      <c r="M502" s="31">
        <v>0</v>
      </c>
      <c r="N502" s="31">
        <v>0</v>
      </c>
      <c r="O502" s="46">
        <v>0</v>
      </c>
      <c r="P502" s="47">
        <v>0.129</v>
      </c>
      <c r="Q502" s="35" t="s">
        <v>154</v>
      </c>
    </row>
    <row r="503" spans="1:17" ht="60" x14ac:dyDescent="0.25">
      <c r="A503" s="21">
        <v>37890</v>
      </c>
      <c r="B503" s="21">
        <v>37890</v>
      </c>
      <c r="C503" s="43">
        <v>2003</v>
      </c>
      <c r="D503" s="351" t="s">
        <v>23</v>
      </c>
      <c r="E503" s="22" t="s">
        <v>86</v>
      </c>
      <c r="F503" s="7" t="s">
        <v>53</v>
      </c>
      <c r="G503" s="25" t="s">
        <v>770</v>
      </c>
      <c r="H503" s="52" t="s">
        <v>771</v>
      </c>
      <c r="I503" s="46">
        <v>0</v>
      </c>
      <c r="J503" s="46">
        <v>0</v>
      </c>
      <c r="K503" s="46">
        <v>110</v>
      </c>
      <c r="L503" s="46">
        <v>0</v>
      </c>
      <c r="M503" s="31">
        <v>0</v>
      </c>
      <c r="N503" s="31">
        <v>0</v>
      </c>
      <c r="O503" s="46">
        <v>0</v>
      </c>
      <c r="P503" s="47">
        <v>0.317</v>
      </c>
      <c r="Q503" s="35" t="s">
        <v>154</v>
      </c>
    </row>
    <row r="504" spans="1:17" ht="60" x14ac:dyDescent="0.25">
      <c r="A504" s="21">
        <v>37890</v>
      </c>
      <c r="B504" s="21">
        <v>37890</v>
      </c>
      <c r="C504" s="43">
        <v>2003</v>
      </c>
      <c r="D504" s="351" t="s">
        <v>23</v>
      </c>
      <c r="E504" s="22" t="s">
        <v>86</v>
      </c>
      <c r="F504" s="7" t="s">
        <v>62</v>
      </c>
      <c r="G504" s="25" t="s">
        <v>165</v>
      </c>
      <c r="H504" s="52" t="s">
        <v>772</v>
      </c>
      <c r="I504" s="46">
        <v>0</v>
      </c>
      <c r="J504" s="46">
        <v>35</v>
      </c>
      <c r="K504" s="46">
        <v>0</v>
      </c>
      <c r="L504" s="46">
        <v>0</v>
      </c>
      <c r="M504" s="31">
        <v>0</v>
      </c>
      <c r="N504" s="31">
        <v>0</v>
      </c>
      <c r="O504" s="46">
        <v>0</v>
      </c>
      <c r="P504" s="47">
        <v>0</v>
      </c>
      <c r="Q504" s="35" t="s">
        <v>154</v>
      </c>
    </row>
    <row r="505" spans="1:17" ht="60" x14ac:dyDescent="0.25">
      <c r="A505" s="21">
        <v>37890</v>
      </c>
      <c r="B505" s="21">
        <v>37890</v>
      </c>
      <c r="C505" s="43">
        <v>2003</v>
      </c>
      <c r="D505" s="351" t="s">
        <v>23</v>
      </c>
      <c r="E505" s="22" t="s">
        <v>86</v>
      </c>
      <c r="F505" s="7" t="s">
        <v>65</v>
      </c>
      <c r="G505" s="25" t="s">
        <v>773</v>
      </c>
      <c r="H505" s="52" t="s">
        <v>774</v>
      </c>
      <c r="I505" s="46">
        <v>0</v>
      </c>
      <c r="J505" s="46">
        <v>400</v>
      </c>
      <c r="K505" s="46">
        <v>80</v>
      </c>
      <c r="L505" s="46">
        <v>1</v>
      </c>
      <c r="M505" s="31">
        <v>0</v>
      </c>
      <c r="N505" s="31">
        <v>0</v>
      </c>
      <c r="O505" s="46">
        <v>0</v>
      </c>
      <c r="P505" s="47">
        <v>0.55400000000000005</v>
      </c>
      <c r="Q505" s="35" t="s">
        <v>154</v>
      </c>
    </row>
    <row r="506" spans="1:17" ht="60" x14ac:dyDescent="0.25">
      <c r="A506" s="21">
        <v>37892</v>
      </c>
      <c r="B506" s="21">
        <v>37892</v>
      </c>
      <c r="C506" s="43">
        <v>2003</v>
      </c>
      <c r="D506" s="351" t="s">
        <v>23</v>
      </c>
      <c r="E506" s="22" t="s">
        <v>86</v>
      </c>
      <c r="F506" s="7" t="s">
        <v>62</v>
      </c>
      <c r="G506" s="25" t="s">
        <v>536</v>
      </c>
      <c r="H506" s="52" t="s">
        <v>775</v>
      </c>
      <c r="I506" s="46">
        <v>0</v>
      </c>
      <c r="J506" s="46">
        <v>100000</v>
      </c>
      <c r="K506" s="46">
        <v>5439</v>
      </c>
      <c r="L506" s="46">
        <v>36</v>
      </c>
      <c r="M506" s="31">
        <v>0</v>
      </c>
      <c r="N506" s="31">
        <v>0</v>
      </c>
      <c r="O506" s="46">
        <v>23104</v>
      </c>
      <c r="P506" s="47">
        <v>227.02</v>
      </c>
      <c r="Q506" s="35" t="s">
        <v>154</v>
      </c>
    </row>
    <row r="507" spans="1:17" ht="72" x14ac:dyDescent="0.25">
      <c r="A507" s="21">
        <v>37892</v>
      </c>
      <c r="B507" s="21">
        <v>37892</v>
      </c>
      <c r="C507" s="43">
        <v>2003</v>
      </c>
      <c r="D507" s="351" t="s">
        <v>23</v>
      </c>
      <c r="E507" s="22" t="s">
        <v>86</v>
      </c>
      <c r="F507" s="7" t="s">
        <v>65</v>
      </c>
      <c r="G507" s="25" t="s">
        <v>776</v>
      </c>
      <c r="H507" s="52" t="s">
        <v>777</v>
      </c>
      <c r="I507" s="46">
        <v>0</v>
      </c>
      <c r="J507" s="46">
        <v>112</v>
      </c>
      <c r="K507" s="46">
        <v>20</v>
      </c>
      <c r="L507" s="46">
        <v>0</v>
      </c>
      <c r="M507" s="31">
        <v>0</v>
      </c>
      <c r="N507" s="31">
        <v>0</v>
      </c>
      <c r="O507" s="46">
        <v>0</v>
      </c>
      <c r="P507" s="47">
        <v>5.7000000000000002E-2</v>
      </c>
      <c r="Q507" s="35" t="s">
        <v>154</v>
      </c>
    </row>
    <row r="508" spans="1:17" ht="108" x14ac:dyDescent="0.25">
      <c r="A508" s="21">
        <v>37893</v>
      </c>
      <c r="B508" s="21">
        <v>37893</v>
      </c>
      <c r="C508" s="43">
        <v>2003</v>
      </c>
      <c r="D508" s="351" t="s">
        <v>23</v>
      </c>
      <c r="E508" s="22" t="s">
        <v>86</v>
      </c>
      <c r="F508" s="28" t="s">
        <v>210</v>
      </c>
      <c r="G508" s="25" t="s">
        <v>778</v>
      </c>
      <c r="H508" s="52" t="s">
        <v>779</v>
      </c>
      <c r="I508" s="46">
        <v>5</v>
      </c>
      <c r="J508" s="46">
        <v>17834</v>
      </c>
      <c r="K508" s="46">
        <v>319</v>
      </c>
      <c r="L508" s="46">
        <v>198</v>
      </c>
      <c r="M508" s="31">
        <v>5</v>
      </c>
      <c r="N508" s="31">
        <v>0</v>
      </c>
      <c r="O508" s="46">
        <v>25117</v>
      </c>
      <c r="P508" s="47">
        <v>247.7</v>
      </c>
      <c r="Q508" s="50" t="s">
        <v>22</v>
      </c>
    </row>
    <row r="509" spans="1:17" ht="48" x14ac:dyDescent="0.25">
      <c r="A509" s="21">
        <v>37893</v>
      </c>
      <c r="B509" s="21">
        <v>37893</v>
      </c>
      <c r="C509" s="43">
        <v>2003</v>
      </c>
      <c r="D509" s="351" t="s">
        <v>23</v>
      </c>
      <c r="E509" s="22" t="s">
        <v>86</v>
      </c>
      <c r="F509" s="28" t="s">
        <v>160</v>
      </c>
      <c r="G509" s="25" t="s">
        <v>536</v>
      </c>
      <c r="H509" s="52" t="s">
        <v>780</v>
      </c>
      <c r="I509" s="46">
        <v>6</v>
      </c>
      <c r="J509" s="46">
        <v>80</v>
      </c>
      <c r="K509" s="46">
        <v>0</v>
      </c>
      <c r="L509" s="46">
        <v>0</v>
      </c>
      <c r="M509" s="31">
        <v>0</v>
      </c>
      <c r="N509" s="31">
        <v>0</v>
      </c>
      <c r="O509" s="46">
        <v>0</v>
      </c>
      <c r="P509" s="47">
        <v>0</v>
      </c>
      <c r="Q509" s="35" t="s">
        <v>154</v>
      </c>
    </row>
    <row r="510" spans="1:17" ht="60" x14ac:dyDescent="0.25">
      <c r="A510" s="21">
        <v>37898</v>
      </c>
      <c r="B510" s="21">
        <v>37898</v>
      </c>
      <c r="C510" s="43">
        <v>2003</v>
      </c>
      <c r="D510" s="351" t="s">
        <v>23</v>
      </c>
      <c r="E510" s="22" t="s">
        <v>86</v>
      </c>
      <c r="F510" s="25" t="s">
        <v>781</v>
      </c>
      <c r="G510" s="25" t="s">
        <v>782</v>
      </c>
      <c r="H510" s="52" t="s">
        <v>783</v>
      </c>
      <c r="I510" s="46">
        <v>0</v>
      </c>
      <c r="J510" s="46">
        <v>1170</v>
      </c>
      <c r="K510" s="46">
        <v>241</v>
      </c>
      <c r="L510" s="46">
        <v>0</v>
      </c>
      <c r="M510" s="31">
        <v>0</v>
      </c>
      <c r="N510" s="31">
        <v>0</v>
      </c>
      <c r="O510" s="46">
        <v>0</v>
      </c>
      <c r="P510" s="47">
        <v>0.69</v>
      </c>
      <c r="Q510" s="35" t="s">
        <v>154</v>
      </c>
    </row>
    <row r="511" spans="1:17" ht="48" x14ac:dyDescent="0.25">
      <c r="A511" s="21">
        <v>37898</v>
      </c>
      <c r="B511" s="21">
        <v>37898</v>
      </c>
      <c r="C511" s="43">
        <v>2003</v>
      </c>
      <c r="D511" s="351" t="s">
        <v>23</v>
      </c>
      <c r="E511" s="22" t="s">
        <v>86</v>
      </c>
      <c r="F511" s="28" t="s">
        <v>151</v>
      </c>
      <c r="G511" s="25" t="s">
        <v>784</v>
      </c>
      <c r="H511" s="52" t="s">
        <v>785</v>
      </c>
      <c r="I511" s="46">
        <v>0</v>
      </c>
      <c r="J511" s="46">
        <v>78</v>
      </c>
      <c r="K511" s="46">
        <v>0</v>
      </c>
      <c r="L511" s="46">
        <v>0</v>
      </c>
      <c r="M511" s="31">
        <v>0</v>
      </c>
      <c r="N511" s="31">
        <v>0</v>
      </c>
      <c r="O511" s="46">
        <v>0</v>
      </c>
      <c r="P511" s="47">
        <v>0</v>
      </c>
      <c r="Q511" s="35" t="s">
        <v>154</v>
      </c>
    </row>
    <row r="512" spans="1:17" ht="120" x14ac:dyDescent="0.25">
      <c r="A512" s="21">
        <v>37900</v>
      </c>
      <c r="B512" s="21">
        <v>37900</v>
      </c>
      <c r="C512" s="43">
        <v>2003</v>
      </c>
      <c r="D512" s="351" t="s">
        <v>23</v>
      </c>
      <c r="E512" s="22" t="s">
        <v>86</v>
      </c>
      <c r="F512" s="7" t="s">
        <v>36</v>
      </c>
      <c r="G512" s="25" t="s">
        <v>536</v>
      </c>
      <c r="H512" s="52" t="s">
        <v>786</v>
      </c>
      <c r="I512" s="46">
        <v>0</v>
      </c>
      <c r="J512" s="46">
        <v>52885</v>
      </c>
      <c r="K512" s="46">
        <v>10577</v>
      </c>
      <c r="L512" s="46">
        <v>30</v>
      </c>
      <c r="M512" s="31">
        <v>0</v>
      </c>
      <c r="N512" s="31">
        <v>0</v>
      </c>
      <c r="O512" s="46" t="s">
        <v>787</v>
      </c>
      <c r="P512" s="47">
        <v>298.3</v>
      </c>
      <c r="Q512" s="35" t="s">
        <v>154</v>
      </c>
    </row>
    <row r="513" spans="1:17" ht="60" x14ac:dyDescent="0.25">
      <c r="A513" s="21">
        <v>37901</v>
      </c>
      <c r="B513" s="21">
        <v>37901</v>
      </c>
      <c r="C513" s="43">
        <v>2003</v>
      </c>
      <c r="D513" s="351" t="s">
        <v>23</v>
      </c>
      <c r="E513" s="22" t="s">
        <v>86</v>
      </c>
      <c r="F513" s="7" t="s">
        <v>53</v>
      </c>
      <c r="G513" s="25" t="s">
        <v>536</v>
      </c>
      <c r="H513" s="52" t="s">
        <v>788</v>
      </c>
      <c r="I513" s="46">
        <v>0</v>
      </c>
      <c r="J513" s="46">
        <v>1000</v>
      </c>
      <c r="K513" s="46">
        <v>200</v>
      </c>
      <c r="L513" s="46">
        <v>0</v>
      </c>
      <c r="M513" s="31">
        <v>0</v>
      </c>
      <c r="N513" s="31">
        <v>0</v>
      </c>
      <c r="O513" s="46">
        <v>0</v>
      </c>
      <c r="P513" s="47">
        <v>0.57999999999999996</v>
      </c>
      <c r="Q513" s="35" t="s">
        <v>154</v>
      </c>
    </row>
    <row r="514" spans="1:17" ht="60" x14ac:dyDescent="0.25">
      <c r="A514" s="21">
        <v>37901</v>
      </c>
      <c r="B514" s="21">
        <v>37901</v>
      </c>
      <c r="C514" s="43">
        <v>2003</v>
      </c>
      <c r="D514" s="351" t="s">
        <v>23</v>
      </c>
      <c r="E514" s="22" t="s">
        <v>86</v>
      </c>
      <c r="F514" s="7" t="s">
        <v>72</v>
      </c>
      <c r="G514" s="25" t="s">
        <v>536</v>
      </c>
      <c r="H514" s="52" t="s">
        <v>789</v>
      </c>
      <c r="I514" s="46">
        <v>3</v>
      </c>
      <c r="J514" s="46">
        <v>333</v>
      </c>
      <c r="K514" s="46">
        <v>66</v>
      </c>
      <c r="L514" s="46">
        <v>0</v>
      </c>
      <c r="M514" s="31">
        <v>0</v>
      </c>
      <c r="N514" s="31">
        <v>0</v>
      </c>
      <c r="O514" s="46">
        <v>0</v>
      </c>
      <c r="P514" s="47">
        <v>0.19</v>
      </c>
      <c r="Q514" s="35" t="s">
        <v>154</v>
      </c>
    </row>
    <row r="515" spans="1:17" ht="48" x14ac:dyDescent="0.25">
      <c r="A515" s="21">
        <v>37901</v>
      </c>
      <c r="B515" s="21">
        <v>37901</v>
      </c>
      <c r="C515" s="43">
        <v>2003</v>
      </c>
      <c r="D515" s="351" t="s">
        <v>23</v>
      </c>
      <c r="E515" s="22" t="s">
        <v>86</v>
      </c>
      <c r="F515" s="7" t="s">
        <v>60</v>
      </c>
      <c r="G515" s="25" t="s">
        <v>110</v>
      </c>
      <c r="H515" s="52" t="s">
        <v>790</v>
      </c>
      <c r="I515" s="46">
        <v>1</v>
      </c>
      <c r="J515" s="46">
        <v>138</v>
      </c>
      <c r="K515" s="46">
        <v>0</v>
      </c>
      <c r="L515" s="46">
        <v>0</v>
      </c>
      <c r="M515" s="31">
        <v>0</v>
      </c>
      <c r="N515" s="31">
        <v>0</v>
      </c>
      <c r="O515" s="46">
        <v>0</v>
      </c>
      <c r="P515" s="47">
        <v>0</v>
      </c>
      <c r="Q515" s="35" t="s">
        <v>154</v>
      </c>
    </row>
    <row r="516" spans="1:17" ht="60" x14ac:dyDescent="0.25">
      <c r="A516" s="21">
        <v>37902</v>
      </c>
      <c r="B516" s="21">
        <v>37902</v>
      </c>
      <c r="C516" s="43">
        <v>2003</v>
      </c>
      <c r="D516" s="351" t="s">
        <v>23</v>
      </c>
      <c r="E516" s="22" t="s">
        <v>86</v>
      </c>
      <c r="F516" s="7" t="s">
        <v>87</v>
      </c>
      <c r="G516" s="25" t="s">
        <v>567</v>
      </c>
      <c r="H516" s="52" t="s">
        <v>791</v>
      </c>
      <c r="I516" s="46">
        <v>0</v>
      </c>
      <c r="J516" s="46">
        <v>58</v>
      </c>
      <c r="K516" s="46">
        <v>15</v>
      </c>
      <c r="L516" s="46">
        <v>0</v>
      </c>
      <c r="M516" s="31">
        <v>0</v>
      </c>
      <c r="N516" s="31">
        <v>0</v>
      </c>
      <c r="O516" s="46">
        <v>0</v>
      </c>
      <c r="P516" s="47">
        <v>0.15</v>
      </c>
      <c r="Q516" s="35" t="s">
        <v>154</v>
      </c>
    </row>
    <row r="517" spans="1:17" ht="60" x14ac:dyDescent="0.25">
      <c r="A517" s="21">
        <v>37903</v>
      </c>
      <c r="B517" s="21">
        <v>37903</v>
      </c>
      <c r="C517" s="43">
        <v>2003</v>
      </c>
      <c r="D517" s="351" t="s">
        <v>23</v>
      </c>
      <c r="E517" s="22" t="s">
        <v>86</v>
      </c>
      <c r="F517" s="7" t="s">
        <v>72</v>
      </c>
      <c r="G517" s="25" t="s">
        <v>792</v>
      </c>
      <c r="H517" s="52" t="s">
        <v>793</v>
      </c>
      <c r="I517" s="46">
        <v>1</v>
      </c>
      <c r="J517" s="46">
        <v>0</v>
      </c>
      <c r="K517" s="46">
        <v>0</v>
      </c>
      <c r="L517" s="46">
        <v>0</v>
      </c>
      <c r="M517" s="31">
        <v>0</v>
      </c>
      <c r="N517" s="31">
        <v>0</v>
      </c>
      <c r="O517" s="46">
        <v>0</v>
      </c>
      <c r="P517" s="47">
        <v>0</v>
      </c>
      <c r="Q517" s="35" t="s">
        <v>154</v>
      </c>
    </row>
    <row r="518" spans="1:17" ht="84" x14ac:dyDescent="0.25">
      <c r="A518" s="21">
        <v>37906</v>
      </c>
      <c r="B518" s="21">
        <v>37906</v>
      </c>
      <c r="C518" s="43">
        <v>2003</v>
      </c>
      <c r="D518" s="351" t="s">
        <v>23</v>
      </c>
      <c r="E518" s="22" t="s">
        <v>86</v>
      </c>
      <c r="F518" s="7" t="s">
        <v>68</v>
      </c>
      <c r="G518" s="25" t="s">
        <v>536</v>
      </c>
      <c r="H518" s="52" t="s">
        <v>794</v>
      </c>
      <c r="I518" s="46">
        <v>0</v>
      </c>
      <c r="J518" s="46">
        <v>1</v>
      </c>
      <c r="K518" s="46">
        <v>0</v>
      </c>
      <c r="L518" s="46">
        <v>0</v>
      </c>
      <c r="M518" s="31">
        <v>0</v>
      </c>
      <c r="N518" s="31">
        <v>0</v>
      </c>
      <c r="O518" s="46">
        <v>0</v>
      </c>
      <c r="P518" s="47">
        <v>0</v>
      </c>
      <c r="Q518" s="35" t="s">
        <v>154</v>
      </c>
    </row>
    <row r="519" spans="1:17" ht="60" x14ac:dyDescent="0.25">
      <c r="A519" s="21">
        <v>37906</v>
      </c>
      <c r="B519" s="21">
        <v>37906</v>
      </c>
      <c r="C519" s="43">
        <v>2003</v>
      </c>
      <c r="D519" s="351" t="s">
        <v>23</v>
      </c>
      <c r="E519" s="22" t="s">
        <v>86</v>
      </c>
      <c r="F519" s="7" t="s">
        <v>91</v>
      </c>
      <c r="G519" s="25" t="s">
        <v>795</v>
      </c>
      <c r="H519" s="52" t="s">
        <v>796</v>
      </c>
      <c r="I519" s="46">
        <v>0</v>
      </c>
      <c r="J519" s="46">
        <v>1000</v>
      </c>
      <c r="K519" s="46">
        <v>200</v>
      </c>
      <c r="L519" s="46">
        <v>0</v>
      </c>
      <c r="M519" s="31">
        <v>0</v>
      </c>
      <c r="N519" s="31">
        <v>0</v>
      </c>
      <c r="O519" s="46">
        <v>0</v>
      </c>
      <c r="P519" s="47">
        <v>0.57999999999999996</v>
      </c>
      <c r="Q519" s="35" t="s">
        <v>154</v>
      </c>
    </row>
    <row r="520" spans="1:17" ht="84" x14ac:dyDescent="0.25">
      <c r="A520" s="21">
        <v>37908</v>
      </c>
      <c r="B520" s="21">
        <v>37908</v>
      </c>
      <c r="C520" s="43">
        <v>2003</v>
      </c>
      <c r="D520" s="351" t="s">
        <v>23</v>
      </c>
      <c r="E520" s="22" t="s">
        <v>86</v>
      </c>
      <c r="F520" s="28" t="s">
        <v>160</v>
      </c>
      <c r="G520" s="25" t="s">
        <v>797</v>
      </c>
      <c r="H520" s="52" t="s">
        <v>798</v>
      </c>
      <c r="I520" s="46">
        <v>0</v>
      </c>
      <c r="J520" s="46">
        <v>316</v>
      </c>
      <c r="K520" s="46">
        <v>0</v>
      </c>
      <c r="L520" s="46">
        <v>0</v>
      </c>
      <c r="M520" s="31">
        <v>0</v>
      </c>
      <c r="N520" s="31">
        <v>0</v>
      </c>
      <c r="O520" s="46">
        <v>0</v>
      </c>
      <c r="P520" s="47">
        <v>0</v>
      </c>
      <c r="Q520" s="35" t="s">
        <v>154</v>
      </c>
    </row>
    <row r="521" spans="1:17" ht="36" x14ac:dyDescent="0.25">
      <c r="A521" s="21">
        <v>37909</v>
      </c>
      <c r="B521" s="21">
        <v>37909</v>
      </c>
      <c r="C521" s="43">
        <v>2003</v>
      </c>
      <c r="D521" s="351" t="s">
        <v>23</v>
      </c>
      <c r="E521" s="22" t="s">
        <v>86</v>
      </c>
      <c r="F521" s="7" t="s">
        <v>82</v>
      </c>
      <c r="G521" s="25" t="s">
        <v>799</v>
      </c>
      <c r="H521" s="52" t="s">
        <v>800</v>
      </c>
      <c r="I521" s="46">
        <v>0</v>
      </c>
      <c r="J521" s="46">
        <v>105</v>
      </c>
      <c r="K521" s="46">
        <v>0</v>
      </c>
      <c r="L521" s="46">
        <v>0</v>
      </c>
      <c r="M521" s="31">
        <v>0</v>
      </c>
      <c r="N521" s="31">
        <v>0</v>
      </c>
      <c r="O521" s="46">
        <v>0</v>
      </c>
      <c r="P521" s="47">
        <v>0</v>
      </c>
      <c r="Q521" s="35" t="s">
        <v>154</v>
      </c>
    </row>
    <row r="522" spans="1:17" ht="36" x14ac:dyDescent="0.25">
      <c r="A522" s="21">
        <v>37909</v>
      </c>
      <c r="B522" s="21">
        <v>37909</v>
      </c>
      <c r="C522" s="43">
        <v>2003</v>
      </c>
      <c r="D522" s="351" t="s">
        <v>23</v>
      </c>
      <c r="E522" s="22" t="s">
        <v>86</v>
      </c>
      <c r="F522" s="7" t="s">
        <v>58</v>
      </c>
      <c r="G522" s="25" t="s">
        <v>801</v>
      </c>
      <c r="H522" s="52" t="s">
        <v>802</v>
      </c>
      <c r="I522" s="46">
        <v>1</v>
      </c>
      <c r="J522" s="46">
        <v>1</v>
      </c>
      <c r="K522" s="46">
        <v>0</v>
      </c>
      <c r="L522" s="46">
        <v>0</v>
      </c>
      <c r="M522" s="31">
        <v>0</v>
      </c>
      <c r="N522" s="31">
        <v>0</v>
      </c>
      <c r="O522" s="46">
        <v>0</v>
      </c>
      <c r="P522" s="47">
        <v>0</v>
      </c>
      <c r="Q522" s="35" t="s">
        <v>154</v>
      </c>
    </row>
    <row r="523" spans="1:17" ht="36" x14ac:dyDescent="0.25">
      <c r="A523" s="21">
        <v>37909</v>
      </c>
      <c r="B523" s="21">
        <v>37909</v>
      </c>
      <c r="C523" s="43">
        <v>2003</v>
      </c>
      <c r="D523" s="351" t="s">
        <v>23</v>
      </c>
      <c r="E523" s="22" t="s">
        <v>86</v>
      </c>
      <c r="F523" s="7" t="s">
        <v>91</v>
      </c>
      <c r="G523" s="25" t="s">
        <v>803</v>
      </c>
      <c r="H523" s="52" t="s">
        <v>804</v>
      </c>
      <c r="I523" s="46">
        <v>1</v>
      </c>
      <c r="J523" s="46">
        <v>1</v>
      </c>
      <c r="K523" s="46">
        <v>0</v>
      </c>
      <c r="L523" s="46">
        <v>0</v>
      </c>
      <c r="M523" s="31">
        <v>0</v>
      </c>
      <c r="N523" s="31">
        <v>0</v>
      </c>
      <c r="O523" s="46">
        <v>0</v>
      </c>
      <c r="P523" s="47">
        <v>0</v>
      </c>
      <c r="Q523" s="35" t="s">
        <v>154</v>
      </c>
    </row>
    <row r="524" spans="1:17" ht="36" x14ac:dyDescent="0.25">
      <c r="A524" s="21">
        <v>37925</v>
      </c>
      <c r="B524" s="21">
        <v>37925</v>
      </c>
      <c r="C524" s="43">
        <v>2003</v>
      </c>
      <c r="D524" s="351" t="s">
        <v>23</v>
      </c>
      <c r="E524" s="22" t="s">
        <v>86</v>
      </c>
      <c r="F524" s="7" t="s">
        <v>82</v>
      </c>
      <c r="G524" s="25" t="s">
        <v>805</v>
      </c>
      <c r="H524" s="52" t="s">
        <v>806</v>
      </c>
      <c r="I524" s="46">
        <v>0</v>
      </c>
      <c r="J524" s="46">
        <v>200</v>
      </c>
      <c r="K524" s="46">
        <v>1</v>
      </c>
      <c r="L524" s="46">
        <v>0</v>
      </c>
      <c r="M524" s="31">
        <v>0</v>
      </c>
      <c r="N524" s="31">
        <v>0</v>
      </c>
      <c r="O524" s="46">
        <v>0</v>
      </c>
      <c r="P524" s="47">
        <v>2.8000000000000001E-2</v>
      </c>
      <c r="Q524" s="35" t="s">
        <v>154</v>
      </c>
    </row>
    <row r="525" spans="1:17" ht="36" x14ac:dyDescent="0.25">
      <c r="A525" s="21">
        <v>37925</v>
      </c>
      <c r="B525" s="21">
        <v>37925</v>
      </c>
      <c r="C525" s="43">
        <v>2003</v>
      </c>
      <c r="D525" s="351" t="s">
        <v>23</v>
      </c>
      <c r="E525" s="22" t="s">
        <v>86</v>
      </c>
      <c r="F525" s="28" t="s">
        <v>157</v>
      </c>
      <c r="G525" s="25" t="s">
        <v>807</v>
      </c>
      <c r="H525" s="52" t="s">
        <v>808</v>
      </c>
      <c r="I525" s="46">
        <v>0</v>
      </c>
      <c r="J525" s="46">
        <v>500</v>
      </c>
      <c r="K525" s="46">
        <v>100</v>
      </c>
      <c r="L525" s="46">
        <v>0</v>
      </c>
      <c r="M525" s="31">
        <v>0</v>
      </c>
      <c r="N525" s="31">
        <v>0</v>
      </c>
      <c r="O525" s="46">
        <v>0</v>
      </c>
      <c r="P525" s="47">
        <v>0.28799999999999998</v>
      </c>
      <c r="Q525" s="35" t="s">
        <v>154</v>
      </c>
    </row>
    <row r="526" spans="1:17" ht="48" x14ac:dyDescent="0.25">
      <c r="A526" s="21">
        <v>37926</v>
      </c>
      <c r="B526" s="21">
        <v>37926</v>
      </c>
      <c r="C526" s="43">
        <v>2003</v>
      </c>
      <c r="D526" s="351" t="s">
        <v>23</v>
      </c>
      <c r="E526" s="22" t="s">
        <v>86</v>
      </c>
      <c r="F526" s="7" t="s">
        <v>72</v>
      </c>
      <c r="G526" s="25" t="s">
        <v>809</v>
      </c>
      <c r="H526" s="52" t="s">
        <v>810</v>
      </c>
      <c r="I526" s="46">
        <v>0</v>
      </c>
      <c r="J526" s="46">
        <v>180</v>
      </c>
      <c r="K526" s="46">
        <v>36</v>
      </c>
      <c r="L526" s="46">
        <v>0</v>
      </c>
      <c r="M526" s="31">
        <v>0</v>
      </c>
      <c r="N526" s="31">
        <v>0</v>
      </c>
      <c r="O526" s="46">
        <v>0</v>
      </c>
      <c r="P526" s="47">
        <v>0.1037</v>
      </c>
      <c r="Q526" s="35" t="s">
        <v>154</v>
      </c>
    </row>
    <row r="527" spans="1:17" ht="48" x14ac:dyDescent="0.25">
      <c r="A527" s="21">
        <v>37926</v>
      </c>
      <c r="B527" s="21">
        <v>37926</v>
      </c>
      <c r="C527" s="43">
        <v>2003</v>
      </c>
      <c r="D527" s="351" t="s">
        <v>23</v>
      </c>
      <c r="E527" s="22" t="s">
        <v>86</v>
      </c>
      <c r="F527" s="7" t="s">
        <v>91</v>
      </c>
      <c r="G527" s="25" t="s">
        <v>811</v>
      </c>
      <c r="H527" s="52" t="s">
        <v>812</v>
      </c>
      <c r="I527" s="46">
        <v>0</v>
      </c>
      <c r="J527" s="46">
        <v>92</v>
      </c>
      <c r="K527" s="46">
        <v>0</v>
      </c>
      <c r="L527" s="46">
        <v>0</v>
      </c>
      <c r="M527" s="31">
        <v>0</v>
      </c>
      <c r="N527" s="31">
        <v>0</v>
      </c>
      <c r="O527" s="46">
        <v>0</v>
      </c>
      <c r="P527" s="47">
        <v>0</v>
      </c>
      <c r="Q527" s="35" t="s">
        <v>154</v>
      </c>
    </row>
    <row r="528" spans="1:17" ht="72" x14ac:dyDescent="0.25">
      <c r="A528" s="21">
        <v>37926</v>
      </c>
      <c r="B528" s="21">
        <v>37926</v>
      </c>
      <c r="C528" s="43">
        <v>2003</v>
      </c>
      <c r="D528" s="351" t="s">
        <v>23</v>
      </c>
      <c r="E528" s="22" t="s">
        <v>86</v>
      </c>
      <c r="F528" s="28" t="s">
        <v>210</v>
      </c>
      <c r="G528" s="25" t="s">
        <v>813</v>
      </c>
      <c r="H528" s="52" t="s">
        <v>814</v>
      </c>
      <c r="I528" s="46">
        <v>0</v>
      </c>
      <c r="J528" s="46">
        <v>75</v>
      </c>
      <c r="K528" s="46">
        <v>15</v>
      </c>
      <c r="L528" s="46">
        <v>0</v>
      </c>
      <c r="M528" s="31">
        <v>0</v>
      </c>
      <c r="N528" s="31">
        <v>0</v>
      </c>
      <c r="O528" s="46">
        <v>0</v>
      </c>
      <c r="P528" s="47">
        <v>4.2999999999999997E-2</v>
      </c>
      <c r="Q528" s="35" t="s">
        <v>154</v>
      </c>
    </row>
    <row r="529" spans="1:17" ht="60" x14ac:dyDescent="0.25">
      <c r="A529" s="21">
        <v>37934</v>
      </c>
      <c r="B529" s="21">
        <v>37934</v>
      </c>
      <c r="C529" s="43">
        <v>2003</v>
      </c>
      <c r="D529" s="351" t="s">
        <v>23</v>
      </c>
      <c r="E529" s="22" t="s">
        <v>86</v>
      </c>
      <c r="F529" s="7" t="s">
        <v>36</v>
      </c>
      <c r="G529" s="25" t="s">
        <v>815</v>
      </c>
      <c r="H529" s="52" t="s">
        <v>816</v>
      </c>
      <c r="I529" s="46">
        <v>0</v>
      </c>
      <c r="J529" s="46">
        <v>145</v>
      </c>
      <c r="K529" s="46">
        <v>29</v>
      </c>
      <c r="L529" s="46">
        <v>2</v>
      </c>
      <c r="M529" s="31">
        <v>0</v>
      </c>
      <c r="N529" s="31">
        <v>0</v>
      </c>
      <c r="O529" s="46">
        <v>0</v>
      </c>
      <c r="P529" s="47">
        <v>0.08</v>
      </c>
      <c r="Q529" s="35" t="s">
        <v>154</v>
      </c>
    </row>
    <row r="530" spans="1:17" ht="84" x14ac:dyDescent="0.25">
      <c r="A530" s="21">
        <v>37849</v>
      </c>
      <c r="B530" s="21">
        <v>37849</v>
      </c>
      <c r="C530" s="43">
        <v>2003</v>
      </c>
      <c r="D530" s="351" t="s">
        <v>23</v>
      </c>
      <c r="E530" s="22" t="s">
        <v>86</v>
      </c>
      <c r="F530" s="7" t="s">
        <v>91</v>
      </c>
      <c r="G530" s="44" t="s">
        <v>817</v>
      </c>
      <c r="H530" s="44" t="s">
        <v>818</v>
      </c>
      <c r="I530" s="46">
        <v>0</v>
      </c>
      <c r="J530" s="46">
        <v>2787</v>
      </c>
      <c r="K530" s="46">
        <v>146</v>
      </c>
      <c r="L530" s="46">
        <v>0</v>
      </c>
      <c r="M530" s="31">
        <v>0</v>
      </c>
      <c r="N530" s="31">
        <v>0</v>
      </c>
      <c r="O530" s="46">
        <v>0</v>
      </c>
      <c r="P530" s="47">
        <v>0.42</v>
      </c>
      <c r="Q530" s="35" t="s">
        <v>154</v>
      </c>
    </row>
    <row r="531" spans="1:17" ht="60" x14ac:dyDescent="0.25">
      <c r="A531" s="21">
        <v>37954</v>
      </c>
      <c r="B531" s="21">
        <v>37954</v>
      </c>
      <c r="C531" s="43">
        <v>2003</v>
      </c>
      <c r="D531" s="351" t="s">
        <v>23</v>
      </c>
      <c r="E531" s="22" t="s">
        <v>86</v>
      </c>
      <c r="F531" s="7" t="s">
        <v>36</v>
      </c>
      <c r="G531" s="25" t="s">
        <v>110</v>
      </c>
      <c r="H531" s="52" t="s">
        <v>819</v>
      </c>
      <c r="I531" s="46">
        <v>0</v>
      </c>
      <c r="J531" s="46">
        <v>110</v>
      </c>
      <c r="K531" s="46">
        <v>19</v>
      </c>
      <c r="L531" s="46">
        <v>0</v>
      </c>
      <c r="M531" s="31">
        <v>0</v>
      </c>
      <c r="N531" s="31">
        <v>0</v>
      </c>
      <c r="O531" s="46">
        <v>0</v>
      </c>
      <c r="P531" s="47">
        <v>5.3999999999999999E-2</v>
      </c>
      <c r="Q531" s="35" t="s">
        <v>154</v>
      </c>
    </row>
    <row r="532" spans="1:17" ht="72" x14ac:dyDescent="0.25">
      <c r="A532" s="21">
        <v>37954</v>
      </c>
      <c r="B532" s="21">
        <v>37954</v>
      </c>
      <c r="C532" s="43">
        <v>2003</v>
      </c>
      <c r="D532" s="351" t="s">
        <v>23</v>
      </c>
      <c r="E532" s="22" t="s">
        <v>86</v>
      </c>
      <c r="F532" s="25" t="s">
        <v>781</v>
      </c>
      <c r="G532" s="25" t="s">
        <v>110</v>
      </c>
      <c r="H532" s="52" t="s">
        <v>820</v>
      </c>
      <c r="I532" s="46">
        <v>0</v>
      </c>
      <c r="J532" s="46">
        <v>4580</v>
      </c>
      <c r="K532" s="46">
        <v>0</v>
      </c>
      <c r="L532" s="46">
        <v>0</v>
      </c>
      <c r="M532" s="31">
        <v>0</v>
      </c>
      <c r="N532" s="31">
        <v>0</v>
      </c>
      <c r="O532" s="46">
        <v>0</v>
      </c>
      <c r="P532" s="47">
        <v>0</v>
      </c>
      <c r="Q532" s="35" t="s">
        <v>154</v>
      </c>
    </row>
    <row r="533" spans="1:17" ht="48" x14ac:dyDescent="0.25">
      <c r="A533" s="21">
        <v>37952</v>
      </c>
      <c r="B533" s="21">
        <v>37952</v>
      </c>
      <c r="C533" s="43">
        <v>2003</v>
      </c>
      <c r="D533" s="351" t="s">
        <v>23</v>
      </c>
      <c r="E533" s="22" t="s">
        <v>86</v>
      </c>
      <c r="F533" s="28" t="s">
        <v>210</v>
      </c>
      <c r="G533" s="25" t="s">
        <v>536</v>
      </c>
      <c r="H533" s="52" t="s">
        <v>821</v>
      </c>
      <c r="I533" s="46">
        <v>0</v>
      </c>
      <c r="J533" s="46">
        <v>4</v>
      </c>
      <c r="K533" s="46">
        <v>0</v>
      </c>
      <c r="L533" s="46">
        <v>0</v>
      </c>
      <c r="M533" s="31">
        <v>0</v>
      </c>
      <c r="N533" s="31">
        <v>0</v>
      </c>
      <c r="O533" s="46">
        <v>0</v>
      </c>
      <c r="P533" s="47">
        <v>0</v>
      </c>
      <c r="Q533" s="35" t="s">
        <v>154</v>
      </c>
    </row>
    <row r="534" spans="1:17" ht="60" x14ac:dyDescent="0.25">
      <c r="A534" s="21">
        <v>37746</v>
      </c>
      <c r="B534" s="21">
        <v>37746</v>
      </c>
      <c r="C534" s="43">
        <v>2003</v>
      </c>
      <c r="D534" s="351" t="s">
        <v>23</v>
      </c>
      <c r="E534" s="14" t="s">
        <v>24</v>
      </c>
      <c r="F534" s="7" t="s">
        <v>84</v>
      </c>
      <c r="G534" s="53" t="s">
        <v>110</v>
      </c>
      <c r="H534" s="53" t="s">
        <v>822</v>
      </c>
      <c r="I534" s="46">
        <v>0</v>
      </c>
      <c r="J534" s="46">
        <v>0</v>
      </c>
      <c r="K534" s="46">
        <v>0</v>
      </c>
      <c r="L534" s="46">
        <v>0</v>
      </c>
      <c r="M534" s="31">
        <v>0</v>
      </c>
      <c r="N534" s="31">
        <v>0</v>
      </c>
      <c r="O534" s="46">
        <v>420000</v>
      </c>
      <c r="P534" s="47">
        <v>600</v>
      </c>
      <c r="Q534" s="35" t="s">
        <v>154</v>
      </c>
    </row>
    <row r="535" spans="1:17" ht="48" x14ac:dyDescent="0.25">
      <c r="A535" s="21">
        <v>37766</v>
      </c>
      <c r="B535" s="21">
        <v>37766</v>
      </c>
      <c r="C535" s="43">
        <v>2003</v>
      </c>
      <c r="D535" s="351" t="s">
        <v>23</v>
      </c>
      <c r="E535" s="14" t="s">
        <v>24</v>
      </c>
      <c r="F535" s="28" t="s">
        <v>160</v>
      </c>
      <c r="G535" s="25" t="s">
        <v>823</v>
      </c>
      <c r="H535" s="25" t="s">
        <v>824</v>
      </c>
      <c r="I535" s="46">
        <v>0</v>
      </c>
      <c r="J535" s="46">
        <v>0</v>
      </c>
      <c r="K535" s="46">
        <v>0</v>
      </c>
      <c r="L535" s="46">
        <v>0</v>
      </c>
      <c r="M535" s="31">
        <v>0</v>
      </c>
      <c r="N535" s="31">
        <v>0</v>
      </c>
      <c r="O535" s="46">
        <v>5000</v>
      </c>
      <c r="P535" s="47">
        <v>0</v>
      </c>
      <c r="Q535" s="35" t="s">
        <v>154</v>
      </c>
    </row>
    <row r="536" spans="1:17" ht="48" x14ac:dyDescent="0.25">
      <c r="A536" s="21">
        <v>37774</v>
      </c>
      <c r="B536" s="21">
        <v>37774</v>
      </c>
      <c r="C536" s="43">
        <v>2003</v>
      </c>
      <c r="D536" s="351" t="s">
        <v>23</v>
      </c>
      <c r="E536" s="14" t="s">
        <v>24</v>
      </c>
      <c r="F536" s="28" t="s">
        <v>210</v>
      </c>
      <c r="G536" s="25" t="s">
        <v>536</v>
      </c>
      <c r="H536" s="25" t="s">
        <v>825</v>
      </c>
      <c r="I536" s="46">
        <v>0</v>
      </c>
      <c r="J536" s="46">
        <v>0</v>
      </c>
      <c r="K536" s="46">
        <v>0</v>
      </c>
      <c r="L536" s="46">
        <v>0</v>
      </c>
      <c r="M536" s="31">
        <v>0</v>
      </c>
      <c r="N536" s="31">
        <v>0</v>
      </c>
      <c r="O536" s="46">
        <v>1421</v>
      </c>
      <c r="P536" s="47">
        <v>30</v>
      </c>
      <c r="Q536" s="35" t="s">
        <v>154</v>
      </c>
    </row>
    <row r="537" spans="1:17" ht="36.75" x14ac:dyDescent="0.25">
      <c r="A537" s="23">
        <v>37884</v>
      </c>
      <c r="B537" s="23">
        <v>37884</v>
      </c>
      <c r="C537" s="43">
        <v>2003</v>
      </c>
      <c r="D537" s="351" t="s">
        <v>23</v>
      </c>
      <c r="E537" s="14" t="s">
        <v>24</v>
      </c>
      <c r="F537" s="7" t="s">
        <v>40</v>
      </c>
      <c r="G537" s="54" t="s">
        <v>110</v>
      </c>
      <c r="H537" s="55" t="s">
        <v>826</v>
      </c>
      <c r="I537" s="46">
        <v>0</v>
      </c>
      <c r="J537" s="46">
        <v>0</v>
      </c>
      <c r="K537" s="46">
        <v>0</v>
      </c>
      <c r="L537" s="46">
        <v>0</v>
      </c>
      <c r="M537" s="31">
        <v>0</v>
      </c>
      <c r="N537" s="31">
        <v>0</v>
      </c>
      <c r="O537" s="46">
        <v>200000</v>
      </c>
      <c r="P537" s="47">
        <v>0</v>
      </c>
      <c r="Q537" s="35" t="s">
        <v>154</v>
      </c>
    </row>
    <row r="538" spans="1:17" ht="36" x14ac:dyDescent="0.25">
      <c r="A538" s="23">
        <v>37950</v>
      </c>
      <c r="B538" s="23">
        <v>37950</v>
      </c>
      <c r="C538" s="43">
        <v>2003</v>
      </c>
      <c r="D538" s="351" t="s">
        <v>23</v>
      </c>
      <c r="E538" s="14" t="s">
        <v>24</v>
      </c>
      <c r="F538" s="7" t="s">
        <v>87</v>
      </c>
      <c r="G538" s="44" t="s">
        <v>110</v>
      </c>
      <c r="H538" s="44" t="s">
        <v>827</v>
      </c>
      <c r="I538" s="46">
        <v>0</v>
      </c>
      <c r="J538" s="46">
        <v>0</v>
      </c>
      <c r="K538" s="46">
        <v>0</v>
      </c>
      <c r="L538" s="46">
        <v>0</v>
      </c>
      <c r="M538" s="31">
        <v>0</v>
      </c>
      <c r="N538" s="31">
        <v>0</v>
      </c>
      <c r="O538" s="46">
        <v>180000</v>
      </c>
      <c r="P538" s="47">
        <v>0</v>
      </c>
      <c r="Q538" s="35" t="s">
        <v>154</v>
      </c>
    </row>
    <row r="539" spans="1:17" ht="36" x14ac:dyDescent="0.25">
      <c r="A539" s="21">
        <v>37629</v>
      </c>
      <c r="B539" s="21">
        <v>37629</v>
      </c>
      <c r="C539" s="43">
        <v>2003</v>
      </c>
      <c r="D539" s="351" t="s">
        <v>23</v>
      </c>
      <c r="E539" s="22" t="s">
        <v>42</v>
      </c>
      <c r="F539" s="7" t="s">
        <v>87</v>
      </c>
      <c r="G539" s="44" t="s">
        <v>828</v>
      </c>
      <c r="H539" s="44" t="s">
        <v>829</v>
      </c>
      <c r="I539" s="45">
        <v>2</v>
      </c>
      <c r="J539" s="46">
        <v>2</v>
      </c>
      <c r="K539" s="46">
        <v>0</v>
      </c>
      <c r="L539" s="46">
        <v>0</v>
      </c>
      <c r="M539" s="31">
        <v>0</v>
      </c>
      <c r="N539" s="31">
        <v>0</v>
      </c>
      <c r="O539" s="46">
        <v>0</v>
      </c>
      <c r="P539" s="47">
        <v>0</v>
      </c>
      <c r="Q539" s="35" t="s">
        <v>154</v>
      </c>
    </row>
    <row r="540" spans="1:17" ht="60" x14ac:dyDescent="0.25">
      <c r="A540" s="21">
        <v>37920</v>
      </c>
      <c r="B540" s="21">
        <v>37922</v>
      </c>
      <c r="C540" s="43">
        <v>2003</v>
      </c>
      <c r="D540" s="351" t="s">
        <v>23</v>
      </c>
      <c r="E540" s="22" t="s">
        <v>42</v>
      </c>
      <c r="F540" s="7" t="s">
        <v>40</v>
      </c>
      <c r="G540" s="44" t="s">
        <v>830</v>
      </c>
      <c r="H540" s="44" t="s">
        <v>831</v>
      </c>
      <c r="I540" s="45">
        <v>4</v>
      </c>
      <c r="J540" s="46">
        <v>4</v>
      </c>
      <c r="K540" s="46">
        <v>0</v>
      </c>
      <c r="L540" s="46">
        <v>0</v>
      </c>
      <c r="M540" s="31">
        <v>0</v>
      </c>
      <c r="N540" s="31">
        <v>0</v>
      </c>
      <c r="O540" s="46">
        <v>0</v>
      </c>
      <c r="P540" s="47">
        <v>0</v>
      </c>
      <c r="Q540" s="35" t="s">
        <v>154</v>
      </c>
    </row>
    <row r="541" spans="1:17" ht="48" x14ac:dyDescent="0.25">
      <c r="A541" s="21">
        <v>37952</v>
      </c>
      <c r="B541" s="21">
        <v>37952</v>
      </c>
      <c r="C541" s="43">
        <v>2003</v>
      </c>
      <c r="D541" s="351" t="s">
        <v>23</v>
      </c>
      <c r="E541" s="22" t="s">
        <v>42</v>
      </c>
      <c r="F541" s="7" t="s">
        <v>45</v>
      </c>
      <c r="G541" s="44" t="s">
        <v>832</v>
      </c>
      <c r="H541" s="44" t="s">
        <v>833</v>
      </c>
      <c r="I541" s="45">
        <v>0</v>
      </c>
      <c r="J541" s="46">
        <v>44</v>
      </c>
      <c r="K541" s="46">
        <v>0</v>
      </c>
      <c r="L541" s="46">
        <v>0</v>
      </c>
      <c r="M541" s="31">
        <v>0</v>
      </c>
      <c r="N541" s="31">
        <v>0</v>
      </c>
      <c r="O541" s="46">
        <v>0</v>
      </c>
      <c r="P541" s="47">
        <v>0</v>
      </c>
      <c r="Q541" s="35" t="s">
        <v>154</v>
      </c>
    </row>
    <row r="542" spans="1:17" ht="72" x14ac:dyDescent="0.25">
      <c r="A542" s="21">
        <v>37956</v>
      </c>
      <c r="B542" s="21">
        <v>37956</v>
      </c>
      <c r="C542" s="43">
        <v>2003</v>
      </c>
      <c r="D542" s="351" t="s">
        <v>23</v>
      </c>
      <c r="E542" s="22" t="s">
        <v>86</v>
      </c>
      <c r="F542" s="7" t="s">
        <v>36</v>
      </c>
      <c r="G542" s="25" t="s">
        <v>834</v>
      </c>
      <c r="H542" s="52" t="s">
        <v>835</v>
      </c>
      <c r="I542" s="46">
        <v>0</v>
      </c>
      <c r="J542" s="46">
        <v>350</v>
      </c>
      <c r="K542" s="46">
        <v>70</v>
      </c>
      <c r="L542" s="46">
        <v>0</v>
      </c>
      <c r="M542" s="31">
        <v>0</v>
      </c>
      <c r="N542" s="31">
        <v>0</v>
      </c>
      <c r="O542" s="46">
        <v>0</v>
      </c>
      <c r="P542" s="47">
        <v>0.20100000000000001</v>
      </c>
      <c r="Q542" s="35" t="s">
        <v>154</v>
      </c>
    </row>
    <row r="543" spans="1:17" ht="24.75" x14ac:dyDescent="0.25">
      <c r="A543" s="48">
        <v>37698</v>
      </c>
      <c r="B543" s="48">
        <v>37698</v>
      </c>
      <c r="C543" s="43">
        <v>2003</v>
      </c>
      <c r="D543" s="351" t="s">
        <v>23</v>
      </c>
      <c r="E543" s="49" t="s">
        <v>323</v>
      </c>
      <c r="F543" s="28" t="s">
        <v>210</v>
      </c>
      <c r="G543" s="33" t="s">
        <v>110</v>
      </c>
      <c r="H543" s="34" t="s">
        <v>836</v>
      </c>
      <c r="I543" s="50">
        <v>0</v>
      </c>
      <c r="J543" s="31">
        <v>0</v>
      </c>
      <c r="K543" s="31">
        <v>50</v>
      </c>
      <c r="L543" s="31">
        <v>0</v>
      </c>
      <c r="M543" s="31">
        <v>0</v>
      </c>
      <c r="N543" s="31">
        <v>0</v>
      </c>
      <c r="O543" s="31">
        <v>0</v>
      </c>
      <c r="P543" s="32">
        <v>0.14410000000000001</v>
      </c>
      <c r="Q543" s="35" t="s">
        <v>154</v>
      </c>
    </row>
    <row r="544" spans="1:17" ht="48" x14ac:dyDescent="0.25">
      <c r="A544" s="56">
        <v>37642</v>
      </c>
      <c r="B544" s="56">
        <v>37642</v>
      </c>
      <c r="C544" s="43">
        <v>2003</v>
      </c>
      <c r="D544" s="35" t="s">
        <v>17</v>
      </c>
      <c r="E544" s="30" t="s">
        <v>122</v>
      </c>
      <c r="F544" s="7" t="s">
        <v>47</v>
      </c>
      <c r="G544" s="57" t="s">
        <v>837</v>
      </c>
      <c r="H544" s="57" t="s">
        <v>838</v>
      </c>
      <c r="I544" s="58">
        <v>23</v>
      </c>
      <c r="J544" s="59">
        <v>450000</v>
      </c>
      <c r="K544" s="59">
        <v>25353</v>
      </c>
      <c r="L544" s="59">
        <v>387</v>
      </c>
      <c r="M544" s="31">
        <v>144</v>
      </c>
      <c r="N544" s="31">
        <v>2219</v>
      </c>
      <c r="O544" s="59">
        <v>0</v>
      </c>
      <c r="P544" s="60">
        <v>1078.9000000000001</v>
      </c>
      <c r="Q544" s="35" t="s">
        <v>154</v>
      </c>
    </row>
    <row r="545" spans="1:17" ht="48" x14ac:dyDescent="0.25">
      <c r="A545" s="56">
        <v>37642</v>
      </c>
      <c r="B545" s="56">
        <v>37642</v>
      </c>
      <c r="C545" s="43">
        <v>2003</v>
      </c>
      <c r="D545" s="35" t="s">
        <v>17</v>
      </c>
      <c r="E545" s="30" t="s">
        <v>122</v>
      </c>
      <c r="F545" s="7" t="s">
        <v>60</v>
      </c>
      <c r="G545" s="57" t="s">
        <v>110</v>
      </c>
      <c r="H545" s="57" t="s">
        <v>839</v>
      </c>
      <c r="I545" s="58">
        <v>2</v>
      </c>
      <c r="J545" s="59">
        <v>37000</v>
      </c>
      <c r="K545" s="59">
        <v>5271</v>
      </c>
      <c r="L545" s="59">
        <v>79</v>
      </c>
      <c r="M545" s="31">
        <v>36</v>
      </c>
      <c r="N545" s="31">
        <v>0</v>
      </c>
      <c r="O545" s="59">
        <v>0</v>
      </c>
      <c r="P545" s="60">
        <v>193.6</v>
      </c>
      <c r="Q545" s="50" t="s">
        <v>22</v>
      </c>
    </row>
    <row r="546" spans="1:17" ht="48" x14ac:dyDescent="0.25">
      <c r="A546" s="56">
        <v>37642</v>
      </c>
      <c r="B546" s="56">
        <v>37642</v>
      </c>
      <c r="C546" s="43">
        <v>2003</v>
      </c>
      <c r="D546" s="35" t="s">
        <v>17</v>
      </c>
      <c r="E546" s="30" t="s">
        <v>122</v>
      </c>
      <c r="F546" s="7" t="s">
        <v>62</v>
      </c>
      <c r="G546" s="57" t="s">
        <v>110</v>
      </c>
      <c r="H546" s="57" t="s">
        <v>840</v>
      </c>
      <c r="I546" s="58">
        <v>1</v>
      </c>
      <c r="J546" s="59">
        <v>40000</v>
      </c>
      <c r="K546" s="59">
        <v>855</v>
      </c>
      <c r="L546" s="59">
        <v>25</v>
      </c>
      <c r="M546" s="31">
        <v>2</v>
      </c>
      <c r="N546" s="31">
        <v>0</v>
      </c>
      <c r="O546" s="59">
        <v>0</v>
      </c>
      <c r="P546" s="60">
        <v>17.3</v>
      </c>
      <c r="Q546" s="50" t="s">
        <v>22</v>
      </c>
    </row>
    <row r="547" spans="1:17" ht="36" x14ac:dyDescent="0.25">
      <c r="A547" s="56">
        <v>37715</v>
      </c>
      <c r="B547" s="56">
        <v>37715</v>
      </c>
      <c r="C547" s="43">
        <v>2003</v>
      </c>
      <c r="D547" s="35" t="s">
        <v>17</v>
      </c>
      <c r="E547" s="6" t="s">
        <v>328</v>
      </c>
      <c r="F547" s="7" t="s">
        <v>36</v>
      </c>
      <c r="G547" s="57" t="s">
        <v>267</v>
      </c>
      <c r="H547" s="57" t="s">
        <v>841</v>
      </c>
      <c r="I547" s="58">
        <v>0</v>
      </c>
      <c r="J547" s="59">
        <v>7</v>
      </c>
      <c r="K547" s="59">
        <v>0</v>
      </c>
      <c r="L547" s="59">
        <v>0</v>
      </c>
      <c r="M547" s="31">
        <v>0</v>
      </c>
      <c r="N547" s="31">
        <v>0</v>
      </c>
      <c r="O547" s="59">
        <v>0</v>
      </c>
      <c r="P547" s="60">
        <v>0</v>
      </c>
      <c r="Q547" s="35" t="s">
        <v>154</v>
      </c>
    </row>
    <row r="548" spans="1:17" ht="48" x14ac:dyDescent="0.25">
      <c r="A548" s="56">
        <v>37722</v>
      </c>
      <c r="B548" s="56">
        <v>37722</v>
      </c>
      <c r="C548" s="43">
        <v>2003</v>
      </c>
      <c r="D548" s="35" t="s">
        <v>17</v>
      </c>
      <c r="E548" s="6" t="s">
        <v>328</v>
      </c>
      <c r="F548" s="7" t="s">
        <v>30</v>
      </c>
      <c r="G548" s="57" t="s">
        <v>110</v>
      </c>
      <c r="H548" s="57" t="s">
        <v>842</v>
      </c>
      <c r="I548" s="58">
        <v>0</v>
      </c>
      <c r="J548" s="59">
        <v>81</v>
      </c>
      <c r="K548" s="59">
        <v>20</v>
      </c>
      <c r="L548" s="59">
        <v>0</v>
      </c>
      <c r="M548" s="31">
        <v>0</v>
      </c>
      <c r="N548" s="31">
        <v>0</v>
      </c>
      <c r="O548" s="59">
        <v>0</v>
      </c>
      <c r="P548" s="60">
        <v>0.56499999999999995</v>
      </c>
      <c r="Q548" s="35" t="s">
        <v>154</v>
      </c>
    </row>
    <row r="549" spans="1:17" ht="60" x14ac:dyDescent="0.25">
      <c r="A549" s="56">
        <v>37730</v>
      </c>
      <c r="B549" s="56">
        <v>37730</v>
      </c>
      <c r="C549" s="43">
        <v>2003</v>
      </c>
      <c r="D549" s="35" t="s">
        <v>17</v>
      </c>
      <c r="E549" s="6" t="s">
        <v>328</v>
      </c>
      <c r="F549" s="28" t="s">
        <v>157</v>
      </c>
      <c r="G549" s="57" t="s">
        <v>206</v>
      </c>
      <c r="H549" s="57" t="s">
        <v>843</v>
      </c>
      <c r="I549" s="58">
        <v>1</v>
      </c>
      <c r="J549" s="59">
        <v>1</v>
      </c>
      <c r="K549" s="59">
        <v>1</v>
      </c>
      <c r="L549" s="59">
        <v>0</v>
      </c>
      <c r="M549" s="31">
        <v>0</v>
      </c>
      <c r="N549" s="31">
        <v>0</v>
      </c>
      <c r="O549" s="59">
        <v>0</v>
      </c>
      <c r="P549" s="60">
        <v>2.8199999999999999E-2</v>
      </c>
      <c r="Q549" s="35" t="s">
        <v>154</v>
      </c>
    </row>
    <row r="550" spans="1:17" ht="36" x14ac:dyDescent="0.25">
      <c r="A550" s="56">
        <v>37776</v>
      </c>
      <c r="B550" s="56">
        <v>37776</v>
      </c>
      <c r="C550" s="43">
        <v>2003</v>
      </c>
      <c r="D550" s="35" t="s">
        <v>17</v>
      </c>
      <c r="E550" s="6" t="s">
        <v>844</v>
      </c>
      <c r="F550" s="7" t="s">
        <v>53</v>
      </c>
      <c r="G550" s="57" t="s">
        <v>845</v>
      </c>
      <c r="H550" s="57" t="s">
        <v>846</v>
      </c>
      <c r="I550" s="58">
        <v>0</v>
      </c>
      <c r="J550" s="59">
        <v>1</v>
      </c>
      <c r="K550" s="59">
        <v>1</v>
      </c>
      <c r="L550" s="59">
        <v>0</v>
      </c>
      <c r="M550" s="31">
        <v>0</v>
      </c>
      <c r="N550" s="31">
        <v>0</v>
      </c>
      <c r="O550" s="59">
        <v>0</v>
      </c>
      <c r="P550" s="60">
        <v>2.8199999999999999E-2</v>
      </c>
      <c r="Q550" s="35" t="s">
        <v>154</v>
      </c>
    </row>
    <row r="551" spans="1:17" ht="48" x14ac:dyDescent="0.25">
      <c r="A551" s="56">
        <v>37782</v>
      </c>
      <c r="B551" s="56">
        <v>37782</v>
      </c>
      <c r="C551" s="43">
        <v>2003</v>
      </c>
      <c r="D551" s="35" t="s">
        <v>17</v>
      </c>
      <c r="E551" s="6" t="s">
        <v>328</v>
      </c>
      <c r="F551" s="7" t="s">
        <v>53</v>
      </c>
      <c r="G551" s="57" t="s">
        <v>847</v>
      </c>
      <c r="H551" s="57" t="s">
        <v>848</v>
      </c>
      <c r="I551" s="58">
        <v>0</v>
      </c>
      <c r="J551" s="59">
        <v>20</v>
      </c>
      <c r="K551" s="59">
        <v>4</v>
      </c>
      <c r="L551" s="59">
        <v>0</v>
      </c>
      <c r="M551" s="31">
        <v>0</v>
      </c>
      <c r="N551" s="31">
        <v>0</v>
      </c>
      <c r="O551" s="59">
        <v>0</v>
      </c>
      <c r="P551" s="60">
        <v>1.0999999999999999E-2</v>
      </c>
      <c r="Q551" s="35" t="s">
        <v>154</v>
      </c>
    </row>
    <row r="552" spans="1:17" ht="36" x14ac:dyDescent="0.25">
      <c r="A552" s="56">
        <v>37793</v>
      </c>
      <c r="B552" s="56">
        <v>37793</v>
      </c>
      <c r="C552" s="43">
        <v>2003</v>
      </c>
      <c r="D552" s="35" t="s">
        <v>17</v>
      </c>
      <c r="E552" s="6" t="s">
        <v>844</v>
      </c>
      <c r="F552" s="7" t="s">
        <v>72</v>
      </c>
      <c r="G552" s="57" t="s">
        <v>110</v>
      </c>
      <c r="H552" s="57" t="s">
        <v>849</v>
      </c>
      <c r="I552" s="58">
        <v>1</v>
      </c>
      <c r="J552" s="59">
        <v>1</v>
      </c>
      <c r="K552" s="59">
        <v>0</v>
      </c>
      <c r="L552" s="59">
        <v>0</v>
      </c>
      <c r="M552" s="31">
        <v>0</v>
      </c>
      <c r="N552" s="31">
        <v>0</v>
      </c>
      <c r="O552" s="59">
        <v>0</v>
      </c>
      <c r="P552" s="60">
        <v>0</v>
      </c>
      <c r="Q552" s="35" t="s">
        <v>154</v>
      </c>
    </row>
    <row r="553" spans="1:17" ht="84" x14ac:dyDescent="0.25">
      <c r="A553" s="56">
        <v>37802</v>
      </c>
      <c r="B553" s="56">
        <v>37802</v>
      </c>
      <c r="C553" s="43">
        <v>2003</v>
      </c>
      <c r="D553" s="35" t="s">
        <v>17</v>
      </c>
      <c r="E553" s="6" t="s">
        <v>328</v>
      </c>
      <c r="F553" s="7" t="s">
        <v>72</v>
      </c>
      <c r="G553" s="57" t="s">
        <v>850</v>
      </c>
      <c r="H553" s="57" t="s">
        <v>851</v>
      </c>
      <c r="I553" s="58">
        <v>7</v>
      </c>
      <c r="J553" s="59">
        <v>8</v>
      </c>
      <c r="K553" s="59">
        <v>0</v>
      </c>
      <c r="L553" s="59">
        <v>1</v>
      </c>
      <c r="M553" s="31">
        <v>0</v>
      </c>
      <c r="N553" s="31">
        <v>0</v>
      </c>
      <c r="O553" s="59">
        <v>0</v>
      </c>
      <c r="P553" s="60">
        <v>0</v>
      </c>
      <c r="Q553" s="35" t="s">
        <v>154</v>
      </c>
    </row>
    <row r="554" spans="1:17" ht="60" x14ac:dyDescent="0.25">
      <c r="A554" s="56">
        <v>37802</v>
      </c>
      <c r="B554" s="56">
        <v>37802</v>
      </c>
      <c r="C554" s="43">
        <v>2003</v>
      </c>
      <c r="D554" s="35" t="s">
        <v>17</v>
      </c>
      <c r="E554" s="6" t="s">
        <v>328</v>
      </c>
      <c r="F554" s="7" t="s">
        <v>62</v>
      </c>
      <c r="G554" s="57" t="s">
        <v>160</v>
      </c>
      <c r="H554" s="57" t="s">
        <v>852</v>
      </c>
      <c r="I554" s="58">
        <v>0</v>
      </c>
      <c r="J554" s="59">
        <v>60</v>
      </c>
      <c r="K554" s="59">
        <v>8</v>
      </c>
      <c r="L554" s="59">
        <v>0</v>
      </c>
      <c r="M554" s="31">
        <v>0</v>
      </c>
      <c r="N554" s="31">
        <v>0</v>
      </c>
      <c r="O554" s="59">
        <v>0</v>
      </c>
      <c r="P554" s="60">
        <v>0.2263</v>
      </c>
      <c r="Q554" s="35" t="s">
        <v>154</v>
      </c>
    </row>
    <row r="555" spans="1:17" ht="48" x14ac:dyDescent="0.25">
      <c r="A555" s="56">
        <v>37802</v>
      </c>
      <c r="B555" s="56">
        <v>37802</v>
      </c>
      <c r="C555" s="43">
        <v>2003</v>
      </c>
      <c r="D555" s="35" t="s">
        <v>17</v>
      </c>
      <c r="E555" s="6" t="s">
        <v>328</v>
      </c>
      <c r="F555" s="28" t="s">
        <v>157</v>
      </c>
      <c r="G555" s="57" t="s">
        <v>158</v>
      </c>
      <c r="H555" s="57" t="s">
        <v>853</v>
      </c>
      <c r="I555" s="58">
        <v>0</v>
      </c>
      <c r="J555" s="59">
        <v>10</v>
      </c>
      <c r="K555" s="59">
        <v>2</v>
      </c>
      <c r="L555" s="59">
        <v>0</v>
      </c>
      <c r="M555" s="31">
        <v>0</v>
      </c>
      <c r="N555" s="31">
        <v>0</v>
      </c>
      <c r="O555" s="59">
        <v>0</v>
      </c>
      <c r="P555" s="60">
        <v>5.6500000000000002E-2</v>
      </c>
      <c r="Q555" s="35" t="s">
        <v>154</v>
      </c>
    </row>
    <row r="556" spans="1:17" ht="36" x14ac:dyDescent="0.25">
      <c r="A556" s="56">
        <v>37817</v>
      </c>
      <c r="B556" s="56">
        <v>37817</v>
      </c>
      <c r="C556" s="43">
        <v>2003</v>
      </c>
      <c r="D556" s="35" t="s">
        <v>17</v>
      </c>
      <c r="E556" s="6" t="s">
        <v>844</v>
      </c>
      <c r="F556" s="7" t="s">
        <v>36</v>
      </c>
      <c r="G556" s="57" t="s">
        <v>854</v>
      </c>
      <c r="H556" s="57" t="s">
        <v>855</v>
      </c>
      <c r="I556" s="58">
        <v>0</v>
      </c>
      <c r="J556" s="59">
        <v>3</v>
      </c>
      <c r="K556" s="59">
        <v>0</v>
      </c>
      <c r="L556" s="59">
        <v>0</v>
      </c>
      <c r="M556" s="31">
        <v>0</v>
      </c>
      <c r="N556" s="31">
        <v>0</v>
      </c>
      <c r="O556" s="59">
        <v>0</v>
      </c>
      <c r="P556" s="60">
        <v>0</v>
      </c>
      <c r="Q556" s="35" t="s">
        <v>154</v>
      </c>
    </row>
    <row r="557" spans="1:17" ht="60" x14ac:dyDescent="0.25">
      <c r="A557" s="56">
        <v>37826</v>
      </c>
      <c r="B557" s="56">
        <v>37826</v>
      </c>
      <c r="C557" s="43">
        <v>2003</v>
      </c>
      <c r="D557" s="35" t="s">
        <v>17</v>
      </c>
      <c r="E557" s="6" t="s">
        <v>328</v>
      </c>
      <c r="F557" s="7" t="s">
        <v>53</v>
      </c>
      <c r="G557" s="57" t="s">
        <v>515</v>
      </c>
      <c r="H557" s="57" t="s">
        <v>856</v>
      </c>
      <c r="I557" s="58">
        <v>0</v>
      </c>
      <c r="J557" s="59">
        <v>0</v>
      </c>
      <c r="K557" s="59">
        <v>0</v>
      </c>
      <c r="L557" s="59">
        <v>0</v>
      </c>
      <c r="M557" s="31">
        <v>0</v>
      </c>
      <c r="N557" s="31">
        <v>0</v>
      </c>
      <c r="O557" s="59">
        <v>0</v>
      </c>
      <c r="P557" s="60">
        <v>0</v>
      </c>
      <c r="Q557" s="35" t="s">
        <v>154</v>
      </c>
    </row>
    <row r="558" spans="1:17" ht="60" x14ac:dyDescent="0.25">
      <c r="A558" s="56">
        <v>37835</v>
      </c>
      <c r="B558" s="56">
        <v>37835</v>
      </c>
      <c r="C558" s="43">
        <v>2003</v>
      </c>
      <c r="D558" s="35" t="s">
        <v>17</v>
      </c>
      <c r="E558" s="6" t="s">
        <v>328</v>
      </c>
      <c r="F558" s="28" t="s">
        <v>157</v>
      </c>
      <c r="G558" s="57" t="s">
        <v>857</v>
      </c>
      <c r="H558" s="57" t="s">
        <v>858</v>
      </c>
      <c r="I558" s="58">
        <v>0</v>
      </c>
      <c r="J558" s="59">
        <v>2</v>
      </c>
      <c r="K558" s="59">
        <v>1</v>
      </c>
      <c r="L558" s="59">
        <v>0</v>
      </c>
      <c r="M558" s="31">
        <v>0</v>
      </c>
      <c r="N558" s="31">
        <v>0</v>
      </c>
      <c r="O558" s="59">
        <v>0</v>
      </c>
      <c r="P558" s="60">
        <v>2.8199999999999999E-2</v>
      </c>
      <c r="Q558" s="35" t="s">
        <v>154</v>
      </c>
    </row>
    <row r="559" spans="1:17" ht="60" x14ac:dyDescent="0.25">
      <c r="A559" s="56">
        <v>37857</v>
      </c>
      <c r="B559" s="56">
        <v>37857</v>
      </c>
      <c r="C559" s="43">
        <v>2003</v>
      </c>
      <c r="D559" s="35" t="s">
        <v>17</v>
      </c>
      <c r="E559" s="6" t="s">
        <v>328</v>
      </c>
      <c r="F559" s="28" t="s">
        <v>157</v>
      </c>
      <c r="G559" s="57" t="s">
        <v>859</v>
      </c>
      <c r="H559" s="57" t="s">
        <v>860</v>
      </c>
      <c r="I559" s="58">
        <v>2</v>
      </c>
      <c r="J559" s="59">
        <v>4</v>
      </c>
      <c r="K559" s="59">
        <v>0</v>
      </c>
      <c r="L559" s="59">
        <v>0</v>
      </c>
      <c r="M559" s="31">
        <v>0</v>
      </c>
      <c r="N559" s="31">
        <v>0</v>
      </c>
      <c r="O559" s="59">
        <v>0</v>
      </c>
      <c r="P559" s="60">
        <v>0</v>
      </c>
      <c r="Q559" s="35" t="s">
        <v>154</v>
      </c>
    </row>
    <row r="560" spans="1:17" ht="36" x14ac:dyDescent="0.25">
      <c r="A560" s="56">
        <v>37865</v>
      </c>
      <c r="B560" s="56">
        <v>37865</v>
      </c>
      <c r="C560" s="43">
        <v>2003</v>
      </c>
      <c r="D560" s="35" t="s">
        <v>17</v>
      </c>
      <c r="E560" s="6" t="s">
        <v>328</v>
      </c>
      <c r="F560" s="7" t="s">
        <v>62</v>
      </c>
      <c r="G560" s="57" t="s">
        <v>110</v>
      </c>
      <c r="H560" s="57" t="s">
        <v>861</v>
      </c>
      <c r="I560" s="58">
        <v>0</v>
      </c>
      <c r="J560" s="59">
        <v>6</v>
      </c>
      <c r="K560" s="59">
        <v>0</v>
      </c>
      <c r="L560" s="59">
        <v>0</v>
      </c>
      <c r="M560" s="31">
        <v>0</v>
      </c>
      <c r="N560" s="31">
        <v>0</v>
      </c>
      <c r="O560" s="59">
        <v>0</v>
      </c>
      <c r="P560" s="60">
        <v>0</v>
      </c>
      <c r="Q560" s="35" t="s">
        <v>154</v>
      </c>
    </row>
    <row r="561" spans="1:17" ht="60" x14ac:dyDescent="0.25">
      <c r="A561" s="56">
        <v>37878</v>
      </c>
      <c r="B561" s="56">
        <v>37878</v>
      </c>
      <c r="C561" s="43">
        <v>2003</v>
      </c>
      <c r="D561" s="35" t="s">
        <v>17</v>
      </c>
      <c r="E561" s="6" t="s">
        <v>328</v>
      </c>
      <c r="F561" s="7" t="s">
        <v>53</v>
      </c>
      <c r="G561" s="57" t="s">
        <v>862</v>
      </c>
      <c r="H561" s="57" t="s">
        <v>863</v>
      </c>
      <c r="I561" s="58">
        <v>2</v>
      </c>
      <c r="J561" s="59">
        <v>5</v>
      </c>
      <c r="K561" s="59">
        <v>1</v>
      </c>
      <c r="L561" s="59">
        <v>0</v>
      </c>
      <c r="M561" s="31">
        <v>0</v>
      </c>
      <c r="N561" s="31">
        <v>0</v>
      </c>
      <c r="O561" s="59">
        <v>0</v>
      </c>
      <c r="P561" s="60">
        <v>2.8199999999999999E-2</v>
      </c>
      <c r="Q561" s="35" t="s">
        <v>154</v>
      </c>
    </row>
    <row r="562" spans="1:17" ht="48" x14ac:dyDescent="0.25">
      <c r="A562" s="56">
        <v>37893</v>
      </c>
      <c r="B562" s="56">
        <v>37893</v>
      </c>
      <c r="C562" s="43">
        <v>2003</v>
      </c>
      <c r="D562" s="35" t="s">
        <v>17</v>
      </c>
      <c r="E562" s="6" t="s">
        <v>844</v>
      </c>
      <c r="F562" s="7" t="s">
        <v>53</v>
      </c>
      <c r="G562" s="57" t="s">
        <v>847</v>
      </c>
      <c r="H562" s="57" t="s">
        <v>864</v>
      </c>
      <c r="I562" s="58">
        <v>2</v>
      </c>
      <c r="J562" s="59">
        <v>2</v>
      </c>
      <c r="K562" s="59">
        <v>2</v>
      </c>
      <c r="L562" s="59">
        <v>0</v>
      </c>
      <c r="M562" s="31">
        <v>0</v>
      </c>
      <c r="N562" s="31">
        <v>0</v>
      </c>
      <c r="O562" s="59">
        <v>0</v>
      </c>
      <c r="P562" s="60">
        <v>1.7000000000000001E-2</v>
      </c>
      <c r="Q562" s="35" t="s">
        <v>154</v>
      </c>
    </row>
    <row r="563" spans="1:17" ht="36" x14ac:dyDescent="0.25">
      <c r="A563" s="21">
        <v>37631</v>
      </c>
      <c r="B563" s="21">
        <v>37631</v>
      </c>
      <c r="C563" s="43">
        <v>2003</v>
      </c>
      <c r="D563" s="35" t="s">
        <v>28</v>
      </c>
      <c r="E563" s="30" t="s">
        <v>133</v>
      </c>
      <c r="F563" s="28" t="s">
        <v>160</v>
      </c>
      <c r="G563" s="51" t="s">
        <v>865</v>
      </c>
      <c r="H563" s="51" t="s">
        <v>866</v>
      </c>
      <c r="I563" s="46">
        <v>0</v>
      </c>
      <c r="J563" s="46">
        <v>1</v>
      </c>
      <c r="K563" s="46">
        <v>0</v>
      </c>
      <c r="L563" s="46">
        <v>0</v>
      </c>
      <c r="M563" s="31">
        <v>0</v>
      </c>
      <c r="N563" s="31">
        <v>0</v>
      </c>
      <c r="O563" s="46">
        <v>0</v>
      </c>
      <c r="P563" s="47">
        <v>0</v>
      </c>
      <c r="Q563" s="35" t="s">
        <v>154</v>
      </c>
    </row>
    <row r="564" spans="1:17" ht="36" x14ac:dyDescent="0.25">
      <c r="A564" s="21">
        <v>37640</v>
      </c>
      <c r="B564" s="21">
        <v>37640</v>
      </c>
      <c r="C564" s="43">
        <v>2003</v>
      </c>
      <c r="D564" s="35" t="s">
        <v>28</v>
      </c>
      <c r="E564" s="30" t="s">
        <v>133</v>
      </c>
      <c r="F564" s="7" t="s">
        <v>60</v>
      </c>
      <c r="G564" s="51" t="s">
        <v>462</v>
      </c>
      <c r="H564" s="51" t="s">
        <v>867</v>
      </c>
      <c r="I564" s="46">
        <v>0</v>
      </c>
      <c r="J564" s="46">
        <v>6</v>
      </c>
      <c r="K564" s="46">
        <v>0</v>
      </c>
      <c r="L564" s="46">
        <v>0</v>
      </c>
      <c r="M564" s="31">
        <v>0</v>
      </c>
      <c r="N564" s="31">
        <v>0</v>
      </c>
      <c r="O564" s="46">
        <v>0</v>
      </c>
      <c r="P564" s="47">
        <v>0</v>
      </c>
      <c r="Q564" s="35" t="s">
        <v>154</v>
      </c>
    </row>
    <row r="565" spans="1:17" ht="48" x14ac:dyDescent="0.25">
      <c r="A565" s="21">
        <v>37652</v>
      </c>
      <c r="B565" s="21">
        <v>37652</v>
      </c>
      <c r="C565" s="43">
        <v>2003</v>
      </c>
      <c r="D565" s="35" t="s">
        <v>28</v>
      </c>
      <c r="E565" s="30" t="s">
        <v>133</v>
      </c>
      <c r="F565" s="7" t="s">
        <v>65</v>
      </c>
      <c r="G565" s="51" t="s">
        <v>110</v>
      </c>
      <c r="H565" s="51" t="s">
        <v>868</v>
      </c>
      <c r="I565" s="46">
        <v>0</v>
      </c>
      <c r="J565" s="46">
        <v>1</v>
      </c>
      <c r="K565" s="46">
        <v>0</v>
      </c>
      <c r="L565" s="46">
        <v>0</v>
      </c>
      <c r="M565" s="31">
        <v>0</v>
      </c>
      <c r="N565" s="31">
        <v>0</v>
      </c>
      <c r="O565" s="46">
        <v>0</v>
      </c>
      <c r="P565" s="47">
        <v>0</v>
      </c>
      <c r="Q565" s="35" t="s">
        <v>154</v>
      </c>
    </row>
    <row r="566" spans="1:17" ht="48" x14ac:dyDescent="0.25">
      <c r="A566" s="21">
        <v>37653</v>
      </c>
      <c r="B566" s="21">
        <v>37653</v>
      </c>
      <c r="C566" s="43">
        <v>2003</v>
      </c>
      <c r="D566" s="35" t="s">
        <v>28</v>
      </c>
      <c r="E566" s="30" t="s">
        <v>133</v>
      </c>
      <c r="F566" s="7" t="s">
        <v>40</v>
      </c>
      <c r="G566" s="51" t="s">
        <v>110</v>
      </c>
      <c r="H566" s="51" t="s">
        <v>869</v>
      </c>
      <c r="I566" s="46">
        <v>0</v>
      </c>
      <c r="J566" s="46">
        <v>6</v>
      </c>
      <c r="K566" s="46">
        <v>1</v>
      </c>
      <c r="L566" s="46">
        <v>0</v>
      </c>
      <c r="M566" s="31">
        <v>0</v>
      </c>
      <c r="N566" s="31">
        <v>0</v>
      </c>
      <c r="O566" s="46">
        <v>0</v>
      </c>
      <c r="P566" s="47">
        <v>2.8E-3</v>
      </c>
      <c r="Q566" s="35" t="s">
        <v>154</v>
      </c>
    </row>
    <row r="567" spans="1:17" ht="36" x14ac:dyDescent="0.25">
      <c r="A567" s="21">
        <v>37654</v>
      </c>
      <c r="B567" s="21">
        <v>37654</v>
      </c>
      <c r="C567" s="43">
        <v>2003</v>
      </c>
      <c r="D567" s="35" t="s">
        <v>28</v>
      </c>
      <c r="E567" s="30" t="s">
        <v>133</v>
      </c>
      <c r="F567" s="7" t="s">
        <v>45</v>
      </c>
      <c r="G567" s="51" t="s">
        <v>110</v>
      </c>
      <c r="H567" s="51" t="s">
        <v>870</v>
      </c>
      <c r="I567" s="46">
        <v>0</v>
      </c>
      <c r="J567" s="46">
        <v>1</v>
      </c>
      <c r="K567" s="46">
        <v>0</v>
      </c>
      <c r="L567" s="46">
        <v>0</v>
      </c>
      <c r="M567" s="31">
        <v>0</v>
      </c>
      <c r="N567" s="31">
        <v>0</v>
      </c>
      <c r="O567" s="46">
        <v>0</v>
      </c>
      <c r="P567" s="47">
        <v>0</v>
      </c>
      <c r="Q567" s="35" t="s">
        <v>154</v>
      </c>
    </row>
    <row r="568" spans="1:17" ht="48" x14ac:dyDescent="0.25">
      <c r="A568" s="21">
        <v>37698</v>
      </c>
      <c r="B568" s="21">
        <v>37698</v>
      </c>
      <c r="C568" s="43">
        <v>2003</v>
      </c>
      <c r="D568" s="35" t="s">
        <v>28</v>
      </c>
      <c r="E568" s="30" t="s">
        <v>133</v>
      </c>
      <c r="F568" s="7" t="s">
        <v>45</v>
      </c>
      <c r="G568" s="51" t="s">
        <v>871</v>
      </c>
      <c r="H568" s="51" t="s">
        <v>872</v>
      </c>
      <c r="I568" s="46">
        <v>0</v>
      </c>
      <c r="J568" s="46">
        <v>7</v>
      </c>
      <c r="K568" s="46">
        <v>0</v>
      </c>
      <c r="L568" s="46">
        <v>0</v>
      </c>
      <c r="M568" s="31">
        <v>0</v>
      </c>
      <c r="N568" s="31">
        <v>0</v>
      </c>
      <c r="O568" s="46">
        <v>0</v>
      </c>
      <c r="P568" s="47">
        <v>0</v>
      </c>
      <c r="Q568" s="35" t="s">
        <v>154</v>
      </c>
    </row>
    <row r="569" spans="1:17" ht="24" x14ac:dyDescent="0.25">
      <c r="A569" s="21">
        <v>37718</v>
      </c>
      <c r="B569" s="21">
        <v>37718</v>
      </c>
      <c r="C569" s="43">
        <v>2003</v>
      </c>
      <c r="D569" s="35" t="s">
        <v>28</v>
      </c>
      <c r="E569" s="30" t="s">
        <v>133</v>
      </c>
      <c r="F569" s="28" t="s">
        <v>157</v>
      </c>
      <c r="G569" s="51" t="s">
        <v>110</v>
      </c>
      <c r="H569" s="51" t="s">
        <v>873</v>
      </c>
      <c r="I569" s="46">
        <v>0</v>
      </c>
      <c r="J569" s="46">
        <v>1</v>
      </c>
      <c r="K569" s="46">
        <v>0</v>
      </c>
      <c r="L569" s="46">
        <v>0</v>
      </c>
      <c r="M569" s="31">
        <v>0</v>
      </c>
      <c r="N569" s="31">
        <v>0</v>
      </c>
      <c r="O569" s="46">
        <v>0</v>
      </c>
      <c r="P569" s="47">
        <v>0</v>
      </c>
      <c r="Q569" s="35" t="s">
        <v>154</v>
      </c>
    </row>
    <row r="570" spans="1:17" ht="72" x14ac:dyDescent="0.25">
      <c r="A570" s="21">
        <v>37719</v>
      </c>
      <c r="B570" s="21">
        <v>37719</v>
      </c>
      <c r="C570" s="43">
        <v>2003</v>
      </c>
      <c r="D570" s="35" t="s">
        <v>28</v>
      </c>
      <c r="E570" s="30" t="s">
        <v>133</v>
      </c>
      <c r="F570" s="7" t="s">
        <v>87</v>
      </c>
      <c r="G570" s="51" t="s">
        <v>874</v>
      </c>
      <c r="H570" s="51" t="s">
        <v>875</v>
      </c>
      <c r="I570" s="46">
        <v>0</v>
      </c>
      <c r="J570" s="46">
        <v>10</v>
      </c>
      <c r="K570" s="46">
        <v>0</v>
      </c>
      <c r="L570" s="46">
        <v>0</v>
      </c>
      <c r="M570" s="31">
        <v>0</v>
      </c>
      <c r="N570" s="31">
        <v>0</v>
      </c>
      <c r="O570" s="46">
        <v>0</v>
      </c>
      <c r="P570" s="47">
        <v>0</v>
      </c>
      <c r="Q570" s="35" t="s">
        <v>154</v>
      </c>
    </row>
    <row r="571" spans="1:17" ht="48" x14ac:dyDescent="0.25">
      <c r="A571" s="21">
        <v>37724</v>
      </c>
      <c r="B571" s="21">
        <v>37724</v>
      </c>
      <c r="C571" s="43">
        <v>2003</v>
      </c>
      <c r="D571" s="35" t="s">
        <v>28</v>
      </c>
      <c r="E571" s="30" t="s">
        <v>133</v>
      </c>
      <c r="F571" s="28" t="s">
        <v>157</v>
      </c>
      <c r="G571" s="51" t="s">
        <v>876</v>
      </c>
      <c r="H571" s="51" t="s">
        <v>877</v>
      </c>
      <c r="I571" s="46">
        <v>0</v>
      </c>
      <c r="J571" s="46">
        <v>9</v>
      </c>
      <c r="K571" s="46">
        <v>0</v>
      </c>
      <c r="L571" s="46">
        <v>0</v>
      </c>
      <c r="M571" s="31">
        <v>0</v>
      </c>
      <c r="N571" s="31">
        <v>0</v>
      </c>
      <c r="O571" s="46">
        <v>0</v>
      </c>
      <c r="P571" s="47">
        <v>0</v>
      </c>
      <c r="Q571" s="35" t="s">
        <v>154</v>
      </c>
    </row>
    <row r="572" spans="1:17" ht="36" x14ac:dyDescent="0.25">
      <c r="A572" s="21">
        <v>37748</v>
      </c>
      <c r="B572" s="21">
        <v>37748</v>
      </c>
      <c r="C572" s="43">
        <v>2003</v>
      </c>
      <c r="D572" s="35" t="s">
        <v>28</v>
      </c>
      <c r="E572" s="30" t="s">
        <v>133</v>
      </c>
      <c r="F572" s="7" t="s">
        <v>53</v>
      </c>
      <c r="G572" s="51" t="s">
        <v>878</v>
      </c>
      <c r="H572" s="51" t="s">
        <v>879</v>
      </c>
      <c r="I572" s="46">
        <v>0</v>
      </c>
      <c r="J572" s="46">
        <v>1</v>
      </c>
      <c r="K572" s="46">
        <v>0</v>
      </c>
      <c r="L572" s="46">
        <v>0</v>
      </c>
      <c r="M572" s="31">
        <v>0</v>
      </c>
      <c r="N572" s="31">
        <v>0</v>
      </c>
      <c r="O572" s="46">
        <v>0</v>
      </c>
      <c r="P572" s="47">
        <v>0</v>
      </c>
      <c r="Q572" s="35" t="s">
        <v>154</v>
      </c>
    </row>
    <row r="573" spans="1:17" ht="36" x14ac:dyDescent="0.25">
      <c r="A573" s="21">
        <v>37749</v>
      </c>
      <c r="B573" s="21">
        <v>37749</v>
      </c>
      <c r="C573" s="43">
        <v>2003</v>
      </c>
      <c r="D573" s="35" t="s">
        <v>28</v>
      </c>
      <c r="E573" s="30" t="s">
        <v>133</v>
      </c>
      <c r="F573" s="7" t="s">
        <v>53</v>
      </c>
      <c r="G573" s="51" t="s">
        <v>451</v>
      </c>
      <c r="H573" s="51" t="s">
        <v>880</v>
      </c>
      <c r="I573" s="46">
        <v>1</v>
      </c>
      <c r="J573" s="46">
        <v>4</v>
      </c>
      <c r="K573" s="46">
        <v>0</v>
      </c>
      <c r="L573" s="46">
        <v>0</v>
      </c>
      <c r="M573" s="31">
        <v>0</v>
      </c>
      <c r="N573" s="31">
        <v>0</v>
      </c>
      <c r="O573" s="46">
        <v>0</v>
      </c>
      <c r="P573" s="47">
        <v>0</v>
      </c>
      <c r="Q573" s="35" t="s">
        <v>154</v>
      </c>
    </row>
    <row r="574" spans="1:17" ht="48" x14ac:dyDescent="0.25">
      <c r="A574" s="21">
        <v>37767</v>
      </c>
      <c r="B574" s="21">
        <v>37767</v>
      </c>
      <c r="C574" s="43">
        <v>2003</v>
      </c>
      <c r="D574" s="35" t="s">
        <v>28</v>
      </c>
      <c r="E574" s="30" t="s">
        <v>133</v>
      </c>
      <c r="F574" s="28" t="s">
        <v>157</v>
      </c>
      <c r="G574" s="51" t="s">
        <v>401</v>
      </c>
      <c r="H574" s="51" t="s">
        <v>881</v>
      </c>
      <c r="I574" s="46">
        <v>0</v>
      </c>
      <c r="J574" s="46">
        <v>2</v>
      </c>
      <c r="K574" s="46">
        <v>0</v>
      </c>
      <c r="L574" s="46">
        <v>0</v>
      </c>
      <c r="M574" s="31">
        <v>0</v>
      </c>
      <c r="N574" s="31">
        <v>0</v>
      </c>
      <c r="O574" s="46">
        <v>0</v>
      </c>
      <c r="P574" s="47">
        <v>0</v>
      </c>
      <c r="Q574" s="35" t="s">
        <v>154</v>
      </c>
    </row>
    <row r="575" spans="1:17" ht="48" x14ac:dyDescent="0.25">
      <c r="A575" s="21">
        <v>37789</v>
      </c>
      <c r="B575" s="21">
        <v>37789</v>
      </c>
      <c r="C575" s="43">
        <v>2003</v>
      </c>
      <c r="D575" s="35" t="s">
        <v>28</v>
      </c>
      <c r="E575" s="30" t="s">
        <v>133</v>
      </c>
      <c r="F575" s="28" t="s">
        <v>157</v>
      </c>
      <c r="G575" s="51" t="s">
        <v>882</v>
      </c>
      <c r="H575" s="51" t="s">
        <v>883</v>
      </c>
      <c r="I575" s="46">
        <v>4</v>
      </c>
      <c r="J575" s="46">
        <v>7</v>
      </c>
      <c r="K575" s="46">
        <v>0</v>
      </c>
      <c r="L575" s="46">
        <v>0</v>
      </c>
      <c r="M575" s="31">
        <v>0</v>
      </c>
      <c r="N575" s="31">
        <v>0</v>
      </c>
      <c r="O575" s="46">
        <v>0</v>
      </c>
      <c r="P575" s="47">
        <v>0</v>
      </c>
      <c r="Q575" s="35" t="s">
        <v>154</v>
      </c>
    </row>
    <row r="576" spans="1:17" ht="36" x14ac:dyDescent="0.25">
      <c r="A576" s="21">
        <v>37799</v>
      </c>
      <c r="B576" s="21">
        <v>37799</v>
      </c>
      <c r="C576" s="43">
        <v>2003</v>
      </c>
      <c r="D576" s="35" t="s">
        <v>28</v>
      </c>
      <c r="E576" s="30" t="s">
        <v>133</v>
      </c>
      <c r="F576" s="7" t="s">
        <v>72</v>
      </c>
      <c r="G576" s="51" t="s">
        <v>884</v>
      </c>
      <c r="H576" s="51" t="s">
        <v>885</v>
      </c>
      <c r="I576" s="46">
        <v>0</v>
      </c>
      <c r="J576" s="46">
        <v>5</v>
      </c>
      <c r="K576" s="46">
        <v>0</v>
      </c>
      <c r="L576" s="46">
        <v>0</v>
      </c>
      <c r="M576" s="31">
        <v>0</v>
      </c>
      <c r="N576" s="31">
        <v>0</v>
      </c>
      <c r="O576" s="46">
        <v>0</v>
      </c>
      <c r="P576" s="47">
        <v>0</v>
      </c>
      <c r="Q576" s="35" t="s">
        <v>154</v>
      </c>
    </row>
    <row r="577" spans="1:17" ht="48" x14ac:dyDescent="0.25">
      <c r="A577" s="21">
        <v>37802</v>
      </c>
      <c r="B577" s="21">
        <v>37802</v>
      </c>
      <c r="C577" s="43">
        <v>2003</v>
      </c>
      <c r="D577" s="35" t="s">
        <v>28</v>
      </c>
      <c r="E577" s="30" t="s">
        <v>133</v>
      </c>
      <c r="F577" s="7" t="s">
        <v>77</v>
      </c>
      <c r="G577" s="51" t="s">
        <v>77</v>
      </c>
      <c r="H577" s="51" t="s">
        <v>886</v>
      </c>
      <c r="I577" s="46">
        <v>1</v>
      </c>
      <c r="J577" s="46">
        <v>11</v>
      </c>
      <c r="K577" s="46">
        <v>0</v>
      </c>
      <c r="L577" s="46">
        <v>0</v>
      </c>
      <c r="M577" s="31">
        <v>0</v>
      </c>
      <c r="N577" s="31">
        <v>0</v>
      </c>
      <c r="O577" s="46">
        <v>0</v>
      </c>
      <c r="P577" s="47">
        <v>0</v>
      </c>
      <c r="Q577" s="35" t="s">
        <v>154</v>
      </c>
    </row>
    <row r="578" spans="1:17" ht="60" x14ac:dyDescent="0.25">
      <c r="A578" s="21">
        <v>37804</v>
      </c>
      <c r="B578" s="21">
        <v>37804</v>
      </c>
      <c r="C578" s="43">
        <v>2003</v>
      </c>
      <c r="D578" s="35" t="s">
        <v>28</v>
      </c>
      <c r="E578" s="30" t="s">
        <v>133</v>
      </c>
      <c r="F578" s="7" t="s">
        <v>72</v>
      </c>
      <c r="G578" s="51" t="s">
        <v>887</v>
      </c>
      <c r="H578" s="51" t="s">
        <v>888</v>
      </c>
      <c r="I578" s="46">
        <v>0</v>
      </c>
      <c r="J578" s="46">
        <v>1</v>
      </c>
      <c r="K578" s="46">
        <v>1</v>
      </c>
      <c r="L578" s="46">
        <v>0</v>
      </c>
      <c r="M578" s="31">
        <v>0</v>
      </c>
      <c r="N578" s="31">
        <v>0</v>
      </c>
      <c r="O578" s="46">
        <v>0</v>
      </c>
      <c r="P578" s="47">
        <v>2.8E-3</v>
      </c>
      <c r="Q578" s="35" t="s">
        <v>154</v>
      </c>
    </row>
    <row r="579" spans="1:17" ht="72" x14ac:dyDescent="0.25">
      <c r="A579" s="21">
        <v>37823</v>
      </c>
      <c r="B579" s="21">
        <v>37823</v>
      </c>
      <c r="C579" s="43">
        <v>2003</v>
      </c>
      <c r="D579" s="35" t="s">
        <v>28</v>
      </c>
      <c r="E579" s="30" t="s">
        <v>133</v>
      </c>
      <c r="F579" s="7" t="s">
        <v>68</v>
      </c>
      <c r="G579" s="51" t="s">
        <v>889</v>
      </c>
      <c r="H579" s="51" t="s">
        <v>890</v>
      </c>
      <c r="I579" s="46">
        <v>0</v>
      </c>
      <c r="J579" s="46">
        <v>44</v>
      </c>
      <c r="K579" s="46">
        <v>10</v>
      </c>
      <c r="L579" s="46">
        <v>0</v>
      </c>
      <c r="M579" s="31">
        <v>0</v>
      </c>
      <c r="N579" s="31">
        <v>0</v>
      </c>
      <c r="O579" s="46">
        <v>0</v>
      </c>
      <c r="P579" s="47">
        <v>0.1368</v>
      </c>
      <c r="Q579" s="35" t="s">
        <v>154</v>
      </c>
    </row>
    <row r="580" spans="1:17" ht="48" x14ac:dyDescent="0.25">
      <c r="A580" s="21">
        <v>37825</v>
      </c>
      <c r="B580" s="21">
        <v>37825</v>
      </c>
      <c r="C580" s="43">
        <v>2003</v>
      </c>
      <c r="D580" s="35" t="s">
        <v>28</v>
      </c>
      <c r="E580" s="30" t="s">
        <v>133</v>
      </c>
      <c r="F580" s="7" t="s">
        <v>53</v>
      </c>
      <c r="G580" s="51" t="s">
        <v>891</v>
      </c>
      <c r="H580" s="51" t="s">
        <v>892</v>
      </c>
      <c r="I580" s="46">
        <v>2</v>
      </c>
      <c r="J580" s="46">
        <v>3</v>
      </c>
      <c r="K580" s="46">
        <v>0</v>
      </c>
      <c r="L580" s="46">
        <v>0</v>
      </c>
      <c r="M580" s="31">
        <v>0</v>
      </c>
      <c r="N580" s="31">
        <v>0</v>
      </c>
      <c r="O580" s="46">
        <v>0</v>
      </c>
      <c r="P580" s="47">
        <v>0</v>
      </c>
      <c r="Q580" s="35" t="s">
        <v>154</v>
      </c>
    </row>
    <row r="581" spans="1:17" ht="60" x14ac:dyDescent="0.25">
      <c r="A581" s="21">
        <v>37841</v>
      </c>
      <c r="B581" s="21">
        <v>37841</v>
      </c>
      <c r="C581" s="43">
        <v>2003</v>
      </c>
      <c r="D581" s="35" t="s">
        <v>28</v>
      </c>
      <c r="E581" s="30" t="s">
        <v>133</v>
      </c>
      <c r="F581" s="28" t="s">
        <v>210</v>
      </c>
      <c r="G581" s="51" t="s">
        <v>893</v>
      </c>
      <c r="H581" s="51" t="s">
        <v>894</v>
      </c>
      <c r="I581" s="46">
        <v>1</v>
      </c>
      <c r="J581" s="46">
        <v>7</v>
      </c>
      <c r="K581" s="46">
        <v>25</v>
      </c>
      <c r="L581" s="46">
        <v>0</v>
      </c>
      <c r="M581" s="31">
        <v>0</v>
      </c>
      <c r="N581" s="31">
        <v>0</v>
      </c>
      <c r="O581" s="46">
        <v>0</v>
      </c>
      <c r="P581" s="47">
        <v>1E-4</v>
      </c>
      <c r="Q581" s="35" t="s">
        <v>154</v>
      </c>
    </row>
    <row r="582" spans="1:17" ht="36" x14ac:dyDescent="0.25">
      <c r="A582" s="21">
        <v>37844</v>
      </c>
      <c r="B582" s="21">
        <v>37844</v>
      </c>
      <c r="C582" s="43">
        <v>2003</v>
      </c>
      <c r="D582" s="35" t="s">
        <v>28</v>
      </c>
      <c r="E582" s="30" t="s">
        <v>133</v>
      </c>
      <c r="F582" s="7" t="s">
        <v>97</v>
      </c>
      <c r="G582" s="51" t="s">
        <v>895</v>
      </c>
      <c r="H582" s="51" t="s">
        <v>896</v>
      </c>
      <c r="I582" s="46">
        <v>7</v>
      </c>
      <c r="J582" s="46">
        <v>7</v>
      </c>
      <c r="K582" s="46">
        <v>0</v>
      </c>
      <c r="L582" s="46">
        <v>0</v>
      </c>
      <c r="M582" s="31">
        <v>0</v>
      </c>
      <c r="N582" s="31">
        <v>0</v>
      </c>
      <c r="O582" s="46">
        <v>0</v>
      </c>
      <c r="P582" s="47">
        <v>0</v>
      </c>
      <c r="Q582" s="35" t="s">
        <v>154</v>
      </c>
    </row>
    <row r="583" spans="1:17" ht="60" x14ac:dyDescent="0.25">
      <c r="A583" s="21">
        <v>37848</v>
      </c>
      <c r="B583" s="21">
        <v>37848</v>
      </c>
      <c r="C583" s="43">
        <v>2003</v>
      </c>
      <c r="D583" s="35" t="s">
        <v>28</v>
      </c>
      <c r="E583" s="30" t="s">
        <v>133</v>
      </c>
      <c r="F583" s="28" t="s">
        <v>160</v>
      </c>
      <c r="G583" s="51" t="s">
        <v>897</v>
      </c>
      <c r="H583" s="51" t="s">
        <v>898</v>
      </c>
      <c r="I583" s="46">
        <v>0</v>
      </c>
      <c r="J583" s="46">
        <v>4</v>
      </c>
      <c r="K583" s="46">
        <v>2</v>
      </c>
      <c r="L583" s="46">
        <v>0</v>
      </c>
      <c r="M583" s="31">
        <v>0</v>
      </c>
      <c r="N583" s="31">
        <v>0</v>
      </c>
      <c r="O583" s="46">
        <v>0</v>
      </c>
      <c r="P583" s="47">
        <v>5.7000000000000002E-3</v>
      </c>
      <c r="Q583" s="35" t="s">
        <v>154</v>
      </c>
    </row>
    <row r="584" spans="1:17" ht="48" x14ac:dyDescent="0.25">
      <c r="A584" s="21">
        <v>37865</v>
      </c>
      <c r="B584" s="21">
        <v>37865</v>
      </c>
      <c r="C584" s="43">
        <v>2003</v>
      </c>
      <c r="D584" s="35" t="s">
        <v>28</v>
      </c>
      <c r="E584" s="30" t="s">
        <v>133</v>
      </c>
      <c r="F584" s="7" t="s">
        <v>101</v>
      </c>
      <c r="G584" s="51" t="s">
        <v>899</v>
      </c>
      <c r="H584" s="51" t="s">
        <v>900</v>
      </c>
      <c r="I584" s="46">
        <v>0</v>
      </c>
      <c r="J584" s="46">
        <v>9</v>
      </c>
      <c r="K584" s="46">
        <v>0</v>
      </c>
      <c r="L584" s="46">
        <v>1</v>
      </c>
      <c r="M584" s="31">
        <v>0</v>
      </c>
      <c r="N584" s="31">
        <v>0</v>
      </c>
      <c r="O584" s="46">
        <v>0</v>
      </c>
      <c r="P584" s="47">
        <v>0</v>
      </c>
      <c r="Q584" s="35" t="s">
        <v>154</v>
      </c>
    </row>
    <row r="585" spans="1:17" ht="36" x14ac:dyDescent="0.25">
      <c r="A585" s="21">
        <v>37866</v>
      </c>
      <c r="B585" s="21">
        <v>37866</v>
      </c>
      <c r="C585" s="43">
        <v>2003</v>
      </c>
      <c r="D585" s="35" t="s">
        <v>28</v>
      </c>
      <c r="E585" s="30" t="s">
        <v>133</v>
      </c>
      <c r="F585" s="7" t="s">
        <v>30</v>
      </c>
      <c r="G585" s="51" t="s">
        <v>901</v>
      </c>
      <c r="H585" s="51" t="s">
        <v>902</v>
      </c>
      <c r="I585" s="46">
        <v>0</v>
      </c>
      <c r="J585" s="46">
        <v>0</v>
      </c>
      <c r="K585" s="46">
        <v>6</v>
      </c>
      <c r="L585" s="46">
        <v>0</v>
      </c>
      <c r="M585" s="31">
        <v>0</v>
      </c>
      <c r="N585" s="31">
        <v>0</v>
      </c>
      <c r="O585" s="46">
        <v>0</v>
      </c>
      <c r="P585" s="47">
        <v>1.72E-2</v>
      </c>
      <c r="Q585" s="35" t="s">
        <v>154</v>
      </c>
    </row>
    <row r="586" spans="1:17" ht="60" x14ac:dyDescent="0.25">
      <c r="A586" s="21">
        <v>37869</v>
      </c>
      <c r="B586" s="21">
        <v>37869</v>
      </c>
      <c r="C586" s="43">
        <v>2003</v>
      </c>
      <c r="D586" s="35" t="s">
        <v>28</v>
      </c>
      <c r="E586" s="30" t="s">
        <v>133</v>
      </c>
      <c r="F586" s="7" t="s">
        <v>65</v>
      </c>
      <c r="G586" s="51" t="s">
        <v>110</v>
      </c>
      <c r="H586" s="51" t="s">
        <v>903</v>
      </c>
      <c r="I586" s="46">
        <v>0</v>
      </c>
      <c r="J586" s="46">
        <v>1</v>
      </c>
      <c r="K586" s="46">
        <v>0</v>
      </c>
      <c r="L586" s="46">
        <v>0</v>
      </c>
      <c r="M586" s="31">
        <v>0</v>
      </c>
      <c r="N586" s="31">
        <v>0</v>
      </c>
      <c r="O586" s="46">
        <v>0</v>
      </c>
      <c r="P586" s="47">
        <v>0</v>
      </c>
      <c r="Q586" s="35" t="s">
        <v>154</v>
      </c>
    </row>
    <row r="587" spans="1:17" ht="72" x14ac:dyDescent="0.25">
      <c r="A587" s="21">
        <v>37874</v>
      </c>
      <c r="B587" s="21">
        <v>37874</v>
      </c>
      <c r="C587" s="43">
        <v>2003</v>
      </c>
      <c r="D587" s="35" t="s">
        <v>28</v>
      </c>
      <c r="E587" s="30" t="s">
        <v>133</v>
      </c>
      <c r="F587" s="7" t="s">
        <v>75</v>
      </c>
      <c r="G587" s="51" t="s">
        <v>110</v>
      </c>
      <c r="H587" s="51" t="s">
        <v>904</v>
      </c>
      <c r="I587" s="46">
        <v>5</v>
      </c>
      <c r="J587" s="46">
        <v>82</v>
      </c>
      <c r="K587" s="46">
        <v>0</v>
      </c>
      <c r="L587" s="46">
        <v>0</v>
      </c>
      <c r="M587" s="31">
        <v>0</v>
      </c>
      <c r="N587" s="31">
        <v>0</v>
      </c>
      <c r="O587" s="46">
        <v>0</v>
      </c>
      <c r="P587" s="47">
        <v>0</v>
      </c>
      <c r="Q587" s="35" t="s">
        <v>154</v>
      </c>
    </row>
    <row r="588" spans="1:17" ht="36" x14ac:dyDescent="0.25">
      <c r="A588" s="21">
        <v>37875</v>
      </c>
      <c r="B588" s="21">
        <v>37875</v>
      </c>
      <c r="C588" s="43">
        <v>2003</v>
      </c>
      <c r="D588" s="35" t="s">
        <v>28</v>
      </c>
      <c r="E588" s="30" t="s">
        <v>133</v>
      </c>
      <c r="F588" s="7" t="s">
        <v>97</v>
      </c>
      <c r="G588" s="51" t="s">
        <v>489</v>
      </c>
      <c r="H588" s="51" t="s">
        <v>905</v>
      </c>
      <c r="I588" s="46">
        <v>0</v>
      </c>
      <c r="J588" s="46">
        <v>4</v>
      </c>
      <c r="K588" s="46">
        <v>0</v>
      </c>
      <c r="L588" s="46">
        <v>0</v>
      </c>
      <c r="M588" s="31">
        <v>0</v>
      </c>
      <c r="N588" s="31">
        <v>0</v>
      </c>
      <c r="O588" s="46">
        <v>0</v>
      </c>
      <c r="P588" s="47">
        <v>0</v>
      </c>
      <c r="Q588" s="35" t="s">
        <v>154</v>
      </c>
    </row>
    <row r="589" spans="1:17" ht="60" x14ac:dyDescent="0.25">
      <c r="A589" s="21">
        <v>37893</v>
      </c>
      <c r="B589" s="21">
        <v>37893</v>
      </c>
      <c r="C589" s="43">
        <v>2003</v>
      </c>
      <c r="D589" s="35" t="s">
        <v>28</v>
      </c>
      <c r="E589" s="30" t="s">
        <v>133</v>
      </c>
      <c r="F589" s="7" t="s">
        <v>53</v>
      </c>
      <c r="G589" s="51" t="s">
        <v>906</v>
      </c>
      <c r="H589" s="51" t="s">
        <v>907</v>
      </c>
      <c r="I589" s="46">
        <v>1</v>
      </c>
      <c r="J589" s="46">
        <v>7</v>
      </c>
      <c r="K589" s="46">
        <v>0</v>
      </c>
      <c r="L589" s="46">
        <v>0</v>
      </c>
      <c r="M589" s="31">
        <v>0</v>
      </c>
      <c r="N589" s="31">
        <v>0</v>
      </c>
      <c r="O589" s="46">
        <v>0</v>
      </c>
      <c r="P589" s="47">
        <v>0</v>
      </c>
      <c r="Q589" s="35" t="s">
        <v>154</v>
      </c>
    </row>
    <row r="590" spans="1:17" ht="48" x14ac:dyDescent="0.25">
      <c r="A590" s="21">
        <v>37894</v>
      </c>
      <c r="B590" s="21">
        <v>37894</v>
      </c>
      <c r="C590" s="43">
        <v>2003</v>
      </c>
      <c r="D590" s="35" t="s">
        <v>28</v>
      </c>
      <c r="E590" s="30" t="s">
        <v>133</v>
      </c>
      <c r="F590" s="7" t="s">
        <v>60</v>
      </c>
      <c r="G590" s="51" t="s">
        <v>908</v>
      </c>
      <c r="H590" s="51" t="s">
        <v>909</v>
      </c>
      <c r="I590" s="46">
        <v>0</v>
      </c>
      <c r="J590" s="46">
        <v>1</v>
      </c>
      <c r="K590" s="46">
        <v>0</v>
      </c>
      <c r="L590" s="46">
        <v>0</v>
      </c>
      <c r="M590" s="31">
        <v>0</v>
      </c>
      <c r="N590" s="31">
        <v>0</v>
      </c>
      <c r="O590" s="46">
        <v>0</v>
      </c>
      <c r="P590" s="47">
        <v>0</v>
      </c>
      <c r="Q590" s="35" t="s">
        <v>154</v>
      </c>
    </row>
    <row r="591" spans="1:17" ht="36" x14ac:dyDescent="0.25">
      <c r="A591" s="21">
        <v>37896</v>
      </c>
      <c r="B591" s="21">
        <v>37896</v>
      </c>
      <c r="C591" s="43">
        <v>2003</v>
      </c>
      <c r="D591" s="35" t="s">
        <v>28</v>
      </c>
      <c r="E591" s="30" t="s">
        <v>133</v>
      </c>
      <c r="F591" s="28" t="s">
        <v>157</v>
      </c>
      <c r="G591" s="51" t="s">
        <v>110</v>
      </c>
      <c r="H591" s="51" t="s">
        <v>910</v>
      </c>
      <c r="I591" s="46">
        <v>0</v>
      </c>
      <c r="J591" s="46">
        <v>8</v>
      </c>
      <c r="K591" s="46">
        <v>0</v>
      </c>
      <c r="L591" s="46">
        <v>0</v>
      </c>
      <c r="M591" s="31">
        <v>0</v>
      </c>
      <c r="N591" s="31">
        <v>0</v>
      </c>
      <c r="O591" s="46">
        <v>0</v>
      </c>
      <c r="P591" s="47">
        <v>0</v>
      </c>
      <c r="Q591" s="35" t="s">
        <v>154</v>
      </c>
    </row>
    <row r="592" spans="1:17" ht="36" x14ac:dyDescent="0.25">
      <c r="A592" s="21">
        <v>37902</v>
      </c>
      <c r="B592" s="21">
        <v>37902</v>
      </c>
      <c r="C592" s="43">
        <v>2003</v>
      </c>
      <c r="D592" s="35" t="s">
        <v>28</v>
      </c>
      <c r="E592" s="30" t="s">
        <v>133</v>
      </c>
      <c r="F592" s="28" t="s">
        <v>160</v>
      </c>
      <c r="G592" s="51" t="s">
        <v>110</v>
      </c>
      <c r="H592" s="51" t="s">
        <v>911</v>
      </c>
      <c r="I592" s="46">
        <v>0</v>
      </c>
      <c r="J592" s="46">
        <v>3</v>
      </c>
      <c r="K592" s="46">
        <v>0</v>
      </c>
      <c r="L592" s="46">
        <v>0</v>
      </c>
      <c r="M592" s="31">
        <v>0</v>
      </c>
      <c r="N592" s="31">
        <v>0</v>
      </c>
      <c r="O592" s="46">
        <v>0</v>
      </c>
      <c r="P592" s="47">
        <v>0</v>
      </c>
      <c r="Q592" s="35" t="s">
        <v>154</v>
      </c>
    </row>
    <row r="593" spans="1:17" ht="36" x14ac:dyDescent="0.25">
      <c r="A593" s="21">
        <v>37902</v>
      </c>
      <c r="B593" s="21">
        <v>37902</v>
      </c>
      <c r="C593" s="43">
        <v>2003</v>
      </c>
      <c r="D593" s="35" t="s">
        <v>28</v>
      </c>
      <c r="E593" s="30" t="s">
        <v>133</v>
      </c>
      <c r="F593" s="7" t="s">
        <v>75</v>
      </c>
      <c r="G593" s="51" t="s">
        <v>75</v>
      </c>
      <c r="H593" s="51" t="s">
        <v>912</v>
      </c>
      <c r="I593" s="46">
        <v>0</v>
      </c>
      <c r="J593" s="46">
        <v>1</v>
      </c>
      <c r="K593" s="46">
        <v>0</v>
      </c>
      <c r="L593" s="46">
        <v>0</v>
      </c>
      <c r="M593" s="31">
        <v>0</v>
      </c>
      <c r="N593" s="31">
        <v>0</v>
      </c>
      <c r="O593" s="46">
        <v>0</v>
      </c>
      <c r="P593" s="47">
        <v>0</v>
      </c>
      <c r="Q593" s="35" t="s">
        <v>154</v>
      </c>
    </row>
    <row r="594" spans="1:17" ht="36" x14ac:dyDescent="0.25">
      <c r="A594" s="21">
        <v>37904</v>
      </c>
      <c r="B594" s="21">
        <v>37904</v>
      </c>
      <c r="C594" s="43">
        <v>2003</v>
      </c>
      <c r="D594" s="35" t="s">
        <v>28</v>
      </c>
      <c r="E594" s="30" t="s">
        <v>133</v>
      </c>
      <c r="F594" s="7" t="s">
        <v>91</v>
      </c>
      <c r="G594" s="51" t="s">
        <v>110</v>
      </c>
      <c r="H594" s="51" t="s">
        <v>913</v>
      </c>
      <c r="I594" s="46">
        <v>1</v>
      </c>
      <c r="J594" s="46">
        <v>1</v>
      </c>
      <c r="K594" s="46">
        <v>0</v>
      </c>
      <c r="L594" s="46">
        <v>0</v>
      </c>
      <c r="M594" s="31">
        <v>0</v>
      </c>
      <c r="N594" s="31">
        <v>0</v>
      </c>
      <c r="O594" s="46">
        <v>0</v>
      </c>
      <c r="P594" s="47">
        <v>0</v>
      </c>
      <c r="Q594" s="35" t="s">
        <v>154</v>
      </c>
    </row>
    <row r="595" spans="1:17" ht="48" x14ac:dyDescent="0.25">
      <c r="A595" s="21">
        <v>37916</v>
      </c>
      <c r="B595" s="21">
        <v>37916</v>
      </c>
      <c r="C595" s="43">
        <v>2003</v>
      </c>
      <c r="D595" s="35" t="s">
        <v>28</v>
      </c>
      <c r="E595" s="30" t="s">
        <v>133</v>
      </c>
      <c r="F595" s="7" t="s">
        <v>62</v>
      </c>
      <c r="G595" s="51" t="s">
        <v>110</v>
      </c>
      <c r="H595" s="51" t="s">
        <v>914</v>
      </c>
      <c r="I595" s="46">
        <v>0</v>
      </c>
      <c r="J595" s="46">
        <v>7</v>
      </c>
      <c r="K595" s="46">
        <v>0</v>
      </c>
      <c r="L595" s="46">
        <v>0</v>
      </c>
      <c r="M595" s="31">
        <v>0</v>
      </c>
      <c r="N595" s="31">
        <v>0</v>
      </c>
      <c r="O595" s="46">
        <v>0</v>
      </c>
      <c r="P595" s="47">
        <v>0</v>
      </c>
      <c r="Q595" s="35" t="s">
        <v>154</v>
      </c>
    </row>
    <row r="596" spans="1:17" ht="36" x14ac:dyDescent="0.25">
      <c r="A596" s="21">
        <v>37924</v>
      </c>
      <c r="B596" s="21">
        <v>37924</v>
      </c>
      <c r="C596" s="43">
        <v>2003</v>
      </c>
      <c r="D596" s="35" t="s">
        <v>28</v>
      </c>
      <c r="E596" s="30" t="s">
        <v>133</v>
      </c>
      <c r="F596" s="7" t="s">
        <v>68</v>
      </c>
      <c r="G596" s="51" t="s">
        <v>915</v>
      </c>
      <c r="H596" s="51" t="s">
        <v>916</v>
      </c>
      <c r="I596" s="46">
        <v>0</v>
      </c>
      <c r="J596" s="46">
        <v>4</v>
      </c>
      <c r="K596" s="46">
        <v>0</v>
      </c>
      <c r="L596" s="46">
        <v>0</v>
      </c>
      <c r="M596" s="31">
        <v>0</v>
      </c>
      <c r="N596" s="31">
        <v>0</v>
      </c>
      <c r="O596" s="46">
        <v>0</v>
      </c>
      <c r="P596" s="47">
        <v>0</v>
      </c>
      <c r="Q596" s="35" t="s">
        <v>154</v>
      </c>
    </row>
    <row r="597" spans="1:17" ht="60" x14ac:dyDescent="0.25">
      <c r="A597" s="21">
        <v>37929</v>
      </c>
      <c r="B597" s="21">
        <v>37929</v>
      </c>
      <c r="C597" s="43">
        <v>2003</v>
      </c>
      <c r="D597" s="35" t="s">
        <v>28</v>
      </c>
      <c r="E597" s="30" t="s">
        <v>133</v>
      </c>
      <c r="F597" s="28" t="s">
        <v>157</v>
      </c>
      <c r="G597" s="51" t="s">
        <v>401</v>
      </c>
      <c r="H597" s="51" t="s">
        <v>917</v>
      </c>
      <c r="I597" s="46">
        <v>0</v>
      </c>
      <c r="J597" s="46">
        <v>202</v>
      </c>
      <c r="K597" s="46">
        <v>0</v>
      </c>
      <c r="L597" s="46">
        <v>0</v>
      </c>
      <c r="M597" s="31">
        <v>0</v>
      </c>
      <c r="N597" s="31">
        <v>0</v>
      </c>
      <c r="O597" s="46">
        <v>0</v>
      </c>
      <c r="P597" s="47">
        <v>0</v>
      </c>
      <c r="Q597" s="35" t="s">
        <v>154</v>
      </c>
    </row>
    <row r="598" spans="1:17" ht="36" x14ac:dyDescent="0.25">
      <c r="A598" s="21">
        <v>37929</v>
      </c>
      <c r="B598" s="21">
        <v>37929</v>
      </c>
      <c r="C598" s="43">
        <v>2003</v>
      </c>
      <c r="D598" s="35" t="s">
        <v>28</v>
      </c>
      <c r="E598" s="30" t="s">
        <v>133</v>
      </c>
      <c r="F598" s="28" t="s">
        <v>160</v>
      </c>
      <c r="G598" s="51" t="s">
        <v>918</v>
      </c>
      <c r="H598" s="51" t="s">
        <v>919</v>
      </c>
      <c r="I598" s="46">
        <v>0</v>
      </c>
      <c r="J598" s="46">
        <v>14</v>
      </c>
      <c r="K598" s="46">
        <v>0</v>
      </c>
      <c r="L598" s="46">
        <v>0</v>
      </c>
      <c r="M598" s="31">
        <v>0</v>
      </c>
      <c r="N598" s="31">
        <v>0</v>
      </c>
      <c r="O598" s="46">
        <v>0</v>
      </c>
      <c r="P598" s="47">
        <v>0</v>
      </c>
      <c r="Q598" s="35" t="s">
        <v>154</v>
      </c>
    </row>
    <row r="599" spans="1:17" ht="36" x14ac:dyDescent="0.25">
      <c r="A599" s="21">
        <v>37931</v>
      </c>
      <c r="B599" s="21">
        <v>37931</v>
      </c>
      <c r="C599" s="43">
        <v>2003</v>
      </c>
      <c r="D599" s="35" t="s">
        <v>28</v>
      </c>
      <c r="E599" s="30" t="s">
        <v>133</v>
      </c>
      <c r="F599" s="28" t="s">
        <v>157</v>
      </c>
      <c r="G599" s="51" t="s">
        <v>857</v>
      </c>
      <c r="H599" s="51" t="s">
        <v>920</v>
      </c>
      <c r="I599" s="46">
        <v>0</v>
      </c>
      <c r="J599" s="46">
        <v>2</v>
      </c>
      <c r="K599" s="46">
        <v>1</v>
      </c>
      <c r="L599" s="46">
        <v>0</v>
      </c>
      <c r="M599" s="31">
        <v>0</v>
      </c>
      <c r="N599" s="31">
        <v>0</v>
      </c>
      <c r="O599" s="46">
        <v>0</v>
      </c>
      <c r="P599" s="47">
        <v>2.8E-3</v>
      </c>
      <c r="Q599" s="35" t="s">
        <v>154</v>
      </c>
    </row>
    <row r="600" spans="1:17" ht="60" x14ac:dyDescent="0.25">
      <c r="A600" s="21">
        <v>37940</v>
      </c>
      <c r="B600" s="21">
        <v>37940</v>
      </c>
      <c r="C600" s="43">
        <v>2003</v>
      </c>
      <c r="D600" s="35" t="s">
        <v>28</v>
      </c>
      <c r="E600" s="30" t="s">
        <v>133</v>
      </c>
      <c r="F600" s="28" t="s">
        <v>210</v>
      </c>
      <c r="G600" s="51" t="s">
        <v>921</v>
      </c>
      <c r="H600" s="51" t="s">
        <v>922</v>
      </c>
      <c r="I600" s="46">
        <v>0</v>
      </c>
      <c r="J600" s="46">
        <v>9</v>
      </c>
      <c r="K600" s="46">
        <v>0</v>
      </c>
      <c r="L600" s="46">
        <v>0</v>
      </c>
      <c r="M600" s="31">
        <v>0</v>
      </c>
      <c r="N600" s="31">
        <v>0</v>
      </c>
      <c r="O600" s="46">
        <v>0</v>
      </c>
      <c r="P600" s="47">
        <v>1E-4</v>
      </c>
      <c r="Q600" s="35" t="s">
        <v>154</v>
      </c>
    </row>
    <row r="601" spans="1:17" ht="60" x14ac:dyDescent="0.25">
      <c r="A601" s="21">
        <v>37950</v>
      </c>
      <c r="B601" s="21">
        <v>37950</v>
      </c>
      <c r="C601" s="43">
        <v>2003</v>
      </c>
      <c r="D601" s="35" t="s">
        <v>28</v>
      </c>
      <c r="E601" s="30" t="s">
        <v>133</v>
      </c>
      <c r="F601" s="7" t="s">
        <v>87</v>
      </c>
      <c r="G601" s="51" t="s">
        <v>567</v>
      </c>
      <c r="H601" s="51" t="s">
        <v>923</v>
      </c>
      <c r="I601" s="46">
        <v>0</v>
      </c>
      <c r="J601" s="46">
        <v>70</v>
      </c>
      <c r="K601" s="46">
        <v>14</v>
      </c>
      <c r="L601" s="46">
        <v>0</v>
      </c>
      <c r="M601" s="31">
        <v>0</v>
      </c>
      <c r="N601" s="31">
        <v>0</v>
      </c>
      <c r="O601" s="46">
        <v>0</v>
      </c>
      <c r="P601" s="47">
        <v>0.61629999999999996</v>
      </c>
      <c r="Q601" s="35" t="s">
        <v>154</v>
      </c>
    </row>
    <row r="602" spans="1:17" ht="60" x14ac:dyDescent="0.25">
      <c r="A602" s="21">
        <v>37954</v>
      </c>
      <c r="B602" s="21">
        <v>37954</v>
      </c>
      <c r="C602" s="43">
        <v>2003</v>
      </c>
      <c r="D602" s="35" t="s">
        <v>28</v>
      </c>
      <c r="E602" s="30" t="s">
        <v>133</v>
      </c>
      <c r="F602" s="7" t="s">
        <v>60</v>
      </c>
      <c r="G602" s="51" t="s">
        <v>924</v>
      </c>
      <c r="H602" s="51" t="s">
        <v>925</v>
      </c>
      <c r="I602" s="46">
        <v>5</v>
      </c>
      <c r="J602" s="46">
        <v>13</v>
      </c>
      <c r="K602" s="46">
        <v>4</v>
      </c>
      <c r="L602" s="46">
        <v>0</v>
      </c>
      <c r="M602" s="31">
        <v>0</v>
      </c>
      <c r="N602" s="31">
        <v>0</v>
      </c>
      <c r="O602" s="46">
        <v>0</v>
      </c>
      <c r="P602" s="47">
        <v>0.113</v>
      </c>
      <c r="Q602" s="35" t="s">
        <v>154</v>
      </c>
    </row>
    <row r="603" spans="1:17" ht="36" x14ac:dyDescent="0.25">
      <c r="A603" s="21">
        <v>37957</v>
      </c>
      <c r="B603" s="21">
        <v>37957</v>
      </c>
      <c r="C603" s="43">
        <v>2003</v>
      </c>
      <c r="D603" s="35" t="s">
        <v>28</v>
      </c>
      <c r="E603" s="30" t="s">
        <v>133</v>
      </c>
      <c r="F603" s="7" t="s">
        <v>53</v>
      </c>
      <c r="G603" s="51" t="s">
        <v>926</v>
      </c>
      <c r="H603" s="51" t="s">
        <v>927</v>
      </c>
      <c r="I603" s="46">
        <v>0</v>
      </c>
      <c r="J603" s="46">
        <v>1</v>
      </c>
      <c r="K603" s="46">
        <v>0</v>
      </c>
      <c r="L603" s="46">
        <v>0</v>
      </c>
      <c r="M603" s="31">
        <v>0</v>
      </c>
      <c r="N603" s="31">
        <v>0</v>
      </c>
      <c r="O603" s="46">
        <v>0</v>
      </c>
      <c r="P603" s="47">
        <v>0</v>
      </c>
      <c r="Q603" s="35" t="s">
        <v>154</v>
      </c>
    </row>
    <row r="604" spans="1:17" ht="36" x14ac:dyDescent="0.25">
      <c r="A604" s="21">
        <v>37960</v>
      </c>
      <c r="B604" s="21">
        <v>37960</v>
      </c>
      <c r="C604" s="43">
        <v>2003</v>
      </c>
      <c r="D604" s="35" t="s">
        <v>28</v>
      </c>
      <c r="E604" s="30" t="s">
        <v>133</v>
      </c>
      <c r="F604" s="25" t="s">
        <v>781</v>
      </c>
      <c r="G604" s="51" t="s">
        <v>110</v>
      </c>
      <c r="H604" s="51" t="s">
        <v>928</v>
      </c>
      <c r="I604" s="46">
        <v>0</v>
      </c>
      <c r="J604" s="46">
        <v>3</v>
      </c>
      <c r="K604" s="46">
        <v>0</v>
      </c>
      <c r="L604" s="46">
        <v>0</v>
      </c>
      <c r="M604" s="31">
        <v>0</v>
      </c>
      <c r="N604" s="31">
        <v>0</v>
      </c>
      <c r="O604" s="46">
        <v>0</v>
      </c>
      <c r="P604" s="47">
        <v>0</v>
      </c>
      <c r="Q604" s="35" t="s">
        <v>154</v>
      </c>
    </row>
    <row r="605" spans="1:17" ht="60" x14ac:dyDescent="0.25">
      <c r="A605" s="21">
        <v>37973</v>
      </c>
      <c r="B605" s="21">
        <v>37973</v>
      </c>
      <c r="C605" s="43">
        <v>2003</v>
      </c>
      <c r="D605" s="35" t="s">
        <v>28</v>
      </c>
      <c r="E605" s="30" t="s">
        <v>133</v>
      </c>
      <c r="F605" s="28" t="s">
        <v>160</v>
      </c>
      <c r="G605" s="51" t="s">
        <v>929</v>
      </c>
      <c r="H605" s="51" t="s">
        <v>930</v>
      </c>
      <c r="I605" s="46">
        <v>1</v>
      </c>
      <c r="J605" s="46">
        <v>5</v>
      </c>
      <c r="K605" s="46">
        <v>0</v>
      </c>
      <c r="L605" s="46">
        <v>0</v>
      </c>
      <c r="M605" s="31">
        <v>0</v>
      </c>
      <c r="N605" s="31">
        <v>0</v>
      </c>
      <c r="O605" s="46">
        <v>0</v>
      </c>
      <c r="P605" s="47">
        <v>0</v>
      </c>
      <c r="Q605" s="35" t="s">
        <v>154</v>
      </c>
    </row>
    <row r="606" spans="1:17" ht="36" x14ac:dyDescent="0.25">
      <c r="A606" s="21">
        <v>37974</v>
      </c>
      <c r="B606" s="21">
        <v>37974</v>
      </c>
      <c r="C606" s="43">
        <v>2003</v>
      </c>
      <c r="D606" s="35" t="s">
        <v>28</v>
      </c>
      <c r="E606" s="30" t="s">
        <v>133</v>
      </c>
      <c r="F606" s="7" t="s">
        <v>56</v>
      </c>
      <c r="G606" s="51" t="s">
        <v>931</v>
      </c>
      <c r="H606" s="51" t="s">
        <v>932</v>
      </c>
      <c r="I606" s="46">
        <v>0</v>
      </c>
      <c r="J606" s="46">
        <v>1</v>
      </c>
      <c r="K606" s="46">
        <v>0</v>
      </c>
      <c r="L606" s="46">
        <v>0</v>
      </c>
      <c r="M606" s="31">
        <v>0</v>
      </c>
      <c r="N606" s="31">
        <v>0</v>
      </c>
      <c r="O606" s="46">
        <v>0</v>
      </c>
      <c r="P606" s="47">
        <v>0</v>
      </c>
      <c r="Q606" s="35" t="s">
        <v>154</v>
      </c>
    </row>
    <row r="607" spans="1:17" ht="48" x14ac:dyDescent="0.25">
      <c r="A607" s="21">
        <v>37978</v>
      </c>
      <c r="B607" s="21">
        <v>37978</v>
      </c>
      <c r="C607" s="43">
        <v>2003</v>
      </c>
      <c r="D607" s="35" t="s">
        <v>28</v>
      </c>
      <c r="E607" s="30" t="s">
        <v>133</v>
      </c>
      <c r="F607" s="28" t="s">
        <v>157</v>
      </c>
      <c r="G607" s="51" t="s">
        <v>110</v>
      </c>
      <c r="H607" s="51" t="s">
        <v>933</v>
      </c>
      <c r="I607" s="46">
        <v>1</v>
      </c>
      <c r="J607" s="46">
        <v>4</v>
      </c>
      <c r="K607" s="46">
        <v>0</v>
      </c>
      <c r="L607" s="46">
        <v>0</v>
      </c>
      <c r="M607" s="31">
        <v>0</v>
      </c>
      <c r="N607" s="31">
        <v>0</v>
      </c>
      <c r="O607" s="46">
        <v>0</v>
      </c>
      <c r="P607" s="47">
        <v>0</v>
      </c>
      <c r="Q607" s="35" t="s">
        <v>154</v>
      </c>
    </row>
    <row r="608" spans="1:17" ht="36" x14ac:dyDescent="0.25">
      <c r="A608" s="21">
        <v>37984</v>
      </c>
      <c r="B608" s="21">
        <v>37984</v>
      </c>
      <c r="C608" s="43">
        <v>2003</v>
      </c>
      <c r="D608" s="35" t="s">
        <v>28</v>
      </c>
      <c r="E608" s="30" t="s">
        <v>133</v>
      </c>
      <c r="F608" s="7" t="s">
        <v>62</v>
      </c>
      <c r="G608" s="51" t="s">
        <v>110</v>
      </c>
      <c r="H608" s="51" t="s">
        <v>934</v>
      </c>
      <c r="I608" s="46">
        <v>0</v>
      </c>
      <c r="J608" s="46">
        <v>2</v>
      </c>
      <c r="K608" s="46">
        <v>0</v>
      </c>
      <c r="L608" s="46">
        <v>0</v>
      </c>
      <c r="M608" s="31">
        <v>0</v>
      </c>
      <c r="N608" s="31">
        <v>0</v>
      </c>
      <c r="O608" s="46">
        <v>0</v>
      </c>
      <c r="P608" s="47">
        <v>0</v>
      </c>
      <c r="Q608" s="35" t="s">
        <v>154</v>
      </c>
    </row>
    <row r="609" spans="1:17" ht="36" x14ac:dyDescent="0.25">
      <c r="A609" s="21">
        <v>37644</v>
      </c>
      <c r="B609" s="21">
        <v>37644</v>
      </c>
      <c r="C609" s="43">
        <v>2003</v>
      </c>
      <c r="D609" s="35" t="s">
        <v>28</v>
      </c>
      <c r="E609" s="30" t="s">
        <v>125</v>
      </c>
      <c r="F609" s="28" t="s">
        <v>157</v>
      </c>
      <c r="G609" s="51" t="s">
        <v>882</v>
      </c>
      <c r="H609" s="52" t="s">
        <v>935</v>
      </c>
      <c r="I609" s="46">
        <v>0</v>
      </c>
      <c r="J609" s="46">
        <v>4</v>
      </c>
      <c r="K609" s="46">
        <v>0</v>
      </c>
      <c r="L609" s="46">
        <v>0</v>
      </c>
      <c r="M609" s="31">
        <v>0</v>
      </c>
      <c r="N609" s="31">
        <v>0</v>
      </c>
      <c r="O609" s="46">
        <v>0</v>
      </c>
      <c r="P609" s="47">
        <v>0</v>
      </c>
      <c r="Q609" s="35" t="s">
        <v>154</v>
      </c>
    </row>
    <row r="610" spans="1:17" ht="36" x14ac:dyDescent="0.25">
      <c r="A610" s="21">
        <v>37677</v>
      </c>
      <c r="B610" s="21">
        <v>37677</v>
      </c>
      <c r="C610" s="43">
        <v>2003</v>
      </c>
      <c r="D610" s="35" t="s">
        <v>28</v>
      </c>
      <c r="E610" s="30" t="s">
        <v>125</v>
      </c>
      <c r="F610" s="7" t="s">
        <v>87</v>
      </c>
      <c r="G610" s="51" t="s">
        <v>936</v>
      </c>
      <c r="H610" s="51" t="s">
        <v>937</v>
      </c>
      <c r="I610" s="46">
        <v>0</v>
      </c>
      <c r="J610" s="46">
        <v>2</v>
      </c>
      <c r="K610" s="46">
        <v>0</v>
      </c>
      <c r="L610" s="46">
        <v>0</v>
      </c>
      <c r="M610" s="31">
        <v>0</v>
      </c>
      <c r="N610" s="31">
        <v>0</v>
      </c>
      <c r="O610" s="46">
        <v>0</v>
      </c>
      <c r="P610" s="47">
        <v>0</v>
      </c>
      <c r="Q610" s="35" t="s">
        <v>154</v>
      </c>
    </row>
    <row r="611" spans="1:17" ht="48" x14ac:dyDescent="0.25">
      <c r="A611" s="21">
        <v>37689</v>
      </c>
      <c r="B611" s="21">
        <v>37689</v>
      </c>
      <c r="C611" s="43">
        <v>2003</v>
      </c>
      <c r="D611" s="35" t="s">
        <v>28</v>
      </c>
      <c r="E611" s="30" t="s">
        <v>125</v>
      </c>
      <c r="F611" s="7" t="s">
        <v>91</v>
      </c>
      <c r="G611" s="51" t="s">
        <v>110</v>
      </c>
      <c r="H611" s="51" t="s">
        <v>938</v>
      </c>
      <c r="I611" s="46">
        <v>0</v>
      </c>
      <c r="J611" s="46">
        <v>126</v>
      </c>
      <c r="K611" s="46">
        <v>0</v>
      </c>
      <c r="L611" s="46">
        <v>0</v>
      </c>
      <c r="M611" s="31">
        <v>0</v>
      </c>
      <c r="N611" s="31">
        <v>0</v>
      </c>
      <c r="O611" s="46">
        <v>0</v>
      </c>
      <c r="P611" s="47">
        <v>0</v>
      </c>
      <c r="Q611" s="35" t="s">
        <v>154</v>
      </c>
    </row>
    <row r="612" spans="1:17" ht="48" x14ac:dyDescent="0.25">
      <c r="A612" s="21">
        <v>37690</v>
      </c>
      <c r="B612" s="21">
        <v>37690</v>
      </c>
      <c r="C612" s="43">
        <v>2003</v>
      </c>
      <c r="D612" s="35" t="s">
        <v>28</v>
      </c>
      <c r="E612" s="30" t="s">
        <v>125</v>
      </c>
      <c r="F612" s="7" t="s">
        <v>84</v>
      </c>
      <c r="G612" s="51" t="s">
        <v>939</v>
      </c>
      <c r="H612" s="51" t="s">
        <v>940</v>
      </c>
      <c r="I612" s="46">
        <v>0</v>
      </c>
      <c r="J612" s="46">
        <v>36</v>
      </c>
      <c r="K612" s="46">
        <v>0</v>
      </c>
      <c r="L612" s="46">
        <v>0</v>
      </c>
      <c r="M612" s="31">
        <v>0</v>
      </c>
      <c r="N612" s="31">
        <v>0</v>
      </c>
      <c r="O612" s="46">
        <v>0</v>
      </c>
      <c r="P612" s="47">
        <v>0</v>
      </c>
      <c r="Q612" s="35" t="s">
        <v>154</v>
      </c>
    </row>
    <row r="613" spans="1:17" ht="36" x14ac:dyDescent="0.25">
      <c r="A613" s="21">
        <v>37691</v>
      </c>
      <c r="B613" s="21">
        <v>37691</v>
      </c>
      <c r="C613" s="43">
        <v>2003</v>
      </c>
      <c r="D613" s="35" t="s">
        <v>28</v>
      </c>
      <c r="E613" s="30" t="s">
        <v>125</v>
      </c>
      <c r="F613" s="7" t="s">
        <v>62</v>
      </c>
      <c r="G613" s="51" t="s">
        <v>110</v>
      </c>
      <c r="H613" s="51" t="s">
        <v>941</v>
      </c>
      <c r="I613" s="46">
        <v>0</v>
      </c>
      <c r="J613" s="46">
        <v>2</v>
      </c>
      <c r="K613" s="46">
        <v>0</v>
      </c>
      <c r="L613" s="46">
        <v>0</v>
      </c>
      <c r="M613" s="31">
        <v>0</v>
      </c>
      <c r="N613" s="31">
        <v>0</v>
      </c>
      <c r="O613" s="46">
        <v>0</v>
      </c>
      <c r="P613" s="47">
        <v>0</v>
      </c>
      <c r="Q613" s="35" t="s">
        <v>154</v>
      </c>
    </row>
    <row r="614" spans="1:17" ht="36" x14ac:dyDescent="0.25">
      <c r="A614" s="21">
        <v>37692</v>
      </c>
      <c r="B614" s="21">
        <v>37692</v>
      </c>
      <c r="C614" s="43">
        <v>2003</v>
      </c>
      <c r="D614" s="35" t="s">
        <v>28</v>
      </c>
      <c r="E614" s="30" t="s">
        <v>125</v>
      </c>
      <c r="F614" s="7" t="s">
        <v>53</v>
      </c>
      <c r="G614" s="51" t="s">
        <v>942</v>
      </c>
      <c r="H614" s="51" t="s">
        <v>943</v>
      </c>
      <c r="I614" s="46">
        <v>0</v>
      </c>
      <c r="J614" s="46">
        <v>1</v>
      </c>
      <c r="K614" s="46">
        <v>3</v>
      </c>
      <c r="L614" s="46">
        <v>0</v>
      </c>
      <c r="M614" s="31">
        <v>0</v>
      </c>
      <c r="N614" s="31">
        <v>0</v>
      </c>
      <c r="O614" s="46">
        <v>0</v>
      </c>
      <c r="P614" s="47">
        <v>8.6E-3</v>
      </c>
      <c r="Q614" s="35" t="s">
        <v>154</v>
      </c>
    </row>
    <row r="615" spans="1:17" ht="36" x14ac:dyDescent="0.25">
      <c r="A615" s="21">
        <v>37771</v>
      </c>
      <c r="B615" s="21">
        <v>37771</v>
      </c>
      <c r="C615" s="43">
        <v>2003</v>
      </c>
      <c r="D615" s="35" t="s">
        <v>28</v>
      </c>
      <c r="E615" s="30" t="s">
        <v>125</v>
      </c>
      <c r="F615" s="28" t="s">
        <v>210</v>
      </c>
      <c r="G615" s="51" t="s">
        <v>110</v>
      </c>
      <c r="H615" s="51" t="s">
        <v>944</v>
      </c>
      <c r="I615" s="46">
        <v>0</v>
      </c>
      <c r="J615" s="46">
        <v>0</v>
      </c>
      <c r="K615" s="46">
        <v>0</v>
      </c>
      <c r="L615" s="46">
        <v>0</v>
      </c>
      <c r="M615" s="31">
        <v>0</v>
      </c>
      <c r="N615" s="31">
        <v>0</v>
      </c>
      <c r="O615" s="46">
        <v>0</v>
      </c>
      <c r="P615" s="47">
        <v>0</v>
      </c>
      <c r="Q615" s="35" t="s">
        <v>154</v>
      </c>
    </row>
    <row r="616" spans="1:17" ht="60" x14ac:dyDescent="0.25">
      <c r="A616" s="21">
        <v>37811</v>
      </c>
      <c r="B616" s="21">
        <v>37811</v>
      </c>
      <c r="C616" s="43">
        <v>2003</v>
      </c>
      <c r="D616" s="35" t="s">
        <v>28</v>
      </c>
      <c r="E616" s="30" t="s">
        <v>125</v>
      </c>
      <c r="F616" s="7" t="s">
        <v>65</v>
      </c>
      <c r="G616" s="51" t="s">
        <v>110</v>
      </c>
      <c r="H616" s="51" t="s">
        <v>945</v>
      </c>
      <c r="I616" s="46">
        <v>0</v>
      </c>
      <c r="J616" s="46">
        <v>0</v>
      </c>
      <c r="K616" s="46">
        <v>0</v>
      </c>
      <c r="L616" s="46">
        <v>0</v>
      </c>
      <c r="M616" s="31">
        <v>0</v>
      </c>
      <c r="N616" s="31">
        <v>0</v>
      </c>
      <c r="O616" s="46">
        <v>0</v>
      </c>
      <c r="P616" s="47">
        <v>0.13</v>
      </c>
      <c r="Q616" s="35" t="s">
        <v>154</v>
      </c>
    </row>
    <row r="617" spans="1:17" ht="60" x14ac:dyDescent="0.25">
      <c r="A617" s="21">
        <v>37813</v>
      </c>
      <c r="B617" s="21">
        <v>37813</v>
      </c>
      <c r="C617" s="43">
        <v>2003</v>
      </c>
      <c r="D617" s="35" t="s">
        <v>28</v>
      </c>
      <c r="E617" s="30" t="s">
        <v>125</v>
      </c>
      <c r="F617" s="7" t="s">
        <v>72</v>
      </c>
      <c r="G617" s="51" t="s">
        <v>110</v>
      </c>
      <c r="H617" s="51" t="s">
        <v>946</v>
      </c>
      <c r="I617" s="46">
        <v>0</v>
      </c>
      <c r="J617" s="46">
        <v>0</v>
      </c>
      <c r="K617" s="46">
        <v>0</v>
      </c>
      <c r="L617" s="46">
        <v>0</v>
      </c>
      <c r="M617" s="31">
        <v>0</v>
      </c>
      <c r="N617" s="31">
        <v>0</v>
      </c>
      <c r="O617" s="46">
        <v>0</v>
      </c>
      <c r="P617" s="47">
        <v>3.6749999999999998</v>
      </c>
      <c r="Q617" s="35" t="s">
        <v>154</v>
      </c>
    </row>
    <row r="618" spans="1:17" ht="36" x14ac:dyDescent="0.25">
      <c r="A618" s="21">
        <v>37816</v>
      </c>
      <c r="B618" s="21">
        <v>37816</v>
      </c>
      <c r="C618" s="43">
        <v>2003</v>
      </c>
      <c r="D618" s="35" t="s">
        <v>28</v>
      </c>
      <c r="E618" s="30" t="s">
        <v>125</v>
      </c>
      <c r="F618" s="28" t="s">
        <v>210</v>
      </c>
      <c r="G618" s="51" t="s">
        <v>947</v>
      </c>
      <c r="H618" s="51" t="s">
        <v>948</v>
      </c>
      <c r="I618" s="46">
        <v>0</v>
      </c>
      <c r="J618" s="46">
        <v>70</v>
      </c>
      <c r="K618" s="46">
        <v>0</v>
      </c>
      <c r="L618" s="46">
        <v>0</v>
      </c>
      <c r="M618" s="31">
        <v>0</v>
      </c>
      <c r="N618" s="31">
        <v>0</v>
      </c>
      <c r="O618" s="46">
        <v>0</v>
      </c>
      <c r="P618" s="47">
        <v>0</v>
      </c>
      <c r="Q618" s="35" t="s">
        <v>154</v>
      </c>
    </row>
    <row r="619" spans="1:17" ht="24" x14ac:dyDescent="0.25">
      <c r="A619" s="21">
        <v>37850</v>
      </c>
      <c r="B619" s="21">
        <v>37850</v>
      </c>
      <c r="C619" s="43">
        <v>2003</v>
      </c>
      <c r="D619" s="35" t="s">
        <v>28</v>
      </c>
      <c r="E619" s="30" t="s">
        <v>125</v>
      </c>
      <c r="F619" s="7" t="s">
        <v>56</v>
      </c>
      <c r="G619" s="51" t="s">
        <v>358</v>
      </c>
      <c r="H619" s="51" t="s">
        <v>949</v>
      </c>
      <c r="I619" s="46">
        <v>4</v>
      </c>
      <c r="J619" s="46">
        <v>4</v>
      </c>
      <c r="K619" s="46">
        <v>0</v>
      </c>
      <c r="L619" s="46">
        <v>0</v>
      </c>
      <c r="M619" s="31">
        <v>0</v>
      </c>
      <c r="N619" s="31">
        <v>0</v>
      </c>
      <c r="O619" s="46">
        <v>0</v>
      </c>
      <c r="P619" s="47">
        <v>0</v>
      </c>
      <c r="Q619" s="35" t="s">
        <v>154</v>
      </c>
    </row>
    <row r="620" spans="1:17" ht="72" x14ac:dyDescent="0.25">
      <c r="A620" s="21">
        <v>37914</v>
      </c>
      <c r="B620" s="21">
        <v>37914</v>
      </c>
      <c r="C620" s="43">
        <v>2003</v>
      </c>
      <c r="D620" s="35" t="s">
        <v>28</v>
      </c>
      <c r="E620" s="30" t="s">
        <v>125</v>
      </c>
      <c r="F620" s="7" t="s">
        <v>30</v>
      </c>
      <c r="G620" s="51" t="s">
        <v>395</v>
      </c>
      <c r="H620" s="51" t="s">
        <v>950</v>
      </c>
      <c r="I620" s="46">
        <v>0</v>
      </c>
      <c r="J620" s="46">
        <v>65</v>
      </c>
      <c r="K620" s="46">
        <v>0</v>
      </c>
      <c r="L620" s="46">
        <v>0</v>
      </c>
      <c r="M620" s="31">
        <v>0</v>
      </c>
      <c r="N620" s="31">
        <v>0</v>
      </c>
      <c r="O620" s="46">
        <v>0</v>
      </c>
      <c r="P620" s="47">
        <v>0</v>
      </c>
      <c r="Q620" s="35" t="s">
        <v>154</v>
      </c>
    </row>
    <row r="621" spans="1:17" ht="60" x14ac:dyDescent="0.25">
      <c r="A621" s="21">
        <v>37924</v>
      </c>
      <c r="B621" s="21">
        <v>37924</v>
      </c>
      <c r="C621" s="43">
        <v>2003</v>
      </c>
      <c r="D621" s="35" t="s">
        <v>28</v>
      </c>
      <c r="E621" s="30" t="s">
        <v>125</v>
      </c>
      <c r="F621" s="7" t="s">
        <v>87</v>
      </c>
      <c r="G621" s="51" t="s">
        <v>110</v>
      </c>
      <c r="H621" s="51" t="s">
        <v>951</v>
      </c>
      <c r="I621" s="46">
        <v>0</v>
      </c>
      <c r="J621" s="46">
        <v>1</v>
      </c>
      <c r="K621" s="46">
        <v>0</v>
      </c>
      <c r="L621" s="46">
        <v>0</v>
      </c>
      <c r="M621" s="31">
        <v>0</v>
      </c>
      <c r="N621" s="31">
        <v>0</v>
      </c>
      <c r="O621" s="46">
        <v>0</v>
      </c>
      <c r="P621" s="47">
        <v>0</v>
      </c>
      <c r="Q621" s="35" t="s">
        <v>154</v>
      </c>
    </row>
    <row r="622" spans="1:17" ht="48" x14ac:dyDescent="0.25">
      <c r="A622" s="21">
        <v>37945</v>
      </c>
      <c r="B622" s="21">
        <v>37945</v>
      </c>
      <c r="C622" s="43">
        <v>2003</v>
      </c>
      <c r="D622" s="35" t="s">
        <v>28</v>
      </c>
      <c r="E622" s="30" t="s">
        <v>125</v>
      </c>
      <c r="F622" s="7" t="s">
        <v>53</v>
      </c>
      <c r="G622" s="51" t="s">
        <v>110</v>
      </c>
      <c r="H622" s="51" t="s">
        <v>952</v>
      </c>
      <c r="I622" s="46">
        <v>0</v>
      </c>
      <c r="J622" s="46">
        <v>85</v>
      </c>
      <c r="K622" s="46">
        <v>0</v>
      </c>
      <c r="L622" s="46">
        <v>0</v>
      </c>
      <c r="M622" s="31">
        <v>0</v>
      </c>
      <c r="N622" s="31">
        <v>0</v>
      </c>
      <c r="O622" s="46">
        <v>0</v>
      </c>
      <c r="P622" s="47">
        <v>0</v>
      </c>
      <c r="Q622" s="35" t="s">
        <v>154</v>
      </c>
    </row>
    <row r="623" spans="1:17" ht="48" x14ac:dyDescent="0.25">
      <c r="A623" s="21">
        <v>37950</v>
      </c>
      <c r="B623" s="21">
        <v>37950</v>
      </c>
      <c r="C623" s="43">
        <v>2003</v>
      </c>
      <c r="D623" s="35" t="s">
        <v>28</v>
      </c>
      <c r="E623" s="30" t="s">
        <v>125</v>
      </c>
      <c r="F623" s="7" t="s">
        <v>53</v>
      </c>
      <c r="G623" s="51" t="s">
        <v>953</v>
      </c>
      <c r="H623" s="51" t="s">
        <v>954</v>
      </c>
      <c r="I623" s="46">
        <v>0</v>
      </c>
      <c r="J623" s="46">
        <v>2000</v>
      </c>
      <c r="K623" s="46">
        <v>0</v>
      </c>
      <c r="L623" s="46">
        <v>0</v>
      </c>
      <c r="M623" s="31">
        <v>0</v>
      </c>
      <c r="N623" s="31">
        <v>0</v>
      </c>
      <c r="O623" s="46">
        <v>0</v>
      </c>
      <c r="P623" s="47">
        <v>0</v>
      </c>
      <c r="Q623" s="35" t="s">
        <v>154</v>
      </c>
    </row>
    <row r="624" spans="1:17" ht="48" x14ac:dyDescent="0.25">
      <c r="A624" s="21">
        <v>37963</v>
      </c>
      <c r="B624" s="21">
        <v>37963</v>
      </c>
      <c r="C624" s="43">
        <v>2003</v>
      </c>
      <c r="D624" s="35" t="s">
        <v>28</v>
      </c>
      <c r="E624" s="30" t="s">
        <v>125</v>
      </c>
      <c r="F624" s="7" t="s">
        <v>87</v>
      </c>
      <c r="G624" s="51" t="s">
        <v>955</v>
      </c>
      <c r="H624" s="51" t="s">
        <v>956</v>
      </c>
      <c r="I624" s="46">
        <v>0</v>
      </c>
      <c r="J624" s="46">
        <v>350</v>
      </c>
      <c r="K624" s="46">
        <v>0</v>
      </c>
      <c r="L624" s="46">
        <v>0</v>
      </c>
      <c r="M624" s="31">
        <v>0</v>
      </c>
      <c r="N624" s="31">
        <v>0</v>
      </c>
      <c r="O624" s="46">
        <v>0</v>
      </c>
      <c r="P624" s="47">
        <v>0</v>
      </c>
      <c r="Q624" s="35" t="s">
        <v>154</v>
      </c>
    </row>
    <row r="625" spans="1:17" ht="48" x14ac:dyDescent="0.25">
      <c r="A625" s="56">
        <v>37636</v>
      </c>
      <c r="B625" s="56">
        <v>37636</v>
      </c>
      <c r="C625" s="43">
        <v>2003</v>
      </c>
      <c r="D625" s="35" t="s">
        <v>28</v>
      </c>
      <c r="E625" s="40" t="s">
        <v>149</v>
      </c>
      <c r="F625" s="7" t="s">
        <v>65</v>
      </c>
      <c r="G625" s="61" t="s">
        <v>957</v>
      </c>
      <c r="H625" s="61" t="s">
        <v>958</v>
      </c>
      <c r="I625" s="59">
        <v>0</v>
      </c>
      <c r="J625" s="59">
        <v>0</v>
      </c>
      <c r="K625" s="59">
        <v>3</v>
      </c>
      <c r="L625" s="59">
        <v>0</v>
      </c>
      <c r="M625" s="31">
        <v>0</v>
      </c>
      <c r="N625" s="31">
        <v>0</v>
      </c>
      <c r="O625" s="59">
        <v>0</v>
      </c>
      <c r="P625" s="60">
        <v>2.63E-2</v>
      </c>
      <c r="Q625" s="35" t="s">
        <v>154</v>
      </c>
    </row>
    <row r="626" spans="1:17" ht="60" x14ac:dyDescent="0.25">
      <c r="A626" s="56">
        <v>37640</v>
      </c>
      <c r="B626" s="56">
        <v>37640</v>
      </c>
      <c r="C626" s="43">
        <v>2003</v>
      </c>
      <c r="D626" s="35" t="s">
        <v>28</v>
      </c>
      <c r="E626" s="40" t="s">
        <v>149</v>
      </c>
      <c r="F626" s="7" t="s">
        <v>62</v>
      </c>
      <c r="G626" s="61" t="s">
        <v>959</v>
      </c>
      <c r="H626" s="61" t="s">
        <v>960</v>
      </c>
      <c r="I626" s="59">
        <v>0</v>
      </c>
      <c r="J626" s="59">
        <v>60</v>
      </c>
      <c r="K626" s="59">
        <v>12</v>
      </c>
      <c r="L626" s="59">
        <v>0</v>
      </c>
      <c r="M626" s="31">
        <v>0</v>
      </c>
      <c r="N626" s="31">
        <v>0</v>
      </c>
      <c r="O626" s="59">
        <v>0</v>
      </c>
      <c r="P626" s="60">
        <v>0.33900000000000002</v>
      </c>
      <c r="Q626" s="35" t="s">
        <v>154</v>
      </c>
    </row>
    <row r="627" spans="1:17" ht="24" x14ac:dyDescent="0.25">
      <c r="A627" s="56">
        <v>37657</v>
      </c>
      <c r="B627" s="56">
        <v>37657</v>
      </c>
      <c r="C627" s="43">
        <v>2003</v>
      </c>
      <c r="D627" s="35" t="s">
        <v>28</v>
      </c>
      <c r="E627" s="6" t="s">
        <v>29</v>
      </c>
      <c r="F627" s="7" t="s">
        <v>77</v>
      </c>
      <c r="G627" s="61" t="s">
        <v>961</v>
      </c>
      <c r="H627" s="61" t="s">
        <v>962</v>
      </c>
      <c r="I627" s="59">
        <v>0</v>
      </c>
      <c r="J627" s="59">
        <v>1</v>
      </c>
      <c r="K627" s="59">
        <v>0</v>
      </c>
      <c r="L627" s="59">
        <v>0</v>
      </c>
      <c r="M627" s="31">
        <v>0</v>
      </c>
      <c r="N627" s="31">
        <v>0</v>
      </c>
      <c r="O627" s="59">
        <v>25</v>
      </c>
      <c r="P627" s="60">
        <v>0.187</v>
      </c>
      <c r="Q627" s="35" t="s">
        <v>154</v>
      </c>
    </row>
    <row r="628" spans="1:17" ht="36" x14ac:dyDescent="0.25">
      <c r="A628" s="56">
        <v>37660</v>
      </c>
      <c r="B628" s="56">
        <v>37661</v>
      </c>
      <c r="C628" s="43">
        <v>2003</v>
      </c>
      <c r="D628" s="35" t="s">
        <v>28</v>
      </c>
      <c r="E628" s="6" t="s">
        <v>29</v>
      </c>
      <c r="F628" s="7" t="s">
        <v>77</v>
      </c>
      <c r="G628" s="61" t="s">
        <v>963</v>
      </c>
      <c r="H628" s="61" t="s">
        <v>964</v>
      </c>
      <c r="I628" s="59">
        <v>0</v>
      </c>
      <c r="J628" s="59">
        <v>0</v>
      </c>
      <c r="K628" s="59">
        <v>0</v>
      </c>
      <c r="L628" s="59">
        <v>0</v>
      </c>
      <c r="M628" s="31">
        <v>0</v>
      </c>
      <c r="N628" s="31">
        <v>0</v>
      </c>
      <c r="O628" s="59">
        <v>63</v>
      </c>
      <c r="P628" s="60">
        <v>0.47199999999999998</v>
      </c>
      <c r="Q628" s="35" t="s">
        <v>154</v>
      </c>
    </row>
    <row r="629" spans="1:17" ht="36" x14ac:dyDescent="0.25">
      <c r="A629" s="56">
        <v>37662</v>
      </c>
      <c r="B629" s="56">
        <v>37662</v>
      </c>
      <c r="C629" s="43">
        <v>2003</v>
      </c>
      <c r="D629" s="35" t="s">
        <v>28</v>
      </c>
      <c r="E629" s="6" t="s">
        <v>29</v>
      </c>
      <c r="F629" s="7" t="s">
        <v>77</v>
      </c>
      <c r="G629" s="61" t="s">
        <v>965</v>
      </c>
      <c r="H629" s="61" t="s">
        <v>966</v>
      </c>
      <c r="I629" s="59">
        <v>0</v>
      </c>
      <c r="J629" s="59">
        <v>0</v>
      </c>
      <c r="K629" s="59">
        <v>0</v>
      </c>
      <c r="L629" s="59">
        <v>0</v>
      </c>
      <c r="M629" s="31">
        <v>0</v>
      </c>
      <c r="N629" s="31">
        <v>0</v>
      </c>
      <c r="O629" s="59">
        <v>96</v>
      </c>
      <c r="P629" s="60">
        <v>0.72</v>
      </c>
      <c r="Q629" s="35" t="s">
        <v>154</v>
      </c>
    </row>
    <row r="630" spans="1:17" ht="24" x14ac:dyDescent="0.25">
      <c r="A630" s="56">
        <v>37663</v>
      </c>
      <c r="B630" s="56">
        <v>37663</v>
      </c>
      <c r="C630" s="43">
        <v>2003</v>
      </c>
      <c r="D630" s="35" t="s">
        <v>28</v>
      </c>
      <c r="E630" s="6" t="s">
        <v>29</v>
      </c>
      <c r="F630" s="7" t="s">
        <v>77</v>
      </c>
      <c r="G630" s="61" t="s">
        <v>967</v>
      </c>
      <c r="H630" s="61" t="s">
        <v>968</v>
      </c>
      <c r="I630" s="59">
        <v>0</v>
      </c>
      <c r="J630" s="59">
        <v>0</v>
      </c>
      <c r="K630" s="59">
        <v>0</v>
      </c>
      <c r="L630" s="59">
        <v>0</v>
      </c>
      <c r="M630" s="31">
        <v>0</v>
      </c>
      <c r="N630" s="31">
        <v>0</v>
      </c>
      <c r="O630" s="59">
        <v>50</v>
      </c>
      <c r="P630" s="60">
        <v>0.375</v>
      </c>
      <c r="Q630" s="35" t="s">
        <v>154</v>
      </c>
    </row>
    <row r="631" spans="1:17" ht="36" x14ac:dyDescent="0.25">
      <c r="A631" s="21">
        <v>37664</v>
      </c>
      <c r="B631" s="21">
        <v>37664</v>
      </c>
      <c r="C631" s="43">
        <v>2003</v>
      </c>
      <c r="D631" s="35" t="s">
        <v>28</v>
      </c>
      <c r="E631" s="6" t="s">
        <v>29</v>
      </c>
      <c r="F631" s="7" t="s">
        <v>77</v>
      </c>
      <c r="G631" s="25" t="s">
        <v>969</v>
      </c>
      <c r="H631" s="25" t="s">
        <v>970</v>
      </c>
      <c r="I631" s="46">
        <v>0</v>
      </c>
      <c r="J631" s="46">
        <v>0</v>
      </c>
      <c r="K631" s="46">
        <v>0</v>
      </c>
      <c r="L631" s="46">
        <v>0</v>
      </c>
      <c r="M631" s="31">
        <v>0</v>
      </c>
      <c r="N631" s="31">
        <v>0</v>
      </c>
      <c r="O631" s="46">
        <v>24</v>
      </c>
      <c r="P631" s="60">
        <v>0.18</v>
      </c>
      <c r="Q631" s="35" t="s">
        <v>154</v>
      </c>
    </row>
    <row r="632" spans="1:17" ht="24" x14ac:dyDescent="0.25">
      <c r="A632" s="21">
        <v>37666</v>
      </c>
      <c r="B632" s="21">
        <v>37666</v>
      </c>
      <c r="C632" s="43">
        <v>2003</v>
      </c>
      <c r="D632" s="35" t="s">
        <v>28</v>
      </c>
      <c r="E632" s="6" t="s">
        <v>29</v>
      </c>
      <c r="F632" s="7" t="s">
        <v>58</v>
      </c>
      <c r="G632" s="25" t="s">
        <v>971</v>
      </c>
      <c r="H632" s="25" t="s">
        <v>972</v>
      </c>
      <c r="I632" s="46">
        <v>0</v>
      </c>
      <c r="J632" s="46">
        <v>0</v>
      </c>
      <c r="K632" s="46">
        <v>0</v>
      </c>
      <c r="L632" s="46">
        <v>0</v>
      </c>
      <c r="M632" s="31">
        <v>0</v>
      </c>
      <c r="N632" s="31">
        <v>0</v>
      </c>
      <c r="O632" s="46">
        <v>70</v>
      </c>
      <c r="P632" s="60">
        <v>0.52500000000000002</v>
      </c>
      <c r="Q632" s="35" t="s">
        <v>154</v>
      </c>
    </row>
    <row r="633" spans="1:17" ht="36" x14ac:dyDescent="0.25">
      <c r="A633" s="21">
        <v>37675</v>
      </c>
      <c r="B633" s="21">
        <v>37678</v>
      </c>
      <c r="C633" s="43">
        <v>2003</v>
      </c>
      <c r="D633" s="35" t="s">
        <v>28</v>
      </c>
      <c r="E633" s="6" t="s">
        <v>29</v>
      </c>
      <c r="F633" s="7" t="s">
        <v>36</v>
      </c>
      <c r="G633" s="25" t="s">
        <v>110</v>
      </c>
      <c r="H633" s="25" t="s">
        <v>973</v>
      </c>
      <c r="I633" s="46">
        <v>0</v>
      </c>
      <c r="J633" s="46">
        <v>0</v>
      </c>
      <c r="K633" s="46">
        <v>0</v>
      </c>
      <c r="L633" s="46">
        <v>0</v>
      </c>
      <c r="M633" s="31">
        <v>0</v>
      </c>
      <c r="N633" s="31">
        <v>0</v>
      </c>
      <c r="O633" s="46">
        <v>289</v>
      </c>
      <c r="P633" s="60">
        <v>2.1669999999999998</v>
      </c>
      <c r="Q633" s="35" t="s">
        <v>154</v>
      </c>
    </row>
    <row r="634" spans="1:17" ht="36" x14ac:dyDescent="0.25">
      <c r="A634" s="21">
        <v>37676</v>
      </c>
      <c r="B634" s="21">
        <v>37676</v>
      </c>
      <c r="C634" s="43">
        <v>2003</v>
      </c>
      <c r="D634" s="35" t="s">
        <v>28</v>
      </c>
      <c r="E634" s="6" t="s">
        <v>29</v>
      </c>
      <c r="F634" s="28" t="s">
        <v>163</v>
      </c>
      <c r="G634" s="25" t="s">
        <v>110</v>
      </c>
      <c r="H634" s="25" t="s">
        <v>974</v>
      </c>
      <c r="I634" s="46">
        <v>0</v>
      </c>
      <c r="J634" s="46">
        <v>0</v>
      </c>
      <c r="K634" s="46">
        <v>0</v>
      </c>
      <c r="L634" s="46">
        <v>0</v>
      </c>
      <c r="M634" s="31">
        <v>0</v>
      </c>
      <c r="N634" s="31">
        <v>0</v>
      </c>
      <c r="O634" s="46">
        <v>70</v>
      </c>
      <c r="P634" s="60">
        <v>0.52500000000000002</v>
      </c>
      <c r="Q634" s="35" t="s">
        <v>154</v>
      </c>
    </row>
    <row r="635" spans="1:17" ht="36" x14ac:dyDescent="0.25">
      <c r="A635" s="21">
        <v>37676</v>
      </c>
      <c r="B635" s="21">
        <v>37676</v>
      </c>
      <c r="C635" s="43">
        <v>2003</v>
      </c>
      <c r="D635" s="35" t="s">
        <v>28</v>
      </c>
      <c r="E635" s="40" t="s">
        <v>149</v>
      </c>
      <c r="F635" s="7" t="s">
        <v>53</v>
      </c>
      <c r="G635" s="25" t="s">
        <v>110</v>
      </c>
      <c r="H635" s="25" t="s">
        <v>975</v>
      </c>
      <c r="I635" s="46">
        <v>0</v>
      </c>
      <c r="J635" s="46">
        <v>1</v>
      </c>
      <c r="K635" s="46">
        <v>0</v>
      </c>
      <c r="L635" s="46">
        <v>0</v>
      </c>
      <c r="M635" s="31">
        <v>0</v>
      </c>
      <c r="N635" s="31">
        <v>0</v>
      </c>
      <c r="O635" s="46">
        <v>0</v>
      </c>
      <c r="P635" s="60">
        <v>0</v>
      </c>
      <c r="Q635" s="35" t="s">
        <v>154</v>
      </c>
    </row>
    <row r="636" spans="1:17" ht="60" x14ac:dyDescent="0.25">
      <c r="A636" s="21">
        <v>37677</v>
      </c>
      <c r="B636" s="21">
        <v>37677</v>
      </c>
      <c r="C636" s="43">
        <v>2003</v>
      </c>
      <c r="D636" s="35" t="s">
        <v>28</v>
      </c>
      <c r="E636" s="40" t="s">
        <v>149</v>
      </c>
      <c r="F636" s="7" t="s">
        <v>60</v>
      </c>
      <c r="G636" s="25" t="s">
        <v>110</v>
      </c>
      <c r="H636" s="25" t="s">
        <v>976</v>
      </c>
      <c r="I636" s="46">
        <v>0</v>
      </c>
      <c r="J636" s="46">
        <v>0</v>
      </c>
      <c r="K636" s="46">
        <v>0</v>
      </c>
      <c r="L636" s="46">
        <v>0</v>
      </c>
      <c r="M636" s="31">
        <v>0</v>
      </c>
      <c r="N636" s="31">
        <v>0</v>
      </c>
      <c r="O636" s="46">
        <v>0</v>
      </c>
      <c r="P636" s="60">
        <v>0</v>
      </c>
      <c r="Q636" s="35" t="s">
        <v>154</v>
      </c>
    </row>
    <row r="637" spans="1:17" ht="36" x14ac:dyDescent="0.25">
      <c r="A637" s="21">
        <v>37678</v>
      </c>
      <c r="B637" s="21">
        <v>37678</v>
      </c>
      <c r="C637" s="43">
        <v>2003</v>
      </c>
      <c r="D637" s="35" t="s">
        <v>28</v>
      </c>
      <c r="E637" s="6" t="s">
        <v>29</v>
      </c>
      <c r="F637" s="7" t="s">
        <v>101</v>
      </c>
      <c r="G637" s="25" t="s">
        <v>752</v>
      </c>
      <c r="H637" s="25" t="s">
        <v>977</v>
      </c>
      <c r="I637" s="46">
        <v>0</v>
      </c>
      <c r="J637" s="46">
        <v>0</v>
      </c>
      <c r="K637" s="46">
        <v>0</v>
      </c>
      <c r="L637" s="46">
        <v>0</v>
      </c>
      <c r="M637" s="31">
        <v>0</v>
      </c>
      <c r="N637" s="31">
        <v>0</v>
      </c>
      <c r="O637" s="46">
        <v>100</v>
      </c>
      <c r="P637" s="60">
        <v>0.75</v>
      </c>
      <c r="Q637" s="35" t="s">
        <v>154</v>
      </c>
    </row>
    <row r="638" spans="1:17" ht="24" x14ac:dyDescent="0.25">
      <c r="A638" s="21">
        <v>37682</v>
      </c>
      <c r="B638" s="21">
        <v>37682</v>
      </c>
      <c r="C638" s="43">
        <v>2003</v>
      </c>
      <c r="D638" s="35" t="s">
        <v>28</v>
      </c>
      <c r="E638" s="6" t="s">
        <v>29</v>
      </c>
      <c r="F638" s="7" t="s">
        <v>58</v>
      </c>
      <c r="G638" s="25" t="s">
        <v>536</v>
      </c>
      <c r="H638" s="25" t="s">
        <v>978</v>
      </c>
      <c r="I638" s="46">
        <v>0</v>
      </c>
      <c r="J638" s="46">
        <v>0</v>
      </c>
      <c r="K638" s="46">
        <v>0</v>
      </c>
      <c r="L638" s="46">
        <v>0</v>
      </c>
      <c r="M638" s="31">
        <v>0</v>
      </c>
      <c r="N638" s="31">
        <v>0</v>
      </c>
      <c r="O638" s="46">
        <v>695.5</v>
      </c>
      <c r="P638" s="60">
        <v>5.22</v>
      </c>
      <c r="Q638" s="35" t="s">
        <v>154</v>
      </c>
    </row>
    <row r="639" spans="1:17" ht="36" x14ac:dyDescent="0.25">
      <c r="A639" s="21">
        <v>37682</v>
      </c>
      <c r="B639" s="21">
        <v>37682</v>
      </c>
      <c r="C639" s="43">
        <v>2003</v>
      </c>
      <c r="D639" s="35" t="s">
        <v>28</v>
      </c>
      <c r="E639" s="6" t="s">
        <v>29</v>
      </c>
      <c r="F639" s="7" t="s">
        <v>97</v>
      </c>
      <c r="G639" s="25" t="s">
        <v>979</v>
      </c>
      <c r="H639" s="25" t="s">
        <v>980</v>
      </c>
      <c r="I639" s="46">
        <v>0</v>
      </c>
      <c r="J639" s="46">
        <v>0</v>
      </c>
      <c r="K639" s="46">
        <v>0</v>
      </c>
      <c r="L639" s="46">
        <v>0</v>
      </c>
      <c r="M639" s="31">
        <v>0</v>
      </c>
      <c r="N639" s="31">
        <v>0</v>
      </c>
      <c r="O639" s="46">
        <v>27</v>
      </c>
      <c r="P639" s="60">
        <v>0.20200000000000001</v>
      </c>
      <c r="Q639" s="35" t="s">
        <v>154</v>
      </c>
    </row>
    <row r="640" spans="1:17" ht="36" x14ac:dyDescent="0.25">
      <c r="A640" s="21">
        <v>37682</v>
      </c>
      <c r="B640" s="21">
        <v>37682</v>
      </c>
      <c r="C640" s="43">
        <v>2003</v>
      </c>
      <c r="D640" s="35" t="s">
        <v>28</v>
      </c>
      <c r="E640" s="6" t="s">
        <v>29</v>
      </c>
      <c r="F640" s="28" t="s">
        <v>163</v>
      </c>
      <c r="G640" s="25" t="s">
        <v>981</v>
      </c>
      <c r="H640" s="25" t="s">
        <v>982</v>
      </c>
      <c r="I640" s="46">
        <v>0</v>
      </c>
      <c r="J640" s="46">
        <v>0</v>
      </c>
      <c r="K640" s="46">
        <v>0</v>
      </c>
      <c r="L640" s="46">
        <v>0</v>
      </c>
      <c r="M640" s="31">
        <v>0</v>
      </c>
      <c r="N640" s="31">
        <v>0</v>
      </c>
      <c r="O640" s="46">
        <v>100</v>
      </c>
      <c r="P640" s="60">
        <v>0.75</v>
      </c>
      <c r="Q640" s="35" t="s">
        <v>154</v>
      </c>
    </row>
    <row r="641" spans="1:17" ht="24" x14ac:dyDescent="0.25">
      <c r="A641" s="21">
        <v>37684</v>
      </c>
      <c r="B641" s="21">
        <v>37684</v>
      </c>
      <c r="C641" s="43">
        <v>2003</v>
      </c>
      <c r="D641" s="35" t="s">
        <v>28</v>
      </c>
      <c r="E641" s="6" t="s">
        <v>29</v>
      </c>
      <c r="F641" s="7" t="s">
        <v>75</v>
      </c>
      <c r="G641" s="25" t="s">
        <v>536</v>
      </c>
      <c r="H641" s="25" t="s">
        <v>983</v>
      </c>
      <c r="I641" s="46">
        <v>0</v>
      </c>
      <c r="J641" s="46">
        <v>0</v>
      </c>
      <c r="K641" s="46">
        <v>0</v>
      </c>
      <c r="L641" s="46">
        <v>0</v>
      </c>
      <c r="M641" s="31">
        <v>0</v>
      </c>
      <c r="N641" s="31">
        <v>0</v>
      </c>
      <c r="O641" s="46">
        <v>904.8</v>
      </c>
      <c r="P641" s="60">
        <v>0</v>
      </c>
      <c r="Q641" s="35" t="s">
        <v>154</v>
      </c>
    </row>
    <row r="642" spans="1:17" ht="24" x14ac:dyDescent="0.25">
      <c r="A642" s="21">
        <v>37684</v>
      </c>
      <c r="B642" s="21">
        <v>37685</v>
      </c>
      <c r="C642" s="43">
        <v>2003</v>
      </c>
      <c r="D642" s="35" t="s">
        <v>28</v>
      </c>
      <c r="E642" s="6" t="s">
        <v>29</v>
      </c>
      <c r="F642" s="7" t="s">
        <v>36</v>
      </c>
      <c r="G642" s="25" t="s">
        <v>984</v>
      </c>
      <c r="H642" s="25" t="s">
        <v>985</v>
      </c>
      <c r="I642" s="46">
        <v>0</v>
      </c>
      <c r="J642" s="46">
        <v>0</v>
      </c>
      <c r="K642" s="46">
        <v>0</v>
      </c>
      <c r="L642" s="46">
        <v>0</v>
      </c>
      <c r="M642" s="31">
        <v>0</v>
      </c>
      <c r="N642" s="31">
        <v>0</v>
      </c>
      <c r="O642" s="46">
        <v>520</v>
      </c>
      <c r="P642" s="60">
        <v>3.9</v>
      </c>
      <c r="Q642" s="50" t="s">
        <v>986</v>
      </c>
    </row>
    <row r="643" spans="1:17" ht="36" x14ac:dyDescent="0.25">
      <c r="A643" s="21">
        <v>37684</v>
      </c>
      <c r="B643" s="21">
        <v>37685</v>
      </c>
      <c r="C643" s="43">
        <v>2003</v>
      </c>
      <c r="D643" s="35" t="s">
        <v>28</v>
      </c>
      <c r="E643" s="6" t="s">
        <v>29</v>
      </c>
      <c r="F643" s="28" t="s">
        <v>163</v>
      </c>
      <c r="G643" s="25" t="s">
        <v>987</v>
      </c>
      <c r="H643" s="25" t="s">
        <v>988</v>
      </c>
      <c r="I643" s="46">
        <v>0</v>
      </c>
      <c r="J643" s="46">
        <v>0</v>
      </c>
      <c r="K643" s="46">
        <v>0</v>
      </c>
      <c r="L643" s="46">
        <v>0</v>
      </c>
      <c r="M643" s="31">
        <v>0</v>
      </c>
      <c r="N643" s="31">
        <v>0</v>
      </c>
      <c r="O643" s="46">
        <v>1052</v>
      </c>
      <c r="P643" s="60">
        <v>7.89</v>
      </c>
      <c r="Q643" s="35" t="s">
        <v>154</v>
      </c>
    </row>
    <row r="644" spans="1:17" ht="36" x14ac:dyDescent="0.25">
      <c r="A644" s="21">
        <v>37685</v>
      </c>
      <c r="B644" s="21">
        <v>37688</v>
      </c>
      <c r="C644" s="43">
        <v>2003</v>
      </c>
      <c r="D644" s="35" t="s">
        <v>28</v>
      </c>
      <c r="E644" s="6" t="s">
        <v>29</v>
      </c>
      <c r="F644" s="28" t="s">
        <v>151</v>
      </c>
      <c r="G644" s="25" t="s">
        <v>989</v>
      </c>
      <c r="H644" s="25" t="s">
        <v>990</v>
      </c>
      <c r="I644" s="46">
        <v>0</v>
      </c>
      <c r="J644" s="46">
        <v>0</v>
      </c>
      <c r="K644" s="46">
        <v>0</v>
      </c>
      <c r="L644" s="46">
        <v>0</v>
      </c>
      <c r="M644" s="31">
        <v>0</v>
      </c>
      <c r="N644" s="31">
        <v>0</v>
      </c>
      <c r="O644" s="46">
        <v>2430</v>
      </c>
      <c r="P644" s="60">
        <v>18.225000000000001</v>
      </c>
      <c r="Q644" s="35" t="s">
        <v>154</v>
      </c>
    </row>
    <row r="645" spans="1:17" ht="24" x14ac:dyDescent="0.25">
      <c r="A645" s="21">
        <v>37685</v>
      </c>
      <c r="B645" s="21">
        <v>37685</v>
      </c>
      <c r="C645" s="43">
        <v>2003</v>
      </c>
      <c r="D645" s="35" t="s">
        <v>28</v>
      </c>
      <c r="E645" s="6" t="s">
        <v>29</v>
      </c>
      <c r="F645" s="7" t="s">
        <v>77</v>
      </c>
      <c r="G645" s="25" t="s">
        <v>991</v>
      </c>
      <c r="H645" s="25" t="s">
        <v>992</v>
      </c>
      <c r="I645" s="46">
        <v>0</v>
      </c>
      <c r="J645" s="46">
        <v>0</v>
      </c>
      <c r="K645" s="46">
        <v>0</v>
      </c>
      <c r="L645" s="46">
        <v>0</v>
      </c>
      <c r="M645" s="31">
        <v>0</v>
      </c>
      <c r="N645" s="31">
        <v>0</v>
      </c>
      <c r="O645" s="46">
        <v>39</v>
      </c>
      <c r="P645" s="60">
        <v>0.29249999999999998</v>
      </c>
      <c r="Q645" s="35" t="s">
        <v>154</v>
      </c>
    </row>
    <row r="646" spans="1:17" ht="36" x14ac:dyDescent="0.25">
      <c r="A646" s="21">
        <v>37686</v>
      </c>
      <c r="B646" s="21">
        <v>37686</v>
      </c>
      <c r="C646" s="43">
        <v>2003</v>
      </c>
      <c r="D646" s="35" t="s">
        <v>28</v>
      </c>
      <c r="E646" s="40" t="s">
        <v>149</v>
      </c>
      <c r="F646" s="7" t="s">
        <v>68</v>
      </c>
      <c r="G646" s="25" t="s">
        <v>110</v>
      </c>
      <c r="H646" s="25" t="s">
        <v>993</v>
      </c>
      <c r="I646" s="46">
        <v>0</v>
      </c>
      <c r="J646" s="46">
        <v>1</v>
      </c>
      <c r="K646" s="46">
        <v>1</v>
      </c>
      <c r="L646" s="46">
        <v>0</v>
      </c>
      <c r="M646" s="31">
        <v>0</v>
      </c>
      <c r="N646" s="31">
        <v>0</v>
      </c>
      <c r="O646" s="46">
        <v>0</v>
      </c>
      <c r="P646" s="60">
        <v>2.8199999999999999E-2</v>
      </c>
      <c r="Q646" s="35" t="s">
        <v>154</v>
      </c>
    </row>
    <row r="647" spans="1:17" ht="36" x14ac:dyDescent="0.25">
      <c r="A647" s="21">
        <v>37686</v>
      </c>
      <c r="B647" s="21">
        <v>37686</v>
      </c>
      <c r="C647" s="43">
        <v>2003</v>
      </c>
      <c r="D647" s="35" t="s">
        <v>28</v>
      </c>
      <c r="E647" s="6" t="s">
        <v>29</v>
      </c>
      <c r="F647" s="7" t="s">
        <v>72</v>
      </c>
      <c r="G647" s="25" t="s">
        <v>994</v>
      </c>
      <c r="H647" s="25" t="s">
        <v>995</v>
      </c>
      <c r="I647" s="46">
        <v>0</v>
      </c>
      <c r="J647" s="46">
        <v>0</v>
      </c>
      <c r="K647" s="46">
        <v>0</v>
      </c>
      <c r="L647" s="46">
        <v>0</v>
      </c>
      <c r="M647" s="31">
        <v>0</v>
      </c>
      <c r="N647" s="31">
        <v>0</v>
      </c>
      <c r="O647" s="46">
        <v>60</v>
      </c>
      <c r="P647" s="60">
        <v>0</v>
      </c>
      <c r="Q647" s="35" t="s">
        <v>154</v>
      </c>
    </row>
    <row r="648" spans="1:17" ht="36" x14ac:dyDescent="0.25">
      <c r="A648" s="21">
        <v>37622</v>
      </c>
      <c r="B648" s="21">
        <v>37711</v>
      </c>
      <c r="C648" s="43">
        <v>2003</v>
      </c>
      <c r="D648" s="35" t="s">
        <v>28</v>
      </c>
      <c r="E648" s="6" t="s">
        <v>29</v>
      </c>
      <c r="F648" s="7" t="s">
        <v>72</v>
      </c>
      <c r="G648" s="25" t="s">
        <v>536</v>
      </c>
      <c r="H648" s="25" t="s">
        <v>996</v>
      </c>
      <c r="I648" s="46">
        <v>0</v>
      </c>
      <c r="J648" s="46">
        <v>0</v>
      </c>
      <c r="K648" s="46">
        <v>0</v>
      </c>
      <c r="L648" s="46">
        <v>0</v>
      </c>
      <c r="M648" s="31">
        <v>0</v>
      </c>
      <c r="N648" s="31">
        <v>0</v>
      </c>
      <c r="O648" s="46">
        <v>3848.5</v>
      </c>
      <c r="P648" s="60">
        <v>28.266999999999999</v>
      </c>
      <c r="Q648" s="35" t="s">
        <v>154</v>
      </c>
    </row>
    <row r="649" spans="1:17" ht="36" x14ac:dyDescent="0.25">
      <c r="A649" s="21">
        <v>37622</v>
      </c>
      <c r="B649" s="21">
        <v>37711</v>
      </c>
      <c r="C649" s="43">
        <v>2003</v>
      </c>
      <c r="D649" s="35" t="s">
        <v>28</v>
      </c>
      <c r="E649" s="6" t="s">
        <v>29</v>
      </c>
      <c r="F649" s="7" t="s">
        <v>75</v>
      </c>
      <c r="G649" s="25" t="s">
        <v>536</v>
      </c>
      <c r="H649" s="25" t="s">
        <v>997</v>
      </c>
      <c r="I649" s="46">
        <v>0</v>
      </c>
      <c r="J649" s="46">
        <v>0</v>
      </c>
      <c r="K649" s="46">
        <v>0</v>
      </c>
      <c r="L649" s="46">
        <v>0</v>
      </c>
      <c r="M649" s="31">
        <v>0</v>
      </c>
      <c r="N649" s="31">
        <v>0</v>
      </c>
      <c r="O649" s="46">
        <v>1489.5</v>
      </c>
      <c r="P649" s="60">
        <v>11.175000000000001</v>
      </c>
      <c r="Q649" s="35" t="s">
        <v>154</v>
      </c>
    </row>
    <row r="650" spans="1:17" ht="36" x14ac:dyDescent="0.25">
      <c r="A650" s="21">
        <v>37688</v>
      </c>
      <c r="B650" s="21">
        <v>37688</v>
      </c>
      <c r="C650" s="43">
        <v>2003</v>
      </c>
      <c r="D650" s="35" t="s">
        <v>28</v>
      </c>
      <c r="E650" s="6" t="s">
        <v>29</v>
      </c>
      <c r="F650" s="28" t="s">
        <v>151</v>
      </c>
      <c r="G650" s="25" t="s">
        <v>998</v>
      </c>
      <c r="H650" s="25" t="s">
        <v>999</v>
      </c>
      <c r="I650" s="46">
        <v>0</v>
      </c>
      <c r="J650" s="46">
        <v>0</v>
      </c>
      <c r="K650" s="46">
        <v>0</v>
      </c>
      <c r="L650" s="46">
        <v>0</v>
      </c>
      <c r="M650" s="31">
        <v>0</v>
      </c>
      <c r="N650" s="31">
        <v>0</v>
      </c>
      <c r="O650" s="46">
        <v>2375</v>
      </c>
      <c r="P650" s="60">
        <v>17.8125</v>
      </c>
      <c r="Q650" s="35" t="s">
        <v>154</v>
      </c>
    </row>
    <row r="651" spans="1:17" ht="36" x14ac:dyDescent="0.25">
      <c r="A651" s="21">
        <v>37693</v>
      </c>
      <c r="B651" s="21">
        <v>37693</v>
      </c>
      <c r="C651" s="43">
        <v>2003</v>
      </c>
      <c r="D651" s="35" t="s">
        <v>28</v>
      </c>
      <c r="E651" s="40" t="s">
        <v>149</v>
      </c>
      <c r="F651" s="7" t="s">
        <v>53</v>
      </c>
      <c r="G651" s="25" t="s">
        <v>1000</v>
      </c>
      <c r="H651" s="25" t="s">
        <v>1001</v>
      </c>
      <c r="I651" s="46">
        <v>0</v>
      </c>
      <c r="J651" s="46">
        <v>0</v>
      </c>
      <c r="K651" s="46">
        <v>0</v>
      </c>
      <c r="L651" s="46">
        <v>0</v>
      </c>
      <c r="M651" s="31">
        <v>0</v>
      </c>
      <c r="N651" s="31">
        <v>0</v>
      </c>
      <c r="O651" s="46">
        <v>0</v>
      </c>
      <c r="P651" s="60">
        <v>0</v>
      </c>
      <c r="Q651" s="35" t="s">
        <v>154</v>
      </c>
    </row>
    <row r="652" spans="1:17" ht="24" x14ac:dyDescent="0.25">
      <c r="A652" s="21">
        <v>37697</v>
      </c>
      <c r="B652" s="21">
        <v>37699</v>
      </c>
      <c r="C652" s="43">
        <v>2003</v>
      </c>
      <c r="D652" s="35" t="s">
        <v>28</v>
      </c>
      <c r="E652" s="6" t="s">
        <v>29</v>
      </c>
      <c r="F652" s="7" t="s">
        <v>36</v>
      </c>
      <c r="G652" s="25" t="s">
        <v>536</v>
      </c>
      <c r="H652" s="25" t="s">
        <v>1002</v>
      </c>
      <c r="I652" s="46">
        <v>0</v>
      </c>
      <c r="J652" s="46">
        <v>0</v>
      </c>
      <c r="K652" s="46">
        <v>0</v>
      </c>
      <c r="L652" s="46">
        <v>0</v>
      </c>
      <c r="M652" s="31">
        <v>0</v>
      </c>
      <c r="N652" s="31">
        <v>0</v>
      </c>
      <c r="O652" s="46">
        <v>9645</v>
      </c>
      <c r="P652" s="60">
        <v>72.337000000000003</v>
      </c>
      <c r="Q652" s="35" t="s">
        <v>154</v>
      </c>
    </row>
    <row r="653" spans="1:17" ht="36" x14ac:dyDescent="0.25">
      <c r="A653" s="21">
        <v>37697</v>
      </c>
      <c r="B653" s="21">
        <v>37697</v>
      </c>
      <c r="C653" s="43">
        <v>2003</v>
      </c>
      <c r="D653" s="35" t="s">
        <v>28</v>
      </c>
      <c r="E653" s="6" t="s">
        <v>29</v>
      </c>
      <c r="F653" s="7" t="s">
        <v>91</v>
      </c>
      <c r="G653" s="25" t="s">
        <v>1003</v>
      </c>
      <c r="H653" s="25" t="s">
        <v>1004</v>
      </c>
      <c r="I653" s="46">
        <v>0</v>
      </c>
      <c r="J653" s="46">
        <v>0</v>
      </c>
      <c r="K653" s="46">
        <v>0</v>
      </c>
      <c r="L653" s="46">
        <v>0</v>
      </c>
      <c r="M653" s="31">
        <v>0</v>
      </c>
      <c r="N653" s="31">
        <v>0</v>
      </c>
      <c r="O653" s="46">
        <v>270</v>
      </c>
      <c r="P653" s="60">
        <v>2.0249999999999999</v>
      </c>
      <c r="Q653" s="35" t="s">
        <v>154</v>
      </c>
    </row>
    <row r="654" spans="1:17" ht="24" x14ac:dyDescent="0.25">
      <c r="A654" s="21">
        <v>37697</v>
      </c>
      <c r="B654" s="21">
        <v>37697</v>
      </c>
      <c r="C654" s="43">
        <v>2003</v>
      </c>
      <c r="D654" s="35" t="s">
        <v>28</v>
      </c>
      <c r="E654" s="6" t="s">
        <v>29</v>
      </c>
      <c r="F654" s="7" t="s">
        <v>82</v>
      </c>
      <c r="G654" s="25" t="s">
        <v>571</v>
      </c>
      <c r="H654" s="25" t="s">
        <v>1005</v>
      </c>
      <c r="I654" s="46">
        <v>0</v>
      </c>
      <c r="J654" s="46">
        <v>0</v>
      </c>
      <c r="K654" s="46">
        <v>0</v>
      </c>
      <c r="L654" s="46">
        <v>0</v>
      </c>
      <c r="M654" s="31">
        <v>0</v>
      </c>
      <c r="N654" s="31">
        <v>0</v>
      </c>
      <c r="O654" s="46">
        <v>680</v>
      </c>
      <c r="P654" s="60">
        <v>5.0999999999999996</v>
      </c>
      <c r="Q654" s="35" t="s">
        <v>154</v>
      </c>
    </row>
    <row r="655" spans="1:17" ht="36" x14ac:dyDescent="0.25">
      <c r="A655" s="21">
        <v>37697</v>
      </c>
      <c r="B655" s="21">
        <v>37698</v>
      </c>
      <c r="C655" s="43">
        <v>2003</v>
      </c>
      <c r="D655" s="35" t="s">
        <v>28</v>
      </c>
      <c r="E655" s="6" t="s">
        <v>29</v>
      </c>
      <c r="F655" s="28" t="s">
        <v>160</v>
      </c>
      <c r="G655" s="25" t="s">
        <v>536</v>
      </c>
      <c r="H655" s="25" t="s">
        <v>1006</v>
      </c>
      <c r="I655" s="46">
        <v>0</v>
      </c>
      <c r="J655" s="46">
        <v>0</v>
      </c>
      <c r="K655" s="46">
        <v>0</v>
      </c>
      <c r="L655" s="46">
        <v>0</v>
      </c>
      <c r="M655" s="31">
        <v>0</v>
      </c>
      <c r="N655" s="31">
        <v>0</v>
      </c>
      <c r="O655" s="46">
        <v>1094</v>
      </c>
      <c r="P655" s="60">
        <v>8.2050000000000001</v>
      </c>
      <c r="Q655" s="35" t="s">
        <v>154</v>
      </c>
    </row>
    <row r="656" spans="1:17" ht="24" x14ac:dyDescent="0.25">
      <c r="A656" s="21">
        <v>37698</v>
      </c>
      <c r="B656" s="21">
        <v>37698</v>
      </c>
      <c r="C656" s="43">
        <v>2003</v>
      </c>
      <c r="D656" s="35" t="s">
        <v>28</v>
      </c>
      <c r="E656" s="40" t="s">
        <v>149</v>
      </c>
      <c r="F656" s="7" t="s">
        <v>53</v>
      </c>
      <c r="G656" s="25" t="s">
        <v>110</v>
      </c>
      <c r="H656" s="25" t="s">
        <v>1007</v>
      </c>
      <c r="I656" s="46">
        <v>0</v>
      </c>
      <c r="J656" s="46">
        <v>2</v>
      </c>
      <c r="K656" s="46">
        <v>0</v>
      </c>
      <c r="L656" s="46">
        <v>0</v>
      </c>
      <c r="M656" s="31">
        <v>0</v>
      </c>
      <c r="N656" s="31">
        <v>0</v>
      </c>
      <c r="O656" s="46">
        <v>0</v>
      </c>
      <c r="P656" s="60">
        <v>0</v>
      </c>
      <c r="Q656" s="35" t="s">
        <v>154</v>
      </c>
    </row>
    <row r="657" spans="1:17" ht="36" x14ac:dyDescent="0.25">
      <c r="A657" s="21">
        <v>37622</v>
      </c>
      <c r="B657" s="21">
        <v>37711</v>
      </c>
      <c r="C657" s="43">
        <v>2003</v>
      </c>
      <c r="D657" s="35" t="s">
        <v>28</v>
      </c>
      <c r="E657" s="40" t="s">
        <v>149</v>
      </c>
      <c r="F657" s="7" t="s">
        <v>97</v>
      </c>
      <c r="G657" s="25" t="s">
        <v>536</v>
      </c>
      <c r="H657" s="25" t="s">
        <v>1008</v>
      </c>
      <c r="I657" s="46">
        <v>0</v>
      </c>
      <c r="J657" s="46">
        <v>0</v>
      </c>
      <c r="K657" s="46">
        <v>0</v>
      </c>
      <c r="L657" s="46">
        <v>0</v>
      </c>
      <c r="M657" s="31">
        <v>0</v>
      </c>
      <c r="N657" s="31">
        <v>0</v>
      </c>
      <c r="O657" s="46">
        <v>351</v>
      </c>
      <c r="P657" s="60">
        <v>2.6320000000000001</v>
      </c>
      <c r="Q657" s="35" t="s">
        <v>154</v>
      </c>
    </row>
    <row r="658" spans="1:17" ht="24" x14ac:dyDescent="0.25">
      <c r="A658" s="21">
        <v>37701</v>
      </c>
      <c r="B658" s="21">
        <v>37702</v>
      </c>
      <c r="C658" s="43">
        <v>2003</v>
      </c>
      <c r="D658" s="35" t="s">
        <v>28</v>
      </c>
      <c r="E658" s="6" t="s">
        <v>29</v>
      </c>
      <c r="F658" s="7" t="s">
        <v>53</v>
      </c>
      <c r="G658" s="25" t="s">
        <v>1009</v>
      </c>
      <c r="H658" s="25" t="s">
        <v>1010</v>
      </c>
      <c r="I658" s="46">
        <v>0</v>
      </c>
      <c r="J658" s="46">
        <v>0</v>
      </c>
      <c r="K658" s="46">
        <v>0</v>
      </c>
      <c r="L658" s="46">
        <v>0</v>
      </c>
      <c r="M658" s="31">
        <v>0</v>
      </c>
      <c r="N658" s="31">
        <v>0</v>
      </c>
      <c r="O658" s="46">
        <v>150</v>
      </c>
      <c r="P658" s="60">
        <v>1.125</v>
      </c>
      <c r="Q658" s="35" t="s">
        <v>154</v>
      </c>
    </row>
    <row r="659" spans="1:17" ht="36" x14ac:dyDescent="0.25">
      <c r="A659" s="21">
        <v>37704</v>
      </c>
      <c r="B659" s="21">
        <v>37704</v>
      </c>
      <c r="C659" s="43">
        <v>2003</v>
      </c>
      <c r="D659" s="35" t="s">
        <v>28</v>
      </c>
      <c r="E659" s="40" t="s">
        <v>149</v>
      </c>
      <c r="F659" s="7" t="s">
        <v>62</v>
      </c>
      <c r="G659" s="25" t="s">
        <v>1011</v>
      </c>
      <c r="H659" s="25" t="s">
        <v>1012</v>
      </c>
      <c r="I659" s="46">
        <v>3</v>
      </c>
      <c r="J659" s="46">
        <v>3</v>
      </c>
      <c r="K659" s="46">
        <v>1</v>
      </c>
      <c r="L659" s="46">
        <v>0</v>
      </c>
      <c r="M659" s="31">
        <v>0</v>
      </c>
      <c r="N659" s="31">
        <v>0</v>
      </c>
      <c r="O659" s="46">
        <v>0</v>
      </c>
      <c r="P659" s="60">
        <v>8.0000000000000002E-3</v>
      </c>
      <c r="Q659" s="35" t="s">
        <v>154</v>
      </c>
    </row>
    <row r="660" spans="1:17" ht="36" x14ac:dyDescent="0.25">
      <c r="A660" s="21">
        <v>37705</v>
      </c>
      <c r="B660" s="21">
        <v>37705</v>
      </c>
      <c r="C660" s="43">
        <v>2003</v>
      </c>
      <c r="D660" s="35" t="s">
        <v>28</v>
      </c>
      <c r="E660" s="40" t="s">
        <v>149</v>
      </c>
      <c r="F660" s="7" t="s">
        <v>60</v>
      </c>
      <c r="G660" s="25" t="s">
        <v>1013</v>
      </c>
      <c r="H660" s="25" t="s">
        <v>1014</v>
      </c>
      <c r="I660" s="46">
        <v>0</v>
      </c>
      <c r="J660" s="46">
        <v>3</v>
      </c>
      <c r="K660" s="46">
        <v>0</v>
      </c>
      <c r="L660" s="46">
        <v>0</v>
      </c>
      <c r="M660" s="31">
        <v>0</v>
      </c>
      <c r="N660" s="31">
        <v>0</v>
      </c>
      <c r="O660" s="46">
        <v>0</v>
      </c>
      <c r="P660" s="60">
        <v>0</v>
      </c>
      <c r="Q660" s="35" t="s">
        <v>154</v>
      </c>
    </row>
    <row r="661" spans="1:17" ht="24" x14ac:dyDescent="0.25">
      <c r="A661" s="21">
        <v>37707</v>
      </c>
      <c r="B661" s="21">
        <v>37707</v>
      </c>
      <c r="C661" s="43">
        <v>2003</v>
      </c>
      <c r="D661" s="35" t="s">
        <v>28</v>
      </c>
      <c r="E661" s="40" t="s">
        <v>149</v>
      </c>
      <c r="F661" s="28" t="s">
        <v>157</v>
      </c>
      <c r="G661" s="25" t="s">
        <v>1015</v>
      </c>
      <c r="H661" s="25" t="s">
        <v>1016</v>
      </c>
      <c r="I661" s="46">
        <v>1</v>
      </c>
      <c r="J661" s="46">
        <v>1</v>
      </c>
      <c r="K661" s="46">
        <v>0</v>
      </c>
      <c r="L661" s="46">
        <v>0</v>
      </c>
      <c r="M661" s="31">
        <v>0</v>
      </c>
      <c r="N661" s="31">
        <v>0</v>
      </c>
      <c r="O661" s="46">
        <v>0</v>
      </c>
      <c r="P661" s="60">
        <v>0</v>
      </c>
      <c r="Q661" s="35" t="s">
        <v>154</v>
      </c>
    </row>
    <row r="662" spans="1:17" x14ac:dyDescent="0.25">
      <c r="A662" s="21">
        <v>37717</v>
      </c>
      <c r="B662" s="21">
        <v>37717</v>
      </c>
      <c r="C662" s="43">
        <v>2003</v>
      </c>
      <c r="D662" s="35" t="s">
        <v>28</v>
      </c>
      <c r="E662" s="6" t="s">
        <v>29</v>
      </c>
      <c r="F662" s="7" t="s">
        <v>56</v>
      </c>
      <c r="G662" s="25" t="s">
        <v>1017</v>
      </c>
      <c r="H662" s="25" t="s">
        <v>1018</v>
      </c>
      <c r="I662" s="46">
        <v>0</v>
      </c>
      <c r="J662" s="46">
        <v>0</v>
      </c>
      <c r="K662" s="46">
        <v>0</v>
      </c>
      <c r="L662" s="46">
        <v>0</v>
      </c>
      <c r="M662" s="31">
        <v>0</v>
      </c>
      <c r="N662" s="31">
        <v>0</v>
      </c>
      <c r="O662" s="46">
        <v>90</v>
      </c>
      <c r="P662" s="60">
        <v>0.67500000000000004</v>
      </c>
      <c r="Q662" s="35" t="s">
        <v>154</v>
      </c>
    </row>
    <row r="663" spans="1:17" ht="36" x14ac:dyDescent="0.25">
      <c r="A663" s="21">
        <v>37718</v>
      </c>
      <c r="B663" s="21">
        <v>37718</v>
      </c>
      <c r="C663" s="43">
        <v>2003</v>
      </c>
      <c r="D663" s="35" t="s">
        <v>28</v>
      </c>
      <c r="E663" s="40" t="s">
        <v>149</v>
      </c>
      <c r="F663" s="7" t="s">
        <v>30</v>
      </c>
      <c r="G663" s="25" t="s">
        <v>1019</v>
      </c>
      <c r="H663" s="25" t="s">
        <v>1020</v>
      </c>
      <c r="I663" s="46">
        <v>8</v>
      </c>
      <c r="J663" s="46">
        <v>10</v>
      </c>
      <c r="K663" s="46">
        <v>0</v>
      </c>
      <c r="L663" s="46">
        <v>0</v>
      </c>
      <c r="M663" s="31">
        <v>0</v>
      </c>
      <c r="N663" s="31">
        <v>0</v>
      </c>
      <c r="O663" s="46">
        <v>0</v>
      </c>
      <c r="P663" s="60">
        <v>0</v>
      </c>
      <c r="Q663" s="35" t="s">
        <v>154</v>
      </c>
    </row>
    <row r="664" spans="1:17" ht="36" x14ac:dyDescent="0.25">
      <c r="A664" s="21">
        <v>37718</v>
      </c>
      <c r="B664" s="21">
        <v>37718</v>
      </c>
      <c r="C664" s="43">
        <v>2003</v>
      </c>
      <c r="D664" s="35" t="s">
        <v>28</v>
      </c>
      <c r="E664" s="40" t="s">
        <v>149</v>
      </c>
      <c r="F664" s="28" t="s">
        <v>151</v>
      </c>
      <c r="G664" s="25" t="s">
        <v>110</v>
      </c>
      <c r="H664" s="25" t="s">
        <v>1021</v>
      </c>
      <c r="I664" s="46">
        <v>0</v>
      </c>
      <c r="J664" s="46">
        <v>0</v>
      </c>
      <c r="K664" s="46">
        <v>0</v>
      </c>
      <c r="L664" s="46">
        <v>0</v>
      </c>
      <c r="M664" s="31">
        <v>0</v>
      </c>
      <c r="N664" s="31">
        <v>0</v>
      </c>
      <c r="O664" s="46">
        <v>36027</v>
      </c>
      <c r="P664" s="32">
        <v>270.2029</v>
      </c>
      <c r="Q664" s="35" t="s">
        <v>154</v>
      </c>
    </row>
    <row r="665" spans="1:17" ht="24" x14ac:dyDescent="0.25">
      <c r="A665" s="21">
        <v>37719</v>
      </c>
      <c r="B665" s="21">
        <v>37719</v>
      </c>
      <c r="C665" s="43">
        <v>2003</v>
      </c>
      <c r="D665" s="35" t="s">
        <v>28</v>
      </c>
      <c r="E665" s="40" t="s">
        <v>149</v>
      </c>
      <c r="F665" s="28" t="s">
        <v>157</v>
      </c>
      <c r="G665" s="25" t="s">
        <v>206</v>
      </c>
      <c r="H665" s="25" t="s">
        <v>1022</v>
      </c>
      <c r="I665" s="46">
        <v>0</v>
      </c>
      <c r="J665" s="46">
        <v>0</v>
      </c>
      <c r="K665" s="46">
        <v>0</v>
      </c>
      <c r="L665" s="46">
        <v>0</v>
      </c>
      <c r="M665" s="31">
        <v>0</v>
      </c>
      <c r="N665" s="31">
        <v>0</v>
      </c>
      <c r="O665" s="46">
        <v>0</v>
      </c>
      <c r="P665" s="60">
        <v>0</v>
      </c>
      <c r="Q665" s="35" t="s">
        <v>154</v>
      </c>
    </row>
    <row r="666" spans="1:17" ht="36" x14ac:dyDescent="0.25">
      <c r="A666" s="21">
        <v>37722</v>
      </c>
      <c r="B666" s="21">
        <v>37725</v>
      </c>
      <c r="C666" s="43">
        <v>2003</v>
      </c>
      <c r="D666" s="35" t="s">
        <v>28</v>
      </c>
      <c r="E666" s="6" t="s">
        <v>29</v>
      </c>
      <c r="F666" s="7" t="s">
        <v>72</v>
      </c>
      <c r="G666" s="25" t="s">
        <v>1023</v>
      </c>
      <c r="H666" s="25" t="s">
        <v>1024</v>
      </c>
      <c r="I666" s="46">
        <v>4</v>
      </c>
      <c r="J666" s="46">
        <v>6</v>
      </c>
      <c r="K666" s="46">
        <v>0</v>
      </c>
      <c r="L666" s="46">
        <v>0</v>
      </c>
      <c r="M666" s="31">
        <v>0</v>
      </c>
      <c r="N666" s="31">
        <v>0</v>
      </c>
      <c r="O666" s="46">
        <v>0</v>
      </c>
      <c r="P666" s="60">
        <v>0</v>
      </c>
      <c r="Q666" s="35" t="s">
        <v>154</v>
      </c>
    </row>
    <row r="667" spans="1:17" ht="36" x14ac:dyDescent="0.25">
      <c r="A667" s="21">
        <v>37723</v>
      </c>
      <c r="B667" s="21">
        <v>37723</v>
      </c>
      <c r="C667" s="43">
        <v>2003</v>
      </c>
      <c r="D667" s="35" t="s">
        <v>28</v>
      </c>
      <c r="E667" s="6" t="s">
        <v>29</v>
      </c>
      <c r="F667" s="7" t="s">
        <v>33</v>
      </c>
      <c r="G667" s="25" t="s">
        <v>247</v>
      </c>
      <c r="H667" s="25" t="s">
        <v>1025</v>
      </c>
      <c r="I667" s="46">
        <v>0</v>
      </c>
      <c r="J667" s="46">
        <v>0</v>
      </c>
      <c r="K667" s="46">
        <v>0</v>
      </c>
      <c r="L667" s="46">
        <v>0</v>
      </c>
      <c r="M667" s="31">
        <v>0</v>
      </c>
      <c r="N667" s="31">
        <v>0</v>
      </c>
      <c r="O667" s="46">
        <v>70</v>
      </c>
      <c r="P667" s="60">
        <v>0.52500000000000002</v>
      </c>
      <c r="Q667" s="35" t="s">
        <v>154</v>
      </c>
    </row>
    <row r="668" spans="1:17" ht="36" x14ac:dyDescent="0.25">
      <c r="A668" s="21">
        <v>37725</v>
      </c>
      <c r="B668" s="21">
        <v>37726</v>
      </c>
      <c r="C668" s="43">
        <v>2003</v>
      </c>
      <c r="D668" s="35" t="s">
        <v>28</v>
      </c>
      <c r="E668" s="6" t="s">
        <v>29</v>
      </c>
      <c r="F668" s="7" t="s">
        <v>36</v>
      </c>
      <c r="G668" s="25" t="s">
        <v>1026</v>
      </c>
      <c r="H668" s="25" t="s">
        <v>1027</v>
      </c>
      <c r="I668" s="46">
        <v>0</v>
      </c>
      <c r="J668" s="46">
        <v>0</v>
      </c>
      <c r="K668" s="46">
        <v>0</v>
      </c>
      <c r="L668" s="46">
        <v>0</v>
      </c>
      <c r="M668" s="31">
        <v>0</v>
      </c>
      <c r="N668" s="31">
        <v>0</v>
      </c>
      <c r="O668" s="46">
        <v>25</v>
      </c>
      <c r="P668" s="60">
        <v>0.1875</v>
      </c>
      <c r="Q668" s="35" t="s">
        <v>154</v>
      </c>
    </row>
    <row r="669" spans="1:17" x14ac:dyDescent="0.25">
      <c r="A669" s="21">
        <v>37725</v>
      </c>
      <c r="B669" s="21">
        <v>37725</v>
      </c>
      <c r="C669" s="43">
        <v>2003</v>
      </c>
      <c r="D669" s="35" t="s">
        <v>28</v>
      </c>
      <c r="E669" s="6" t="s">
        <v>29</v>
      </c>
      <c r="F669" s="7" t="s">
        <v>77</v>
      </c>
      <c r="G669" s="25" t="s">
        <v>967</v>
      </c>
      <c r="H669" s="25" t="s">
        <v>1028</v>
      </c>
      <c r="I669" s="46">
        <v>0</v>
      </c>
      <c r="J669" s="46">
        <v>0</v>
      </c>
      <c r="K669" s="46">
        <v>0</v>
      </c>
      <c r="L669" s="46">
        <v>0</v>
      </c>
      <c r="M669" s="31">
        <v>0</v>
      </c>
      <c r="N669" s="31">
        <v>0</v>
      </c>
      <c r="O669" s="46">
        <v>26</v>
      </c>
      <c r="P669" s="60">
        <v>0.19500000000000001</v>
      </c>
      <c r="Q669" s="35" t="s">
        <v>154</v>
      </c>
    </row>
    <row r="670" spans="1:17" ht="36" x14ac:dyDescent="0.25">
      <c r="A670" s="21">
        <v>37728</v>
      </c>
      <c r="B670" s="21">
        <v>37728</v>
      </c>
      <c r="C670" s="43">
        <v>2003</v>
      </c>
      <c r="D670" s="35" t="s">
        <v>28</v>
      </c>
      <c r="E670" s="40" t="s">
        <v>149</v>
      </c>
      <c r="F670" s="28" t="s">
        <v>157</v>
      </c>
      <c r="G670" s="25" t="s">
        <v>1029</v>
      </c>
      <c r="H670" s="25" t="s">
        <v>1030</v>
      </c>
      <c r="I670" s="46">
        <v>0</v>
      </c>
      <c r="J670" s="46">
        <v>2</v>
      </c>
      <c r="K670" s="46">
        <v>0</v>
      </c>
      <c r="L670" s="46">
        <v>0</v>
      </c>
      <c r="M670" s="31">
        <v>0</v>
      </c>
      <c r="N670" s="31">
        <v>0</v>
      </c>
      <c r="O670" s="46">
        <v>0</v>
      </c>
      <c r="P670" s="60">
        <v>0</v>
      </c>
      <c r="Q670" s="35" t="s">
        <v>154</v>
      </c>
    </row>
    <row r="671" spans="1:17" ht="36" x14ac:dyDescent="0.25">
      <c r="A671" s="21">
        <v>37730</v>
      </c>
      <c r="B671" s="21">
        <v>37739</v>
      </c>
      <c r="C671" s="43">
        <v>2003</v>
      </c>
      <c r="D671" s="35" t="s">
        <v>28</v>
      </c>
      <c r="E671" s="40" t="s">
        <v>149</v>
      </c>
      <c r="F671" s="7" t="s">
        <v>36</v>
      </c>
      <c r="G671" s="25" t="s">
        <v>1031</v>
      </c>
      <c r="H671" s="25" t="s">
        <v>1032</v>
      </c>
      <c r="I671" s="46">
        <v>0</v>
      </c>
      <c r="J671" s="46">
        <v>0</v>
      </c>
      <c r="K671" s="46">
        <v>0</v>
      </c>
      <c r="L671" s="46">
        <v>0</v>
      </c>
      <c r="M671" s="31">
        <v>0</v>
      </c>
      <c r="N671" s="31">
        <v>0</v>
      </c>
      <c r="O671" s="46">
        <v>1375</v>
      </c>
      <c r="P671" s="60">
        <v>10.311999999999999</v>
      </c>
      <c r="Q671" s="35" t="s">
        <v>154</v>
      </c>
    </row>
    <row r="672" spans="1:17" ht="48" x14ac:dyDescent="0.25">
      <c r="A672" s="21">
        <v>37733</v>
      </c>
      <c r="B672" s="21">
        <v>37733</v>
      </c>
      <c r="C672" s="43">
        <v>2003</v>
      </c>
      <c r="D672" s="35" t="s">
        <v>28</v>
      </c>
      <c r="E672" s="40" t="s">
        <v>149</v>
      </c>
      <c r="F672" s="7" t="s">
        <v>67</v>
      </c>
      <c r="G672" s="25" t="s">
        <v>1033</v>
      </c>
      <c r="H672" s="25" t="s">
        <v>1034</v>
      </c>
      <c r="I672" s="46">
        <v>1</v>
      </c>
      <c r="J672" s="46">
        <v>0</v>
      </c>
      <c r="K672" s="46">
        <v>0</v>
      </c>
      <c r="L672" s="46">
        <v>0</v>
      </c>
      <c r="M672" s="31">
        <v>0</v>
      </c>
      <c r="N672" s="31">
        <v>0</v>
      </c>
      <c r="O672" s="46">
        <v>0</v>
      </c>
      <c r="P672" s="60">
        <v>0</v>
      </c>
      <c r="Q672" s="35" t="s">
        <v>154</v>
      </c>
    </row>
    <row r="673" spans="1:17" x14ac:dyDescent="0.25">
      <c r="A673" s="21">
        <v>37735</v>
      </c>
      <c r="B673" s="21">
        <v>37735</v>
      </c>
      <c r="C673" s="43">
        <v>2003</v>
      </c>
      <c r="D673" s="35" t="s">
        <v>28</v>
      </c>
      <c r="E673" s="6" t="s">
        <v>29</v>
      </c>
      <c r="F673" s="7" t="s">
        <v>56</v>
      </c>
      <c r="G673" s="25" t="s">
        <v>1035</v>
      </c>
      <c r="H673" s="25" t="s">
        <v>1036</v>
      </c>
      <c r="I673" s="46">
        <v>0</v>
      </c>
      <c r="J673" s="46">
        <v>0</v>
      </c>
      <c r="K673" s="46">
        <v>0</v>
      </c>
      <c r="L673" s="46">
        <v>0</v>
      </c>
      <c r="M673" s="31">
        <v>0</v>
      </c>
      <c r="N673" s="31">
        <v>0</v>
      </c>
      <c r="O673" s="46">
        <v>300</v>
      </c>
      <c r="P673" s="60">
        <v>2.25</v>
      </c>
      <c r="Q673" s="35" t="s">
        <v>154</v>
      </c>
    </row>
    <row r="674" spans="1:17" ht="36" x14ac:dyDescent="0.25">
      <c r="A674" s="21">
        <v>37735</v>
      </c>
      <c r="B674" s="21">
        <v>37735</v>
      </c>
      <c r="C674" s="43">
        <v>2003</v>
      </c>
      <c r="D674" s="35" t="s">
        <v>28</v>
      </c>
      <c r="E674" s="40" t="s">
        <v>149</v>
      </c>
      <c r="F674" s="28" t="s">
        <v>157</v>
      </c>
      <c r="G674" s="25" t="s">
        <v>1029</v>
      </c>
      <c r="H674" s="25" t="s">
        <v>1037</v>
      </c>
      <c r="I674" s="46">
        <v>0</v>
      </c>
      <c r="J674" s="46">
        <v>60</v>
      </c>
      <c r="K674" s="46">
        <v>1</v>
      </c>
      <c r="L674" s="46">
        <v>0</v>
      </c>
      <c r="M674" s="31">
        <v>0</v>
      </c>
      <c r="N674" s="31">
        <v>0</v>
      </c>
      <c r="O674" s="46">
        <v>0</v>
      </c>
      <c r="P674" s="60">
        <v>8.6999999999999994E-3</v>
      </c>
      <c r="Q674" s="35" t="s">
        <v>154</v>
      </c>
    </row>
    <row r="675" spans="1:17" ht="36" x14ac:dyDescent="0.25">
      <c r="A675" s="21">
        <v>37737</v>
      </c>
      <c r="B675" s="21">
        <v>37737</v>
      </c>
      <c r="C675" s="43">
        <v>2003</v>
      </c>
      <c r="D675" s="35" t="s">
        <v>28</v>
      </c>
      <c r="E675" s="40" t="s">
        <v>149</v>
      </c>
      <c r="F675" s="7" t="s">
        <v>45</v>
      </c>
      <c r="G675" s="25" t="s">
        <v>259</v>
      </c>
      <c r="H675" s="25" t="s">
        <v>1038</v>
      </c>
      <c r="I675" s="46">
        <v>0</v>
      </c>
      <c r="J675" s="46">
        <v>22</v>
      </c>
      <c r="K675" s="46">
        <v>0</v>
      </c>
      <c r="L675" s="46">
        <v>0</v>
      </c>
      <c r="M675" s="31">
        <v>0</v>
      </c>
      <c r="N675" s="31">
        <v>0</v>
      </c>
      <c r="O675" s="46">
        <v>0</v>
      </c>
      <c r="P675" s="60">
        <v>0</v>
      </c>
      <c r="Q675" s="35" t="s">
        <v>154</v>
      </c>
    </row>
    <row r="676" spans="1:17" x14ac:dyDescent="0.25">
      <c r="A676" s="21">
        <v>37740</v>
      </c>
      <c r="B676" s="21">
        <v>37740</v>
      </c>
      <c r="C676" s="43">
        <v>2003</v>
      </c>
      <c r="D676" s="35" t="s">
        <v>28</v>
      </c>
      <c r="E676" s="6" t="s">
        <v>29</v>
      </c>
      <c r="F676" s="7" t="s">
        <v>56</v>
      </c>
      <c r="G676" s="25" t="s">
        <v>1039</v>
      </c>
      <c r="H676" s="25" t="s">
        <v>1040</v>
      </c>
      <c r="I676" s="46">
        <v>0</v>
      </c>
      <c r="J676" s="46">
        <v>0</v>
      </c>
      <c r="K676" s="46">
        <v>0</v>
      </c>
      <c r="L676" s="46">
        <v>0</v>
      </c>
      <c r="M676" s="31">
        <v>0</v>
      </c>
      <c r="N676" s="31">
        <v>0</v>
      </c>
      <c r="O676" s="46">
        <v>306</v>
      </c>
      <c r="P676" s="60">
        <v>2.2949999999999999</v>
      </c>
      <c r="Q676" s="35" t="s">
        <v>154</v>
      </c>
    </row>
    <row r="677" spans="1:17" ht="24" x14ac:dyDescent="0.25">
      <c r="A677" s="21">
        <v>37741</v>
      </c>
      <c r="B677" s="21">
        <v>37741</v>
      </c>
      <c r="C677" s="43">
        <v>2003</v>
      </c>
      <c r="D677" s="35" t="s">
        <v>28</v>
      </c>
      <c r="E677" s="6" t="s">
        <v>29</v>
      </c>
      <c r="F677" s="7" t="s">
        <v>40</v>
      </c>
      <c r="G677" s="25" t="s">
        <v>1041</v>
      </c>
      <c r="H677" s="25" t="s">
        <v>1042</v>
      </c>
      <c r="I677" s="46">
        <v>0</v>
      </c>
      <c r="J677" s="46">
        <v>0</v>
      </c>
      <c r="K677" s="46">
        <v>0</v>
      </c>
      <c r="L677" s="46">
        <v>0</v>
      </c>
      <c r="M677" s="31">
        <v>0</v>
      </c>
      <c r="N677" s="31">
        <v>0</v>
      </c>
      <c r="O677" s="46">
        <v>1020</v>
      </c>
      <c r="P677" s="60">
        <v>7.65</v>
      </c>
      <c r="Q677" s="35" t="s">
        <v>154</v>
      </c>
    </row>
    <row r="678" spans="1:17" ht="36" x14ac:dyDescent="0.25">
      <c r="A678" s="21">
        <v>37622</v>
      </c>
      <c r="B678" s="21">
        <v>37741</v>
      </c>
      <c r="C678" s="43">
        <v>2003</v>
      </c>
      <c r="D678" s="35" t="s">
        <v>28</v>
      </c>
      <c r="E678" s="6" t="s">
        <v>29</v>
      </c>
      <c r="F678" s="7" t="s">
        <v>82</v>
      </c>
      <c r="G678" s="25" t="s">
        <v>110</v>
      </c>
      <c r="H678" s="25" t="s">
        <v>1043</v>
      </c>
      <c r="I678" s="46">
        <v>0</v>
      </c>
      <c r="J678" s="46">
        <v>0</v>
      </c>
      <c r="K678" s="46">
        <v>0</v>
      </c>
      <c r="L678" s="46">
        <v>0</v>
      </c>
      <c r="M678" s="31">
        <v>0</v>
      </c>
      <c r="N678" s="31">
        <v>0</v>
      </c>
      <c r="O678" s="46">
        <v>5048</v>
      </c>
      <c r="P678" s="60">
        <v>37.86</v>
      </c>
      <c r="Q678" s="35" t="s">
        <v>154</v>
      </c>
    </row>
    <row r="679" spans="1:17" ht="36" x14ac:dyDescent="0.25">
      <c r="A679" s="21">
        <v>37742</v>
      </c>
      <c r="B679" s="21">
        <v>37755</v>
      </c>
      <c r="C679" s="43">
        <v>2003</v>
      </c>
      <c r="D679" s="35" t="s">
        <v>28</v>
      </c>
      <c r="E679" s="6" t="s">
        <v>29</v>
      </c>
      <c r="F679" s="7" t="s">
        <v>36</v>
      </c>
      <c r="G679" s="25" t="s">
        <v>1044</v>
      </c>
      <c r="H679" s="25" t="s">
        <v>1045</v>
      </c>
      <c r="I679" s="46">
        <v>0</v>
      </c>
      <c r="J679" s="46">
        <v>0</v>
      </c>
      <c r="K679" s="46">
        <v>0</v>
      </c>
      <c r="L679" s="46">
        <v>0</v>
      </c>
      <c r="M679" s="31">
        <v>0</v>
      </c>
      <c r="N679" s="31">
        <v>0</v>
      </c>
      <c r="O679" s="46">
        <v>10083</v>
      </c>
      <c r="P679" s="60">
        <v>75.622</v>
      </c>
      <c r="Q679" s="35" t="s">
        <v>154</v>
      </c>
    </row>
    <row r="680" spans="1:17" ht="24" x14ac:dyDescent="0.25">
      <c r="A680" s="21">
        <v>37746</v>
      </c>
      <c r="B680" s="21">
        <v>37746</v>
      </c>
      <c r="C680" s="43">
        <v>2003</v>
      </c>
      <c r="D680" s="35" t="s">
        <v>28</v>
      </c>
      <c r="E680" s="6" t="s">
        <v>29</v>
      </c>
      <c r="F680" s="7" t="s">
        <v>77</v>
      </c>
      <c r="G680" s="25" t="s">
        <v>110</v>
      </c>
      <c r="H680" s="25" t="s">
        <v>1046</v>
      </c>
      <c r="I680" s="46">
        <v>0</v>
      </c>
      <c r="J680" s="46">
        <v>0</v>
      </c>
      <c r="K680" s="46">
        <v>0</v>
      </c>
      <c r="L680" s="46">
        <v>0</v>
      </c>
      <c r="M680" s="31">
        <v>0</v>
      </c>
      <c r="N680" s="31">
        <v>0</v>
      </c>
      <c r="O680" s="46">
        <v>200</v>
      </c>
      <c r="P680" s="60">
        <v>1.5</v>
      </c>
      <c r="Q680" s="35" t="s">
        <v>154</v>
      </c>
    </row>
    <row r="681" spans="1:17" ht="48" x14ac:dyDescent="0.25">
      <c r="A681" s="21">
        <v>37748</v>
      </c>
      <c r="B681" s="21">
        <v>37748</v>
      </c>
      <c r="C681" s="43">
        <v>2003</v>
      </c>
      <c r="D681" s="35" t="s">
        <v>28</v>
      </c>
      <c r="E681" s="6" t="s">
        <v>29</v>
      </c>
      <c r="F681" s="28" t="s">
        <v>163</v>
      </c>
      <c r="G681" s="25" t="s">
        <v>110</v>
      </c>
      <c r="H681" s="25" t="s">
        <v>1047</v>
      </c>
      <c r="I681" s="46">
        <v>0</v>
      </c>
      <c r="J681" s="46">
        <v>2870</v>
      </c>
      <c r="K681" s="46">
        <v>0</v>
      </c>
      <c r="L681" s="46">
        <v>0</v>
      </c>
      <c r="M681" s="31">
        <v>0</v>
      </c>
      <c r="N681" s="31">
        <v>0</v>
      </c>
      <c r="O681" s="46">
        <v>0</v>
      </c>
      <c r="P681" s="60">
        <v>0</v>
      </c>
      <c r="Q681" s="35" t="s">
        <v>154</v>
      </c>
    </row>
    <row r="682" spans="1:17" ht="24" x14ac:dyDescent="0.25">
      <c r="A682" s="21">
        <v>37622</v>
      </c>
      <c r="B682" s="21">
        <v>37986</v>
      </c>
      <c r="C682" s="43">
        <v>2003</v>
      </c>
      <c r="D682" s="35" t="s">
        <v>28</v>
      </c>
      <c r="E682" s="6" t="s">
        <v>29</v>
      </c>
      <c r="F682" s="7" t="s">
        <v>58</v>
      </c>
      <c r="G682" s="25" t="s">
        <v>536</v>
      </c>
      <c r="H682" s="25" t="s">
        <v>1048</v>
      </c>
      <c r="I682" s="46">
        <v>0</v>
      </c>
      <c r="J682" s="46">
        <v>0</v>
      </c>
      <c r="K682" s="46">
        <v>0</v>
      </c>
      <c r="L682" s="46">
        <v>0</v>
      </c>
      <c r="M682" s="31">
        <v>0</v>
      </c>
      <c r="N682" s="31">
        <v>0</v>
      </c>
      <c r="O682" s="46">
        <v>15269</v>
      </c>
      <c r="P682" s="60">
        <v>114.5175</v>
      </c>
      <c r="Q682" s="35" t="s">
        <v>154</v>
      </c>
    </row>
    <row r="683" spans="1:17" ht="36" x14ac:dyDescent="0.25">
      <c r="A683" s="21">
        <v>37748</v>
      </c>
      <c r="B683" s="21">
        <v>37754</v>
      </c>
      <c r="C683" s="43">
        <v>2003</v>
      </c>
      <c r="D683" s="35" t="s">
        <v>28</v>
      </c>
      <c r="E683" s="6" t="s">
        <v>29</v>
      </c>
      <c r="F683" s="7" t="s">
        <v>101</v>
      </c>
      <c r="G683" s="25" t="s">
        <v>110</v>
      </c>
      <c r="H683" s="25" t="s">
        <v>1049</v>
      </c>
      <c r="I683" s="46">
        <v>0</v>
      </c>
      <c r="J683" s="46">
        <v>0</v>
      </c>
      <c r="K683" s="46">
        <v>0</v>
      </c>
      <c r="L683" s="46">
        <v>0</v>
      </c>
      <c r="M683" s="31">
        <v>0</v>
      </c>
      <c r="N683" s="31">
        <v>0</v>
      </c>
      <c r="O683" s="46">
        <v>3681</v>
      </c>
      <c r="P683" s="60">
        <v>27.6</v>
      </c>
      <c r="Q683" s="35" t="s">
        <v>154</v>
      </c>
    </row>
    <row r="684" spans="1:17" ht="24" x14ac:dyDescent="0.25">
      <c r="A684" s="21">
        <v>37755</v>
      </c>
      <c r="B684" s="21">
        <v>37755</v>
      </c>
      <c r="C684" s="43">
        <v>2003</v>
      </c>
      <c r="D684" s="35" t="s">
        <v>28</v>
      </c>
      <c r="E684" s="6" t="s">
        <v>29</v>
      </c>
      <c r="F684" s="7" t="s">
        <v>80</v>
      </c>
      <c r="G684" s="25" t="s">
        <v>1050</v>
      </c>
      <c r="H684" s="25" t="s">
        <v>1051</v>
      </c>
      <c r="I684" s="46">
        <v>0</v>
      </c>
      <c r="J684" s="46">
        <v>0</v>
      </c>
      <c r="K684" s="46">
        <v>0</v>
      </c>
      <c r="L684" s="46">
        <v>0</v>
      </c>
      <c r="M684" s="31">
        <v>0</v>
      </c>
      <c r="N684" s="31">
        <v>0</v>
      </c>
      <c r="O684" s="46">
        <v>6650</v>
      </c>
      <c r="P684" s="60">
        <v>49.875</v>
      </c>
      <c r="Q684" s="35" t="s">
        <v>154</v>
      </c>
    </row>
    <row r="685" spans="1:17" ht="36" x14ac:dyDescent="0.25">
      <c r="A685" s="21">
        <v>37755</v>
      </c>
      <c r="B685" s="21">
        <v>37726</v>
      </c>
      <c r="C685" s="43">
        <v>2003</v>
      </c>
      <c r="D685" s="35" t="s">
        <v>28</v>
      </c>
      <c r="E685" s="6" t="s">
        <v>29</v>
      </c>
      <c r="F685" s="7" t="s">
        <v>45</v>
      </c>
      <c r="G685" s="25" t="s">
        <v>1052</v>
      </c>
      <c r="H685" s="25" t="s">
        <v>1053</v>
      </c>
      <c r="I685" s="46">
        <v>0</v>
      </c>
      <c r="J685" s="46">
        <v>0</v>
      </c>
      <c r="K685" s="46">
        <v>0</v>
      </c>
      <c r="L685" s="46">
        <v>0</v>
      </c>
      <c r="M685" s="31">
        <v>0</v>
      </c>
      <c r="N685" s="31">
        <v>0</v>
      </c>
      <c r="O685" s="46">
        <v>1141</v>
      </c>
      <c r="P685" s="60">
        <v>8.5500000000000007</v>
      </c>
      <c r="Q685" s="35" t="s">
        <v>154</v>
      </c>
    </row>
    <row r="686" spans="1:17" ht="24" x14ac:dyDescent="0.25">
      <c r="A686" s="21">
        <v>37760</v>
      </c>
      <c r="B686" s="21">
        <v>37760</v>
      </c>
      <c r="C686" s="43">
        <v>2003</v>
      </c>
      <c r="D686" s="35" t="s">
        <v>28</v>
      </c>
      <c r="E686" s="6" t="s">
        <v>29</v>
      </c>
      <c r="F686" s="7" t="s">
        <v>45</v>
      </c>
      <c r="G686" s="25" t="s">
        <v>1054</v>
      </c>
      <c r="H686" s="25" t="s">
        <v>1055</v>
      </c>
      <c r="I686" s="46">
        <v>0</v>
      </c>
      <c r="J686" s="46">
        <v>0</v>
      </c>
      <c r="K686" s="46">
        <v>0</v>
      </c>
      <c r="L686" s="46">
        <v>0</v>
      </c>
      <c r="M686" s="31">
        <v>0</v>
      </c>
      <c r="N686" s="31">
        <v>0</v>
      </c>
      <c r="O686" s="46">
        <v>34</v>
      </c>
      <c r="P686" s="60">
        <v>0.255</v>
      </c>
      <c r="Q686" s="35" t="s">
        <v>154</v>
      </c>
    </row>
    <row r="687" spans="1:17" ht="24" x14ac:dyDescent="0.25">
      <c r="A687" s="21">
        <v>37760</v>
      </c>
      <c r="B687" s="21">
        <v>37766</v>
      </c>
      <c r="C687" s="43">
        <v>2003</v>
      </c>
      <c r="D687" s="35" t="s">
        <v>28</v>
      </c>
      <c r="E687" s="6" t="s">
        <v>29</v>
      </c>
      <c r="F687" s="7" t="s">
        <v>30</v>
      </c>
      <c r="G687" s="25" t="s">
        <v>1056</v>
      </c>
      <c r="H687" s="25" t="s">
        <v>1057</v>
      </c>
      <c r="I687" s="46">
        <v>0</v>
      </c>
      <c r="J687" s="46">
        <v>0</v>
      </c>
      <c r="K687" s="46">
        <v>0</v>
      </c>
      <c r="L687" s="46">
        <v>0</v>
      </c>
      <c r="M687" s="31">
        <v>0</v>
      </c>
      <c r="N687" s="31">
        <v>0</v>
      </c>
      <c r="O687" s="46">
        <v>49</v>
      </c>
      <c r="P687" s="60">
        <v>0.36699999999999999</v>
      </c>
      <c r="Q687" s="35" t="s">
        <v>154</v>
      </c>
    </row>
    <row r="688" spans="1:17" ht="36" x14ac:dyDescent="0.25">
      <c r="A688" s="21">
        <v>37772</v>
      </c>
      <c r="B688" s="21">
        <v>37772</v>
      </c>
      <c r="C688" s="43">
        <v>2003</v>
      </c>
      <c r="D688" s="35" t="s">
        <v>28</v>
      </c>
      <c r="E688" s="6" t="s">
        <v>29</v>
      </c>
      <c r="F688" s="28" t="s">
        <v>157</v>
      </c>
      <c r="G688" s="25" t="s">
        <v>876</v>
      </c>
      <c r="H688" s="25" t="s">
        <v>1058</v>
      </c>
      <c r="I688" s="46">
        <v>0</v>
      </c>
      <c r="J688" s="46">
        <v>0</v>
      </c>
      <c r="K688" s="46">
        <v>0</v>
      </c>
      <c r="L688" s="46">
        <v>0</v>
      </c>
      <c r="M688" s="31">
        <v>0</v>
      </c>
      <c r="N688" s="31">
        <v>0</v>
      </c>
      <c r="O688" s="46">
        <v>4</v>
      </c>
      <c r="P688" s="60">
        <v>0.03</v>
      </c>
      <c r="Q688" s="35" t="s">
        <v>154</v>
      </c>
    </row>
    <row r="689" spans="1:17" ht="24" x14ac:dyDescent="0.25">
      <c r="A689" s="21">
        <v>37773</v>
      </c>
      <c r="B689" s="21">
        <v>37773</v>
      </c>
      <c r="C689" s="43">
        <v>2003</v>
      </c>
      <c r="D689" s="35" t="s">
        <v>28</v>
      </c>
      <c r="E689" s="6" t="s">
        <v>29</v>
      </c>
      <c r="F689" s="7" t="s">
        <v>84</v>
      </c>
      <c r="G689" s="25" t="s">
        <v>536</v>
      </c>
      <c r="H689" s="25" t="s">
        <v>1059</v>
      </c>
      <c r="I689" s="46">
        <v>0</v>
      </c>
      <c r="J689" s="46">
        <v>0</v>
      </c>
      <c r="K689" s="46">
        <v>0</v>
      </c>
      <c r="L689" s="46">
        <v>0</v>
      </c>
      <c r="M689" s="31">
        <v>0</v>
      </c>
      <c r="N689" s="31">
        <v>0</v>
      </c>
      <c r="O689" s="46">
        <v>140</v>
      </c>
      <c r="P689" s="60">
        <v>8.2500000000000004E-2</v>
      </c>
      <c r="Q689" s="35" t="s">
        <v>154</v>
      </c>
    </row>
    <row r="690" spans="1:17" ht="24" x14ac:dyDescent="0.25">
      <c r="A690" s="21">
        <v>37775</v>
      </c>
      <c r="B690" s="21">
        <v>37775</v>
      </c>
      <c r="C690" s="43">
        <v>2003</v>
      </c>
      <c r="D690" s="35" t="s">
        <v>28</v>
      </c>
      <c r="E690" s="6" t="s">
        <v>29</v>
      </c>
      <c r="F690" s="7" t="s">
        <v>25</v>
      </c>
      <c r="G690" s="25" t="s">
        <v>1060</v>
      </c>
      <c r="H690" s="25" t="s">
        <v>1061</v>
      </c>
      <c r="I690" s="46">
        <v>0</v>
      </c>
      <c r="J690" s="46">
        <v>0</v>
      </c>
      <c r="K690" s="46">
        <v>0</v>
      </c>
      <c r="L690" s="46">
        <v>0</v>
      </c>
      <c r="M690" s="31">
        <v>0</v>
      </c>
      <c r="N690" s="31">
        <v>0</v>
      </c>
      <c r="O690" s="46">
        <v>160</v>
      </c>
      <c r="P690" s="60">
        <v>1.2</v>
      </c>
      <c r="Q690" s="35" t="s">
        <v>154</v>
      </c>
    </row>
    <row r="691" spans="1:17" ht="48" x14ac:dyDescent="0.25">
      <c r="A691" s="21">
        <v>37786</v>
      </c>
      <c r="B691" s="21">
        <v>37786</v>
      </c>
      <c r="C691" s="43">
        <v>2003</v>
      </c>
      <c r="D691" s="35" t="s">
        <v>28</v>
      </c>
      <c r="E691" s="40" t="s">
        <v>149</v>
      </c>
      <c r="F691" s="28" t="s">
        <v>157</v>
      </c>
      <c r="G691" s="51" t="s">
        <v>1062</v>
      </c>
      <c r="H691" s="51" t="s">
        <v>1063</v>
      </c>
      <c r="I691" s="46">
        <v>0</v>
      </c>
      <c r="J691" s="46">
        <v>1</v>
      </c>
      <c r="K691" s="46">
        <v>0</v>
      </c>
      <c r="L691" s="46">
        <v>0</v>
      </c>
      <c r="M691" s="31">
        <v>0</v>
      </c>
      <c r="N691" s="31">
        <v>0</v>
      </c>
      <c r="O691" s="46">
        <v>0</v>
      </c>
      <c r="P691" s="60">
        <v>0</v>
      </c>
      <c r="Q691" s="35" t="s">
        <v>154</v>
      </c>
    </row>
    <row r="692" spans="1:17" ht="24" x14ac:dyDescent="0.25">
      <c r="A692" s="21">
        <v>37786</v>
      </c>
      <c r="B692" s="21">
        <v>37787</v>
      </c>
      <c r="C692" s="43">
        <v>2003</v>
      </c>
      <c r="D692" s="35" t="s">
        <v>28</v>
      </c>
      <c r="E692" s="6" t="s">
        <v>29</v>
      </c>
      <c r="F692" s="7" t="s">
        <v>30</v>
      </c>
      <c r="G692" s="51" t="s">
        <v>1064</v>
      </c>
      <c r="H692" s="51" t="s">
        <v>1065</v>
      </c>
      <c r="I692" s="46">
        <v>0</v>
      </c>
      <c r="J692" s="46">
        <v>0</v>
      </c>
      <c r="K692" s="46">
        <v>0</v>
      </c>
      <c r="L692" s="46">
        <v>0</v>
      </c>
      <c r="M692" s="31">
        <v>0</v>
      </c>
      <c r="N692" s="31">
        <v>0</v>
      </c>
      <c r="O692" s="46">
        <v>100</v>
      </c>
      <c r="P692" s="60">
        <v>0.75</v>
      </c>
      <c r="Q692" s="35" t="s">
        <v>154</v>
      </c>
    </row>
    <row r="693" spans="1:17" ht="24" x14ac:dyDescent="0.25">
      <c r="A693" s="21">
        <v>37622</v>
      </c>
      <c r="B693" s="21">
        <v>37986</v>
      </c>
      <c r="C693" s="43">
        <v>2003</v>
      </c>
      <c r="D693" s="35" t="s">
        <v>28</v>
      </c>
      <c r="E693" s="6" t="s">
        <v>29</v>
      </c>
      <c r="F693" s="7" t="s">
        <v>87</v>
      </c>
      <c r="G693" s="51" t="s">
        <v>536</v>
      </c>
      <c r="H693" s="51" t="s">
        <v>1066</v>
      </c>
      <c r="I693" s="46">
        <v>0</v>
      </c>
      <c r="J693" s="46">
        <v>0</v>
      </c>
      <c r="K693" s="46">
        <v>0</v>
      </c>
      <c r="L693" s="46">
        <v>0</v>
      </c>
      <c r="M693" s="31">
        <v>0</v>
      </c>
      <c r="N693" s="31">
        <v>0</v>
      </c>
      <c r="O693" s="46">
        <v>744</v>
      </c>
      <c r="P693" s="60">
        <v>5.58</v>
      </c>
      <c r="Q693" s="35" t="s">
        <v>154</v>
      </c>
    </row>
    <row r="694" spans="1:17" ht="48" x14ac:dyDescent="0.25">
      <c r="A694" s="21">
        <v>37798</v>
      </c>
      <c r="B694" s="21">
        <v>37806</v>
      </c>
      <c r="C694" s="43">
        <v>2003</v>
      </c>
      <c r="D694" s="35" t="s">
        <v>28</v>
      </c>
      <c r="E694" s="40" t="s">
        <v>149</v>
      </c>
      <c r="F694" s="7" t="s">
        <v>30</v>
      </c>
      <c r="G694" s="25" t="s">
        <v>536</v>
      </c>
      <c r="H694" s="25" t="s">
        <v>1067</v>
      </c>
      <c r="I694" s="46">
        <v>0</v>
      </c>
      <c r="J694" s="46">
        <v>0</v>
      </c>
      <c r="K694" s="46">
        <v>0</v>
      </c>
      <c r="L694" s="46">
        <v>0</v>
      </c>
      <c r="M694" s="31">
        <v>0</v>
      </c>
      <c r="N694" s="31">
        <v>0</v>
      </c>
      <c r="O694" s="46">
        <v>17000</v>
      </c>
      <c r="P694" s="60">
        <v>127.5</v>
      </c>
      <c r="Q694" s="35" t="s">
        <v>154</v>
      </c>
    </row>
    <row r="695" spans="1:17" ht="24" x14ac:dyDescent="0.25">
      <c r="A695" s="21">
        <v>37804</v>
      </c>
      <c r="B695" s="21">
        <v>37809</v>
      </c>
      <c r="C695" s="43">
        <v>2003</v>
      </c>
      <c r="D695" s="35" t="s">
        <v>28</v>
      </c>
      <c r="E695" s="6" t="s">
        <v>29</v>
      </c>
      <c r="F695" s="7" t="s">
        <v>87</v>
      </c>
      <c r="G695" s="25" t="s">
        <v>536</v>
      </c>
      <c r="H695" s="25" t="s">
        <v>1068</v>
      </c>
      <c r="I695" s="46">
        <v>0</v>
      </c>
      <c r="J695" s="46">
        <v>0</v>
      </c>
      <c r="K695" s="46">
        <v>0</v>
      </c>
      <c r="L695" s="46">
        <v>0</v>
      </c>
      <c r="M695" s="31">
        <v>0</v>
      </c>
      <c r="N695" s="31">
        <v>0</v>
      </c>
      <c r="O695" s="46">
        <v>7413</v>
      </c>
      <c r="P695" s="60">
        <v>55.59</v>
      </c>
      <c r="Q695" s="35" t="s">
        <v>154</v>
      </c>
    </row>
    <row r="696" spans="1:17" ht="24" x14ac:dyDescent="0.25">
      <c r="A696" s="21">
        <v>37837</v>
      </c>
      <c r="B696" s="21">
        <v>37837</v>
      </c>
      <c r="C696" s="43">
        <v>2003</v>
      </c>
      <c r="D696" s="35" t="s">
        <v>28</v>
      </c>
      <c r="E696" s="40" t="s">
        <v>149</v>
      </c>
      <c r="F696" s="28" t="s">
        <v>157</v>
      </c>
      <c r="G696" s="25" t="s">
        <v>1062</v>
      </c>
      <c r="H696" s="25" t="s">
        <v>1069</v>
      </c>
      <c r="I696" s="46">
        <v>0</v>
      </c>
      <c r="J696" s="46">
        <v>1</v>
      </c>
      <c r="K696" s="46">
        <v>0</v>
      </c>
      <c r="L696" s="46">
        <v>0</v>
      </c>
      <c r="M696" s="31">
        <v>0</v>
      </c>
      <c r="N696" s="31">
        <v>0</v>
      </c>
      <c r="O696" s="46">
        <v>0</v>
      </c>
      <c r="P696" s="60">
        <v>0</v>
      </c>
      <c r="Q696" s="35" t="s">
        <v>154</v>
      </c>
    </row>
    <row r="697" spans="1:17" ht="24" x14ac:dyDescent="0.25">
      <c r="A697" s="21">
        <v>37843</v>
      </c>
      <c r="B697" s="21">
        <v>37843</v>
      </c>
      <c r="C697" s="43">
        <v>2003</v>
      </c>
      <c r="D697" s="35" t="s">
        <v>28</v>
      </c>
      <c r="E697" s="6" t="s">
        <v>29</v>
      </c>
      <c r="F697" s="7" t="s">
        <v>30</v>
      </c>
      <c r="G697" s="25" t="s">
        <v>1070</v>
      </c>
      <c r="H697" s="25" t="s">
        <v>1071</v>
      </c>
      <c r="I697" s="46">
        <v>0</v>
      </c>
      <c r="J697" s="46">
        <v>0</v>
      </c>
      <c r="K697" s="46">
        <v>0</v>
      </c>
      <c r="L697" s="46">
        <v>0</v>
      </c>
      <c r="M697" s="31">
        <v>0</v>
      </c>
      <c r="N697" s="31">
        <v>0</v>
      </c>
      <c r="O697" s="46">
        <v>100</v>
      </c>
      <c r="P697" s="60">
        <v>0.75</v>
      </c>
      <c r="Q697" s="35" t="s">
        <v>154</v>
      </c>
    </row>
    <row r="698" spans="1:17" ht="36" x14ac:dyDescent="0.25">
      <c r="A698" s="21">
        <v>37853</v>
      </c>
      <c r="B698" s="21">
        <v>37853</v>
      </c>
      <c r="C698" s="43">
        <v>2003</v>
      </c>
      <c r="D698" s="35" t="s">
        <v>28</v>
      </c>
      <c r="E698" s="6" t="s">
        <v>149</v>
      </c>
      <c r="F698" s="7" t="s">
        <v>40</v>
      </c>
      <c r="G698" s="25" t="s">
        <v>40</v>
      </c>
      <c r="H698" s="25" t="s">
        <v>1072</v>
      </c>
      <c r="I698" s="46">
        <v>0</v>
      </c>
      <c r="J698" s="46">
        <v>1</v>
      </c>
      <c r="K698" s="46">
        <v>0</v>
      </c>
      <c r="L698" s="46">
        <v>0</v>
      </c>
      <c r="M698" s="31">
        <v>0</v>
      </c>
      <c r="N698" s="31">
        <v>0</v>
      </c>
      <c r="O698" s="46">
        <v>0</v>
      </c>
      <c r="P698" s="60">
        <v>0</v>
      </c>
      <c r="Q698" s="35" t="s">
        <v>154</v>
      </c>
    </row>
    <row r="699" spans="1:17" ht="48" x14ac:dyDescent="0.25">
      <c r="A699" s="21">
        <v>37854</v>
      </c>
      <c r="B699" s="21">
        <v>37854</v>
      </c>
      <c r="C699" s="43">
        <v>2003</v>
      </c>
      <c r="D699" s="35" t="s">
        <v>28</v>
      </c>
      <c r="E699" s="6" t="s">
        <v>149</v>
      </c>
      <c r="F699" s="28" t="s">
        <v>163</v>
      </c>
      <c r="G699" s="25" t="s">
        <v>110</v>
      </c>
      <c r="H699" s="25" t="s">
        <v>1073</v>
      </c>
      <c r="I699" s="46">
        <v>0</v>
      </c>
      <c r="J699" s="46">
        <v>0</v>
      </c>
      <c r="K699" s="46">
        <v>0</v>
      </c>
      <c r="L699" s="46">
        <v>0</v>
      </c>
      <c r="M699" s="31">
        <v>0</v>
      </c>
      <c r="N699" s="31">
        <v>0</v>
      </c>
      <c r="O699" s="46">
        <v>0</v>
      </c>
      <c r="P699" s="60">
        <v>0</v>
      </c>
      <c r="Q699" s="35" t="s">
        <v>154</v>
      </c>
    </row>
    <row r="700" spans="1:17" ht="36" x14ac:dyDescent="0.25">
      <c r="A700" s="21">
        <v>37874</v>
      </c>
      <c r="B700" s="21">
        <v>37874</v>
      </c>
      <c r="C700" s="43">
        <v>2003</v>
      </c>
      <c r="D700" s="35" t="s">
        <v>28</v>
      </c>
      <c r="E700" s="6" t="s">
        <v>149</v>
      </c>
      <c r="F700" s="7" t="s">
        <v>53</v>
      </c>
      <c r="G700" s="25" t="s">
        <v>878</v>
      </c>
      <c r="H700" s="25" t="s">
        <v>1074</v>
      </c>
      <c r="I700" s="46">
        <v>0</v>
      </c>
      <c r="J700" s="46">
        <v>4</v>
      </c>
      <c r="K700" s="46">
        <v>1</v>
      </c>
      <c r="L700" s="46">
        <v>0</v>
      </c>
      <c r="M700" s="31">
        <v>0</v>
      </c>
      <c r="N700" s="31">
        <v>0</v>
      </c>
      <c r="O700" s="46">
        <v>0</v>
      </c>
      <c r="P700" s="60">
        <v>8.6999999999999994E-3</v>
      </c>
      <c r="Q700" s="35" t="s">
        <v>154</v>
      </c>
    </row>
    <row r="701" spans="1:17" ht="36" x14ac:dyDescent="0.25">
      <c r="A701" s="21">
        <v>37882</v>
      </c>
      <c r="B701" s="21">
        <v>37882</v>
      </c>
      <c r="C701" s="43">
        <v>2003</v>
      </c>
      <c r="D701" s="35" t="s">
        <v>28</v>
      </c>
      <c r="E701" s="6" t="s">
        <v>149</v>
      </c>
      <c r="F701" s="28" t="s">
        <v>157</v>
      </c>
      <c r="G701" s="25" t="s">
        <v>1029</v>
      </c>
      <c r="H701" s="25" t="s">
        <v>1075</v>
      </c>
      <c r="I701" s="46">
        <v>0</v>
      </c>
      <c r="J701" s="46">
        <v>1</v>
      </c>
      <c r="K701" s="46">
        <v>0</v>
      </c>
      <c r="L701" s="46">
        <v>0</v>
      </c>
      <c r="M701" s="31">
        <v>0</v>
      </c>
      <c r="N701" s="31">
        <v>0</v>
      </c>
      <c r="O701" s="46">
        <v>0</v>
      </c>
      <c r="P701" s="60">
        <v>0</v>
      </c>
      <c r="Q701" s="35" t="s">
        <v>154</v>
      </c>
    </row>
    <row r="702" spans="1:17" ht="60" x14ac:dyDescent="0.25">
      <c r="A702" s="21">
        <v>37907</v>
      </c>
      <c r="B702" s="21">
        <v>37907</v>
      </c>
      <c r="C702" s="43">
        <v>2003</v>
      </c>
      <c r="D702" s="35" t="s">
        <v>28</v>
      </c>
      <c r="E702" s="6" t="s">
        <v>149</v>
      </c>
      <c r="F702" s="7" t="s">
        <v>60</v>
      </c>
      <c r="G702" s="25" t="s">
        <v>1076</v>
      </c>
      <c r="H702" s="25" t="s">
        <v>1077</v>
      </c>
      <c r="I702" s="46">
        <v>0</v>
      </c>
      <c r="J702" s="46">
        <v>12</v>
      </c>
      <c r="K702" s="46">
        <v>0</v>
      </c>
      <c r="L702" s="46">
        <v>0</v>
      </c>
      <c r="M702" s="31">
        <v>0</v>
      </c>
      <c r="N702" s="31">
        <v>0</v>
      </c>
      <c r="O702" s="46">
        <v>0</v>
      </c>
      <c r="P702" s="60">
        <v>0.46800000000000003</v>
      </c>
      <c r="Q702" s="35" t="s">
        <v>154</v>
      </c>
    </row>
    <row r="703" spans="1:17" ht="36" x14ac:dyDescent="0.25">
      <c r="A703" s="21">
        <v>37908</v>
      </c>
      <c r="B703" s="21">
        <v>37908</v>
      </c>
      <c r="C703" s="43">
        <v>2003</v>
      </c>
      <c r="D703" s="35" t="s">
        <v>28</v>
      </c>
      <c r="E703" s="6" t="s">
        <v>149</v>
      </c>
      <c r="F703" s="7" t="s">
        <v>30</v>
      </c>
      <c r="G703" s="25" t="s">
        <v>1078</v>
      </c>
      <c r="H703" s="25" t="s">
        <v>1079</v>
      </c>
      <c r="I703" s="46">
        <v>0</v>
      </c>
      <c r="J703" s="46">
        <v>52</v>
      </c>
      <c r="K703" s="46">
        <v>8</v>
      </c>
      <c r="L703" s="46">
        <v>0</v>
      </c>
      <c r="M703" s="31">
        <v>0</v>
      </c>
      <c r="N703" s="31">
        <v>0</v>
      </c>
      <c r="O703" s="46">
        <v>0</v>
      </c>
      <c r="P703" s="60">
        <v>7.0000000000000007E-2</v>
      </c>
      <c r="Q703" s="35" t="s">
        <v>154</v>
      </c>
    </row>
    <row r="704" spans="1:17" ht="60" x14ac:dyDescent="0.25">
      <c r="A704" s="21">
        <v>37920</v>
      </c>
      <c r="B704" s="21">
        <v>37920</v>
      </c>
      <c r="C704" s="43">
        <v>2003</v>
      </c>
      <c r="D704" s="35" t="s">
        <v>28</v>
      </c>
      <c r="E704" s="6" t="s">
        <v>29</v>
      </c>
      <c r="F704" s="7" t="s">
        <v>30</v>
      </c>
      <c r="G704" s="25" t="s">
        <v>1080</v>
      </c>
      <c r="H704" s="25" t="s">
        <v>1081</v>
      </c>
      <c r="I704" s="46">
        <v>2</v>
      </c>
      <c r="J704" s="46">
        <v>153</v>
      </c>
      <c r="K704" s="46">
        <v>28</v>
      </c>
      <c r="L704" s="46">
        <v>0</v>
      </c>
      <c r="M704" s="31">
        <v>0</v>
      </c>
      <c r="N704" s="31">
        <v>0</v>
      </c>
      <c r="O704" s="46">
        <v>1200</v>
      </c>
      <c r="P704" s="60">
        <v>9.5</v>
      </c>
      <c r="Q704" s="35" t="s">
        <v>154</v>
      </c>
    </row>
    <row r="705" spans="1:17" ht="36" x14ac:dyDescent="0.25">
      <c r="A705" s="21">
        <v>37916</v>
      </c>
      <c r="B705" s="21">
        <v>37916</v>
      </c>
      <c r="C705" s="43">
        <v>2003</v>
      </c>
      <c r="D705" s="35" t="s">
        <v>28</v>
      </c>
      <c r="E705" s="6" t="s">
        <v>149</v>
      </c>
      <c r="F705" s="28" t="s">
        <v>157</v>
      </c>
      <c r="G705" s="25" t="s">
        <v>110</v>
      </c>
      <c r="H705" s="25" t="s">
        <v>1082</v>
      </c>
      <c r="I705" s="46">
        <v>0</v>
      </c>
      <c r="J705" s="46">
        <v>3</v>
      </c>
      <c r="K705" s="46">
        <v>0</v>
      </c>
      <c r="L705" s="46">
        <v>0</v>
      </c>
      <c r="M705" s="31">
        <v>0</v>
      </c>
      <c r="N705" s="31">
        <v>0</v>
      </c>
      <c r="O705" s="46">
        <v>0</v>
      </c>
      <c r="P705" s="60">
        <v>0</v>
      </c>
      <c r="Q705" s="35" t="s">
        <v>154</v>
      </c>
    </row>
    <row r="706" spans="1:17" ht="36" x14ac:dyDescent="0.25">
      <c r="A706" s="21">
        <v>37916</v>
      </c>
      <c r="B706" s="21">
        <v>37916</v>
      </c>
      <c r="C706" s="43">
        <v>2003</v>
      </c>
      <c r="D706" s="35" t="s">
        <v>28</v>
      </c>
      <c r="E706" s="6" t="s">
        <v>149</v>
      </c>
      <c r="F706" s="28" t="s">
        <v>157</v>
      </c>
      <c r="G706" s="25" t="s">
        <v>110</v>
      </c>
      <c r="H706" s="25" t="s">
        <v>1083</v>
      </c>
      <c r="I706" s="46">
        <v>3</v>
      </c>
      <c r="J706" s="46">
        <v>7</v>
      </c>
      <c r="K706" s="46">
        <v>0</v>
      </c>
      <c r="L706" s="46">
        <v>0</v>
      </c>
      <c r="M706" s="31">
        <v>0</v>
      </c>
      <c r="N706" s="31">
        <v>0</v>
      </c>
      <c r="O706" s="46">
        <v>0</v>
      </c>
      <c r="P706" s="60">
        <v>0</v>
      </c>
      <c r="Q706" s="35" t="s">
        <v>154</v>
      </c>
    </row>
    <row r="707" spans="1:17" ht="60" x14ac:dyDescent="0.25">
      <c r="A707" s="21">
        <v>37924</v>
      </c>
      <c r="B707" s="21">
        <v>37924</v>
      </c>
      <c r="C707" s="43">
        <v>2003</v>
      </c>
      <c r="D707" s="35" t="s">
        <v>28</v>
      </c>
      <c r="E707" s="6" t="s">
        <v>149</v>
      </c>
      <c r="F707" s="7" t="s">
        <v>40</v>
      </c>
      <c r="G707" s="25" t="s">
        <v>830</v>
      </c>
      <c r="H707" s="25" t="s">
        <v>1084</v>
      </c>
      <c r="I707" s="46">
        <v>4</v>
      </c>
      <c r="J707" s="46">
        <v>150</v>
      </c>
      <c r="K707" s="46">
        <v>1</v>
      </c>
      <c r="L707" s="46">
        <v>0</v>
      </c>
      <c r="M707" s="31">
        <v>0</v>
      </c>
      <c r="N707" s="31">
        <v>0</v>
      </c>
      <c r="O707" s="46">
        <v>0</v>
      </c>
      <c r="P707" s="60">
        <v>2.8000000000000001E-2</v>
      </c>
      <c r="Q707" s="35" t="s">
        <v>154</v>
      </c>
    </row>
    <row r="708" spans="1:17" ht="36" x14ac:dyDescent="0.25">
      <c r="A708" s="21">
        <v>37942</v>
      </c>
      <c r="B708" s="21">
        <v>37942</v>
      </c>
      <c r="C708" s="43">
        <v>2003</v>
      </c>
      <c r="D708" s="35" t="s">
        <v>28</v>
      </c>
      <c r="E708" s="6" t="s">
        <v>149</v>
      </c>
      <c r="F708" s="28" t="s">
        <v>157</v>
      </c>
      <c r="G708" s="25" t="s">
        <v>206</v>
      </c>
      <c r="H708" s="25" t="s">
        <v>1085</v>
      </c>
      <c r="I708" s="46">
        <v>0</v>
      </c>
      <c r="J708" s="46">
        <v>4</v>
      </c>
      <c r="K708" s="46">
        <v>0</v>
      </c>
      <c r="L708" s="46">
        <v>0</v>
      </c>
      <c r="M708" s="31">
        <v>0</v>
      </c>
      <c r="N708" s="31">
        <v>0</v>
      </c>
      <c r="O708" s="46">
        <v>0</v>
      </c>
      <c r="P708" s="60">
        <v>0</v>
      </c>
      <c r="Q708" s="35" t="s">
        <v>154</v>
      </c>
    </row>
    <row r="709" spans="1:17" ht="48" x14ac:dyDescent="0.25">
      <c r="A709" s="21">
        <v>37945</v>
      </c>
      <c r="B709" s="21">
        <v>37945</v>
      </c>
      <c r="C709" s="43">
        <v>2003</v>
      </c>
      <c r="D709" s="35" t="s">
        <v>28</v>
      </c>
      <c r="E709" s="6" t="s">
        <v>149</v>
      </c>
      <c r="F709" s="7" t="s">
        <v>53</v>
      </c>
      <c r="G709" s="25" t="s">
        <v>110</v>
      </c>
      <c r="H709" s="25" t="s">
        <v>1086</v>
      </c>
      <c r="I709" s="46">
        <v>0</v>
      </c>
      <c r="J709" s="46">
        <v>1</v>
      </c>
      <c r="K709" s="46">
        <v>0</v>
      </c>
      <c r="L709" s="46">
        <v>0</v>
      </c>
      <c r="M709" s="31">
        <v>0</v>
      </c>
      <c r="N709" s="31">
        <v>0</v>
      </c>
      <c r="O709" s="46">
        <v>0</v>
      </c>
      <c r="P709" s="60">
        <v>0</v>
      </c>
      <c r="Q709" s="35" t="s">
        <v>154</v>
      </c>
    </row>
    <row r="710" spans="1:17" ht="36" x14ac:dyDescent="0.25">
      <c r="A710" s="21">
        <v>37949</v>
      </c>
      <c r="B710" s="21">
        <v>37949</v>
      </c>
      <c r="C710" s="43">
        <v>2003</v>
      </c>
      <c r="D710" s="35" t="s">
        <v>28</v>
      </c>
      <c r="E710" s="6" t="s">
        <v>149</v>
      </c>
      <c r="F710" s="28" t="s">
        <v>157</v>
      </c>
      <c r="G710" s="25" t="s">
        <v>847</v>
      </c>
      <c r="H710" s="25" t="s">
        <v>1087</v>
      </c>
      <c r="I710" s="46">
        <v>0</v>
      </c>
      <c r="J710" s="46">
        <v>186</v>
      </c>
      <c r="K710" s="46">
        <v>35</v>
      </c>
      <c r="L710" s="46">
        <v>0</v>
      </c>
      <c r="M710" s="31">
        <v>0</v>
      </c>
      <c r="N710" s="31">
        <v>0</v>
      </c>
      <c r="O710" s="46">
        <v>0</v>
      </c>
      <c r="P710" s="60">
        <v>0.307</v>
      </c>
      <c r="Q710" s="35" t="s">
        <v>154</v>
      </c>
    </row>
    <row r="711" spans="1:17" ht="36" x14ac:dyDescent="0.25">
      <c r="A711" s="21">
        <v>37957</v>
      </c>
      <c r="B711" s="21">
        <v>37957</v>
      </c>
      <c r="C711" s="43">
        <v>2003</v>
      </c>
      <c r="D711" s="35" t="s">
        <v>28</v>
      </c>
      <c r="E711" s="6" t="s">
        <v>29</v>
      </c>
      <c r="F711" s="7" t="s">
        <v>56</v>
      </c>
      <c r="G711" s="25" t="s">
        <v>536</v>
      </c>
      <c r="H711" s="25" t="s">
        <v>1088</v>
      </c>
      <c r="I711" s="46">
        <v>0</v>
      </c>
      <c r="J711" s="46">
        <v>0</v>
      </c>
      <c r="K711" s="46">
        <v>0</v>
      </c>
      <c r="L711" s="46">
        <v>0</v>
      </c>
      <c r="M711" s="31">
        <v>0</v>
      </c>
      <c r="N711" s="31">
        <v>0</v>
      </c>
      <c r="O711" s="46">
        <v>45</v>
      </c>
      <c r="P711" s="60">
        <v>0.33700000000000002</v>
      </c>
      <c r="Q711" s="35" t="s">
        <v>154</v>
      </c>
    </row>
    <row r="712" spans="1:17" ht="48" x14ac:dyDescent="0.25">
      <c r="A712" s="21">
        <v>37958</v>
      </c>
      <c r="B712" s="21">
        <v>37958</v>
      </c>
      <c r="C712" s="43">
        <v>2003</v>
      </c>
      <c r="D712" s="35" t="s">
        <v>28</v>
      </c>
      <c r="E712" s="6" t="s">
        <v>149</v>
      </c>
      <c r="F712" s="7" t="s">
        <v>53</v>
      </c>
      <c r="G712" s="25" t="s">
        <v>1089</v>
      </c>
      <c r="H712" s="25" t="s">
        <v>1090</v>
      </c>
      <c r="I712" s="46">
        <v>0</v>
      </c>
      <c r="J712" s="46">
        <v>0</v>
      </c>
      <c r="K712" s="46">
        <v>0</v>
      </c>
      <c r="L712" s="46">
        <v>0</v>
      </c>
      <c r="M712" s="31">
        <v>0</v>
      </c>
      <c r="N712" s="31">
        <v>0</v>
      </c>
      <c r="O712" s="46">
        <v>0</v>
      </c>
      <c r="P712" s="60">
        <v>0</v>
      </c>
      <c r="Q712" s="35" t="s">
        <v>154</v>
      </c>
    </row>
    <row r="713" spans="1:17" ht="36" x14ac:dyDescent="0.25">
      <c r="A713" s="21">
        <v>37959</v>
      </c>
      <c r="B713" s="21">
        <v>37959</v>
      </c>
      <c r="C713" s="43">
        <v>2003</v>
      </c>
      <c r="D713" s="35" t="s">
        <v>28</v>
      </c>
      <c r="E713" s="6" t="s">
        <v>149</v>
      </c>
      <c r="F713" s="7" t="s">
        <v>60</v>
      </c>
      <c r="G713" s="25" t="s">
        <v>908</v>
      </c>
      <c r="H713" s="25" t="s">
        <v>1091</v>
      </c>
      <c r="I713" s="46">
        <v>0</v>
      </c>
      <c r="J713" s="46">
        <v>1</v>
      </c>
      <c r="K713" s="46">
        <v>0</v>
      </c>
      <c r="L713" s="46">
        <v>0</v>
      </c>
      <c r="M713" s="31">
        <v>0</v>
      </c>
      <c r="N713" s="31">
        <v>0</v>
      </c>
      <c r="O713" s="46">
        <v>0</v>
      </c>
      <c r="P713" s="60">
        <v>0</v>
      </c>
      <c r="Q713" s="35" t="s">
        <v>154</v>
      </c>
    </row>
    <row r="714" spans="1:17" ht="48" x14ac:dyDescent="0.25">
      <c r="A714" s="21">
        <v>37766</v>
      </c>
      <c r="B714" s="21">
        <v>37766</v>
      </c>
      <c r="C714" s="43">
        <v>2003</v>
      </c>
      <c r="D714" s="35" t="s">
        <v>28</v>
      </c>
      <c r="E714" s="6" t="s">
        <v>369</v>
      </c>
      <c r="F714" s="7" t="s">
        <v>82</v>
      </c>
      <c r="G714" s="51" t="s">
        <v>1092</v>
      </c>
      <c r="H714" s="51" t="s">
        <v>1093</v>
      </c>
      <c r="I714" s="46">
        <v>0</v>
      </c>
      <c r="J714" s="46">
        <v>0</v>
      </c>
      <c r="K714" s="46">
        <v>0</v>
      </c>
      <c r="L714" s="46">
        <v>0</v>
      </c>
      <c r="M714" s="31">
        <v>0</v>
      </c>
      <c r="N714" s="31">
        <v>0</v>
      </c>
      <c r="O714" s="46">
        <v>0</v>
      </c>
      <c r="P714" s="47">
        <v>4.8000000000000001E-2</v>
      </c>
      <c r="Q714" s="35" t="s">
        <v>154</v>
      </c>
    </row>
    <row r="715" spans="1:17" ht="60" x14ac:dyDescent="0.25">
      <c r="A715" s="21">
        <v>37815</v>
      </c>
      <c r="B715" s="21">
        <v>37815</v>
      </c>
      <c r="C715" s="43">
        <v>2003</v>
      </c>
      <c r="D715" s="35" t="s">
        <v>28</v>
      </c>
      <c r="E715" s="6" t="s">
        <v>369</v>
      </c>
      <c r="F715" s="7" t="s">
        <v>82</v>
      </c>
      <c r="G715" s="51" t="s">
        <v>110</v>
      </c>
      <c r="H715" s="51" t="s">
        <v>1094</v>
      </c>
      <c r="I715" s="46">
        <v>0</v>
      </c>
      <c r="J715" s="46">
        <v>1</v>
      </c>
      <c r="K715" s="46">
        <v>0</v>
      </c>
      <c r="L715" s="46">
        <v>0</v>
      </c>
      <c r="M715" s="31">
        <v>0</v>
      </c>
      <c r="N715" s="31">
        <v>0</v>
      </c>
      <c r="O715" s="46">
        <v>0</v>
      </c>
      <c r="P715" s="47">
        <v>0.23699999999999999</v>
      </c>
      <c r="Q715" s="35" t="s">
        <v>154</v>
      </c>
    </row>
    <row r="716" spans="1:17" ht="36" x14ac:dyDescent="0.25">
      <c r="A716" s="21">
        <v>37922</v>
      </c>
      <c r="B716" s="21">
        <v>37922</v>
      </c>
      <c r="C716" s="43">
        <v>2003</v>
      </c>
      <c r="D716" s="35" t="s">
        <v>28</v>
      </c>
      <c r="E716" s="6" t="s">
        <v>369</v>
      </c>
      <c r="F716" s="7" t="s">
        <v>68</v>
      </c>
      <c r="G716" s="51" t="s">
        <v>110</v>
      </c>
      <c r="H716" s="51" t="s">
        <v>1095</v>
      </c>
      <c r="I716" s="46">
        <v>0</v>
      </c>
      <c r="J716" s="46">
        <v>0</v>
      </c>
      <c r="K716" s="46">
        <v>0</v>
      </c>
      <c r="L716" s="46">
        <v>0</v>
      </c>
      <c r="M716" s="31">
        <v>0</v>
      </c>
      <c r="N716" s="31">
        <v>0</v>
      </c>
      <c r="O716" s="46">
        <v>0</v>
      </c>
      <c r="P716" s="26">
        <v>0.182</v>
      </c>
      <c r="Q716" s="35" t="s">
        <v>154</v>
      </c>
    </row>
    <row r="717" spans="1:17" ht="60" x14ac:dyDescent="0.25">
      <c r="A717" s="21">
        <v>37627</v>
      </c>
      <c r="B717" s="21">
        <v>37627</v>
      </c>
      <c r="C717" s="43">
        <v>2003</v>
      </c>
      <c r="D717" s="24" t="s">
        <v>141</v>
      </c>
      <c r="E717" s="30" t="s">
        <v>142</v>
      </c>
      <c r="F717" s="7" t="s">
        <v>101</v>
      </c>
      <c r="G717" s="44" t="s">
        <v>1096</v>
      </c>
      <c r="H717" s="44" t="s">
        <v>1097</v>
      </c>
      <c r="I717" s="46">
        <v>18</v>
      </c>
      <c r="J717" s="46">
        <v>39</v>
      </c>
      <c r="K717" s="46">
        <v>0</v>
      </c>
      <c r="L717" s="46">
        <v>0</v>
      </c>
      <c r="M717" s="31">
        <v>0</v>
      </c>
      <c r="N717" s="31">
        <v>0</v>
      </c>
      <c r="O717" s="46">
        <v>0</v>
      </c>
      <c r="P717" s="47">
        <v>0</v>
      </c>
      <c r="Q717" s="35" t="s">
        <v>154</v>
      </c>
    </row>
    <row r="718" spans="1:17" ht="60" x14ac:dyDescent="0.25">
      <c r="A718" s="21">
        <v>37737</v>
      </c>
      <c r="B718" s="21">
        <v>37737</v>
      </c>
      <c r="C718" s="43">
        <v>2003</v>
      </c>
      <c r="D718" s="24" t="s">
        <v>141</v>
      </c>
      <c r="E718" s="30" t="s">
        <v>142</v>
      </c>
      <c r="F718" s="7" t="s">
        <v>87</v>
      </c>
      <c r="G718" s="44" t="s">
        <v>1098</v>
      </c>
      <c r="H718" s="44" t="s">
        <v>1099</v>
      </c>
      <c r="I718" s="46">
        <v>18</v>
      </c>
      <c r="J718" s="46">
        <v>34</v>
      </c>
      <c r="K718" s="46">
        <v>0</v>
      </c>
      <c r="L718" s="46">
        <v>0</v>
      </c>
      <c r="M718" s="31">
        <v>0</v>
      </c>
      <c r="N718" s="31">
        <v>0</v>
      </c>
      <c r="O718" s="46">
        <v>0</v>
      </c>
      <c r="P718" s="47">
        <v>0</v>
      </c>
      <c r="Q718" s="35" t="s">
        <v>154</v>
      </c>
    </row>
    <row r="719" spans="1:17" ht="60" x14ac:dyDescent="0.25">
      <c r="A719" s="21">
        <v>37960</v>
      </c>
      <c r="B719" s="21">
        <v>37960</v>
      </c>
      <c r="C719" s="43">
        <v>2003</v>
      </c>
      <c r="D719" s="24" t="s">
        <v>141</v>
      </c>
      <c r="E719" s="30" t="s">
        <v>142</v>
      </c>
      <c r="F719" s="7" t="s">
        <v>101</v>
      </c>
      <c r="G719" s="44" t="s">
        <v>1100</v>
      </c>
      <c r="H719" s="44" t="s">
        <v>1101</v>
      </c>
      <c r="I719" s="46">
        <v>15</v>
      </c>
      <c r="J719" s="46">
        <v>33</v>
      </c>
      <c r="K719" s="46">
        <v>0</v>
      </c>
      <c r="L719" s="46">
        <v>0</v>
      </c>
      <c r="M719" s="31">
        <v>0</v>
      </c>
      <c r="N719" s="31">
        <v>0</v>
      </c>
      <c r="O719" s="46">
        <v>0</v>
      </c>
      <c r="P719" s="47">
        <v>0.6</v>
      </c>
      <c r="Q719" s="35" t="s">
        <v>154</v>
      </c>
    </row>
    <row r="720" spans="1:17" ht="72" x14ac:dyDescent="0.25">
      <c r="A720" s="21">
        <v>37978</v>
      </c>
      <c r="B720" s="21">
        <v>37978</v>
      </c>
      <c r="C720" s="43">
        <v>2003</v>
      </c>
      <c r="D720" s="24" t="s">
        <v>141</v>
      </c>
      <c r="E720" s="30" t="s">
        <v>142</v>
      </c>
      <c r="F720" s="28" t="s">
        <v>151</v>
      </c>
      <c r="G720" s="44" t="s">
        <v>110</v>
      </c>
      <c r="H720" s="44" t="s">
        <v>1102</v>
      </c>
      <c r="I720" s="46">
        <v>12</v>
      </c>
      <c r="J720" s="46">
        <v>40</v>
      </c>
      <c r="K720" s="46">
        <v>0</v>
      </c>
      <c r="L720" s="46">
        <v>0</v>
      </c>
      <c r="M720" s="31">
        <v>0</v>
      </c>
      <c r="N720" s="31">
        <v>0</v>
      </c>
      <c r="O720" s="46">
        <v>0</v>
      </c>
      <c r="P720" s="47">
        <v>0.6</v>
      </c>
      <c r="Q720" s="35" t="s">
        <v>154</v>
      </c>
    </row>
    <row r="721" spans="1:17" ht="36" x14ac:dyDescent="0.25">
      <c r="A721" s="21">
        <v>37762</v>
      </c>
      <c r="B721" s="21">
        <v>37762</v>
      </c>
      <c r="C721" s="43">
        <v>2003</v>
      </c>
      <c r="D721" s="24" t="s">
        <v>141</v>
      </c>
      <c r="E721" s="30" t="s">
        <v>142</v>
      </c>
      <c r="F721" s="7" t="s">
        <v>45</v>
      </c>
      <c r="G721" s="44" t="s">
        <v>1103</v>
      </c>
      <c r="H721" s="44" t="s">
        <v>1104</v>
      </c>
      <c r="I721" s="46">
        <v>10</v>
      </c>
      <c r="J721" s="46">
        <v>41</v>
      </c>
      <c r="K721" s="46">
        <v>0</v>
      </c>
      <c r="L721" s="46">
        <v>0</v>
      </c>
      <c r="M721" s="31">
        <v>0</v>
      </c>
      <c r="N721" s="31">
        <v>0</v>
      </c>
      <c r="O721" s="46">
        <v>0</v>
      </c>
      <c r="P721" s="47">
        <v>0</v>
      </c>
      <c r="Q721" s="35" t="s">
        <v>154</v>
      </c>
    </row>
    <row r="722" spans="1:17" ht="48" x14ac:dyDescent="0.25">
      <c r="A722" s="21">
        <v>37788</v>
      </c>
      <c r="B722" s="21">
        <v>37788</v>
      </c>
      <c r="C722" s="43">
        <v>2003</v>
      </c>
      <c r="D722" s="24" t="s">
        <v>141</v>
      </c>
      <c r="E722" s="30" t="s">
        <v>142</v>
      </c>
      <c r="F722" s="7" t="s">
        <v>60</v>
      </c>
      <c r="G722" s="44" t="s">
        <v>1105</v>
      </c>
      <c r="H722" s="44" t="s">
        <v>1106</v>
      </c>
      <c r="I722" s="46">
        <v>9</v>
      </c>
      <c r="J722" s="46">
        <v>9</v>
      </c>
      <c r="K722" s="46">
        <v>0</v>
      </c>
      <c r="L722" s="46">
        <v>0</v>
      </c>
      <c r="M722" s="31">
        <v>0</v>
      </c>
      <c r="N722" s="31">
        <v>0</v>
      </c>
      <c r="O722" s="46">
        <v>0</v>
      </c>
      <c r="P722" s="47">
        <v>0.6</v>
      </c>
      <c r="Q722" s="35" t="s">
        <v>154</v>
      </c>
    </row>
    <row r="723" spans="1:17" ht="36" x14ac:dyDescent="0.25">
      <c r="A723" s="21">
        <v>37848</v>
      </c>
      <c r="B723" s="21">
        <v>37848</v>
      </c>
      <c r="C723" s="43">
        <v>2003</v>
      </c>
      <c r="D723" s="24" t="s">
        <v>141</v>
      </c>
      <c r="E723" s="30" t="s">
        <v>142</v>
      </c>
      <c r="F723" s="28" t="s">
        <v>210</v>
      </c>
      <c r="G723" s="44" t="s">
        <v>1107</v>
      </c>
      <c r="H723" s="44" t="s">
        <v>1108</v>
      </c>
      <c r="I723" s="46">
        <v>8</v>
      </c>
      <c r="J723" s="46">
        <v>17</v>
      </c>
      <c r="K723" s="46">
        <v>0</v>
      </c>
      <c r="L723" s="46">
        <v>0</v>
      </c>
      <c r="M723" s="31">
        <v>0</v>
      </c>
      <c r="N723" s="31">
        <v>0</v>
      </c>
      <c r="O723" s="46">
        <v>0</v>
      </c>
      <c r="P723" s="47">
        <v>0</v>
      </c>
      <c r="Q723" s="35" t="s">
        <v>154</v>
      </c>
    </row>
    <row r="724" spans="1:17" ht="60" x14ac:dyDescent="0.25">
      <c r="A724" s="21">
        <v>37650</v>
      </c>
      <c r="B724" s="21">
        <v>37650</v>
      </c>
      <c r="C724" s="43">
        <v>2003</v>
      </c>
      <c r="D724" s="24" t="s">
        <v>141</v>
      </c>
      <c r="E724" s="30" t="s">
        <v>142</v>
      </c>
      <c r="F724" s="7" t="s">
        <v>62</v>
      </c>
      <c r="G724" s="44" t="s">
        <v>1109</v>
      </c>
      <c r="H724" s="44" t="s">
        <v>1110</v>
      </c>
      <c r="I724" s="46">
        <v>8</v>
      </c>
      <c r="J724" s="46">
        <v>12</v>
      </c>
      <c r="K724" s="46">
        <v>0</v>
      </c>
      <c r="L724" s="46">
        <v>0</v>
      </c>
      <c r="M724" s="31">
        <v>0</v>
      </c>
      <c r="N724" s="31">
        <v>0</v>
      </c>
      <c r="O724" s="46">
        <v>0</v>
      </c>
      <c r="P724" s="47">
        <v>0.6</v>
      </c>
      <c r="Q724" s="35" t="s">
        <v>154</v>
      </c>
    </row>
    <row r="725" spans="1:17" ht="48" x14ac:dyDescent="0.25">
      <c r="A725" s="21">
        <v>37877</v>
      </c>
      <c r="B725" s="21">
        <v>37877</v>
      </c>
      <c r="C725" s="43">
        <v>2003</v>
      </c>
      <c r="D725" s="24" t="s">
        <v>141</v>
      </c>
      <c r="E725" s="30" t="s">
        <v>142</v>
      </c>
      <c r="F725" s="7" t="s">
        <v>60</v>
      </c>
      <c r="G725" s="44" t="s">
        <v>1111</v>
      </c>
      <c r="H725" s="44" t="s">
        <v>1112</v>
      </c>
      <c r="I725" s="46">
        <v>8</v>
      </c>
      <c r="J725" s="46">
        <v>8</v>
      </c>
      <c r="K725" s="46">
        <v>0</v>
      </c>
      <c r="L725" s="46">
        <v>0</v>
      </c>
      <c r="M725" s="31">
        <v>0</v>
      </c>
      <c r="N725" s="31">
        <v>0</v>
      </c>
      <c r="O725" s="46">
        <v>0</v>
      </c>
      <c r="P725" s="47">
        <v>1</v>
      </c>
      <c r="Q725" s="35" t="s">
        <v>154</v>
      </c>
    </row>
    <row r="726" spans="1:17" ht="48" x14ac:dyDescent="0.25">
      <c r="A726" s="21">
        <v>37843</v>
      </c>
      <c r="B726" s="21">
        <v>37843</v>
      </c>
      <c r="C726" s="43">
        <v>2003</v>
      </c>
      <c r="D726" s="24" t="s">
        <v>141</v>
      </c>
      <c r="E726" s="30" t="s">
        <v>142</v>
      </c>
      <c r="F726" s="7" t="s">
        <v>49</v>
      </c>
      <c r="G726" s="44" t="s">
        <v>1113</v>
      </c>
      <c r="H726" s="44" t="s">
        <v>1114</v>
      </c>
      <c r="I726" s="46">
        <v>7</v>
      </c>
      <c r="J726" s="46">
        <v>42</v>
      </c>
      <c r="K726" s="46">
        <v>0</v>
      </c>
      <c r="L726" s="46">
        <v>0</v>
      </c>
      <c r="M726" s="31">
        <v>0</v>
      </c>
      <c r="N726" s="31">
        <v>0</v>
      </c>
      <c r="O726" s="46">
        <v>0</v>
      </c>
      <c r="P726" s="47">
        <v>0.6</v>
      </c>
      <c r="Q726" s="35" t="s">
        <v>154</v>
      </c>
    </row>
    <row r="727" spans="1:17" ht="36" x14ac:dyDescent="0.25">
      <c r="A727" s="21">
        <v>37855</v>
      </c>
      <c r="B727" s="21">
        <v>37855</v>
      </c>
      <c r="C727" s="43">
        <v>2003</v>
      </c>
      <c r="D727" s="24" t="s">
        <v>141</v>
      </c>
      <c r="E727" s="30" t="s">
        <v>142</v>
      </c>
      <c r="F727" s="28" t="s">
        <v>151</v>
      </c>
      <c r="G727" s="44" t="s">
        <v>110</v>
      </c>
      <c r="H727" s="44" t="s">
        <v>1115</v>
      </c>
      <c r="I727" s="46">
        <v>7</v>
      </c>
      <c r="J727" s="46">
        <v>13</v>
      </c>
      <c r="K727" s="46">
        <v>0</v>
      </c>
      <c r="L727" s="46">
        <v>0</v>
      </c>
      <c r="M727" s="31">
        <v>0</v>
      </c>
      <c r="N727" s="31">
        <v>0</v>
      </c>
      <c r="O727" s="46">
        <v>0</v>
      </c>
      <c r="P727" s="47">
        <v>0</v>
      </c>
      <c r="Q727" s="35" t="s">
        <v>154</v>
      </c>
    </row>
    <row r="728" spans="1:17" ht="48" x14ac:dyDescent="0.25">
      <c r="A728" s="21">
        <v>37854</v>
      </c>
      <c r="B728" s="21">
        <v>37854</v>
      </c>
      <c r="C728" s="43">
        <v>2003</v>
      </c>
      <c r="D728" s="24" t="s">
        <v>141</v>
      </c>
      <c r="E728" s="30" t="s">
        <v>142</v>
      </c>
      <c r="F728" s="25" t="s">
        <v>781</v>
      </c>
      <c r="G728" s="44" t="s">
        <v>1116</v>
      </c>
      <c r="H728" s="44" t="s">
        <v>1117</v>
      </c>
      <c r="I728" s="46">
        <v>7</v>
      </c>
      <c r="J728" s="46">
        <v>12</v>
      </c>
      <c r="K728" s="46">
        <v>0</v>
      </c>
      <c r="L728" s="46">
        <v>0</v>
      </c>
      <c r="M728" s="31">
        <v>0</v>
      </c>
      <c r="N728" s="31">
        <v>0</v>
      </c>
      <c r="O728" s="46">
        <v>0</v>
      </c>
      <c r="P728" s="47">
        <v>0</v>
      </c>
      <c r="Q728" s="35" t="s">
        <v>154</v>
      </c>
    </row>
    <row r="729" spans="1:17" ht="48" x14ac:dyDescent="0.25">
      <c r="A729" s="21">
        <v>37722</v>
      </c>
      <c r="B729" s="21">
        <v>37722</v>
      </c>
      <c r="C729" s="43">
        <v>2003</v>
      </c>
      <c r="D729" s="24" t="s">
        <v>141</v>
      </c>
      <c r="E729" s="6" t="s">
        <v>333</v>
      </c>
      <c r="F729" s="7" t="s">
        <v>60</v>
      </c>
      <c r="G729" s="44" t="s">
        <v>110</v>
      </c>
      <c r="H729" s="44" t="s">
        <v>1118</v>
      </c>
      <c r="I729" s="46">
        <v>7</v>
      </c>
      <c r="J729" s="46">
        <v>10</v>
      </c>
      <c r="K729" s="46">
        <v>0</v>
      </c>
      <c r="L729" s="46">
        <v>0</v>
      </c>
      <c r="M729" s="31">
        <v>0</v>
      </c>
      <c r="N729" s="31">
        <v>0</v>
      </c>
      <c r="O729" s="46">
        <v>0</v>
      </c>
      <c r="P729" s="47">
        <v>0</v>
      </c>
      <c r="Q729" s="35" t="s">
        <v>154</v>
      </c>
    </row>
    <row r="730" spans="1:17" ht="36" x14ac:dyDescent="0.25">
      <c r="A730" s="21">
        <v>37862</v>
      </c>
      <c r="B730" s="21">
        <v>37862</v>
      </c>
      <c r="C730" s="43">
        <v>2003</v>
      </c>
      <c r="D730" s="24" t="s">
        <v>141</v>
      </c>
      <c r="E730" s="30" t="s">
        <v>142</v>
      </c>
      <c r="F730" s="7" t="s">
        <v>53</v>
      </c>
      <c r="G730" s="44" t="s">
        <v>1119</v>
      </c>
      <c r="H730" s="44" t="s">
        <v>1120</v>
      </c>
      <c r="I730" s="46">
        <v>7</v>
      </c>
      <c r="J730" s="46">
        <v>7</v>
      </c>
      <c r="K730" s="46">
        <v>0</v>
      </c>
      <c r="L730" s="46">
        <v>0</v>
      </c>
      <c r="M730" s="31">
        <v>0</v>
      </c>
      <c r="N730" s="31">
        <v>0</v>
      </c>
      <c r="O730" s="46">
        <v>0</v>
      </c>
      <c r="P730" s="47">
        <v>0</v>
      </c>
      <c r="Q730" s="35" t="s">
        <v>154</v>
      </c>
    </row>
    <row r="731" spans="1:17" ht="60" x14ac:dyDescent="0.25">
      <c r="A731" s="21">
        <v>37786</v>
      </c>
      <c r="B731" s="21">
        <v>37787</v>
      </c>
      <c r="C731" s="43">
        <v>2003</v>
      </c>
      <c r="D731" s="24" t="s">
        <v>141</v>
      </c>
      <c r="E731" s="42" t="s">
        <v>447</v>
      </c>
      <c r="F731" s="7" t="s">
        <v>68</v>
      </c>
      <c r="G731" s="44" t="s">
        <v>1121</v>
      </c>
      <c r="H731" s="44" t="s">
        <v>1122</v>
      </c>
      <c r="I731" s="46">
        <v>7</v>
      </c>
      <c r="J731" s="46">
        <v>0</v>
      </c>
      <c r="K731" s="46">
        <v>0</v>
      </c>
      <c r="L731" s="46">
        <v>0</v>
      </c>
      <c r="M731" s="31">
        <v>0</v>
      </c>
      <c r="N731" s="31">
        <v>0</v>
      </c>
      <c r="O731" s="46">
        <v>0</v>
      </c>
      <c r="P731" s="47">
        <v>0</v>
      </c>
      <c r="Q731" s="35" t="s">
        <v>154</v>
      </c>
    </row>
    <row r="732" spans="1:17" ht="48" x14ac:dyDescent="0.25">
      <c r="A732" s="21">
        <v>37883</v>
      </c>
      <c r="B732" s="21">
        <v>37883</v>
      </c>
      <c r="C732" s="43">
        <v>2003</v>
      </c>
      <c r="D732" s="24" t="s">
        <v>141</v>
      </c>
      <c r="E732" s="30" t="s">
        <v>142</v>
      </c>
      <c r="F732" s="7" t="s">
        <v>101</v>
      </c>
      <c r="G732" s="44" t="s">
        <v>1123</v>
      </c>
      <c r="H732" s="44" t="s">
        <v>1124</v>
      </c>
      <c r="I732" s="46">
        <v>6</v>
      </c>
      <c r="J732" s="46">
        <v>6</v>
      </c>
      <c r="K732" s="46">
        <v>0</v>
      </c>
      <c r="L732" s="46">
        <v>0</v>
      </c>
      <c r="M732" s="31">
        <v>0</v>
      </c>
      <c r="N732" s="31">
        <v>0</v>
      </c>
      <c r="O732" s="46">
        <v>0</v>
      </c>
      <c r="P732" s="47">
        <v>0</v>
      </c>
      <c r="Q732" s="35" t="s">
        <v>154</v>
      </c>
    </row>
    <row r="733" spans="1:17" ht="48" x14ac:dyDescent="0.25">
      <c r="A733" s="21">
        <v>37801</v>
      </c>
      <c r="B733" s="21">
        <v>37801</v>
      </c>
      <c r="C733" s="43">
        <v>2003</v>
      </c>
      <c r="D733" s="24" t="s">
        <v>141</v>
      </c>
      <c r="E733" s="30" t="s">
        <v>142</v>
      </c>
      <c r="F733" s="7" t="s">
        <v>60</v>
      </c>
      <c r="G733" s="44" t="s">
        <v>1125</v>
      </c>
      <c r="H733" s="44" t="s">
        <v>1126</v>
      </c>
      <c r="I733" s="46">
        <v>5</v>
      </c>
      <c r="J733" s="46">
        <v>66</v>
      </c>
      <c r="K733" s="46">
        <v>0</v>
      </c>
      <c r="L733" s="46">
        <v>0</v>
      </c>
      <c r="M733" s="31">
        <v>0</v>
      </c>
      <c r="N733" s="31">
        <v>0</v>
      </c>
      <c r="O733" s="46">
        <v>0</v>
      </c>
      <c r="P733" s="47">
        <v>0</v>
      </c>
      <c r="Q733" s="35" t="s">
        <v>154</v>
      </c>
    </row>
    <row r="734" spans="1:17" ht="48" x14ac:dyDescent="0.25">
      <c r="A734" s="21">
        <v>37835</v>
      </c>
      <c r="B734" s="21">
        <v>37835</v>
      </c>
      <c r="C734" s="43">
        <v>2003</v>
      </c>
      <c r="D734" s="24" t="s">
        <v>141</v>
      </c>
      <c r="E734" s="30" t="s">
        <v>142</v>
      </c>
      <c r="F734" s="7" t="s">
        <v>62</v>
      </c>
      <c r="G734" s="44" t="s">
        <v>165</v>
      </c>
      <c r="H734" s="44" t="s">
        <v>1127</v>
      </c>
      <c r="I734" s="46">
        <v>5</v>
      </c>
      <c r="J734" s="46">
        <v>27</v>
      </c>
      <c r="K734" s="46">
        <v>0</v>
      </c>
      <c r="L734" s="46">
        <v>0</v>
      </c>
      <c r="M734" s="31">
        <v>0</v>
      </c>
      <c r="N734" s="31">
        <v>0</v>
      </c>
      <c r="O734" s="46">
        <v>0</v>
      </c>
      <c r="P734" s="47">
        <v>0.6</v>
      </c>
      <c r="Q734" s="35" t="s">
        <v>154</v>
      </c>
    </row>
    <row r="735" spans="1:17" ht="48" x14ac:dyDescent="0.25">
      <c r="A735" s="21">
        <v>37664</v>
      </c>
      <c r="B735" s="21">
        <v>37664</v>
      </c>
      <c r="C735" s="43">
        <v>2003</v>
      </c>
      <c r="D735" s="24" t="s">
        <v>141</v>
      </c>
      <c r="E735" s="30" t="s">
        <v>142</v>
      </c>
      <c r="F735" s="7" t="s">
        <v>53</v>
      </c>
      <c r="G735" s="44" t="s">
        <v>110</v>
      </c>
      <c r="H735" s="44" t="s">
        <v>1128</v>
      </c>
      <c r="I735" s="46">
        <v>5</v>
      </c>
      <c r="J735" s="46">
        <v>16</v>
      </c>
      <c r="K735" s="46">
        <v>5</v>
      </c>
      <c r="L735" s="46">
        <v>0</v>
      </c>
      <c r="M735" s="31">
        <v>0</v>
      </c>
      <c r="N735" s="31">
        <v>0</v>
      </c>
      <c r="O735" s="46">
        <v>0</v>
      </c>
      <c r="P735" s="47">
        <v>0.28699999999999998</v>
      </c>
      <c r="Q735" s="35" t="s">
        <v>154</v>
      </c>
    </row>
    <row r="736" spans="1:17" ht="72" x14ac:dyDescent="0.25">
      <c r="A736" s="21">
        <v>37771</v>
      </c>
      <c r="B736" s="21">
        <v>37771</v>
      </c>
      <c r="C736" s="43">
        <v>2003</v>
      </c>
      <c r="D736" s="24" t="s">
        <v>141</v>
      </c>
      <c r="E736" s="30" t="s">
        <v>142</v>
      </c>
      <c r="F736" s="7" t="s">
        <v>58</v>
      </c>
      <c r="G736" s="44" t="s">
        <v>168</v>
      </c>
      <c r="H736" s="44" t="s">
        <v>1129</v>
      </c>
      <c r="I736" s="46">
        <v>5</v>
      </c>
      <c r="J736" s="46">
        <v>15</v>
      </c>
      <c r="K736" s="46">
        <v>0</v>
      </c>
      <c r="L736" s="46">
        <v>0</v>
      </c>
      <c r="M736" s="31">
        <v>0</v>
      </c>
      <c r="N736" s="31">
        <v>0</v>
      </c>
      <c r="O736" s="46">
        <v>0</v>
      </c>
      <c r="P736" s="47">
        <v>0</v>
      </c>
      <c r="Q736" s="35" t="s">
        <v>154</v>
      </c>
    </row>
    <row r="737" spans="1:17" ht="48" x14ac:dyDescent="0.25">
      <c r="A737" s="21">
        <v>37663</v>
      </c>
      <c r="B737" s="21">
        <v>37663</v>
      </c>
      <c r="C737" s="43">
        <v>2003</v>
      </c>
      <c r="D737" s="24" t="s">
        <v>141</v>
      </c>
      <c r="E737" s="30" t="s">
        <v>142</v>
      </c>
      <c r="F737" s="25" t="s">
        <v>781</v>
      </c>
      <c r="G737" s="44" t="s">
        <v>1130</v>
      </c>
      <c r="H737" s="44" t="s">
        <v>1131</v>
      </c>
      <c r="I737" s="46">
        <v>5</v>
      </c>
      <c r="J737" s="46">
        <v>5</v>
      </c>
      <c r="K737" s="46">
        <v>0</v>
      </c>
      <c r="L737" s="46">
        <v>0</v>
      </c>
      <c r="M737" s="31">
        <v>0</v>
      </c>
      <c r="N737" s="31">
        <v>0</v>
      </c>
      <c r="O737" s="46">
        <v>0</v>
      </c>
      <c r="P737" s="47">
        <v>3.5999999999999997E-2</v>
      </c>
      <c r="Q737" s="35" t="s">
        <v>154</v>
      </c>
    </row>
    <row r="738" spans="1:17" ht="60" x14ac:dyDescent="0.25">
      <c r="A738" s="21">
        <v>37710</v>
      </c>
      <c r="B738" s="21">
        <v>37710</v>
      </c>
      <c r="C738" s="43">
        <v>2003</v>
      </c>
      <c r="D738" s="24" t="s">
        <v>141</v>
      </c>
      <c r="E738" s="30" t="s">
        <v>142</v>
      </c>
      <c r="F738" s="7" t="s">
        <v>36</v>
      </c>
      <c r="G738" s="44" t="s">
        <v>110</v>
      </c>
      <c r="H738" s="44" t="s">
        <v>1132</v>
      </c>
      <c r="I738" s="46">
        <v>5</v>
      </c>
      <c r="J738" s="46">
        <v>5</v>
      </c>
      <c r="K738" s="46">
        <v>0</v>
      </c>
      <c r="L738" s="46">
        <v>0</v>
      </c>
      <c r="M738" s="31">
        <v>0</v>
      </c>
      <c r="N738" s="31">
        <v>0</v>
      </c>
      <c r="O738" s="46">
        <v>0</v>
      </c>
      <c r="P738" s="47">
        <v>1</v>
      </c>
      <c r="Q738" s="35" t="s">
        <v>154</v>
      </c>
    </row>
    <row r="739" spans="1:17" ht="48" x14ac:dyDescent="0.25">
      <c r="A739" s="21">
        <v>37740</v>
      </c>
      <c r="B739" s="21">
        <v>37740</v>
      </c>
      <c r="C739" s="43">
        <v>2003</v>
      </c>
      <c r="D739" s="24" t="s">
        <v>141</v>
      </c>
      <c r="E739" s="30" t="s">
        <v>142</v>
      </c>
      <c r="F739" s="7" t="s">
        <v>82</v>
      </c>
      <c r="G739" s="44" t="s">
        <v>110</v>
      </c>
      <c r="H739" s="44" t="s">
        <v>1133</v>
      </c>
      <c r="I739" s="46">
        <v>5</v>
      </c>
      <c r="J739" s="46">
        <v>5</v>
      </c>
      <c r="K739" s="46">
        <v>0</v>
      </c>
      <c r="L739" s="46">
        <v>0</v>
      </c>
      <c r="M739" s="31">
        <v>0</v>
      </c>
      <c r="N739" s="31">
        <v>0</v>
      </c>
      <c r="O739" s="46">
        <v>0</v>
      </c>
      <c r="P739" s="47">
        <v>0</v>
      </c>
      <c r="Q739" s="35" t="s">
        <v>154</v>
      </c>
    </row>
    <row r="740" spans="1:17" ht="36" x14ac:dyDescent="0.25">
      <c r="A740" s="21">
        <v>37742</v>
      </c>
      <c r="B740" s="21">
        <v>37742</v>
      </c>
      <c r="C740" s="43">
        <v>2003</v>
      </c>
      <c r="D740" s="24" t="s">
        <v>141</v>
      </c>
      <c r="E740" s="30" t="s">
        <v>142</v>
      </c>
      <c r="F740" s="28" t="s">
        <v>163</v>
      </c>
      <c r="G740" s="44" t="s">
        <v>1134</v>
      </c>
      <c r="H740" s="44" t="s">
        <v>1135</v>
      </c>
      <c r="I740" s="46">
        <v>4</v>
      </c>
      <c r="J740" s="46">
        <v>27</v>
      </c>
      <c r="K740" s="46">
        <v>0</v>
      </c>
      <c r="L740" s="46">
        <v>0</v>
      </c>
      <c r="M740" s="31">
        <v>0</v>
      </c>
      <c r="N740" s="31">
        <v>0</v>
      </c>
      <c r="O740" s="46">
        <v>0</v>
      </c>
      <c r="P740" s="47">
        <v>0</v>
      </c>
      <c r="Q740" s="35" t="s">
        <v>154</v>
      </c>
    </row>
    <row r="741" spans="1:17" ht="48" x14ac:dyDescent="0.25">
      <c r="A741" s="21">
        <v>37915</v>
      </c>
      <c r="B741" s="21">
        <v>37915</v>
      </c>
      <c r="C741" s="43">
        <v>2003</v>
      </c>
      <c r="D741" s="24" t="s">
        <v>141</v>
      </c>
      <c r="E741" s="30" t="s">
        <v>142</v>
      </c>
      <c r="F741" s="7" t="s">
        <v>49</v>
      </c>
      <c r="G741" s="44" t="s">
        <v>1136</v>
      </c>
      <c r="H741" s="44" t="s">
        <v>1137</v>
      </c>
      <c r="I741" s="46">
        <v>4</v>
      </c>
      <c r="J741" s="46">
        <v>6</v>
      </c>
      <c r="K741" s="46">
        <v>0</v>
      </c>
      <c r="L741" s="46">
        <v>0</v>
      </c>
      <c r="M741" s="31">
        <v>0</v>
      </c>
      <c r="N741" s="31">
        <v>0</v>
      </c>
      <c r="O741" s="46">
        <v>0</v>
      </c>
      <c r="P741" s="47">
        <v>1</v>
      </c>
      <c r="Q741" s="35" t="s">
        <v>154</v>
      </c>
    </row>
    <row r="742" spans="1:17" ht="48" x14ac:dyDescent="0.25">
      <c r="A742" s="21">
        <v>37722</v>
      </c>
      <c r="B742" s="21">
        <v>37725</v>
      </c>
      <c r="C742" s="43">
        <v>2003</v>
      </c>
      <c r="D742" s="24" t="s">
        <v>141</v>
      </c>
      <c r="E742" s="14" t="s">
        <v>29</v>
      </c>
      <c r="F742" s="7" t="s">
        <v>72</v>
      </c>
      <c r="G742" s="44" t="s">
        <v>1138</v>
      </c>
      <c r="H742" s="44" t="s">
        <v>1139</v>
      </c>
      <c r="I742" s="46">
        <v>4</v>
      </c>
      <c r="J742" s="46">
        <v>6</v>
      </c>
      <c r="K742" s="46">
        <v>0</v>
      </c>
      <c r="L742" s="46">
        <v>0</v>
      </c>
      <c r="M742" s="31">
        <v>0</v>
      </c>
      <c r="N742" s="31">
        <v>0</v>
      </c>
      <c r="O742" s="46">
        <v>0</v>
      </c>
      <c r="P742" s="47">
        <v>0</v>
      </c>
      <c r="Q742" s="35" t="s">
        <v>154</v>
      </c>
    </row>
    <row r="743" spans="1:17" ht="48" x14ac:dyDescent="0.25">
      <c r="A743" s="21">
        <v>37842</v>
      </c>
      <c r="B743" s="21">
        <v>37842</v>
      </c>
      <c r="C743" s="43">
        <v>2003</v>
      </c>
      <c r="D743" s="24" t="s">
        <v>141</v>
      </c>
      <c r="E743" s="30" t="s">
        <v>142</v>
      </c>
      <c r="F743" s="7" t="s">
        <v>65</v>
      </c>
      <c r="G743" s="44" t="s">
        <v>1140</v>
      </c>
      <c r="H743" s="44" t="s">
        <v>1141</v>
      </c>
      <c r="I743" s="46">
        <v>4</v>
      </c>
      <c r="J743" s="46">
        <v>4</v>
      </c>
      <c r="K743" s="46">
        <v>0</v>
      </c>
      <c r="L743" s="46">
        <v>0</v>
      </c>
      <c r="M743" s="31">
        <v>0</v>
      </c>
      <c r="N743" s="31">
        <v>0</v>
      </c>
      <c r="O743" s="46">
        <v>0</v>
      </c>
      <c r="P743" s="47">
        <v>1</v>
      </c>
      <c r="Q743" s="35" t="s">
        <v>154</v>
      </c>
    </row>
    <row r="744" spans="1:17" ht="48" x14ac:dyDescent="0.25">
      <c r="A744" s="21">
        <v>37710</v>
      </c>
      <c r="B744" s="21">
        <v>37710</v>
      </c>
      <c r="C744" s="43">
        <v>2003</v>
      </c>
      <c r="D744" s="24" t="s">
        <v>141</v>
      </c>
      <c r="E744" s="30" t="s">
        <v>142</v>
      </c>
      <c r="F744" s="7" t="s">
        <v>65</v>
      </c>
      <c r="G744" s="44" t="s">
        <v>1142</v>
      </c>
      <c r="H744" s="44" t="s">
        <v>1143</v>
      </c>
      <c r="I744" s="46">
        <v>3</v>
      </c>
      <c r="J744" s="46">
        <v>38</v>
      </c>
      <c r="K744" s="46">
        <v>0</v>
      </c>
      <c r="L744" s="46">
        <v>0</v>
      </c>
      <c r="M744" s="31">
        <v>0</v>
      </c>
      <c r="N744" s="31">
        <v>0</v>
      </c>
      <c r="O744" s="46">
        <v>0</v>
      </c>
      <c r="P744" s="47">
        <v>0.6</v>
      </c>
      <c r="Q744" s="35" t="s">
        <v>154</v>
      </c>
    </row>
    <row r="745" spans="1:17" ht="48" x14ac:dyDescent="0.25">
      <c r="A745" s="21">
        <v>37966</v>
      </c>
      <c r="B745" s="21">
        <v>37966</v>
      </c>
      <c r="C745" s="43">
        <v>2003</v>
      </c>
      <c r="D745" s="24" t="s">
        <v>141</v>
      </c>
      <c r="E745" s="30" t="s">
        <v>142</v>
      </c>
      <c r="F745" s="7" t="s">
        <v>75</v>
      </c>
      <c r="G745" s="44" t="s">
        <v>110</v>
      </c>
      <c r="H745" s="44" t="s">
        <v>1144</v>
      </c>
      <c r="I745" s="46">
        <v>3</v>
      </c>
      <c r="J745" s="46">
        <v>33</v>
      </c>
      <c r="K745" s="46">
        <v>0</v>
      </c>
      <c r="L745" s="46">
        <v>0</v>
      </c>
      <c r="M745" s="31">
        <v>0</v>
      </c>
      <c r="N745" s="31">
        <v>0</v>
      </c>
      <c r="O745" s="46">
        <v>0</v>
      </c>
      <c r="P745" s="47">
        <v>0</v>
      </c>
      <c r="Q745" s="35" t="s">
        <v>154</v>
      </c>
    </row>
    <row r="746" spans="1:17" ht="48" x14ac:dyDescent="0.25">
      <c r="A746" s="21">
        <v>37720</v>
      </c>
      <c r="B746" s="21">
        <v>37720</v>
      </c>
      <c r="C746" s="43">
        <v>2003</v>
      </c>
      <c r="D746" s="24" t="s">
        <v>141</v>
      </c>
      <c r="E746" s="30" t="s">
        <v>142</v>
      </c>
      <c r="F746" s="7" t="s">
        <v>62</v>
      </c>
      <c r="G746" s="44" t="s">
        <v>110</v>
      </c>
      <c r="H746" s="44" t="s">
        <v>1145</v>
      </c>
      <c r="I746" s="46">
        <v>3</v>
      </c>
      <c r="J746" s="46">
        <v>24</v>
      </c>
      <c r="K746" s="46">
        <v>0</v>
      </c>
      <c r="L746" s="46">
        <v>0</v>
      </c>
      <c r="M746" s="31">
        <v>0</v>
      </c>
      <c r="N746" s="31">
        <v>0</v>
      </c>
      <c r="O746" s="46">
        <v>0</v>
      </c>
      <c r="P746" s="47">
        <v>0.6</v>
      </c>
      <c r="Q746" s="35" t="s">
        <v>154</v>
      </c>
    </row>
    <row r="747" spans="1:17" ht="48" x14ac:dyDescent="0.25">
      <c r="A747" s="21">
        <v>37835</v>
      </c>
      <c r="B747" s="21">
        <v>37835</v>
      </c>
      <c r="C747" s="43">
        <v>2003</v>
      </c>
      <c r="D747" s="24" t="s">
        <v>141</v>
      </c>
      <c r="E747" s="30" t="s">
        <v>142</v>
      </c>
      <c r="F747" s="7" t="s">
        <v>49</v>
      </c>
      <c r="G747" s="44" t="s">
        <v>1146</v>
      </c>
      <c r="H747" s="44" t="s">
        <v>1147</v>
      </c>
      <c r="I747" s="46">
        <v>3</v>
      </c>
      <c r="J747" s="46">
        <v>23</v>
      </c>
      <c r="K747" s="46">
        <v>0</v>
      </c>
      <c r="L747" s="46">
        <v>0</v>
      </c>
      <c r="M747" s="31">
        <v>0</v>
      </c>
      <c r="N747" s="31">
        <v>0</v>
      </c>
      <c r="O747" s="46">
        <v>0</v>
      </c>
      <c r="P747" s="47">
        <v>0.6</v>
      </c>
      <c r="Q747" s="35" t="s">
        <v>154</v>
      </c>
    </row>
    <row r="748" spans="1:17" ht="36" x14ac:dyDescent="0.25">
      <c r="A748" s="21">
        <v>37673</v>
      </c>
      <c r="B748" s="21">
        <v>37673</v>
      </c>
      <c r="C748" s="43">
        <v>2003</v>
      </c>
      <c r="D748" s="24" t="s">
        <v>141</v>
      </c>
      <c r="E748" s="30" t="s">
        <v>142</v>
      </c>
      <c r="F748" s="7" t="s">
        <v>87</v>
      </c>
      <c r="G748" s="44" t="s">
        <v>1089</v>
      </c>
      <c r="H748" s="44" t="s">
        <v>1148</v>
      </c>
      <c r="I748" s="46">
        <v>3</v>
      </c>
      <c r="J748" s="46">
        <v>9</v>
      </c>
      <c r="K748" s="46">
        <v>0</v>
      </c>
      <c r="L748" s="46">
        <v>0</v>
      </c>
      <c r="M748" s="31">
        <v>0</v>
      </c>
      <c r="N748" s="31">
        <v>0</v>
      </c>
      <c r="O748" s="46">
        <v>0</v>
      </c>
      <c r="P748" s="47">
        <v>0</v>
      </c>
      <c r="Q748" s="35" t="s">
        <v>154</v>
      </c>
    </row>
    <row r="749" spans="1:17" ht="36" x14ac:dyDescent="0.25">
      <c r="A749" s="21">
        <v>37877</v>
      </c>
      <c r="B749" s="21">
        <v>37877</v>
      </c>
      <c r="C749" s="43">
        <v>2003</v>
      </c>
      <c r="D749" s="24" t="s">
        <v>141</v>
      </c>
      <c r="E749" s="30" t="s">
        <v>142</v>
      </c>
      <c r="F749" s="7" t="s">
        <v>47</v>
      </c>
      <c r="G749" s="44" t="s">
        <v>110</v>
      </c>
      <c r="H749" s="44" t="s">
        <v>1149</v>
      </c>
      <c r="I749" s="46">
        <v>3</v>
      </c>
      <c r="J749" s="46">
        <v>8</v>
      </c>
      <c r="K749" s="46">
        <v>0</v>
      </c>
      <c r="L749" s="46">
        <v>0</v>
      </c>
      <c r="M749" s="31">
        <v>0</v>
      </c>
      <c r="N749" s="31">
        <v>0</v>
      </c>
      <c r="O749" s="46">
        <v>0</v>
      </c>
      <c r="P749" s="47">
        <v>1</v>
      </c>
      <c r="Q749" s="35" t="s">
        <v>154</v>
      </c>
    </row>
    <row r="750" spans="1:17" ht="48" x14ac:dyDescent="0.25">
      <c r="A750" s="21">
        <v>37688</v>
      </c>
      <c r="B750" s="21">
        <v>37688</v>
      </c>
      <c r="C750" s="43">
        <v>2003</v>
      </c>
      <c r="D750" s="24" t="s">
        <v>141</v>
      </c>
      <c r="E750" s="30" t="s">
        <v>142</v>
      </c>
      <c r="F750" s="7" t="s">
        <v>53</v>
      </c>
      <c r="G750" s="44" t="s">
        <v>110</v>
      </c>
      <c r="H750" s="44" t="s">
        <v>1150</v>
      </c>
      <c r="I750" s="46">
        <v>3</v>
      </c>
      <c r="J750" s="46">
        <v>4</v>
      </c>
      <c r="K750" s="46">
        <v>0</v>
      </c>
      <c r="L750" s="46">
        <v>0</v>
      </c>
      <c r="M750" s="31">
        <v>0</v>
      </c>
      <c r="N750" s="31">
        <v>0</v>
      </c>
      <c r="O750" s="46">
        <v>0</v>
      </c>
      <c r="P750" s="47">
        <v>1</v>
      </c>
      <c r="Q750" s="35" t="s">
        <v>154</v>
      </c>
    </row>
    <row r="751" spans="1:17" ht="48" x14ac:dyDescent="0.25">
      <c r="A751" s="21">
        <v>37676</v>
      </c>
      <c r="B751" s="21">
        <v>37676</v>
      </c>
      <c r="C751" s="43">
        <v>2003</v>
      </c>
      <c r="D751" s="24" t="s">
        <v>141</v>
      </c>
      <c r="E751" s="30" t="s">
        <v>142</v>
      </c>
      <c r="F751" s="25" t="s">
        <v>781</v>
      </c>
      <c r="G751" s="44" t="s">
        <v>110</v>
      </c>
      <c r="H751" s="44" t="s">
        <v>1151</v>
      </c>
      <c r="I751" s="46">
        <v>3</v>
      </c>
      <c r="J751" s="46">
        <v>3</v>
      </c>
      <c r="K751" s="46">
        <v>0</v>
      </c>
      <c r="L751" s="46">
        <v>0</v>
      </c>
      <c r="M751" s="31">
        <v>0</v>
      </c>
      <c r="N751" s="31">
        <v>0</v>
      </c>
      <c r="O751" s="46">
        <v>0</v>
      </c>
      <c r="P751" s="47">
        <v>1</v>
      </c>
      <c r="Q751" s="35" t="s">
        <v>154</v>
      </c>
    </row>
    <row r="752" spans="1:17" ht="24" x14ac:dyDescent="0.25">
      <c r="A752" s="21">
        <v>37725</v>
      </c>
      <c r="B752" s="21">
        <v>37725</v>
      </c>
      <c r="C752" s="43">
        <v>2003</v>
      </c>
      <c r="D752" s="24" t="s">
        <v>141</v>
      </c>
      <c r="E752" s="30" t="s">
        <v>142</v>
      </c>
      <c r="F752" s="7" t="s">
        <v>80</v>
      </c>
      <c r="G752" s="44" t="s">
        <v>1050</v>
      </c>
      <c r="H752" s="44" t="s">
        <v>1152</v>
      </c>
      <c r="I752" s="46">
        <v>3</v>
      </c>
      <c r="J752" s="46">
        <v>3</v>
      </c>
      <c r="K752" s="46">
        <v>0</v>
      </c>
      <c r="L752" s="46">
        <v>0</v>
      </c>
      <c r="M752" s="31">
        <v>0</v>
      </c>
      <c r="N752" s="31">
        <v>0</v>
      </c>
      <c r="O752" s="46">
        <v>0</v>
      </c>
      <c r="P752" s="47">
        <v>0</v>
      </c>
      <c r="Q752" s="35" t="s">
        <v>154</v>
      </c>
    </row>
    <row r="753" spans="1:17" ht="24" x14ac:dyDescent="0.25">
      <c r="A753" s="21">
        <v>37738</v>
      </c>
      <c r="B753" s="21">
        <v>37738</v>
      </c>
      <c r="C753" s="43">
        <v>2003</v>
      </c>
      <c r="D753" s="24" t="s">
        <v>141</v>
      </c>
      <c r="E753" s="6" t="s">
        <v>333</v>
      </c>
      <c r="F753" s="7" t="s">
        <v>53</v>
      </c>
      <c r="G753" s="25" t="s">
        <v>1153</v>
      </c>
      <c r="H753" s="25" t="s">
        <v>1154</v>
      </c>
      <c r="I753" s="46">
        <v>3</v>
      </c>
      <c r="J753" s="46">
        <v>3</v>
      </c>
      <c r="K753" s="46">
        <v>0</v>
      </c>
      <c r="L753" s="46">
        <v>0</v>
      </c>
      <c r="M753" s="31">
        <v>0</v>
      </c>
      <c r="N753" s="31">
        <v>0</v>
      </c>
      <c r="O753" s="46">
        <v>0</v>
      </c>
      <c r="P753" s="47">
        <v>0</v>
      </c>
      <c r="Q753" s="35" t="s">
        <v>154</v>
      </c>
    </row>
    <row r="754" spans="1:17" ht="48" x14ac:dyDescent="0.25">
      <c r="A754" s="21">
        <v>37688</v>
      </c>
      <c r="B754" s="21">
        <v>37688</v>
      </c>
      <c r="C754" s="43">
        <v>2003</v>
      </c>
      <c r="D754" s="24" t="s">
        <v>141</v>
      </c>
      <c r="E754" s="30" t="s">
        <v>142</v>
      </c>
      <c r="F754" s="7" t="s">
        <v>53</v>
      </c>
      <c r="G754" s="44" t="s">
        <v>1155</v>
      </c>
      <c r="H754" s="44" t="s">
        <v>1156</v>
      </c>
      <c r="I754" s="46">
        <v>2</v>
      </c>
      <c r="J754" s="46">
        <v>39</v>
      </c>
      <c r="K754" s="46">
        <v>0</v>
      </c>
      <c r="L754" s="46">
        <v>0</v>
      </c>
      <c r="M754" s="31">
        <v>0</v>
      </c>
      <c r="N754" s="31">
        <v>0</v>
      </c>
      <c r="O754" s="46">
        <v>0</v>
      </c>
      <c r="P754" s="47">
        <v>0.6</v>
      </c>
      <c r="Q754" s="35" t="s">
        <v>154</v>
      </c>
    </row>
    <row r="755" spans="1:17" ht="48" x14ac:dyDescent="0.25">
      <c r="A755" s="21">
        <v>37740</v>
      </c>
      <c r="B755" s="21">
        <v>37740</v>
      </c>
      <c r="C755" s="43">
        <v>2003</v>
      </c>
      <c r="D755" s="24" t="s">
        <v>141</v>
      </c>
      <c r="E755" s="6" t="s">
        <v>333</v>
      </c>
      <c r="F755" s="7" t="s">
        <v>45</v>
      </c>
      <c r="G755" s="44" t="s">
        <v>110</v>
      </c>
      <c r="H755" s="44" t="s">
        <v>1157</v>
      </c>
      <c r="I755" s="46">
        <v>2</v>
      </c>
      <c r="J755" s="46">
        <v>34</v>
      </c>
      <c r="K755" s="46">
        <v>0</v>
      </c>
      <c r="L755" s="46">
        <v>0</v>
      </c>
      <c r="M755" s="31">
        <v>0</v>
      </c>
      <c r="N755" s="31">
        <v>0</v>
      </c>
      <c r="O755" s="46">
        <v>0</v>
      </c>
      <c r="P755" s="47">
        <v>0</v>
      </c>
      <c r="Q755" s="35" t="s">
        <v>154</v>
      </c>
    </row>
    <row r="756" spans="1:17" ht="48" x14ac:dyDescent="0.25">
      <c r="A756" s="21">
        <v>37708</v>
      </c>
      <c r="B756" s="21">
        <v>37708</v>
      </c>
      <c r="C756" s="43">
        <v>2003</v>
      </c>
      <c r="D756" s="24" t="s">
        <v>141</v>
      </c>
      <c r="E756" s="30" t="s">
        <v>142</v>
      </c>
      <c r="F756" s="7" t="s">
        <v>65</v>
      </c>
      <c r="G756" s="44" t="s">
        <v>110</v>
      </c>
      <c r="H756" s="44" t="s">
        <v>1158</v>
      </c>
      <c r="I756" s="46">
        <v>2</v>
      </c>
      <c r="J756" s="46">
        <v>25</v>
      </c>
      <c r="K756" s="46">
        <v>0</v>
      </c>
      <c r="L756" s="46">
        <v>0</v>
      </c>
      <c r="M756" s="31">
        <v>0</v>
      </c>
      <c r="N756" s="31">
        <v>0</v>
      </c>
      <c r="O756" s="46">
        <v>0</v>
      </c>
      <c r="P756" s="47">
        <v>0</v>
      </c>
      <c r="Q756" s="35" t="s">
        <v>154</v>
      </c>
    </row>
    <row r="757" spans="1:17" ht="48" x14ac:dyDescent="0.25">
      <c r="A757" s="21">
        <v>37651</v>
      </c>
      <c r="B757" s="21">
        <v>37651</v>
      </c>
      <c r="C757" s="43">
        <v>2003</v>
      </c>
      <c r="D757" s="24" t="s">
        <v>141</v>
      </c>
      <c r="E757" s="30" t="s">
        <v>142</v>
      </c>
      <c r="F757" s="7" t="s">
        <v>87</v>
      </c>
      <c r="G757" s="44" t="s">
        <v>110</v>
      </c>
      <c r="H757" s="44" t="s">
        <v>1159</v>
      </c>
      <c r="I757" s="46">
        <v>2</v>
      </c>
      <c r="J757" s="46">
        <v>3</v>
      </c>
      <c r="K757" s="46">
        <v>0</v>
      </c>
      <c r="L757" s="46">
        <v>0</v>
      </c>
      <c r="M757" s="31">
        <v>0</v>
      </c>
      <c r="N757" s="31">
        <v>0</v>
      </c>
      <c r="O757" s="46">
        <v>0</v>
      </c>
      <c r="P757" s="47">
        <v>0.27300000000000002</v>
      </c>
      <c r="Q757" s="35" t="s">
        <v>154</v>
      </c>
    </row>
    <row r="758" spans="1:17" ht="48" x14ac:dyDescent="0.25">
      <c r="A758" s="21">
        <v>37943</v>
      </c>
      <c r="B758" s="21">
        <v>37943</v>
      </c>
      <c r="C758" s="43">
        <v>2003</v>
      </c>
      <c r="D758" s="24" t="s">
        <v>141</v>
      </c>
      <c r="E758" s="30" t="s">
        <v>142</v>
      </c>
      <c r="F758" s="7" t="s">
        <v>56</v>
      </c>
      <c r="G758" s="25" t="s">
        <v>1160</v>
      </c>
      <c r="H758" s="52" t="s">
        <v>1161</v>
      </c>
      <c r="I758" s="46">
        <v>2</v>
      </c>
      <c r="J758" s="46">
        <v>3</v>
      </c>
      <c r="K758" s="46">
        <v>0</v>
      </c>
      <c r="L758" s="46">
        <v>0</v>
      </c>
      <c r="M758" s="31">
        <v>0</v>
      </c>
      <c r="N758" s="31">
        <v>0</v>
      </c>
      <c r="O758" s="46">
        <v>0</v>
      </c>
      <c r="P758" s="47">
        <v>0</v>
      </c>
      <c r="Q758" s="35" t="s">
        <v>154</v>
      </c>
    </row>
    <row r="759" spans="1:17" ht="48" x14ac:dyDescent="0.25">
      <c r="A759" s="21">
        <v>37664</v>
      </c>
      <c r="B759" s="21">
        <v>37664</v>
      </c>
      <c r="C759" s="43">
        <v>2003</v>
      </c>
      <c r="D759" s="24" t="s">
        <v>141</v>
      </c>
      <c r="E759" s="30" t="s">
        <v>142</v>
      </c>
      <c r="F759" s="7" t="s">
        <v>80</v>
      </c>
      <c r="G759" s="44" t="s">
        <v>110</v>
      </c>
      <c r="H759" s="44" t="s">
        <v>1162</v>
      </c>
      <c r="I759" s="46">
        <v>2</v>
      </c>
      <c r="J759" s="46">
        <v>2</v>
      </c>
      <c r="K759" s="46">
        <v>0</v>
      </c>
      <c r="L759" s="46">
        <v>0</v>
      </c>
      <c r="M759" s="31">
        <v>0</v>
      </c>
      <c r="N759" s="31">
        <v>0</v>
      </c>
      <c r="O759" s="46">
        <v>0</v>
      </c>
      <c r="P759" s="47">
        <v>1</v>
      </c>
      <c r="Q759" s="35" t="s">
        <v>154</v>
      </c>
    </row>
    <row r="760" spans="1:17" ht="48" x14ac:dyDescent="0.25">
      <c r="A760" s="21">
        <v>37684</v>
      </c>
      <c r="B760" s="21">
        <v>37684</v>
      </c>
      <c r="C760" s="43">
        <v>2003</v>
      </c>
      <c r="D760" s="24" t="s">
        <v>141</v>
      </c>
      <c r="E760" s="30" t="s">
        <v>142</v>
      </c>
      <c r="F760" s="7" t="s">
        <v>60</v>
      </c>
      <c r="G760" s="44" t="s">
        <v>1163</v>
      </c>
      <c r="H760" s="44" t="s">
        <v>1164</v>
      </c>
      <c r="I760" s="46">
        <v>2</v>
      </c>
      <c r="J760" s="46">
        <v>2</v>
      </c>
      <c r="K760" s="46">
        <v>0</v>
      </c>
      <c r="L760" s="46">
        <v>0</v>
      </c>
      <c r="M760" s="31">
        <v>0</v>
      </c>
      <c r="N760" s="31">
        <v>0</v>
      </c>
      <c r="O760" s="46">
        <v>0</v>
      </c>
      <c r="P760" s="47">
        <v>0</v>
      </c>
      <c r="Q760" s="35" t="s">
        <v>154</v>
      </c>
    </row>
    <row r="761" spans="1:17" ht="36" x14ac:dyDescent="0.25">
      <c r="A761" s="21">
        <v>37726</v>
      </c>
      <c r="B761" s="21">
        <v>37726</v>
      </c>
      <c r="C761" s="43">
        <v>2003</v>
      </c>
      <c r="D761" s="24" t="s">
        <v>141</v>
      </c>
      <c r="E761" s="6" t="s">
        <v>844</v>
      </c>
      <c r="F761" s="28" t="s">
        <v>157</v>
      </c>
      <c r="G761" s="44" t="s">
        <v>110</v>
      </c>
      <c r="H761" s="44" t="s">
        <v>1165</v>
      </c>
      <c r="I761" s="46">
        <v>2</v>
      </c>
      <c r="J761" s="46">
        <v>2</v>
      </c>
      <c r="K761" s="46">
        <v>1</v>
      </c>
      <c r="L761" s="46">
        <v>0</v>
      </c>
      <c r="M761" s="31">
        <v>0</v>
      </c>
      <c r="N761" s="31">
        <v>0</v>
      </c>
      <c r="O761" s="46">
        <v>0</v>
      </c>
      <c r="P761" s="47">
        <v>2.8899999999999999E-2</v>
      </c>
      <c r="Q761" s="35" t="s">
        <v>154</v>
      </c>
    </row>
    <row r="762" spans="1:17" ht="36" x14ac:dyDescent="0.25">
      <c r="A762" s="21">
        <v>37780</v>
      </c>
      <c r="B762" s="21">
        <v>37780</v>
      </c>
      <c r="C762" s="43">
        <v>2003</v>
      </c>
      <c r="D762" s="24" t="s">
        <v>141</v>
      </c>
      <c r="E762" s="30" t="s">
        <v>142</v>
      </c>
      <c r="F762" s="7" t="s">
        <v>62</v>
      </c>
      <c r="G762" s="44" t="s">
        <v>1166</v>
      </c>
      <c r="H762" s="44" t="s">
        <v>1167</v>
      </c>
      <c r="I762" s="46">
        <v>2</v>
      </c>
      <c r="J762" s="46">
        <v>2</v>
      </c>
      <c r="K762" s="46">
        <v>0</v>
      </c>
      <c r="L762" s="46">
        <v>0</v>
      </c>
      <c r="M762" s="31">
        <v>0</v>
      </c>
      <c r="N762" s="31">
        <v>0</v>
      </c>
      <c r="O762" s="46">
        <v>0</v>
      </c>
      <c r="P762" s="47">
        <v>1</v>
      </c>
      <c r="Q762" s="35" t="s">
        <v>154</v>
      </c>
    </row>
    <row r="763" spans="1:17" ht="36" x14ac:dyDescent="0.25">
      <c r="A763" s="21">
        <v>37837</v>
      </c>
      <c r="B763" s="21">
        <v>37837</v>
      </c>
      <c r="C763" s="43">
        <v>2003</v>
      </c>
      <c r="D763" s="24" t="s">
        <v>141</v>
      </c>
      <c r="E763" s="30" t="s">
        <v>142</v>
      </c>
      <c r="F763" s="7" t="s">
        <v>36</v>
      </c>
      <c r="G763" s="44" t="s">
        <v>1168</v>
      </c>
      <c r="H763" s="44" t="s">
        <v>1169</v>
      </c>
      <c r="I763" s="46">
        <v>2</v>
      </c>
      <c r="J763" s="46">
        <v>2</v>
      </c>
      <c r="K763" s="46">
        <v>0</v>
      </c>
      <c r="L763" s="46">
        <v>0</v>
      </c>
      <c r="M763" s="31">
        <v>0</v>
      </c>
      <c r="N763" s="31">
        <v>0</v>
      </c>
      <c r="O763" s="46">
        <v>0</v>
      </c>
      <c r="P763" s="47">
        <v>0</v>
      </c>
      <c r="Q763" s="35" t="s">
        <v>154</v>
      </c>
    </row>
    <row r="764" spans="1:17" ht="36" x14ac:dyDescent="0.25">
      <c r="A764" s="21">
        <v>37905</v>
      </c>
      <c r="B764" s="21">
        <v>37905</v>
      </c>
      <c r="C764" s="43">
        <v>2003</v>
      </c>
      <c r="D764" s="24" t="s">
        <v>141</v>
      </c>
      <c r="E764" s="30" t="s">
        <v>142</v>
      </c>
      <c r="F764" s="7" t="s">
        <v>84</v>
      </c>
      <c r="G764" s="44" t="s">
        <v>1170</v>
      </c>
      <c r="H764" s="44" t="s">
        <v>1171</v>
      </c>
      <c r="I764" s="46">
        <v>2</v>
      </c>
      <c r="J764" s="46">
        <v>2</v>
      </c>
      <c r="K764" s="46">
        <v>0</v>
      </c>
      <c r="L764" s="46">
        <v>0</v>
      </c>
      <c r="M764" s="31">
        <v>0</v>
      </c>
      <c r="N764" s="31">
        <v>0</v>
      </c>
      <c r="O764" s="46">
        <v>0</v>
      </c>
      <c r="P764" s="47">
        <v>1</v>
      </c>
      <c r="Q764" s="35" t="s">
        <v>154</v>
      </c>
    </row>
    <row r="765" spans="1:17" ht="48" x14ac:dyDescent="0.25">
      <c r="A765" s="21">
        <v>37932</v>
      </c>
      <c r="B765" s="21">
        <v>37932</v>
      </c>
      <c r="C765" s="43">
        <v>2003</v>
      </c>
      <c r="D765" s="24" t="s">
        <v>141</v>
      </c>
      <c r="E765" s="30" t="s">
        <v>142</v>
      </c>
      <c r="F765" s="7" t="s">
        <v>72</v>
      </c>
      <c r="G765" s="44" t="s">
        <v>110</v>
      </c>
      <c r="H765" s="44" t="s">
        <v>1172</v>
      </c>
      <c r="I765" s="46">
        <v>2</v>
      </c>
      <c r="J765" s="46">
        <v>2</v>
      </c>
      <c r="K765" s="46">
        <v>0</v>
      </c>
      <c r="L765" s="46">
        <v>0</v>
      </c>
      <c r="M765" s="31">
        <v>0</v>
      </c>
      <c r="N765" s="31">
        <v>0</v>
      </c>
      <c r="O765" s="46">
        <v>0</v>
      </c>
      <c r="P765" s="47">
        <v>0</v>
      </c>
      <c r="Q765" s="35" t="s">
        <v>154</v>
      </c>
    </row>
    <row r="766" spans="1:17" ht="48" x14ac:dyDescent="0.25">
      <c r="A766" s="21">
        <v>37977</v>
      </c>
      <c r="B766" s="21">
        <v>37977</v>
      </c>
      <c r="C766" s="43">
        <v>2003</v>
      </c>
      <c r="D766" s="24" t="s">
        <v>141</v>
      </c>
      <c r="E766" s="30" t="s">
        <v>142</v>
      </c>
      <c r="F766" s="28" t="s">
        <v>160</v>
      </c>
      <c r="G766" s="44" t="s">
        <v>110</v>
      </c>
      <c r="H766" s="44" t="s">
        <v>1173</v>
      </c>
      <c r="I766" s="46">
        <v>2</v>
      </c>
      <c r="J766" s="46">
        <v>2</v>
      </c>
      <c r="K766" s="46">
        <v>0</v>
      </c>
      <c r="L766" s="46">
        <v>0</v>
      </c>
      <c r="M766" s="31">
        <v>0</v>
      </c>
      <c r="N766" s="31">
        <v>0</v>
      </c>
      <c r="O766" s="46">
        <v>0</v>
      </c>
      <c r="P766" s="47">
        <v>0</v>
      </c>
      <c r="Q766" s="35" t="s">
        <v>154</v>
      </c>
    </row>
    <row r="767" spans="1:17" ht="72" x14ac:dyDescent="0.25">
      <c r="A767" s="21">
        <v>37769</v>
      </c>
      <c r="B767" s="21">
        <v>37769</v>
      </c>
      <c r="C767" s="43">
        <v>2003</v>
      </c>
      <c r="D767" s="24" t="s">
        <v>141</v>
      </c>
      <c r="E767" s="30" t="s">
        <v>142</v>
      </c>
      <c r="F767" s="28" t="s">
        <v>157</v>
      </c>
      <c r="G767" s="44" t="s">
        <v>110</v>
      </c>
      <c r="H767" s="44" t="s">
        <v>1174</v>
      </c>
      <c r="I767" s="46">
        <v>1</v>
      </c>
      <c r="J767" s="46">
        <v>102</v>
      </c>
      <c r="K767" s="46">
        <v>0</v>
      </c>
      <c r="L767" s="46">
        <v>0</v>
      </c>
      <c r="M767" s="31">
        <v>0</v>
      </c>
      <c r="N767" s="31">
        <v>0</v>
      </c>
      <c r="O767" s="46">
        <v>0</v>
      </c>
      <c r="P767" s="47">
        <v>0</v>
      </c>
      <c r="Q767" s="35" t="s">
        <v>154</v>
      </c>
    </row>
    <row r="768" spans="1:17" ht="36" x14ac:dyDescent="0.25">
      <c r="A768" s="21">
        <v>37799</v>
      </c>
      <c r="B768" s="21">
        <v>37799</v>
      </c>
      <c r="C768" s="43">
        <v>2003</v>
      </c>
      <c r="D768" s="24" t="s">
        <v>141</v>
      </c>
      <c r="E768" s="30" t="s">
        <v>142</v>
      </c>
      <c r="F768" s="7" t="s">
        <v>36</v>
      </c>
      <c r="G768" s="44" t="s">
        <v>1175</v>
      </c>
      <c r="H768" s="44" t="s">
        <v>1176</v>
      </c>
      <c r="I768" s="46">
        <v>1</v>
      </c>
      <c r="J768" s="46">
        <v>39</v>
      </c>
      <c r="K768" s="46">
        <v>0</v>
      </c>
      <c r="L768" s="46">
        <v>0</v>
      </c>
      <c r="M768" s="31">
        <v>0</v>
      </c>
      <c r="N768" s="31">
        <v>0</v>
      </c>
      <c r="O768" s="46">
        <v>0</v>
      </c>
      <c r="P768" s="47">
        <v>0.6</v>
      </c>
      <c r="Q768" s="35" t="s">
        <v>154</v>
      </c>
    </row>
    <row r="769" spans="1:17" ht="60" x14ac:dyDescent="0.25">
      <c r="A769" s="21">
        <v>37716</v>
      </c>
      <c r="B769" s="21">
        <v>37716</v>
      </c>
      <c r="C769" s="43">
        <v>2003</v>
      </c>
      <c r="D769" s="24" t="s">
        <v>141</v>
      </c>
      <c r="E769" s="30" t="s">
        <v>142</v>
      </c>
      <c r="F769" s="7" t="s">
        <v>77</v>
      </c>
      <c r="G769" s="44" t="s">
        <v>110</v>
      </c>
      <c r="H769" s="44" t="s">
        <v>1177</v>
      </c>
      <c r="I769" s="46">
        <v>1</v>
      </c>
      <c r="J769" s="46">
        <v>30</v>
      </c>
      <c r="K769" s="46">
        <v>0</v>
      </c>
      <c r="L769" s="46">
        <v>0</v>
      </c>
      <c r="M769" s="31">
        <v>0</v>
      </c>
      <c r="N769" s="31">
        <v>0</v>
      </c>
      <c r="O769" s="46">
        <v>0</v>
      </c>
      <c r="P769" s="47">
        <v>0</v>
      </c>
      <c r="Q769" s="35" t="s">
        <v>154</v>
      </c>
    </row>
    <row r="770" spans="1:17" ht="72" x14ac:dyDescent="0.25">
      <c r="A770" s="21">
        <v>37925</v>
      </c>
      <c r="B770" s="21">
        <v>37925</v>
      </c>
      <c r="C770" s="43">
        <v>2003</v>
      </c>
      <c r="D770" s="24" t="s">
        <v>141</v>
      </c>
      <c r="E770" s="30" t="s">
        <v>142</v>
      </c>
      <c r="F770" s="28" t="s">
        <v>210</v>
      </c>
      <c r="G770" s="44" t="s">
        <v>110</v>
      </c>
      <c r="H770" s="44" t="s">
        <v>1178</v>
      </c>
      <c r="I770" s="46">
        <v>1</v>
      </c>
      <c r="J770" s="46">
        <v>27</v>
      </c>
      <c r="K770" s="46">
        <v>4</v>
      </c>
      <c r="L770" s="46">
        <v>0</v>
      </c>
      <c r="M770" s="31">
        <v>0</v>
      </c>
      <c r="N770" s="31">
        <v>0</v>
      </c>
      <c r="O770" s="46">
        <v>0</v>
      </c>
      <c r="P770" s="47">
        <v>0.113</v>
      </c>
      <c r="Q770" s="35" t="s">
        <v>154</v>
      </c>
    </row>
    <row r="771" spans="1:17" ht="60" x14ac:dyDescent="0.25">
      <c r="A771" s="21">
        <v>37965</v>
      </c>
      <c r="B771" s="21">
        <v>37965</v>
      </c>
      <c r="C771" s="43">
        <v>2003</v>
      </c>
      <c r="D771" s="24" t="s">
        <v>141</v>
      </c>
      <c r="E771" s="30" t="s">
        <v>142</v>
      </c>
      <c r="F771" s="7" t="s">
        <v>53</v>
      </c>
      <c r="G771" s="44" t="s">
        <v>110</v>
      </c>
      <c r="H771" s="44" t="s">
        <v>1179</v>
      </c>
      <c r="I771" s="46">
        <v>1</v>
      </c>
      <c r="J771" s="46">
        <v>26</v>
      </c>
      <c r="K771" s="46">
        <v>0</v>
      </c>
      <c r="L771" s="46">
        <v>0</v>
      </c>
      <c r="M771" s="31">
        <v>0</v>
      </c>
      <c r="N771" s="31">
        <v>0</v>
      </c>
      <c r="O771" s="46">
        <v>0</v>
      </c>
      <c r="P771" s="47">
        <v>0.6</v>
      </c>
      <c r="Q771" s="35" t="s">
        <v>154</v>
      </c>
    </row>
    <row r="772" spans="1:17" ht="48" x14ac:dyDescent="0.25">
      <c r="A772" s="21">
        <v>37934</v>
      </c>
      <c r="B772" s="21">
        <v>37934</v>
      </c>
      <c r="C772" s="43">
        <v>2003</v>
      </c>
      <c r="D772" s="24" t="s">
        <v>141</v>
      </c>
      <c r="E772" s="30" t="s">
        <v>142</v>
      </c>
      <c r="F772" s="7" t="s">
        <v>56</v>
      </c>
      <c r="G772" s="44" t="s">
        <v>1180</v>
      </c>
      <c r="H772" s="44" t="s">
        <v>1181</v>
      </c>
      <c r="I772" s="46">
        <v>1</v>
      </c>
      <c r="J772" s="46">
        <v>23</v>
      </c>
      <c r="K772" s="46">
        <v>0</v>
      </c>
      <c r="L772" s="46">
        <v>0</v>
      </c>
      <c r="M772" s="31">
        <v>0</v>
      </c>
      <c r="N772" s="31">
        <v>0</v>
      </c>
      <c r="O772" s="46">
        <v>0</v>
      </c>
      <c r="P772" s="47">
        <v>0</v>
      </c>
      <c r="Q772" s="35" t="s">
        <v>154</v>
      </c>
    </row>
    <row r="773" spans="1:17" ht="48" x14ac:dyDescent="0.25">
      <c r="A773" s="21">
        <v>37986</v>
      </c>
      <c r="B773" s="21">
        <v>37986</v>
      </c>
      <c r="C773" s="43">
        <v>2003</v>
      </c>
      <c r="D773" s="24" t="s">
        <v>141</v>
      </c>
      <c r="E773" s="30" t="s">
        <v>142</v>
      </c>
      <c r="F773" s="7" t="s">
        <v>58</v>
      </c>
      <c r="G773" s="44" t="s">
        <v>1182</v>
      </c>
      <c r="H773" s="44" t="s">
        <v>1183</v>
      </c>
      <c r="I773" s="46">
        <v>1</v>
      </c>
      <c r="J773" s="46">
        <v>23</v>
      </c>
      <c r="K773" s="46">
        <v>0</v>
      </c>
      <c r="L773" s="46">
        <v>0</v>
      </c>
      <c r="M773" s="31">
        <v>0</v>
      </c>
      <c r="N773" s="31">
        <v>0</v>
      </c>
      <c r="O773" s="46">
        <v>0</v>
      </c>
      <c r="P773" s="47">
        <v>0.6</v>
      </c>
      <c r="Q773" s="35" t="s">
        <v>154</v>
      </c>
    </row>
    <row r="774" spans="1:17" ht="48" x14ac:dyDescent="0.25">
      <c r="A774" s="21">
        <v>37903</v>
      </c>
      <c r="B774" s="21">
        <v>37903</v>
      </c>
      <c r="C774" s="43">
        <v>2003</v>
      </c>
      <c r="D774" s="24" t="s">
        <v>141</v>
      </c>
      <c r="E774" s="30" t="s">
        <v>142</v>
      </c>
      <c r="F774" s="7" t="s">
        <v>56</v>
      </c>
      <c r="G774" s="44" t="s">
        <v>110</v>
      </c>
      <c r="H774" s="44" t="s">
        <v>1184</v>
      </c>
      <c r="I774" s="46">
        <v>1</v>
      </c>
      <c r="J774" s="46">
        <v>21</v>
      </c>
      <c r="K774" s="46">
        <v>0</v>
      </c>
      <c r="L774" s="46">
        <v>0</v>
      </c>
      <c r="M774" s="31">
        <v>0</v>
      </c>
      <c r="N774" s="31">
        <v>0</v>
      </c>
      <c r="O774" s="46">
        <v>0</v>
      </c>
      <c r="P774" s="47">
        <v>0.6</v>
      </c>
      <c r="Q774" s="35" t="s">
        <v>154</v>
      </c>
    </row>
    <row r="775" spans="1:17" ht="48" x14ac:dyDescent="0.25">
      <c r="A775" s="21">
        <v>37726</v>
      </c>
      <c r="B775" s="21">
        <v>37726</v>
      </c>
      <c r="C775" s="43">
        <v>2003</v>
      </c>
      <c r="D775" s="24" t="s">
        <v>141</v>
      </c>
      <c r="E775" s="30" t="s">
        <v>142</v>
      </c>
      <c r="F775" s="7" t="s">
        <v>36</v>
      </c>
      <c r="G775" s="44" t="s">
        <v>1185</v>
      </c>
      <c r="H775" s="44" t="s">
        <v>1186</v>
      </c>
      <c r="I775" s="46">
        <v>1</v>
      </c>
      <c r="J775" s="46">
        <v>15</v>
      </c>
      <c r="K775" s="46">
        <v>0</v>
      </c>
      <c r="L775" s="46">
        <v>0</v>
      </c>
      <c r="M775" s="31">
        <v>0</v>
      </c>
      <c r="N775" s="31">
        <v>0</v>
      </c>
      <c r="O775" s="46">
        <v>0</v>
      </c>
      <c r="P775" s="47">
        <v>0</v>
      </c>
      <c r="Q775" s="35" t="s">
        <v>154</v>
      </c>
    </row>
    <row r="776" spans="1:17" ht="48" x14ac:dyDescent="0.25">
      <c r="A776" s="21">
        <v>37886</v>
      </c>
      <c r="B776" s="21">
        <v>37886</v>
      </c>
      <c r="C776" s="43">
        <v>2003</v>
      </c>
      <c r="D776" s="24" t="s">
        <v>141</v>
      </c>
      <c r="E776" s="30" t="s">
        <v>142</v>
      </c>
      <c r="F776" s="7" t="s">
        <v>40</v>
      </c>
      <c r="G776" s="44" t="s">
        <v>1187</v>
      </c>
      <c r="H776" s="44" t="s">
        <v>1188</v>
      </c>
      <c r="I776" s="46">
        <v>1</v>
      </c>
      <c r="J776" s="46">
        <v>14</v>
      </c>
      <c r="K776" s="46">
        <v>0</v>
      </c>
      <c r="L776" s="46">
        <v>0</v>
      </c>
      <c r="M776" s="31">
        <v>0</v>
      </c>
      <c r="N776" s="31">
        <v>0</v>
      </c>
      <c r="O776" s="46">
        <v>0</v>
      </c>
      <c r="P776" s="47">
        <v>0.6</v>
      </c>
      <c r="Q776" s="35" t="s">
        <v>154</v>
      </c>
    </row>
    <row r="777" spans="1:17" ht="60" x14ac:dyDescent="0.25">
      <c r="A777" s="21">
        <v>37695</v>
      </c>
      <c r="B777" s="21">
        <v>37695</v>
      </c>
      <c r="C777" s="43">
        <v>2003</v>
      </c>
      <c r="D777" s="24" t="s">
        <v>141</v>
      </c>
      <c r="E777" s="30" t="s">
        <v>142</v>
      </c>
      <c r="F777" s="7" t="s">
        <v>101</v>
      </c>
      <c r="G777" s="44" t="s">
        <v>110</v>
      </c>
      <c r="H777" s="44" t="s">
        <v>1189</v>
      </c>
      <c r="I777" s="46">
        <v>1</v>
      </c>
      <c r="J777" s="46">
        <v>8</v>
      </c>
      <c r="K777" s="46">
        <v>0</v>
      </c>
      <c r="L777" s="46">
        <v>0</v>
      </c>
      <c r="M777" s="31">
        <v>0</v>
      </c>
      <c r="N777" s="31">
        <v>0</v>
      </c>
      <c r="O777" s="46">
        <v>0</v>
      </c>
      <c r="P777" s="47">
        <v>0</v>
      </c>
      <c r="Q777" s="35" t="s">
        <v>154</v>
      </c>
    </row>
    <row r="778" spans="1:17" ht="60" x14ac:dyDescent="0.25">
      <c r="A778" s="21">
        <v>37923</v>
      </c>
      <c r="B778" s="21">
        <v>37923</v>
      </c>
      <c r="C778" s="43">
        <v>2003</v>
      </c>
      <c r="D778" s="24" t="s">
        <v>141</v>
      </c>
      <c r="E778" s="30" t="s">
        <v>142</v>
      </c>
      <c r="F778" s="28" t="s">
        <v>157</v>
      </c>
      <c r="G778" s="44" t="s">
        <v>1190</v>
      </c>
      <c r="H778" s="44" t="s">
        <v>1191</v>
      </c>
      <c r="I778" s="46">
        <v>1</v>
      </c>
      <c r="J778" s="46">
        <v>6</v>
      </c>
      <c r="K778" s="46">
        <v>0</v>
      </c>
      <c r="L778" s="46">
        <v>0</v>
      </c>
      <c r="M778" s="31">
        <v>0</v>
      </c>
      <c r="N778" s="31">
        <v>0</v>
      </c>
      <c r="O778" s="46">
        <v>0</v>
      </c>
      <c r="P778" s="47">
        <v>0.14399999999999999</v>
      </c>
      <c r="Q778" s="35" t="s">
        <v>154</v>
      </c>
    </row>
    <row r="779" spans="1:17" ht="36" x14ac:dyDescent="0.25">
      <c r="A779" s="21">
        <v>37946</v>
      </c>
      <c r="B779" s="21">
        <v>37946</v>
      </c>
      <c r="C779" s="43">
        <v>2003</v>
      </c>
      <c r="D779" s="24" t="s">
        <v>141</v>
      </c>
      <c r="E779" s="30" t="s">
        <v>142</v>
      </c>
      <c r="F779" s="7" t="s">
        <v>58</v>
      </c>
      <c r="G779" s="25" t="s">
        <v>168</v>
      </c>
      <c r="H779" s="52" t="s">
        <v>1192</v>
      </c>
      <c r="I779" s="46">
        <v>1</v>
      </c>
      <c r="J779" s="46">
        <v>4</v>
      </c>
      <c r="K779" s="46">
        <v>0</v>
      </c>
      <c r="L779" s="46">
        <v>0</v>
      </c>
      <c r="M779" s="31">
        <v>0</v>
      </c>
      <c r="N779" s="31">
        <v>0</v>
      </c>
      <c r="O779" s="46">
        <v>0</v>
      </c>
      <c r="P779" s="47">
        <v>1</v>
      </c>
      <c r="Q779" s="35" t="s">
        <v>154</v>
      </c>
    </row>
    <row r="780" spans="1:17" ht="48" x14ac:dyDescent="0.25">
      <c r="A780" s="21">
        <v>37700</v>
      </c>
      <c r="B780" s="21">
        <v>37700</v>
      </c>
      <c r="C780" s="43">
        <v>2003</v>
      </c>
      <c r="D780" s="24" t="s">
        <v>141</v>
      </c>
      <c r="E780" s="30" t="s">
        <v>142</v>
      </c>
      <c r="F780" s="7" t="s">
        <v>53</v>
      </c>
      <c r="G780" s="44" t="s">
        <v>110</v>
      </c>
      <c r="H780" s="44" t="s">
        <v>1193</v>
      </c>
      <c r="I780" s="46">
        <v>1</v>
      </c>
      <c r="J780" s="46">
        <v>3</v>
      </c>
      <c r="K780" s="46">
        <v>0</v>
      </c>
      <c r="L780" s="46">
        <v>0</v>
      </c>
      <c r="M780" s="31">
        <v>0</v>
      </c>
      <c r="N780" s="31">
        <v>0</v>
      </c>
      <c r="O780" s="46">
        <v>0</v>
      </c>
      <c r="P780" s="47">
        <v>0</v>
      </c>
      <c r="Q780" s="35" t="s">
        <v>154</v>
      </c>
    </row>
    <row r="781" spans="1:17" ht="48" x14ac:dyDescent="0.25">
      <c r="A781" s="21">
        <v>37849</v>
      </c>
      <c r="B781" s="21">
        <v>37849</v>
      </c>
      <c r="C781" s="43">
        <v>2003</v>
      </c>
      <c r="D781" s="24" t="s">
        <v>141</v>
      </c>
      <c r="E781" s="30" t="s">
        <v>142</v>
      </c>
      <c r="F781" s="7" t="s">
        <v>58</v>
      </c>
      <c r="G781" s="44" t="s">
        <v>1194</v>
      </c>
      <c r="H781" s="44" t="s">
        <v>1195</v>
      </c>
      <c r="I781" s="46">
        <v>1</v>
      </c>
      <c r="J781" s="46">
        <v>3</v>
      </c>
      <c r="K781" s="46">
        <v>0</v>
      </c>
      <c r="L781" s="46">
        <v>0</v>
      </c>
      <c r="M781" s="31">
        <v>0</v>
      </c>
      <c r="N781" s="31">
        <v>0</v>
      </c>
      <c r="O781" s="46">
        <v>0</v>
      </c>
      <c r="P781" s="47">
        <v>1</v>
      </c>
      <c r="Q781" s="35" t="s">
        <v>154</v>
      </c>
    </row>
    <row r="782" spans="1:17" ht="48" x14ac:dyDescent="0.25">
      <c r="A782" s="21">
        <v>37652</v>
      </c>
      <c r="B782" s="21">
        <v>37652</v>
      </c>
      <c r="C782" s="43">
        <v>2003</v>
      </c>
      <c r="D782" s="24" t="s">
        <v>141</v>
      </c>
      <c r="E782" s="30" t="s">
        <v>142</v>
      </c>
      <c r="F782" s="7" t="s">
        <v>53</v>
      </c>
      <c r="G782" s="44" t="s">
        <v>110</v>
      </c>
      <c r="H782" s="44" t="s">
        <v>1196</v>
      </c>
      <c r="I782" s="46">
        <v>1</v>
      </c>
      <c r="J782" s="46">
        <v>2</v>
      </c>
      <c r="K782" s="46">
        <v>0</v>
      </c>
      <c r="L782" s="46">
        <v>0</v>
      </c>
      <c r="M782" s="31">
        <v>0</v>
      </c>
      <c r="N782" s="31">
        <v>0</v>
      </c>
      <c r="O782" s="46">
        <v>0</v>
      </c>
      <c r="P782" s="47">
        <v>0</v>
      </c>
      <c r="Q782" s="35" t="s">
        <v>154</v>
      </c>
    </row>
    <row r="783" spans="1:17" ht="48" x14ac:dyDescent="0.25">
      <c r="A783" s="21">
        <v>37650</v>
      </c>
      <c r="B783" s="21">
        <v>37650</v>
      </c>
      <c r="C783" s="43">
        <v>2003</v>
      </c>
      <c r="D783" s="24" t="s">
        <v>141</v>
      </c>
      <c r="E783" s="30" t="s">
        <v>142</v>
      </c>
      <c r="F783" s="7" t="s">
        <v>25</v>
      </c>
      <c r="G783" s="44" t="s">
        <v>110</v>
      </c>
      <c r="H783" s="44" t="s">
        <v>1197</v>
      </c>
      <c r="I783" s="46">
        <v>1</v>
      </c>
      <c r="J783" s="46">
        <v>1</v>
      </c>
      <c r="K783" s="46">
        <v>0</v>
      </c>
      <c r="L783" s="46">
        <v>0</v>
      </c>
      <c r="M783" s="31">
        <v>0</v>
      </c>
      <c r="N783" s="31">
        <v>0</v>
      </c>
      <c r="O783" s="46">
        <v>0</v>
      </c>
      <c r="P783" s="47">
        <v>0.27300000000000002</v>
      </c>
      <c r="Q783" s="35" t="s">
        <v>154</v>
      </c>
    </row>
    <row r="784" spans="1:17" ht="36" x14ac:dyDescent="0.25">
      <c r="A784" s="21">
        <v>37672</v>
      </c>
      <c r="B784" s="21">
        <v>37672</v>
      </c>
      <c r="C784" s="43">
        <v>2003</v>
      </c>
      <c r="D784" s="24" t="s">
        <v>141</v>
      </c>
      <c r="E784" s="30" t="s">
        <v>142</v>
      </c>
      <c r="F784" s="7" t="s">
        <v>45</v>
      </c>
      <c r="G784" s="44" t="s">
        <v>110</v>
      </c>
      <c r="H784" s="44" t="s">
        <v>1198</v>
      </c>
      <c r="I784" s="46">
        <v>1</v>
      </c>
      <c r="J784" s="46">
        <v>1</v>
      </c>
      <c r="K784" s="46">
        <v>0</v>
      </c>
      <c r="L784" s="46">
        <v>0</v>
      </c>
      <c r="M784" s="31">
        <v>0</v>
      </c>
      <c r="N784" s="31">
        <v>0</v>
      </c>
      <c r="O784" s="46">
        <v>0</v>
      </c>
      <c r="P784" s="47">
        <v>1</v>
      </c>
      <c r="Q784" s="35" t="s">
        <v>154</v>
      </c>
    </row>
    <row r="785" spans="1:17" ht="36" x14ac:dyDescent="0.25">
      <c r="A785" s="21">
        <v>37702</v>
      </c>
      <c r="B785" s="21">
        <v>37702</v>
      </c>
      <c r="C785" s="43">
        <v>2003</v>
      </c>
      <c r="D785" s="24" t="s">
        <v>141</v>
      </c>
      <c r="E785" s="6" t="s">
        <v>333</v>
      </c>
      <c r="F785" s="28" t="s">
        <v>163</v>
      </c>
      <c r="G785" s="44" t="s">
        <v>110</v>
      </c>
      <c r="H785" s="44" t="s">
        <v>1199</v>
      </c>
      <c r="I785" s="46">
        <v>1</v>
      </c>
      <c r="J785" s="46">
        <v>1</v>
      </c>
      <c r="K785" s="46">
        <v>0</v>
      </c>
      <c r="L785" s="46">
        <v>0</v>
      </c>
      <c r="M785" s="31">
        <v>0</v>
      </c>
      <c r="N785" s="31">
        <v>0</v>
      </c>
      <c r="O785" s="46">
        <v>0</v>
      </c>
      <c r="P785" s="47">
        <v>0</v>
      </c>
      <c r="Q785" s="35" t="s">
        <v>154</v>
      </c>
    </row>
    <row r="786" spans="1:17" ht="36" x14ac:dyDescent="0.25">
      <c r="A786" s="21">
        <v>37791</v>
      </c>
      <c r="B786" s="21">
        <v>37791</v>
      </c>
      <c r="C786" s="43">
        <v>2003</v>
      </c>
      <c r="D786" s="24" t="s">
        <v>141</v>
      </c>
      <c r="E786" s="30" t="s">
        <v>142</v>
      </c>
      <c r="F786" s="28" t="s">
        <v>151</v>
      </c>
      <c r="G786" s="44" t="s">
        <v>110</v>
      </c>
      <c r="H786" s="44" t="s">
        <v>1200</v>
      </c>
      <c r="I786" s="46">
        <v>1</v>
      </c>
      <c r="J786" s="46">
        <v>1</v>
      </c>
      <c r="K786" s="46">
        <v>0</v>
      </c>
      <c r="L786" s="46">
        <v>0</v>
      </c>
      <c r="M786" s="31">
        <v>0</v>
      </c>
      <c r="N786" s="31">
        <v>0</v>
      </c>
      <c r="O786" s="46">
        <v>0</v>
      </c>
      <c r="P786" s="47">
        <v>2</v>
      </c>
      <c r="Q786" s="35" t="s">
        <v>154</v>
      </c>
    </row>
    <row r="787" spans="1:17" ht="48" x14ac:dyDescent="0.25">
      <c r="A787" s="21">
        <v>37876</v>
      </c>
      <c r="B787" s="21">
        <v>37876</v>
      </c>
      <c r="C787" s="43">
        <v>2003</v>
      </c>
      <c r="D787" s="24" t="s">
        <v>141</v>
      </c>
      <c r="E787" s="30" t="s">
        <v>142</v>
      </c>
      <c r="F787" s="7" t="s">
        <v>82</v>
      </c>
      <c r="G787" s="44" t="s">
        <v>110</v>
      </c>
      <c r="H787" s="44" t="s">
        <v>1201</v>
      </c>
      <c r="I787" s="46">
        <v>1</v>
      </c>
      <c r="J787" s="46">
        <v>1</v>
      </c>
      <c r="K787" s="46">
        <v>0</v>
      </c>
      <c r="L787" s="46">
        <v>0</v>
      </c>
      <c r="M787" s="31">
        <v>0</v>
      </c>
      <c r="N787" s="31">
        <v>0</v>
      </c>
      <c r="O787" s="46">
        <v>0</v>
      </c>
      <c r="P787" s="47">
        <v>0.27300000000000002</v>
      </c>
      <c r="Q787" s="35" t="s">
        <v>154</v>
      </c>
    </row>
    <row r="788" spans="1:17" ht="48" x14ac:dyDescent="0.25">
      <c r="A788" s="21">
        <v>37881</v>
      </c>
      <c r="B788" s="21">
        <v>37881</v>
      </c>
      <c r="C788" s="43">
        <v>2003</v>
      </c>
      <c r="D788" s="24" t="s">
        <v>141</v>
      </c>
      <c r="E788" s="30" t="s">
        <v>142</v>
      </c>
      <c r="F788" s="7" t="s">
        <v>30</v>
      </c>
      <c r="G788" s="44" t="s">
        <v>110</v>
      </c>
      <c r="H788" s="44" t="s">
        <v>1202</v>
      </c>
      <c r="I788" s="46">
        <v>1</v>
      </c>
      <c r="J788" s="46">
        <v>1</v>
      </c>
      <c r="K788" s="46">
        <v>0</v>
      </c>
      <c r="L788" s="46">
        <v>0</v>
      </c>
      <c r="M788" s="31">
        <v>0</v>
      </c>
      <c r="N788" s="31">
        <v>0</v>
      </c>
      <c r="O788" s="46">
        <v>0</v>
      </c>
      <c r="P788" s="47">
        <v>0</v>
      </c>
      <c r="Q788" s="35" t="s">
        <v>154</v>
      </c>
    </row>
    <row r="789" spans="1:17" ht="36" x14ac:dyDescent="0.25">
      <c r="A789" s="21">
        <v>37931</v>
      </c>
      <c r="B789" s="21">
        <v>37931</v>
      </c>
      <c r="C789" s="43">
        <v>2003</v>
      </c>
      <c r="D789" s="24" t="s">
        <v>141</v>
      </c>
      <c r="E789" s="30" t="s">
        <v>142</v>
      </c>
      <c r="F789" s="7" t="s">
        <v>77</v>
      </c>
      <c r="G789" s="44" t="s">
        <v>1203</v>
      </c>
      <c r="H789" s="44" t="s">
        <v>1204</v>
      </c>
      <c r="I789" s="46">
        <v>1</v>
      </c>
      <c r="J789" s="46">
        <v>1</v>
      </c>
      <c r="K789" s="46">
        <v>0</v>
      </c>
      <c r="L789" s="46">
        <v>0</v>
      </c>
      <c r="M789" s="31">
        <v>0</v>
      </c>
      <c r="N789" s="31">
        <v>0</v>
      </c>
      <c r="O789" s="46">
        <v>0</v>
      </c>
      <c r="P789" s="47">
        <v>0</v>
      </c>
      <c r="Q789" s="35" t="s">
        <v>154</v>
      </c>
    </row>
    <row r="790" spans="1:17" ht="72" x14ac:dyDescent="0.25">
      <c r="A790" s="21">
        <v>37938</v>
      </c>
      <c r="B790" s="21">
        <v>37938</v>
      </c>
      <c r="C790" s="43">
        <v>2003</v>
      </c>
      <c r="D790" s="24" t="s">
        <v>141</v>
      </c>
      <c r="E790" s="30" t="s">
        <v>142</v>
      </c>
      <c r="F790" s="7" t="s">
        <v>53</v>
      </c>
      <c r="G790" s="25" t="s">
        <v>110</v>
      </c>
      <c r="H790" s="52" t="s">
        <v>1205</v>
      </c>
      <c r="I790" s="46">
        <v>1</v>
      </c>
      <c r="J790" s="46">
        <v>1</v>
      </c>
      <c r="K790" s="46">
        <v>0</v>
      </c>
      <c r="L790" s="46">
        <v>0</v>
      </c>
      <c r="M790" s="31">
        <v>0</v>
      </c>
      <c r="N790" s="31">
        <v>0</v>
      </c>
      <c r="O790" s="46">
        <v>0</v>
      </c>
      <c r="P790" s="47">
        <v>0</v>
      </c>
      <c r="Q790" s="35" t="s">
        <v>154</v>
      </c>
    </row>
    <row r="791" spans="1:17" ht="60" x14ac:dyDescent="0.25">
      <c r="A791" s="21">
        <v>37676</v>
      </c>
      <c r="B791" s="21">
        <v>37676</v>
      </c>
      <c r="C791" s="43">
        <v>2003</v>
      </c>
      <c r="D791" s="24" t="s">
        <v>141</v>
      </c>
      <c r="E791" s="30" t="s">
        <v>142</v>
      </c>
      <c r="F791" s="7" t="s">
        <v>56</v>
      </c>
      <c r="G791" s="44" t="s">
        <v>1206</v>
      </c>
      <c r="H791" s="44" t="s">
        <v>1207</v>
      </c>
      <c r="I791" s="46">
        <v>0</v>
      </c>
      <c r="J791" s="46">
        <v>40</v>
      </c>
      <c r="K791" s="46">
        <v>0</v>
      </c>
      <c r="L791" s="46">
        <v>0</v>
      </c>
      <c r="M791" s="31">
        <v>0</v>
      </c>
      <c r="N791" s="31">
        <v>0</v>
      </c>
      <c r="O791" s="46">
        <v>0</v>
      </c>
      <c r="P791" s="47">
        <v>0.6</v>
      </c>
      <c r="Q791" s="35" t="s">
        <v>154</v>
      </c>
    </row>
    <row r="792" spans="1:17" ht="48" x14ac:dyDescent="0.25">
      <c r="A792" s="21">
        <v>37800</v>
      </c>
      <c r="B792" s="21">
        <v>37800</v>
      </c>
      <c r="C792" s="43">
        <v>2003</v>
      </c>
      <c r="D792" s="24" t="s">
        <v>141</v>
      </c>
      <c r="E792" s="30" t="s">
        <v>142</v>
      </c>
      <c r="F792" s="7" t="s">
        <v>60</v>
      </c>
      <c r="G792" s="44" t="s">
        <v>110</v>
      </c>
      <c r="H792" s="44" t="s">
        <v>1208</v>
      </c>
      <c r="I792" s="46">
        <v>0</v>
      </c>
      <c r="J792" s="46">
        <v>36</v>
      </c>
      <c r="K792" s="46">
        <v>0</v>
      </c>
      <c r="L792" s="46">
        <v>0</v>
      </c>
      <c r="M792" s="31">
        <v>0</v>
      </c>
      <c r="N792" s="31">
        <v>0</v>
      </c>
      <c r="O792" s="46">
        <v>0</v>
      </c>
      <c r="P792" s="47">
        <v>0</v>
      </c>
      <c r="Q792" s="35" t="s">
        <v>154</v>
      </c>
    </row>
    <row r="793" spans="1:17" ht="48" x14ac:dyDescent="0.25">
      <c r="A793" s="21">
        <v>37734</v>
      </c>
      <c r="B793" s="21">
        <v>37734</v>
      </c>
      <c r="C793" s="43">
        <v>2003</v>
      </c>
      <c r="D793" s="24" t="s">
        <v>141</v>
      </c>
      <c r="E793" s="30" t="s">
        <v>142</v>
      </c>
      <c r="F793" s="7" t="s">
        <v>75</v>
      </c>
      <c r="G793" s="44" t="s">
        <v>110</v>
      </c>
      <c r="H793" s="44" t="s">
        <v>1209</v>
      </c>
      <c r="I793" s="46">
        <v>0</v>
      </c>
      <c r="J793" s="46">
        <v>23</v>
      </c>
      <c r="K793" s="46">
        <v>0</v>
      </c>
      <c r="L793" s="46">
        <v>0</v>
      </c>
      <c r="M793" s="31">
        <v>0</v>
      </c>
      <c r="N793" s="31">
        <v>0</v>
      </c>
      <c r="O793" s="46">
        <v>0</v>
      </c>
      <c r="P793" s="47">
        <v>0</v>
      </c>
      <c r="Q793" s="35" t="s">
        <v>154</v>
      </c>
    </row>
    <row r="794" spans="1:17" ht="48" x14ac:dyDescent="0.25">
      <c r="A794" s="21">
        <v>37797</v>
      </c>
      <c r="B794" s="21">
        <v>37797</v>
      </c>
      <c r="C794" s="43">
        <v>2003</v>
      </c>
      <c r="D794" s="24" t="s">
        <v>141</v>
      </c>
      <c r="E794" s="30" t="s">
        <v>142</v>
      </c>
      <c r="F794" s="7" t="s">
        <v>36</v>
      </c>
      <c r="G794" s="44" t="s">
        <v>1210</v>
      </c>
      <c r="H794" s="44" t="s">
        <v>1211</v>
      </c>
      <c r="I794" s="46">
        <v>0</v>
      </c>
      <c r="J794" s="46">
        <v>22</v>
      </c>
      <c r="K794" s="46">
        <v>0</v>
      </c>
      <c r="L794" s="46">
        <v>0</v>
      </c>
      <c r="M794" s="31">
        <v>0</v>
      </c>
      <c r="N794" s="31">
        <v>0</v>
      </c>
      <c r="O794" s="46">
        <v>0</v>
      </c>
      <c r="P794" s="47">
        <v>0</v>
      </c>
      <c r="Q794" s="35" t="s">
        <v>154</v>
      </c>
    </row>
    <row r="795" spans="1:17" ht="48" x14ac:dyDescent="0.25">
      <c r="A795" s="21">
        <v>37738</v>
      </c>
      <c r="B795" s="21">
        <v>37738</v>
      </c>
      <c r="C795" s="43">
        <v>2003</v>
      </c>
      <c r="D795" s="24" t="s">
        <v>141</v>
      </c>
      <c r="E795" s="30" t="s">
        <v>142</v>
      </c>
      <c r="F795" s="7" t="s">
        <v>77</v>
      </c>
      <c r="G795" s="44" t="s">
        <v>1212</v>
      </c>
      <c r="H795" s="44" t="s">
        <v>1213</v>
      </c>
      <c r="I795" s="46">
        <v>0</v>
      </c>
      <c r="J795" s="46">
        <v>21</v>
      </c>
      <c r="K795" s="46">
        <v>0</v>
      </c>
      <c r="L795" s="46">
        <v>0</v>
      </c>
      <c r="M795" s="31">
        <v>0</v>
      </c>
      <c r="N795" s="31">
        <v>0</v>
      </c>
      <c r="O795" s="46">
        <v>0</v>
      </c>
      <c r="P795" s="47">
        <v>0.6</v>
      </c>
      <c r="Q795" s="35" t="s">
        <v>154</v>
      </c>
    </row>
    <row r="796" spans="1:17" ht="60" x14ac:dyDescent="0.25">
      <c r="A796" s="21">
        <v>37676</v>
      </c>
      <c r="B796" s="21">
        <v>37676</v>
      </c>
      <c r="C796" s="43">
        <v>2003</v>
      </c>
      <c r="D796" s="24" t="s">
        <v>141</v>
      </c>
      <c r="E796" s="30" t="s">
        <v>142</v>
      </c>
      <c r="F796" s="7" t="s">
        <v>36</v>
      </c>
      <c r="G796" s="44" t="s">
        <v>110</v>
      </c>
      <c r="H796" s="44" t="s">
        <v>1214</v>
      </c>
      <c r="I796" s="46">
        <v>0</v>
      </c>
      <c r="J796" s="46">
        <v>20</v>
      </c>
      <c r="K796" s="46">
        <v>0</v>
      </c>
      <c r="L796" s="46">
        <v>0</v>
      </c>
      <c r="M796" s="31">
        <v>0</v>
      </c>
      <c r="N796" s="31">
        <v>0</v>
      </c>
      <c r="O796" s="46">
        <v>0</v>
      </c>
      <c r="P796" s="47">
        <v>3.5999999999999997E-2</v>
      </c>
      <c r="Q796" s="35" t="s">
        <v>154</v>
      </c>
    </row>
    <row r="797" spans="1:17" ht="36" x14ac:dyDescent="0.25">
      <c r="A797" s="21">
        <v>37930</v>
      </c>
      <c r="B797" s="21">
        <v>37930</v>
      </c>
      <c r="C797" s="43">
        <v>2003</v>
      </c>
      <c r="D797" s="24" t="s">
        <v>141</v>
      </c>
      <c r="E797" s="30" t="s">
        <v>125</v>
      </c>
      <c r="F797" s="7" t="s">
        <v>84</v>
      </c>
      <c r="G797" s="44" t="s">
        <v>110</v>
      </c>
      <c r="H797" s="44" t="s">
        <v>1215</v>
      </c>
      <c r="I797" s="46">
        <v>0</v>
      </c>
      <c r="J797" s="46">
        <v>20</v>
      </c>
      <c r="K797" s="46">
        <v>0</v>
      </c>
      <c r="L797" s="46">
        <v>0</v>
      </c>
      <c r="M797" s="31">
        <v>0</v>
      </c>
      <c r="N797" s="31">
        <v>0</v>
      </c>
      <c r="O797" s="46">
        <v>0</v>
      </c>
      <c r="P797" s="47">
        <v>0</v>
      </c>
      <c r="Q797" s="35" t="s">
        <v>154</v>
      </c>
    </row>
    <row r="798" spans="1:17" ht="60" x14ac:dyDescent="0.25">
      <c r="A798" s="21">
        <v>37663</v>
      </c>
      <c r="B798" s="21">
        <v>37663</v>
      </c>
      <c r="C798" s="43">
        <v>2003</v>
      </c>
      <c r="D798" s="24" t="s">
        <v>141</v>
      </c>
      <c r="E798" s="30" t="s">
        <v>142</v>
      </c>
      <c r="F798" s="28" t="s">
        <v>157</v>
      </c>
      <c r="G798" s="44" t="s">
        <v>110</v>
      </c>
      <c r="H798" s="44" t="s">
        <v>1216</v>
      </c>
      <c r="I798" s="46">
        <v>0</v>
      </c>
      <c r="J798" s="46">
        <v>19</v>
      </c>
      <c r="K798" s="46">
        <v>0</v>
      </c>
      <c r="L798" s="46">
        <v>0</v>
      </c>
      <c r="M798" s="31">
        <v>0</v>
      </c>
      <c r="N798" s="31">
        <v>0</v>
      </c>
      <c r="O798" s="46">
        <v>0</v>
      </c>
      <c r="P798" s="47">
        <v>0</v>
      </c>
      <c r="Q798" s="35" t="s">
        <v>154</v>
      </c>
    </row>
    <row r="799" spans="1:17" ht="60" x14ac:dyDescent="0.25">
      <c r="A799" s="21">
        <v>37722</v>
      </c>
      <c r="B799" s="21">
        <v>37722</v>
      </c>
      <c r="C799" s="43">
        <v>2003</v>
      </c>
      <c r="D799" s="24" t="s">
        <v>141</v>
      </c>
      <c r="E799" s="30" t="s">
        <v>142</v>
      </c>
      <c r="F799" s="7" t="s">
        <v>56</v>
      </c>
      <c r="G799" s="44" t="s">
        <v>110</v>
      </c>
      <c r="H799" s="44" t="s">
        <v>1217</v>
      </c>
      <c r="I799" s="46">
        <v>0</v>
      </c>
      <c r="J799" s="46">
        <v>19</v>
      </c>
      <c r="K799" s="46">
        <v>0</v>
      </c>
      <c r="L799" s="46">
        <v>0</v>
      </c>
      <c r="M799" s="31">
        <v>0</v>
      </c>
      <c r="N799" s="31">
        <v>0</v>
      </c>
      <c r="O799" s="46">
        <v>0</v>
      </c>
      <c r="P799" s="47">
        <v>0</v>
      </c>
      <c r="Q799" s="35" t="s">
        <v>154</v>
      </c>
    </row>
    <row r="800" spans="1:17" ht="36" x14ac:dyDescent="0.25">
      <c r="A800" s="21">
        <v>37742</v>
      </c>
      <c r="B800" s="21">
        <v>37742</v>
      </c>
      <c r="C800" s="43">
        <v>2003</v>
      </c>
      <c r="D800" s="24" t="s">
        <v>141</v>
      </c>
      <c r="E800" s="30" t="s">
        <v>142</v>
      </c>
      <c r="F800" s="7" t="s">
        <v>62</v>
      </c>
      <c r="G800" s="44" t="s">
        <v>1218</v>
      </c>
      <c r="H800" s="44" t="s">
        <v>1219</v>
      </c>
      <c r="I800" s="46">
        <v>0</v>
      </c>
      <c r="J800" s="46">
        <v>15</v>
      </c>
      <c r="K800" s="46">
        <v>0</v>
      </c>
      <c r="L800" s="46">
        <v>0</v>
      </c>
      <c r="M800" s="31">
        <v>0</v>
      </c>
      <c r="N800" s="31">
        <v>0</v>
      </c>
      <c r="O800" s="46">
        <v>0</v>
      </c>
      <c r="P800" s="47">
        <v>0</v>
      </c>
      <c r="Q800" s="35" t="s">
        <v>154</v>
      </c>
    </row>
    <row r="801" spans="1:17" ht="48" x14ac:dyDescent="0.25">
      <c r="A801" s="21">
        <v>37746</v>
      </c>
      <c r="B801" s="21">
        <v>37746</v>
      </c>
      <c r="C801" s="43">
        <v>2003</v>
      </c>
      <c r="D801" s="24" t="s">
        <v>141</v>
      </c>
      <c r="E801" s="30" t="s">
        <v>142</v>
      </c>
      <c r="F801" s="7" t="s">
        <v>91</v>
      </c>
      <c r="G801" s="44" t="s">
        <v>1220</v>
      </c>
      <c r="H801" s="44" t="s">
        <v>1221</v>
      </c>
      <c r="I801" s="46">
        <v>0</v>
      </c>
      <c r="J801" s="46">
        <v>14</v>
      </c>
      <c r="K801" s="46">
        <v>0</v>
      </c>
      <c r="L801" s="46">
        <v>0</v>
      </c>
      <c r="M801" s="31">
        <v>0</v>
      </c>
      <c r="N801" s="31">
        <v>0</v>
      </c>
      <c r="O801" s="46">
        <v>0</v>
      </c>
      <c r="P801" s="47">
        <v>0.6</v>
      </c>
      <c r="Q801" s="35" t="s">
        <v>154</v>
      </c>
    </row>
    <row r="802" spans="1:17" ht="36" x14ac:dyDescent="0.25">
      <c r="A802" s="21">
        <v>37789</v>
      </c>
      <c r="B802" s="21">
        <v>37789</v>
      </c>
      <c r="C802" s="43">
        <v>2003</v>
      </c>
      <c r="D802" s="24" t="s">
        <v>141</v>
      </c>
      <c r="E802" s="30" t="s">
        <v>142</v>
      </c>
      <c r="F802" s="28" t="s">
        <v>163</v>
      </c>
      <c r="G802" s="44" t="s">
        <v>1222</v>
      </c>
      <c r="H802" s="44" t="s">
        <v>1223</v>
      </c>
      <c r="I802" s="46">
        <v>0</v>
      </c>
      <c r="J802" s="46">
        <v>13</v>
      </c>
      <c r="K802" s="46">
        <v>0</v>
      </c>
      <c r="L802" s="46">
        <v>0</v>
      </c>
      <c r="M802" s="31">
        <v>0</v>
      </c>
      <c r="N802" s="31">
        <v>0</v>
      </c>
      <c r="O802" s="46">
        <v>0</v>
      </c>
      <c r="P802" s="47">
        <v>0</v>
      </c>
      <c r="Q802" s="35" t="s">
        <v>154</v>
      </c>
    </row>
    <row r="803" spans="1:17" ht="36" x14ac:dyDescent="0.25">
      <c r="A803" s="21">
        <v>37865</v>
      </c>
      <c r="B803" s="21">
        <v>37865</v>
      </c>
      <c r="C803" s="43">
        <v>2003</v>
      </c>
      <c r="D803" s="24" t="s">
        <v>141</v>
      </c>
      <c r="E803" s="30" t="s">
        <v>142</v>
      </c>
      <c r="F803" s="7" t="s">
        <v>80</v>
      </c>
      <c r="G803" s="44" t="s">
        <v>110</v>
      </c>
      <c r="H803" s="44" t="s">
        <v>1224</v>
      </c>
      <c r="I803" s="46">
        <v>0</v>
      </c>
      <c r="J803" s="46">
        <v>12</v>
      </c>
      <c r="K803" s="46">
        <v>0</v>
      </c>
      <c r="L803" s="46">
        <v>0</v>
      </c>
      <c r="M803" s="31">
        <v>0</v>
      </c>
      <c r="N803" s="31">
        <v>0</v>
      </c>
      <c r="O803" s="46">
        <v>0</v>
      </c>
      <c r="P803" s="47">
        <v>0</v>
      </c>
      <c r="Q803" s="35" t="s">
        <v>154</v>
      </c>
    </row>
    <row r="804" spans="1:17" ht="36" x14ac:dyDescent="0.25">
      <c r="A804" s="21">
        <v>37635</v>
      </c>
      <c r="B804" s="21">
        <v>37635</v>
      </c>
      <c r="C804" s="43">
        <v>2003</v>
      </c>
      <c r="D804" s="24" t="s">
        <v>141</v>
      </c>
      <c r="E804" s="30" t="s">
        <v>142</v>
      </c>
      <c r="F804" s="7" t="s">
        <v>53</v>
      </c>
      <c r="G804" s="44" t="s">
        <v>110</v>
      </c>
      <c r="H804" s="44" t="s">
        <v>1225</v>
      </c>
      <c r="I804" s="46">
        <v>0</v>
      </c>
      <c r="J804" s="46">
        <v>9</v>
      </c>
      <c r="K804" s="46">
        <v>0</v>
      </c>
      <c r="L804" s="46">
        <v>0</v>
      </c>
      <c r="M804" s="31">
        <v>0</v>
      </c>
      <c r="N804" s="31">
        <v>0</v>
      </c>
      <c r="O804" s="46">
        <v>0</v>
      </c>
      <c r="P804" s="47">
        <v>0.6</v>
      </c>
      <c r="Q804" s="35" t="s">
        <v>154</v>
      </c>
    </row>
    <row r="805" spans="1:17" ht="60" x14ac:dyDescent="0.25">
      <c r="A805" s="21">
        <v>37648</v>
      </c>
      <c r="B805" s="21">
        <v>37648</v>
      </c>
      <c r="C805" s="43">
        <v>2003</v>
      </c>
      <c r="D805" s="24" t="s">
        <v>141</v>
      </c>
      <c r="E805" s="30" t="s">
        <v>142</v>
      </c>
      <c r="F805" s="7" t="s">
        <v>77</v>
      </c>
      <c r="G805" s="44" t="s">
        <v>110</v>
      </c>
      <c r="H805" s="44" t="s">
        <v>1226</v>
      </c>
      <c r="I805" s="46">
        <v>0</v>
      </c>
      <c r="J805" s="46">
        <v>7</v>
      </c>
      <c r="K805" s="46">
        <v>0</v>
      </c>
      <c r="L805" s="46">
        <v>0</v>
      </c>
      <c r="M805" s="31">
        <v>0</v>
      </c>
      <c r="N805" s="31">
        <v>0</v>
      </c>
      <c r="O805" s="46">
        <v>0</v>
      </c>
      <c r="P805" s="47">
        <v>0</v>
      </c>
      <c r="Q805" s="35" t="s">
        <v>154</v>
      </c>
    </row>
    <row r="806" spans="1:17" ht="48" x14ac:dyDescent="0.25">
      <c r="A806" s="21">
        <v>37703</v>
      </c>
      <c r="B806" s="21">
        <v>37703</v>
      </c>
      <c r="C806" s="43">
        <v>2003</v>
      </c>
      <c r="D806" s="24" t="s">
        <v>141</v>
      </c>
      <c r="E806" s="30" t="s">
        <v>142</v>
      </c>
      <c r="F806" s="7" t="s">
        <v>58</v>
      </c>
      <c r="G806" s="44" t="s">
        <v>110</v>
      </c>
      <c r="H806" s="44" t="s">
        <v>1227</v>
      </c>
      <c r="I806" s="46">
        <v>0</v>
      </c>
      <c r="J806" s="46">
        <v>7</v>
      </c>
      <c r="K806" s="46">
        <v>0</v>
      </c>
      <c r="L806" s="46">
        <v>0</v>
      </c>
      <c r="M806" s="31">
        <v>0</v>
      </c>
      <c r="N806" s="31">
        <v>0</v>
      </c>
      <c r="O806" s="46">
        <v>0</v>
      </c>
      <c r="P806" s="47">
        <v>0</v>
      </c>
      <c r="Q806" s="35" t="s">
        <v>154</v>
      </c>
    </row>
    <row r="807" spans="1:17" ht="48" x14ac:dyDescent="0.25">
      <c r="A807" s="21">
        <v>37764</v>
      </c>
      <c r="B807" s="21">
        <v>37764</v>
      </c>
      <c r="C807" s="43">
        <v>2003</v>
      </c>
      <c r="D807" s="24" t="s">
        <v>141</v>
      </c>
      <c r="E807" s="30" t="s">
        <v>142</v>
      </c>
      <c r="F807" s="28" t="s">
        <v>157</v>
      </c>
      <c r="G807" s="44" t="s">
        <v>110</v>
      </c>
      <c r="H807" s="44" t="s">
        <v>1228</v>
      </c>
      <c r="I807" s="46">
        <v>0</v>
      </c>
      <c r="J807" s="46">
        <v>6</v>
      </c>
      <c r="K807" s="46">
        <v>0</v>
      </c>
      <c r="L807" s="46">
        <v>0</v>
      </c>
      <c r="M807" s="31">
        <v>0</v>
      </c>
      <c r="N807" s="31">
        <v>0</v>
      </c>
      <c r="O807" s="46">
        <v>0</v>
      </c>
      <c r="P807" s="47">
        <v>0</v>
      </c>
      <c r="Q807" s="35" t="s">
        <v>154</v>
      </c>
    </row>
    <row r="808" spans="1:17" ht="36" x14ac:dyDescent="0.25">
      <c r="A808" s="21">
        <v>37857</v>
      </c>
      <c r="B808" s="21">
        <v>37857</v>
      </c>
      <c r="C808" s="43">
        <v>2003</v>
      </c>
      <c r="D808" s="24" t="s">
        <v>141</v>
      </c>
      <c r="E808" s="30" t="s">
        <v>142</v>
      </c>
      <c r="F808" s="7" t="s">
        <v>53</v>
      </c>
      <c r="G808" s="44" t="s">
        <v>847</v>
      </c>
      <c r="H808" s="44" t="s">
        <v>1229</v>
      </c>
      <c r="I808" s="46">
        <v>0</v>
      </c>
      <c r="J808" s="46">
        <v>6</v>
      </c>
      <c r="K808" s="46">
        <v>0</v>
      </c>
      <c r="L808" s="46">
        <v>0</v>
      </c>
      <c r="M808" s="31">
        <v>0</v>
      </c>
      <c r="N808" s="31">
        <v>0</v>
      </c>
      <c r="O808" s="46">
        <v>0</v>
      </c>
      <c r="P808" s="47">
        <v>0</v>
      </c>
      <c r="Q808" s="35" t="s">
        <v>154</v>
      </c>
    </row>
    <row r="809" spans="1:17" ht="36" x14ac:dyDescent="0.25">
      <c r="A809" s="21">
        <v>37877</v>
      </c>
      <c r="B809" s="21">
        <v>37877</v>
      </c>
      <c r="C809" s="43">
        <v>2003</v>
      </c>
      <c r="D809" s="24" t="s">
        <v>141</v>
      </c>
      <c r="E809" s="30" t="s">
        <v>142</v>
      </c>
      <c r="F809" s="7" t="s">
        <v>60</v>
      </c>
      <c r="G809" s="44" t="s">
        <v>110</v>
      </c>
      <c r="H809" s="44" t="s">
        <v>1230</v>
      </c>
      <c r="I809" s="46">
        <v>0</v>
      </c>
      <c r="J809" s="46">
        <v>5</v>
      </c>
      <c r="K809" s="46">
        <v>0</v>
      </c>
      <c r="L809" s="46">
        <v>0</v>
      </c>
      <c r="M809" s="31">
        <v>0</v>
      </c>
      <c r="N809" s="31">
        <v>0</v>
      </c>
      <c r="O809" s="46">
        <v>0</v>
      </c>
      <c r="P809" s="47">
        <v>0</v>
      </c>
      <c r="Q809" s="35" t="s">
        <v>154</v>
      </c>
    </row>
    <row r="810" spans="1:17" ht="48" x14ac:dyDescent="0.25">
      <c r="A810" s="21">
        <v>37877</v>
      </c>
      <c r="B810" s="21">
        <v>37877</v>
      </c>
      <c r="C810" s="43">
        <v>2003</v>
      </c>
      <c r="D810" s="24" t="s">
        <v>141</v>
      </c>
      <c r="E810" s="30" t="s">
        <v>142</v>
      </c>
      <c r="F810" s="7" t="s">
        <v>60</v>
      </c>
      <c r="G810" s="44" t="s">
        <v>110</v>
      </c>
      <c r="H810" s="44" t="s">
        <v>1231</v>
      </c>
      <c r="I810" s="46">
        <v>0</v>
      </c>
      <c r="J810" s="46">
        <v>5</v>
      </c>
      <c r="K810" s="46">
        <v>0</v>
      </c>
      <c r="L810" s="46">
        <v>0</v>
      </c>
      <c r="M810" s="31">
        <v>0</v>
      </c>
      <c r="N810" s="31">
        <v>0</v>
      </c>
      <c r="O810" s="46">
        <v>0</v>
      </c>
      <c r="P810" s="47">
        <v>1</v>
      </c>
      <c r="Q810" s="35" t="s">
        <v>154</v>
      </c>
    </row>
    <row r="811" spans="1:17" ht="36" x14ac:dyDescent="0.25">
      <c r="A811" s="21">
        <v>37650</v>
      </c>
      <c r="B811" s="21">
        <v>37650</v>
      </c>
      <c r="C811" s="43">
        <v>2003</v>
      </c>
      <c r="D811" s="24" t="s">
        <v>141</v>
      </c>
      <c r="E811" s="30" t="s">
        <v>125</v>
      </c>
      <c r="F811" s="7" t="s">
        <v>68</v>
      </c>
      <c r="G811" s="44" t="s">
        <v>1121</v>
      </c>
      <c r="H811" s="44" t="s">
        <v>1232</v>
      </c>
      <c r="I811" s="46">
        <v>0</v>
      </c>
      <c r="J811" s="46">
        <v>4</v>
      </c>
      <c r="K811" s="46">
        <v>0</v>
      </c>
      <c r="L811" s="46">
        <v>0</v>
      </c>
      <c r="M811" s="31">
        <v>0</v>
      </c>
      <c r="N811" s="31">
        <v>0</v>
      </c>
      <c r="O811" s="46">
        <v>0</v>
      </c>
      <c r="P811" s="47">
        <v>0</v>
      </c>
      <c r="Q811" s="35" t="s">
        <v>154</v>
      </c>
    </row>
    <row r="812" spans="1:17" ht="60" x14ac:dyDescent="0.25">
      <c r="A812" s="21">
        <v>37865</v>
      </c>
      <c r="B812" s="21">
        <v>37865</v>
      </c>
      <c r="C812" s="43">
        <v>2003</v>
      </c>
      <c r="D812" s="24" t="s">
        <v>141</v>
      </c>
      <c r="E812" s="30" t="s">
        <v>142</v>
      </c>
      <c r="F812" s="7" t="s">
        <v>87</v>
      </c>
      <c r="G812" s="44" t="s">
        <v>936</v>
      </c>
      <c r="H812" s="44" t="s">
        <v>1233</v>
      </c>
      <c r="I812" s="46">
        <v>0</v>
      </c>
      <c r="J812" s="46">
        <v>4</v>
      </c>
      <c r="K812" s="46">
        <v>0</v>
      </c>
      <c r="L812" s="46">
        <v>0</v>
      </c>
      <c r="M812" s="31">
        <v>0</v>
      </c>
      <c r="N812" s="31">
        <v>0</v>
      </c>
      <c r="O812" s="46">
        <v>0</v>
      </c>
      <c r="P812" s="47">
        <v>0</v>
      </c>
      <c r="Q812" s="35" t="s">
        <v>154</v>
      </c>
    </row>
    <row r="813" spans="1:17" ht="36" x14ac:dyDescent="0.25">
      <c r="A813" s="21">
        <v>37931</v>
      </c>
      <c r="B813" s="21">
        <v>37931</v>
      </c>
      <c r="C813" s="43">
        <v>2003</v>
      </c>
      <c r="D813" s="24" t="s">
        <v>141</v>
      </c>
      <c r="E813" s="30" t="s">
        <v>142</v>
      </c>
      <c r="F813" s="7" t="s">
        <v>56</v>
      </c>
      <c r="G813" s="44" t="s">
        <v>110</v>
      </c>
      <c r="H813" s="44" t="s">
        <v>1234</v>
      </c>
      <c r="I813" s="46">
        <v>0</v>
      </c>
      <c r="J813" s="46">
        <v>4</v>
      </c>
      <c r="K813" s="46">
        <v>0</v>
      </c>
      <c r="L813" s="46">
        <v>0</v>
      </c>
      <c r="M813" s="31">
        <v>0</v>
      </c>
      <c r="N813" s="31">
        <v>0</v>
      </c>
      <c r="O813" s="46">
        <v>0</v>
      </c>
      <c r="P813" s="47">
        <v>0</v>
      </c>
      <c r="Q813" s="35" t="s">
        <v>154</v>
      </c>
    </row>
    <row r="814" spans="1:17" ht="36" x14ac:dyDescent="0.25">
      <c r="A814" s="21">
        <v>37932</v>
      </c>
      <c r="B814" s="21">
        <v>37932</v>
      </c>
      <c r="C814" s="43">
        <v>2003</v>
      </c>
      <c r="D814" s="24" t="s">
        <v>141</v>
      </c>
      <c r="E814" s="30" t="s">
        <v>142</v>
      </c>
      <c r="F814" s="7" t="s">
        <v>77</v>
      </c>
      <c r="G814" s="44" t="s">
        <v>77</v>
      </c>
      <c r="H814" s="44" t="s">
        <v>1235</v>
      </c>
      <c r="I814" s="46">
        <v>0</v>
      </c>
      <c r="J814" s="46">
        <v>4</v>
      </c>
      <c r="K814" s="46">
        <v>0</v>
      </c>
      <c r="L814" s="46">
        <v>0</v>
      </c>
      <c r="M814" s="31">
        <v>0</v>
      </c>
      <c r="N814" s="31">
        <v>0</v>
      </c>
      <c r="O814" s="46">
        <v>0</v>
      </c>
      <c r="P814" s="47">
        <v>0</v>
      </c>
      <c r="Q814" s="35" t="s">
        <v>154</v>
      </c>
    </row>
    <row r="815" spans="1:17" ht="48" x14ac:dyDescent="0.25">
      <c r="A815" s="21">
        <v>37740</v>
      </c>
      <c r="B815" s="21">
        <v>37740</v>
      </c>
      <c r="C815" s="43">
        <v>2003</v>
      </c>
      <c r="D815" s="24" t="s">
        <v>141</v>
      </c>
      <c r="E815" s="30" t="s">
        <v>142</v>
      </c>
      <c r="F815" s="7" t="s">
        <v>53</v>
      </c>
      <c r="G815" s="44" t="s">
        <v>1236</v>
      </c>
      <c r="H815" s="44" t="s">
        <v>1237</v>
      </c>
      <c r="I815" s="46">
        <v>0</v>
      </c>
      <c r="J815" s="46">
        <v>3</v>
      </c>
      <c r="K815" s="46">
        <v>0</v>
      </c>
      <c r="L815" s="46">
        <v>0</v>
      </c>
      <c r="M815" s="31">
        <v>0</v>
      </c>
      <c r="N815" s="31">
        <v>0</v>
      </c>
      <c r="O815" s="46">
        <v>0</v>
      </c>
      <c r="P815" s="47">
        <v>0</v>
      </c>
      <c r="Q815" s="35" t="s">
        <v>154</v>
      </c>
    </row>
    <row r="816" spans="1:17" ht="48" x14ac:dyDescent="0.25">
      <c r="A816" s="21">
        <v>37846</v>
      </c>
      <c r="B816" s="21">
        <v>37846</v>
      </c>
      <c r="C816" s="43">
        <v>2003</v>
      </c>
      <c r="D816" s="24" t="s">
        <v>141</v>
      </c>
      <c r="E816" s="30" t="s">
        <v>142</v>
      </c>
      <c r="F816" s="28" t="s">
        <v>210</v>
      </c>
      <c r="G816" s="44" t="s">
        <v>1238</v>
      </c>
      <c r="H816" s="44" t="s">
        <v>1239</v>
      </c>
      <c r="I816" s="46">
        <v>0</v>
      </c>
      <c r="J816" s="46">
        <v>3</v>
      </c>
      <c r="K816" s="46">
        <v>0</v>
      </c>
      <c r="L816" s="46">
        <v>0</v>
      </c>
      <c r="M816" s="31">
        <v>0</v>
      </c>
      <c r="N816" s="31">
        <v>0</v>
      </c>
      <c r="O816" s="46">
        <v>0</v>
      </c>
      <c r="P816" s="47">
        <v>1</v>
      </c>
      <c r="Q816" s="35" t="s">
        <v>154</v>
      </c>
    </row>
    <row r="817" spans="1:17" ht="36" x14ac:dyDescent="0.25">
      <c r="A817" s="21">
        <v>37951</v>
      </c>
      <c r="B817" s="21">
        <v>37951</v>
      </c>
      <c r="C817" s="43">
        <v>2003</v>
      </c>
      <c r="D817" s="24" t="s">
        <v>141</v>
      </c>
      <c r="E817" s="30" t="s">
        <v>142</v>
      </c>
      <c r="F817" s="7" t="s">
        <v>47</v>
      </c>
      <c r="G817" s="44" t="s">
        <v>110</v>
      </c>
      <c r="H817" s="44" t="s">
        <v>1240</v>
      </c>
      <c r="I817" s="46">
        <v>0</v>
      </c>
      <c r="J817" s="46">
        <v>3</v>
      </c>
      <c r="K817" s="46">
        <v>0</v>
      </c>
      <c r="L817" s="46">
        <v>0</v>
      </c>
      <c r="M817" s="31">
        <v>0</v>
      </c>
      <c r="N817" s="31">
        <v>0</v>
      </c>
      <c r="O817" s="46">
        <v>0</v>
      </c>
      <c r="P817" s="47">
        <v>0</v>
      </c>
      <c r="Q817" s="35" t="s">
        <v>154</v>
      </c>
    </row>
    <row r="818" spans="1:17" ht="48" x14ac:dyDescent="0.25">
      <c r="A818" s="21">
        <v>37632</v>
      </c>
      <c r="B818" s="21">
        <v>37632</v>
      </c>
      <c r="C818" s="43">
        <v>2003</v>
      </c>
      <c r="D818" s="24" t="s">
        <v>141</v>
      </c>
      <c r="E818" s="30" t="s">
        <v>142</v>
      </c>
      <c r="F818" s="7" t="s">
        <v>53</v>
      </c>
      <c r="G818" s="44" t="s">
        <v>1241</v>
      </c>
      <c r="H818" s="44" t="s">
        <v>1242</v>
      </c>
      <c r="I818" s="46">
        <v>0</v>
      </c>
      <c r="J818" s="46">
        <v>2</v>
      </c>
      <c r="K818" s="46">
        <v>0</v>
      </c>
      <c r="L818" s="46">
        <v>0</v>
      </c>
      <c r="M818" s="31">
        <v>0</v>
      </c>
      <c r="N818" s="31">
        <v>0</v>
      </c>
      <c r="O818" s="46">
        <v>0</v>
      </c>
      <c r="P818" s="47">
        <v>1</v>
      </c>
      <c r="Q818" s="35" t="s">
        <v>154</v>
      </c>
    </row>
    <row r="819" spans="1:17" ht="36" x14ac:dyDescent="0.25">
      <c r="A819" s="21">
        <v>37670</v>
      </c>
      <c r="B819" s="21">
        <v>37670</v>
      </c>
      <c r="C819" s="43">
        <v>2003</v>
      </c>
      <c r="D819" s="24" t="s">
        <v>141</v>
      </c>
      <c r="E819" s="42" t="s">
        <v>447</v>
      </c>
      <c r="F819" s="7" t="s">
        <v>53</v>
      </c>
      <c r="G819" s="44" t="s">
        <v>859</v>
      </c>
      <c r="H819" s="44" t="s">
        <v>1243</v>
      </c>
      <c r="I819" s="46">
        <v>0</v>
      </c>
      <c r="J819" s="46">
        <v>2</v>
      </c>
      <c r="K819" s="46">
        <v>0</v>
      </c>
      <c r="L819" s="46">
        <v>0</v>
      </c>
      <c r="M819" s="31">
        <v>0</v>
      </c>
      <c r="N819" s="31">
        <v>0</v>
      </c>
      <c r="O819" s="46">
        <v>0</v>
      </c>
      <c r="P819" s="47">
        <v>0</v>
      </c>
      <c r="Q819" s="35" t="s">
        <v>154</v>
      </c>
    </row>
    <row r="820" spans="1:17" ht="48" x14ac:dyDescent="0.25">
      <c r="A820" s="21">
        <v>37734</v>
      </c>
      <c r="B820" s="21">
        <v>37734</v>
      </c>
      <c r="C820" s="43">
        <v>2003</v>
      </c>
      <c r="D820" s="24" t="s">
        <v>141</v>
      </c>
      <c r="E820" s="30" t="s">
        <v>142</v>
      </c>
      <c r="F820" s="7" t="s">
        <v>87</v>
      </c>
      <c r="G820" s="44" t="s">
        <v>110</v>
      </c>
      <c r="H820" s="44" t="s">
        <v>1244</v>
      </c>
      <c r="I820" s="46">
        <v>0</v>
      </c>
      <c r="J820" s="46">
        <v>2</v>
      </c>
      <c r="K820" s="46">
        <v>0</v>
      </c>
      <c r="L820" s="46">
        <v>0</v>
      </c>
      <c r="M820" s="31">
        <v>0</v>
      </c>
      <c r="N820" s="31">
        <v>0</v>
      </c>
      <c r="O820" s="46">
        <v>0</v>
      </c>
      <c r="P820" s="47">
        <v>0</v>
      </c>
      <c r="Q820" s="35" t="s">
        <v>154</v>
      </c>
    </row>
    <row r="821" spans="1:17" ht="36" x14ac:dyDescent="0.25">
      <c r="A821" s="21">
        <v>37757</v>
      </c>
      <c r="B821" s="21">
        <v>37757</v>
      </c>
      <c r="C821" s="43">
        <v>2003</v>
      </c>
      <c r="D821" s="24" t="s">
        <v>141</v>
      </c>
      <c r="E821" s="30" t="s">
        <v>142</v>
      </c>
      <c r="F821" s="28" t="s">
        <v>210</v>
      </c>
      <c r="G821" s="44" t="s">
        <v>1245</v>
      </c>
      <c r="H821" s="44" t="s">
        <v>1246</v>
      </c>
      <c r="I821" s="46">
        <v>0</v>
      </c>
      <c r="J821" s="46">
        <v>2</v>
      </c>
      <c r="K821" s="46">
        <v>0</v>
      </c>
      <c r="L821" s="46">
        <v>0</v>
      </c>
      <c r="M821" s="31">
        <v>0</v>
      </c>
      <c r="N821" s="31">
        <v>0</v>
      </c>
      <c r="O821" s="46">
        <v>0</v>
      </c>
      <c r="P821" s="47">
        <v>2</v>
      </c>
      <c r="Q821" s="35" t="s">
        <v>154</v>
      </c>
    </row>
    <row r="822" spans="1:17" ht="36" x14ac:dyDescent="0.25">
      <c r="A822" s="21">
        <v>37672</v>
      </c>
      <c r="B822" s="21">
        <v>37672</v>
      </c>
      <c r="C822" s="43">
        <v>2003</v>
      </c>
      <c r="D822" s="24" t="s">
        <v>141</v>
      </c>
      <c r="E822" s="30" t="s">
        <v>142</v>
      </c>
      <c r="F822" s="7" t="s">
        <v>60</v>
      </c>
      <c r="G822" s="44" t="s">
        <v>1247</v>
      </c>
      <c r="H822" s="44" t="s">
        <v>1248</v>
      </c>
      <c r="I822" s="46">
        <v>0</v>
      </c>
      <c r="J822" s="46">
        <v>1</v>
      </c>
      <c r="K822" s="46">
        <v>0</v>
      </c>
      <c r="L822" s="46">
        <v>0</v>
      </c>
      <c r="M822" s="31">
        <v>0</v>
      </c>
      <c r="N822" s="31">
        <v>0</v>
      </c>
      <c r="O822" s="46">
        <v>0</v>
      </c>
      <c r="P822" s="47">
        <v>1</v>
      </c>
      <c r="Q822" s="35" t="s">
        <v>154</v>
      </c>
    </row>
    <row r="823" spans="1:17" ht="36" x14ac:dyDescent="0.25">
      <c r="A823" s="21">
        <v>37689</v>
      </c>
      <c r="B823" s="21">
        <v>37689</v>
      </c>
      <c r="C823" s="43">
        <v>2003</v>
      </c>
      <c r="D823" s="24" t="s">
        <v>141</v>
      </c>
      <c r="E823" s="30" t="s">
        <v>133</v>
      </c>
      <c r="F823" s="7" t="s">
        <v>53</v>
      </c>
      <c r="G823" s="44" t="s">
        <v>110</v>
      </c>
      <c r="H823" s="44" t="s">
        <v>1249</v>
      </c>
      <c r="I823" s="46">
        <v>0</v>
      </c>
      <c r="J823" s="46">
        <v>1</v>
      </c>
      <c r="K823" s="46">
        <v>1</v>
      </c>
      <c r="L823" s="46">
        <v>0</v>
      </c>
      <c r="M823" s="31">
        <v>0</v>
      </c>
      <c r="N823" s="31">
        <v>0</v>
      </c>
      <c r="O823" s="46">
        <v>0</v>
      </c>
      <c r="P823" s="47">
        <v>8.6999999999999994E-3</v>
      </c>
      <c r="Q823" s="35" t="s">
        <v>154</v>
      </c>
    </row>
    <row r="824" spans="1:17" ht="36" x14ac:dyDescent="0.25">
      <c r="A824" s="21">
        <v>37716</v>
      </c>
      <c r="B824" s="21">
        <v>37716</v>
      </c>
      <c r="C824" s="43">
        <v>2003</v>
      </c>
      <c r="D824" s="24" t="s">
        <v>141</v>
      </c>
      <c r="E824" s="6" t="s">
        <v>844</v>
      </c>
      <c r="F824" s="28" t="s">
        <v>157</v>
      </c>
      <c r="G824" s="44" t="s">
        <v>1062</v>
      </c>
      <c r="H824" s="44" t="s">
        <v>1250</v>
      </c>
      <c r="I824" s="46">
        <v>0</v>
      </c>
      <c r="J824" s="46">
        <v>1</v>
      </c>
      <c r="K824" s="46">
        <v>0</v>
      </c>
      <c r="L824" s="46">
        <v>0</v>
      </c>
      <c r="M824" s="31">
        <v>0</v>
      </c>
      <c r="N824" s="31">
        <v>0</v>
      </c>
      <c r="O824" s="46">
        <v>0</v>
      </c>
      <c r="P824" s="47">
        <v>0</v>
      </c>
      <c r="Q824" s="35" t="s">
        <v>154</v>
      </c>
    </row>
    <row r="825" spans="1:17" ht="24" x14ac:dyDescent="0.25">
      <c r="A825" s="21">
        <v>37760</v>
      </c>
      <c r="B825" s="21">
        <v>37760</v>
      </c>
      <c r="C825" s="43">
        <v>2003</v>
      </c>
      <c r="D825" s="24" t="s">
        <v>141</v>
      </c>
      <c r="E825" s="30" t="s">
        <v>142</v>
      </c>
      <c r="F825" s="7" t="s">
        <v>60</v>
      </c>
      <c r="G825" s="44" t="s">
        <v>110</v>
      </c>
      <c r="H825" s="44" t="s">
        <v>1251</v>
      </c>
      <c r="I825" s="46">
        <v>0</v>
      </c>
      <c r="J825" s="46">
        <v>1</v>
      </c>
      <c r="K825" s="46">
        <v>0</v>
      </c>
      <c r="L825" s="46">
        <v>0</v>
      </c>
      <c r="M825" s="31">
        <v>0</v>
      </c>
      <c r="N825" s="31">
        <v>0</v>
      </c>
      <c r="O825" s="46">
        <v>0</v>
      </c>
      <c r="P825" s="47">
        <v>0</v>
      </c>
      <c r="Q825" s="35" t="s">
        <v>154</v>
      </c>
    </row>
    <row r="826" spans="1:17" ht="36" x14ac:dyDescent="0.25">
      <c r="A826" s="21">
        <v>37769</v>
      </c>
      <c r="B826" s="21">
        <v>37769</v>
      </c>
      <c r="C826" s="43">
        <v>2003</v>
      </c>
      <c r="D826" s="24" t="s">
        <v>141</v>
      </c>
      <c r="E826" s="6" t="s">
        <v>844</v>
      </c>
      <c r="F826" s="28" t="s">
        <v>157</v>
      </c>
      <c r="G826" s="44" t="s">
        <v>660</v>
      </c>
      <c r="H826" s="44" t="s">
        <v>1252</v>
      </c>
      <c r="I826" s="46">
        <v>0</v>
      </c>
      <c r="J826" s="46">
        <v>1</v>
      </c>
      <c r="K826" s="46">
        <v>1</v>
      </c>
      <c r="L826" s="46">
        <v>0</v>
      </c>
      <c r="M826" s="31">
        <v>0</v>
      </c>
      <c r="N826" s="31">
        <v>0</v>
      </c>
      <c r="O826" s="46">
        <v>0</v>
      </c>
      <c r="P826" s="47">
        <v>2.8899999999999999E-2</v>
      </c>
      <c r="Q826" s="35" t="s">
        <v>154</v>
      </c>
    </row>
    <row r="827" spans="1:17" ht="72" x14ac:dyDescent="0.25">
      <c r="A827" s="21">
        <v>37825</v>
      </c>
      <c r="B827" s="21">
        <v>37825</v>
      </c>
      <c r="C827" s="43">
        <v>2003</v>
      </c>
      <c r="D827" s="24" t="s">
        <v>141</v>
      </c>
      <c r="E827" s="30" t="s">
        <v>142</v>
      </c>
      <c r="F827" s="7" t="s">
        <v>101</v>
      </c>
      <c r="G827" s="44" t="s">
        <v>101</v>
      </c>
      <c r="H827" s="44" t="s">
        <v>1253</v>
      </c>
      <c r="I827" s="46">
        <v>0</v>
      </c>
      <c r="J827" s="46">
        <v>1</v>
      </c>
      <c r="K827" s="46">
        <v>0</v>
      </c>
      <c r="L827" s="46">
        <v>0</v>
      </c>
      <c r="M827" s="31">
        <v>0</v>
      </c>
      <c r="N827" s="31">
        <v>0</v>
      </c>
      <c r="O827" s="46">
        <v>0</v>
      </c>
      <c r="P827" s="47">
        <v>0</v>
      </c>
      <c r="Q827" s="35" t="s">
        <v>154</v>
      </c>
    </row>
    <row r="828" spans="1:17" ht="60" x14ac:dyDescent="0.25">
      <c r="A828" s="21">
        <v>37882</v>
      </c>
      <c r="B828" s="21">
        <v>37882</v>
      </c>
      <c r="C828" s="43">
        <v>2003</v>
      </c>
      <c r="D828" s="24" t="s">
        <v>141</v>
      </c>
      <c r="E828" s="30" t="s">
        <v>142</v>
      </c>
      <c r="F828" s="7" t="s">
        <v>53</v>
      </c>
      <c r="G828" s="44" t="s">
        <v>1254</v>
      </c>
      <c r="H828" s="44" t="s">
        <v>1255</v>
      </c>
      <c r="I828" s="46">
        <v>0</v>
      </c>
      <c r="J828" s="46">
        <v>1</v>
      </c>
      <c r="K828" s="46">
        <v>0</v>
      </c>
      <c r="L828" s="46">
        <v>0</v>
      </c>
      <c r="M828" s="31">
        <v>0</v>
      </c>
      <c r="N828" s="31">
        <v>0</v>
      </c>
      <c r="O828" s="46">
        <v>0</v>
      </c>
      <c r="P828" s="47">
        <v>0</v>
      </c>
      <c r="Q828" s="35" t="s">
        <v>154</v>
      </c>
    </row>
    <row r="829" spans="1:17" ht="36" x14ac:dyDescent="0.25">
      <c r="A829" s="21">
        <v>37932</v>
      </c>
      <c r="B829" s="21">
        <v>37932</v>
      </c>
      <c r="C829" s="43">
        <v>2003</v>
      </c>
      <c r="D829" s="24" t="s">
        <v>141</v>
      </c>
      <c r="E829" s="30" t="s">
        <v>142</v>
      </c>
      <c r="F829" s="7" t="s">
        <v>60</v>
      </c>
      <c r="G829" s="44" t="s">
        <v>1256</v>
      </c>
      <c r="H829" s="44" t="s">
        <v>1257</v>
      </c>
      <c r="I829" s="46">
        <v>0</v>
      </c>
      <c r="J829" s="46">
        <v>1</v>
      </c>
      <c r="K829" s="46">
        <v>0</v>
      </c>
      <c r="L829" s="46">
        <v>0</v>
      </c>
      <c r="M829" s="31">
        <v>0</v>
      </c>
      <c r="N829" s="31">
        <v>0</v>
      </c>
      <c r="O829" s="46">
        <v>0</v>
      </c>
      <c r="P829" s="47">
        <v>0</v>
      </c>
      <c r="Q829" s="35" t="s">
        <v>154</v>
      </c>
    </row>
    <row r="830" spans="1:17" ht="36" x14ac:dyDescent="0.25">
      <c r="A830" s="21">
        <v>37942</v>
      </c>
      <c r="B830" s="21">
        <v>37942</v>
      </c>
      <c r="C830" s="43">
        <v>2003</v>
      </c>
      <c r="D830" s="24" t="s">
        <v>141</v>
      </c>
      <c r="E830" s="30" t="s">
        <v>142</v>
      </c>
      <c r="F830" s="28" t="s">
        <v>210</v>
      </c>
      <c r="G830" s="25" t="s">
        <v>110</v>
      </c>
      <c r="H830" s="52" t="s">
        <v>1258</v>
      </c>
      <c r="I830" s="46">
        <v>0</v>
      </c>
      <c r="J830" s="46">
        <v>1</v>
      </c>
      <c r="K830" s="46">
        <v>0</v>
      </c>
      <c r="L830" s="46">
        <v>0</v>
      </c>
      <c r="M830" s="31">
        <v>0</v>
      </c>
      <c r="N830" s="31">
        <v>0</v>
      </c>
      <c r="O830" s="46">
        <v>0</v>
      </c>
      <c r="P830" s="47">
        <v>0</v>
      </c>
      <c r="Q830" s="35" t="s">
        <v>154</v>
      </c>
    </row>
    <row r="831" spans="1:17" ht="72" x14ac:dyDescent="0.25">
      <c r="A831" s="21">
        <v>37974</v>
      </c>
      <c r="B831" s="21">
        <v>37974</v>
      </c>
      <c r="C831" s="43">
        <v>2003</v>
      </c>
      <c r="D831" s="24" t="s">
        <v>141</v>
      </c>
      <c r="E831" s="30" t="s">
        <v>142</v>
      </c>
      <c r="F831" s="7" t="s">
        <v>45</v>
      </c>
      <c r="G831" s="44" t="s">
        <v>1259</v>
      </c>
      <c r="H831" s="44" t="s">
        <v>1260</v>
      </c>
      <c r="I831" s="46">
        <v>0</v>
      </c>
      <c r="J831" s="46">
        <v>1</v>
      </c>
      <c r="K831" s="46">
        <v>0</v>
      </c>
      <c r="L831" s="46">
        <v>0</v>
      </c>
      <c r="M831" s="31">
        <v>0</v>
      </c>
      <c r="N831" s="31">
        <v>0</v>
      </c>
      <c r="O831" s="46">
        <v>0</v>
      </c>
      <c r="P831" s="47">
        <v>0</v>
      </c>
      <c r="Q831" s="35" t="s">
        <v>154</v>
      </c>
    </row>
    <row r="832" spans="1:17" ht="72" x14ac:dyDescent="0.25">
      <c r="A832" s="21">
        <v>37882</v>
      </c>
      <c r="B832" s="21">
        <v>37882</v>
      </c>
      <c r="C832" s="43">
        <v>2003</v>
      </c>
      <c r="D832" s="24" t="s">
        <v>141</v>
      </c>
      <c r="E832" s="30" t="s">
        <v>142</v>
      </c>
      <c r="F832" s="7" t="s">
        <v>72</v>
      </c>
      <c r="G832" s="44" t="s">
        <v>110</v>
      </c>
      <c r="H832" s="44" t="s">
        <v>1261</v>
      </c>
      <c r="I832" s="46">
        <v>0</v>
      </c>
      <c r="J832" s="46">
        <v>0</v>
      </c>
      <c r="K832" s="46">
        <v>0</v>
      </c>
      <c r="L832" s="46">
        <v>0</v>
      </c>
      <c r="M832" s="31">
        <v>0</v>
      </c>
      <c r="N832" s="31">
        <v>0</v>
      </c>
      <c r="O832" s="46">
        <v>0</v>
      </c>
      <c r="P832" s="47">
        <v>0</v>
      </c>
      <c r="Q832" s="35" t="s">
        <v>154</v>
      </c>
    </row>
    <row r="833" spans="1:17" ht="36" x14ac:dyDescent="0.25">
      <c r="A833" s="21">
        <v>37905</v>
      </c>
      <c r="B833" s="21">
        <v>37905</v>
      </c>
      <c r="C833" s="43">
        <v>2003</v>
      </c>
      <c r="D833" s="24" t="s">
        <v>141</v>
      </c>
      <c r="E833" s="30" t="s">
        <v>142</v>
      </c>
      <c r="F833" s="7" t="s">
        <v>80</v>
      </c>
      <c r="G833" s="44" t="s">
        <v>110</v>
      </c>
      <c r="H833" s="44" t="s">
        <v>1262</v>
      </c>
      <c r="I833" s="46">
        <v>0</v>
      </c>
      <c r="J833" s="46">
        <v>0</v>
      </c>
      <c r="K833" s="46">
        <v>0</v>
      </c>
      <c r="L833" s="46">
        <v>0</v>
      </c>
      <c r="M833" s="31">
        <v>0</v>
      </c>
      <c r="N833" s="31">
        <v>0</v>
      </c>
      <c r="O833" s="46">
        <v>0</v>
      </c>
      <c r="P833" s="47">
        <v>0</v>
      </c>
      <c r="Q833" s="35" t="s">
        <v>154</v>
      </c>
    </row>
    <row r="834" spans="1:17" ht="36" x14ac:dyDescent="0.25">
      <c r="A834" s="21">
        <v>37986</v>
      </c>
      <c r="B834" s="21">
        <v>37986</v>
      </c>
      <c r="C834" s="43">
        <v>2003</v>
      </c>
      <c r="D834" s="24" t="s">
        <v>141</v>
      </c>
      <c r="E834" s="30" t="s">
        <v>142</v>
      </c>
      <c r="F834" s="7" t="s">
        <v>82</v>
      </c>
      <c r="G834" s="44" t="s">
        <v>110</v>
      </c>
      <c r="H834" s="44" t="s">
        <v>1263</v>
      </c>
      <c r="I834" s="46">
        <v>0</v>
      </c>
      <c r="J834" s="46">
        <v>0</v>
      </c>
      <c r="K834" s="46">
        <v>0</v>
      </c>
      <c r="L834" s="46">
        <v>0</v>
      </c>
      <c r="M834" s="31">
        <v>0</v>
      </c>
      <c r="N834" s="31">
        <v>0</v>
      </c>
      <c r="O834" s="46">
        <v>0</v>
      </c>
      <c r="P834" s="47">
        <v>0</v>
      </c>
      <c r="Q834" s="35" t="s">
        <v>154</v>
      </c>
    </row>
    <row r="835" spans="1:17" ht="60" x14ac:dyDescent="0.25">
      <c r="A835" s="21">
        <v>37714</v>
      </c>
      <c r="B835" s="21">
        <v>37684</v>
      </c>
      <c r="C835" s="43">
        <v>2003</v>
      </c>
      <c r="D835" s="24" t="s">
        <v>130</v>
      </c>
      <c r="E835" s="28" t="s">
        <v>1264</v>
      </c>
      <c r="F835" s="28" t="s">
        <v>157</v>
      </c>
      <c r="G835" s="25" t="s">
        <v>110</v>
      </c>
      <c r="H835" s="25" t="s">
        <v>1265</v>
      </c>
      <c r="I835" s="46">
        <v>0</v>
      </c>
      <c r="J835" s="46">
        <v>5</v>
      </c>
      <c r="K835" s="46">
        <v>0</v>
      </c>
      <c r="L835" s="46">
        <v>0</v>
      </c>
      <c r="M835" s="31">
        <v>0</v>
      </c>
      <c r="N835" s="31">
        <v>0</v>
      </c>
      <c r="O835" s="46">
        <v>0</v>
      </c>
      <c r="P835" s="47">
        <v>0</v>
      </c>
      <c r="Q835" s="35" t="s">
        <v>154</v>
      </c>
    </row>
    <row r="836" spans="1:17" ht="36" x14ac:dyDescent="0.25">
      <c r="A836" s="21">
        <v>37742</v>
      </c>
      <c r="B836" s="21">
        <v>37742</v>
      </c>
      <c r="C836" s="43">
        <v>2003</v>
      </c>
      <c r="D836" s="24" t="s">
        <v>130</v>
      </c>
      <c r="E836" s="30" t="s">
        <v>136</v>
      </c>
      <c r="F836" s="7" t="s">
        <v>60</v>
      </c>
      <c r="G836" s="25" t="s">
        <v>1266</v>
      </c>
      <c r="H836" s="25" t="s">
        <v>1267</v>
      </c>
      <c r="I836" s="46">
        <v>0</v>
      </c>
      <c r="J836" s="46">
        <v>58</v>
      </c>
      <c r="K836" s="46">
        <v>0</v>
      </c>
      <c r="L836" s="46">
        <v>0</v>
      </c>
      <c r="M836" s="31">
        <v>0</v>
      </c>
      <c r="N836" s="31">
        <v>0</v>
      </c>
      <c r="O836" s="46">
        <v>0</v>
      </c>
      <c r="P836" s="47">
        <v>0</v>
      </c>
      <c r="Q836" s="35" t="s">
        <v>154</v>
      </c>
    </row>
    <row r="837" spans="1:17" ht="60" x14ac:dyDescent="0.25">
      <c r="A837" s="21">
        <v>37790</v>
      </c>
      <c r="B837" s="21">
        <v>37790</v>
      </c>
      <c r="C837" s="43">
        <v>2003</v>
      </c>
      <c r="D837" s="24" t="s">
        <v>130</v>
      </c>
      <c r="E837" s="30" t="s">
        <v>136</v>
      </c>
      <c r="F837" s="7" t="s">
        <v>60</v>
      </c>
      <c r="G837" s="25" t="s">
        <v>110</v>
      </c>
      <c r="H837" s="25" t="s">
        <v>1268</v>
      </c>
      <c r="I837" s="46">
        <v>0</v>
      </c>
      <c r="J837" s="46">
        <v>0</v>
      </c>
      <c r="K837" s="46">
        <v>0</v>
      </c>
      <c r="L837" s="46">
        <v>0</v>
      </c>
      <c r="M837" s="31">
        <v>0</v>
      </c>
      <c r="N837" s="31">
        <v>0</v>
      </c>
      <c r="O837" s="46">
        <v>0</v>
      </c>
      <c r="P837" s="47">
        <v>0</v>
      </c>
      <c r="Q837" s="35" t="s">
        <v>154</v>
      </c>
    </row>
    <row r="838" spans="1:17" ht="24" x14ac:dyDescent="0.25">
      <c r="A838" s="21">
        <v>37791</v>
      </c>
      <c r="B838" s="21">
        <v>37791</v>
      </c>
      <c r="C838" s="43">
        <v>2003</v>
      </c>
      <c r="D838" s="24" t="s">
        <v>130</v>
      </c>
      <c r="E838" s="30" t="s">
        <v>136</v>
      </c>
      <c r="F838" s="7" t="s">
        <v>36</v>
      </c>
      <c r="G838" s="25" t="s">
        <v>110</v>
      </c>
      <c r="H838" s="25" t="s">
        <v>1269</v>
      </c>
      <c r="I838" s="46">
        <v>0</v>
      </c>
      <c r="J838" s="46">
        <v>25</v>
      </c>
      <c r="K838" s="46">
        <v>0</v>
      </c>
      <c r="L838" s="46">
        <v>0</v>
      </c>
      <c r="M838" s="31">
        <v>0</v>
      </c>
      <c r="N838" s="31">
        <v>0</v>
      </c>
      <c r="O838" s="46">
        <v>0</v>
      </c>
      <c r="P838" s="47">
        <v>0</v>
      </c>
      <c r="Q838" s="35" t="s">
        <v>154</v>
      </c>
    </row>
    <row r="839" spans="1:17" ht="84" x14ac:dyDescent="0.25">
      <c r="A839" s="21">
        <v>37839</v>
      </c>
      <c r="B839" s="21">
        <v>37839</v>
      </c>
      <c r="C839" s="43">
        <v>2003</v>
      </c>
      <c r="D839" s="24" t="s">
        <v>130</v>
      </c>
      <c r="E839" s="28" t="s">
        <v>1270</v>
      </c>
      <c r="F839" s="28" t="s">
        <v>163</v>
      </c>
      <c r="G839" s="25" t="s">
        <v>110</v>
      </c>
      <c r="H839" s="25" t="s">
        <v>1271</v>
      </c>
      <c r="I839" s="46">
        <v>0</v>
      </c>
      <c r="J839" s="46">
        <v>10000</v>
      </c>
      <c r="K839" s="46">
        <v>0</v>
      </c>
      <c r="L839" s="46">
        <v>0</v>
      </c>
      <c r="M839" s="31">
        <v>0</v>
      </c>
      <c r="N839" s="31">
        <v>0</v>
      </c>
      <c r="O839" s="46">
        <v>0</v>
      </c>
      <c r="P839" s="47">
        <v>370</v>
      </c>
      <c r="Q839" s="35" t="s">
        <v>154</v>
      </c>
    </row>
    <row r="840" spans="1:17" ht="60" x14ac:dyDescent="0.25">
      <c r="A840" s="21">
        <v>37840</v>
      </c>
      <c r="B840" s="21">
        <v>37840</v>
      </c>
      <c r="C840" s="43">
        <v>2003</v>
      </c>
      <c r="D840" s="24" t="s">
        <v>130</v>
      </c>
      <c r="E840" s="28" t="s">
        <v>1264</v>
      </c>
      <c r="F840" s="7" t="s">
        <v>67</v>
      </c>
      <c r="G840" s="25" t="s">
        <v>536</v>
      </c>
      <c r="H840" s="25" t="s">
        <v>1272</v>
      </c>
      <c r="I840" s="46">
        <v>0</v>
      </c>
      <c r="J840" s="46">
        <v>18</v>
      </c>
      <c r="K840" s="46">
        <v>0</v>
      </c>
      <c r="L840" s="46">
        <v>0</v>
      </c>
      <c r="M840" s="31">
        <v>0</v>
      </c>
      <c r="N840" s="31">
        <v>0</v>
      </c>
      <c r="O840" s="46">
        <v>0</v>
      </c>
      <c r="P840" s="47">
        <v>0</v>
      </c>
      <c r="Q840" s="35" t="s">
        <v>154</v>
      </c>
    </row>
    <row r="841" spans="1:17" ht="36" x14ac:dyDescent="0.25">
      <c r="A841" s="21">
        <v>37871</v>
      </c>
      <c r="B841" s="21">
        <v>37871</v>
      </c>
      <c r="C841" s="43">
        <v>2003</v>
      </c>
      <c r="D841" s="24" t="s">
        <v>130</v>
      </c>
      <c r="E841" s="30" t="s">
        <v>136</v>
      </c>
      <c r="F841" s="7" t="s">
        <v>36</v>
      </c>
      <c r="G841" s="25" t="s">
        <v>1273</v>
      </c>
      <c r="H841" s="25" t="s">
        <v>1274</v>
      </c>
      <c r="I841" s="46">
        <v>0</v>
      </c>
      <c r="J841" s="46">
        <v>26</v>
      </c>
      <c r="K841" s="46">
        <v>0</v>
      </c>
      <c r="L841" s="46">
        <v>0</v>
      </c>
      <c r="M841" s="31">
        <v>0</v>
      </c>
      <c r="N841" s="31">
        <v>0</v>
      </c>
      <c r="O841" s="46">
        <v>0</v>
      </c>
      <c r="P841" s="47">
        <v>0</v>
      </c>
      <c r="Q841" s="35" t="s">
        <v>154</v>
      </c>
    </row>
    <row r="842" spans="1:17" ht="96" x14ac:dyDescent="0.25">
      <c r="A842" s="23">
        <v>37996</v>
      </c>
      <c r="B842" s="23">
        <v>37996</v>
      </c>
      <c r="C842" s="24">
        <v>2004</v>
      </c>
      <c r="D842" s="351" t="s">
        <v>23</v>
      </c>
      <c r="E842" s="22" t="s">
        <v>86</v>
      </c>
      <c r="F842" s="7" t="s">
        <v>36</v>
      </c>
      <c r="G842" s="25" t="s">
        <v>310</v>
      </c>
      <c r="H842" s="52" t="s">
        <v>1275</v>
      </c>
      <c r="I842" s="20">
        <v>2</v>
      </c>
      <c r="J842" s="20">
        <v>975</v>
      </c>
      <c r="K842" s="20">
        <v>195</v>
      </c>
      <c r="L842" s="20">
        <v>0</v>
      </c>
      <c r="M842" s="20">
        <v>0</v>
      </c>
      <c r="N842" s="20">
        <v>0</v>
      </c>
      <c r="O842" s="20">
        <v>0</v>
      </c>
      <c r="P842" s="26">
        <v>1.2</v>
      </c>
      <c r="Q842" s="35" t="s">
        <v>154</v>
      </c>
    </row>
    <row r="843" spans="1:17" ht="72" x14ac:dyDescent="0.25">
      <c r="A843" s="23">
        <v>37996</v>
      </c>
      <c r="B843" s="23">
        <v>37996</v>
      </c>
      <c r="C843" s="24">
        <v>2004</v>
      </c>
      <c r="D843" s="351" t="s">
        <v>23</v>
      </c>
      <c r="E843" s="22" t="s">
        <v>86</v>
      </c>
      <c r="F843" s="7" t="s">
        <v>60</v>
      </c>
      <c r="G843" s="25" t="s">
        <v>1276</v>
      </c>
      <c r="H843" s="52" t="s">
        <v>1277</v>
      </c>
      <c r="I843" s="20">
        <v>0</v>
      </c>
      <c r="J843" s="20">
        <v>32</v>
      </c>
      <c r="K843" s="20">
        <v>0</v>
      </c>
      <c r="L843" s="20">
        <v>0</v>
      </c>
      <c r="M843" s="20">
        <v>0</v>
      </c>
      <c r="N843" s="20">
        <v>0</v>
      </c>
      <c r="O843" s="20">
        <v>0</v>
      </c>
      <c r="P843" s="26">
        <v>0</v>
      </c>
      <c r="Q843" s="35" t="s">
        <v>154</v>
      </c>
    </row>
    <row r="844" spans="1:17" ht="72" x14ac:dyDescent="0.25">
      <c r="A844" s="23">
        <v>38016</v>
      </c>
      <c r="B844" s="23">
        <v>38016</v>
      </c>
      <c r="C844" s="24">
        <v>2004</v>
      </c>
      <c r="D844" s="351" t="s">
        <v>23</v>
      </c>
      <c r="E844" s="22" t="s">
        <v>86</v>
      </c>
      <c r="F844" s="28" t="s">
        <v>157</v>
      </c>
      <c r="G844" s="25" t="s">
        <v>158</v>
      </c>
      <c r="H844" s="52" t="s">
        <v>1278</v>
      </c>
      <c r="I844" s="20">
        <v>0</v>
      </c>
      <c r="J844" s="20">
        <v>29</v>
      </c>
      <c r="K844" s="20">
        <v>0</v>
      </c>
      <c r="L844" s="20">
        <v>0</v>
      </c>
      <c r="M844" s="20">
        <v>0</v>
      </c>
      <c r="N844" s="20">
        <v>0</v>
      </c>
      <c r="O844" s="20">
        <v>0</v>
      </c>
      <c r="P844" s="26">
        <v>0</v>
      </c>
      <c r="Q844" s="35" t="s">
        <v>154</v>
      </c>
    </row>
    <row r="845" spans="1:17" ht="72" x14ac:dyDescent="0.25">
      <c r="A845" s="23">
        <v>38038</v>
      </c>
      <c r="B845" s="23">
        <v>38038</v>
      </c>
      <c r="C845" s="24">
        <v>2004</v>
      </c>
      <c r="D845" s="351" t="s">
        <v>23</v>
      </c>
      <c r="E845" s="22" t="s">
        <v>86</v>
      </c>
      <c r="F845" s="7" t="s">
        <v>30</v>
      </c>
      <c r="G845" s="25" t="s">
        <v>1279</v>
      </c>
      <c r="H845" s="52" t="s">
        <v>1280</v>
      </c>
      <c r="I845" s="20">
        <v>1</v>
      </c>
      <c r="J845" s="20">
        <v>301</v>
      </c>
      <c r="K845" s="20">
        <v>0</v>
      </c>
      <c r="L845" s="20">
        <v>0</v>
      </c>
      <c r="M845" s="20">
        <v>0</v>
      </c>
      <c r="N845" s="20">
        <v>0</v>
      </c>
      <c r="O845" s="20">
        <v>0</v>
      </c>
      <c r="P845" s="26">
        <v>0</v>
      </c>
      <c r="Q845" s="35" t="s">
        <v>154</v>
      </c>
    </row>
    <row r="846" spans="1:17" ht="60" x14ac:dyDescent="0.25">
      <c r="A846" s="23">
        <v>38070</v>
      </c>
      <c r="B846" s="23">
        <v>38070</v>
      </c>
      <c r="C846" s="24">
        <v>2004</v>
      </c>
      <c r="D846" s="351" t="s">
        <v>23</v>
      </c>
      <c r="E846" s="22" t="s">
        <v>86</v>
      </c>
      <c r="F846" s="7" t="s">
        <v>82</v>
      </c>
      <c r="G846" s="25" t="s">
        <v>1281</v>
      </c>
      <c r="H846" s="52" t="s">
        <v>1282</v>
      </c>
      <c r="I846" s="20">
        <v>0</v>
      </c>
      <c r="J846" s="20">
        <v>50</v>
      </c>
      <c r="K846" s="20">
        <v>10</v>
      </c>
      <c r="L846" s="20">
        <v>0</v>
      </c>
      <c r="M846" s="20">
        <v>0</v>
      </c>
      <c r="N846" s="20">
        <v>0</v>
      </c>
      <c r="O846" s="20">
        <v>0</v>
      </c>
      <c r="P846" s="26">
        <v>0.04</v>
      </c>
      <c r="Q846" s="35" t="s">
        <v>154</v>
      </c>
    </row>
    <row r="847" spans="1:17" ht="48" x14ac:dyDescent="0.25">
      <c r="A847" s="23">
        <v>38075</v>
      </c>
      <c r="B847" s="23">
        <v>38075</v>
      </c>
      <c r="C847" s="24">
        <v>2004</v>
      </c>
      <c r="D847" s="351" t="s">
        <v>23</v>
      </c>
      <c r="E847" s="22" t="s">
        <v>86</v>
      </c>
      <c r="F847" s="7" t="s">
        <v>72</v>
      </c>
      <c r="G847" s="25" t="s">
        <v>1283</v>
      </c>
      <c r="H847" s="52" t="s">
        <v>1284</v>
      </c>
      <c r="I847" s="20">
        <v>2</v>
      </c>
      <c r="J847" s="20">
        <v>2</v>
      </c>
      <c r="K847" s="20">
        <v>0</v>
      </c>
      <c r="L847" s="20">
        <v>0</v>
      </c>
      <c r="M847" s="20">
        <v>0</v>
      </c>
      <c r="N847" s="20">
        <v>0</v>
      </c>
      <c r="O847" s="20">
        <v>0</v>
      </c>
      <c r="P847" s="26">
        <v>0</v>
      </c>
      <c r="Q847" s="35" t="s">
        <v>154</v>
      </c>
    </row>
    <row r="848" spans="1:17" ht="48" x14ac:dyDescent="0.25">
      <c r="A848" s="23">
        <v>38079</v>
      </c>
      <c r="B848" s="23">
        <v>38079</v>
      </c>
      <c r="C848" s="24">
        <v>2004</v>
      </c>
      <c r="D848" s="351" t="s">
        <v>23</v>
      </c>
      <c r="E848" s="22" t="s">
        <v>86</v>
      </c>
      <c r="F848" s="28" t="s">
        <v>163</v>
      </c>
      <c r="G848" s="25" t="s">
        <v>110</v>
      </c>
      <c r="H848" s="52" t="s">
        <v>1285</v>
      </c>
      <c r="I848" s="20">
        <v>0</v>
      </c>
      <c r="J848" s="20">
        <v>30</v>
      </c>
      <c r="K848" s="20">
        <v>6</v>
      </c>
      <c r="L848" s="20">
        <v>0</v>
      </c>
      <c r="M848" s="20">
        <v>0</v>
      </c>
      <c r="N848" s="20">
        <v>0</v>
      </c>
      <c r="O848" s="20">
        <v>0</v>
      </c>
      <c r="P848" s="26">
        <v>0.06</v>
      </c>
      <c r="Q848" s="35" t="s">
        <v>154</v>
      </c>
    </row>
    <row r="849" spans="1:17" ht="120" x14ac:dyDescent="0.25">
      <c r="A849" s="23">
        <v>38079</v>
      </c>
      <c r="B849" s="23">
        <v>38079</v>
      </c>
      <c r="C849" s="24">
        <v>2004</v>
      </c>
      <c r="D849" s="351" t="s">
        <v>23</v>
      </c>
      <c r="E849" s="22" t="s">
        <v>86</v>
      </c>
      <c r="F849" s="7" t="s">
        <v>91</v>
      </c>
      <c r="G849" s="25" t="s">
        <v>1286</v>
      </c>
      <c r="H849" s="52" t="s">
        <v>1287</v>
      </c>
      <c r="I849" s="20">
        <v>0</v>
      </c>
      <c r="J849" s="20">
        <v>275</v>
      </c>
      <c r="K849" s="20">
        <v>55</v>
      </c>
      <c r="L849" s="20">
        <v>0</v>
      </c>
      <c r="M849" s="20">
        <v>0</v>
      </c>
      <c r="N849" s="20">
        <v>0</v>
      </c>
      <c r="O849" s="20">
        <v>0</v>
      </c>
      <c r="P849" s="26">
        <v>0.22</v>
      </c>
      <c r="Q849" s="35" t="s">
        <v>154</v>
      </c>
    </row>
    <row r="850" spans="1:17" ht="48" x14ac:dyDescent="0.25">
      <c r="A850" s="23">
        <v>38080</v>
      </c>
      <c r="B850" s="23">
        <v>38080</v>
      </c>
      <c r="C850" s="24">
        <v>2004</v>
      </c>
      <c r="D850" s="351" t="s">
        <v>23</v>
      </c>
      <c r="E850" s="22" t="s">
        <v>86</v>
      </c>
      <c r="F850" s="7" t="s">
        <v>72</v>
      </c>
      <c r="G850" s="25" t="s">
        <v>110</v>
      </c>
      <c r="H850" s="52" t="s">
        <v>1288</v>
      </c>
      <c r="I850" s="20">
        <v>0</v>
      </c>
      <c r="J850" s="20">
        <v>485</v>
      </c>
      <c r="K850" s="20">
        <v>97</v>
      </c>
      <c r="L850" s="20">
        <v>0</v>
      </c>
      <c r="M850" s="20">
        <v>0</v>
      </c>
      <c r="N850" s="20">
        <v>0</v>
      </c>
      <c r="O850" s="20">
        <v>0</v>
      </c>
      <c r="P850" s="26">
        <v>0.39</v>
      </c>
      <c r="Q850" s="35" t="s">
        <v>154</v>
      </c>
    </row>
    <row r="851" spans="1:17" ht="108" x14ac:dyDescent="0.25">
      <c r="A851" s="23">
        <v>38081</v>
      </c>
      <c r="B851" s="23">
        <v>38081</v>
      </c>
      <c r="C851" s="24">
        <v>2004</v>
      </c>
      <c r="D851" s="351" t="s">
        <v>23</v>
      </c>
      <c r="E851" s="22" t="s">
        <v>86</v>
      </c>
      <c r="F851" s="7" t="s">
        <v>45</v>
      </c>
      <c r="G851" s="25" t="s">
        <v>1289</v>
      </c>
      <c r="H851" s="52" t="s">
        <v>1290</v>
      </c>
      <c r="I851" s="20">
        <v>38</v>
      </c>
      <c r="J851" s="20">
        <v>6692</v>
      </c>
      <c r="K851" s="20">
        <v>1673</v>
      </c>
      <c r="L851" s="20">
        <v>20</v>
      </c>
      <c r="M851" s="20">
        <v>1</v>
      </c>
      <c r="N851" s="20">
        <v>31</v>
      </c>
      <c r="O851" s="20">
        <v>129</v>
      </c>
      <c r="P851" s="26">
        <v>156.38</v>
      </c>
      <c r="Q851" s="50" t="s">
        <v>22</v>
      </c>
    </row>
    <row r="852" spans="1:17" ht="96" x14ac:dyDescent="0.25">
      <c r="A852" s="23">
        <v>38081</v>
      </c>
      <c r="B852" s="23">
        <v>38081</v>
      </c>
      <c r="C852" s="24">
        <v>2004</v>
      </c>
      <c r="D852" s="351" t="s">
        <v>23</v>
      </c>
      <c r="E852" s="22" t="s">
        <v>86</v>
      </c>
      <c r="F852" s="7" t="s">
        <v>68</v>
      </c>
      <c r="G852" s="25" t="s">
        <v>1291</v>
      </c>
      <c r="H852" s="52" t="s">
        <v>1292</v>
      </c>
      <c r="I852" s="20">
        <v>0</v>
      </c>
      <c r="J852" s="20">
        <v>600</v>
      </c>
      <c r="K852" s="20">
        <v>120</v>
      </c>
      <c r="L852" s="20">
        <v>0</v>
      </c>
      <c r="M852" s="20">
        <v>0</v>
      </c>
      <c r="N852" s="20">
        <v>0</v>
      </c>
      <c r="O852" s="20">
        <v>0</v>
      </c>
      <c r="P852" s="26">
        <v>4.5199999999999996</v>
      </c>
      <c r="Q852" s="35" t="s">
        <v>154</v>
      </c>
    </row>
    <row r="853" spans="1:17" ht="36" x14ac:dyDescent="0.25">
      <c r="A853" s="23">
        <v>38084</v>
      </c>
      <c r="B853" s="23">
        <v>38084</v>
      </c>
      <c r="C853" s="24">
        <v>2004</v>
      </c>
      <c r="D853" s="351" t="s">
        <v>23</v>
      </c>
      <c r="E853" s="22" t="s">
        <v>86</v>
      </c>
      <c r="F853" s="7" t="s">
        <v>91</v>
      </c>
      <c r="G853" s="25" t="s">
        <v>255</v>
      </c>
      <c r="H853" s="52" t="s">
        <v>1293</v>
      </c>
      <c r="I853" s="20">
        <v>2</v>
      </c>
      <c r="J853" s="20">
        <v>2</v>
      </c>
      <c r="K853" s="20">
        <v>0</v>
      </c>
      <c r="L853" s="20">
        <v>0</v>
      </c>
      <c r="M853" s="20">
        <v>0</v>
      </c>
      <c r="N853" s="20">
        <v>0</v>
      </c>
      <c r="O853" s="20">
        <v>0</v>
      </c>
      <c r="P853" s="26">
        <v>0</v>
      </c>
      <c r="Q853" s="35" t="s">
        <v>154</v>
      </c>
    </row>
    <row r="854" spans="1:17" ht="72" x14ac:dyDescent="0.25">
      <c r="A854" s="23">
        <v>38084</v>
      </c>
      <c r="B854" s="23">
        <v>38084</v>
      </c>
      <c r="C854" s="24">
        <v>2004</v>
      </c>
      <c r="D854" s="351" t="s">
        <v>23</v>
      </c>
      <c r="E854" s="22" t="s">
        <v>86</v>
      </c>
      <c r="F854" s="28" t="s">
        <v>210</v>
      </c>
      <c r="G854" s="25" t="s">
        <v>1294</v>
      </c>
      <c r="H854" s="52" t="s">
        <v>1295</v>
      </c>
      <c r="I854" s="20">
        <v>0</v>
      </c>
      <c r="J854" s="20">
        <v>4000</v>
      </c>
      <c r="K854" s="20">
        <v>800</v>
      </c>
      <c r="L854" s="20">
        <v>0</v>
      </c>
      <c r="M854" s="20">
        <v>0</v>
      </c>
      <c r="N854" s="20">
        <v>0</v>
      </c>
      <c r="O854" s="20" t="s">
        <v>787</v>
      </c>
      <c r="P854" s="26">
        <v>8.08</v>
      </c>
      <c r="Q854" s="35" t="s">
        <v>154</v>
      </c>
    </row>
    <row r="855" spans="1:17" ht="36" x14ac:dyDescent="0.25">
      <c r="A855" s="23">
        <v>38085</v>
      </c>
      <c r="B855" s="23">
        <v>38086</v>
      </c>
      <c r="C855" s="24">
        <v>2004</v>
      </c>
      <c r="D855" s="351" t="s">
        <v>23</v>
      </c>
      <c r="E855" s="22" t="s">
        <v>86</v>
      </c>
      <c r="F855" s="28" t="s">
        <v>163</v>
      </c>
      <c r="G855" s="25" t="s">
        <v>1296</v>
      </c>
      <c r="H855" s="52" t="s">
        <v>1297</v>
      </c>
      <c r="I855" s="20">
        <v>0</v>
      </c>
      <c r="J855" s="20">
        <v>350</v>
      </c>
      <c r="K855" s="20">
        <v>70</v>
      </c>
      <c r="L855" s="20">
        <v>0</v>
      </c>
      <c r="M855" s="20">
        <v>0</v>
      </c>
      <c r="N855" s="20">
        <v>0</v>
      </c>
      <c r="O855" s="20">
        <v>0</v>
      </c>
      <c r="P855" s="26">
        <v>0.28000000000000003</v>
      </c>
      <c r="Q855" s="35" t="s">
        <v>154</v>
      </c>
    </row>
    <row r="856" spans="1:17" ht="120" x14ac:dyDescent="0.25">
      <c r="A856" s="23">
        <v>38099</v>
      </c>
      <c r="B856" s="23">
        <v>38100</v>
      </c>
      <c r="C856" s="24">
        <v>2004</v>
      </c>
      <c r="D856" s="351" t="s">
        <v>23</v>
      </c>
      <c r="E856" s="22" t="s">
        <v>86</v>
      </c>
      <c r="F856" s="28" t="s">
        <v>210</v>
      </c>
      <c r="G856" s="25" t="s">
        <v>1298</v>
      </c>
      <c r="H856" s="52" t="s">
        <v>1299</v>
      </c>
      <c r="I856" s="20">
        <v>0</v>
      </c>
      <c r="J856" s="20">
        <v>15530</v>
      </c>
      <c r="K856" s="20">
        <v>3106</v>
      </c>
      <c r="L856" s="20">
        <v>0</v>
      </c>
      <c r="M856" s="20">
        <v>0</v>
      </c>
      <c r="N856" s="20">
        <v>0</v>
      </c>
      <c r="O856" s="20">
        <v>0</v>
      </c>
      <c r="P856" s="26">
        <v>12.62</v>
      </c>
      <c r="Q856" s="35" t="s">
        <v>154</v>
      </c>
    </row>
    <row r="857" spans="1:17" ht="60" x14ac:dyDescent="0.25">
      <c r="A857" s="23">
        <v>38101</v>
      </c>
      <c r="B857" s="23">
        <v>38102</v>
      </c>
      <c r="C857" s="24">
        <v>2004</v>
      </c>
      <c r="D857" s="351" t="s">
        <v>23</v>
      </c>
      <c r="E857" s="22" t="s">
        <v>86</v>
      </c>
      <c r="F857" s="7" t="s">
        <v>91</v>
      </c>
      <c r="G857" s="25" t="s">
        <v>1300</v>
      </c>
      <c r="H857" s="52" t="s">
        <v>1301</v>
      </c>
      <c r="I857" s="20">
        <v>0</v>
      </c>
      <c r="J857" s="20">
        <v>1587</v>
      </c>
      <c r="K857" s="20">
        <v>0</v>
      </c>
      <c r="L857" s="20">
        <v>0</v>
      </c>
      <c r="M857" s="20">
        <v>0</v>
      </c>
      <c r="N857" s="20">
        <v>0</v>
      </c>
      <c r="O857" s="20">
        <v>0</v>
      </c>
      <c r="P857" s="26">
        <v>0</v>
      </c>
      <c r="Q857" s="35" t="s">
        <v>154</v>
      </c>
    </row>
    <row r="858" spans="1:17" ht="36" x14ac:dyDescent="0.25">
      <c r="A858" s="23">
        <v>38103</v>
      </c>
      <c r="B858" s="23">
        <v>38103</v>
      </c>
      <c r="C858" s="24">
        <v>2004</v>
      </c>
      <c r="D858" s="351" t="s">
        <v>23</v>
      </c>
      <c r="E858" s="22" t="s">
        <v>86</v>
      </c>
      <c r="F858" s="7" t="s">
        <v>36</v>
      </c>
      <c r="G858" s="25" t="s">
        <v>1302</v>
      </c>
      <c r="H858" s="52" t="s">
        <v>1303</v>
      </c>
      <c r="I858" s="20">
        <v>0</v>
      </c>
      <c r="J858" s="20">
        <v>245</v>
      </c>
      <c r="K858" s="20">
        <v>49</v>
      </c>
      <c r="L858" s="20">
        <v>0</v>
      </c>
      <c r="M858" s="20">
        <v>0</v>
      </c>
      <c r="N858" s="20">
        <v>0</v>
      </c>
      <c r="O858" s="20">
        <v>0</v>
      </c>
      <c r="P858" s="26">
        <v>0.19</v>
      </c>
      <c r="Q858" s="35" t="s">
        <v>154</v>
      </c>
    </row>
    <row r="859" spans="1:17" ht="60" x14ac:dyDescent="0.25">
      <c r="A859" s="23">
        <v>38103</v>
      </c>
      <c r="B859" s="23">
        <v>38103</v>
      </c>
      <c r="C859" s="24">
        <v>2004</v>
      </c>
      <c r="D859" s="351" t="s">
        <v>23</v>
      </c>
      <c r="E859" s="22" t="s">
        <v>86</v>
      </c>
      <c r="F859" s="7" t="s">
        <v>53</v>
      </c>
      <c r="G859" s="25" t="s">
        <v>1304</v>
      </c>
      <c r="H859" s="52" t="s">
        <v>1305</v>
      </c>
      <c r="I859" s="20">
        <v>0</v>
      </c>
      <c r="J859" s="20">
        <v>250</v>
      </c>
      <c r="K859" s="20">
        <v>50</v>
      </c>
      <c r="L859" s="20">
        <v>0</v>
      </c>
      <c r="M859" s="20">
        <v>0</v>
      </c>
      <c r="N859" s="20">
        <v>0</v>
      </c>
      <c r="O859" s="20">
        <v>0</v>
      </c>
      <c r="P859" s="26">
        <v>0.2</v>
      </c>
      <c r="Q859" s="35" t="s">
        <v>154</v>
      </c>
    </row>
    <row r="860" spans="1:17" ht="60" x14ac:dyDescent="0.25">
      <c r="A860" s="23">
        <v>38103</v>
      </c>
      <c r="B860" s="23">
        <v>38103</v>
      </c>
      <c r="C860" s="24">
        <v>2004</v>
      </c>
      <c r="D860" s="351" t="s">
        <v>23</v>
      </c>
      <c r="E860" s="22" t="s">
        <v>86</v>
      </c>
      <c r="F860" s="28" t="s">
        <v>160</v>
      </c>
      <c r="G860" s="25" t="s">
        <v>1306</v>
      </c>
      <c r="H860" s="52" t="s">
        <v>1307</v>
      </c>
      <c r="I860" s="20">
        <v>0</v>
      </c>
      <c r="J860" s="20">
        <v>110</v>
      </c>
      <c r="K860" s="20">
        <v>4</v>
      </c>
      <c r="L860" s="20">
        <v>0</v>
      </c>
      <c r="M860" s="20">
        <v>0</v>
      </c>
      <c r="N860" s="20">
        <v>0</v>
      </c>
      <c r="O860" s="20">
        <v>0</v>
      </c>
      <c r="P860" s="26">
        <v>0.46</v>
      </c>
      <c r="Q860" s="35" t="s">
        <v>154</v>
      </c>
    </row>
    <row r="861" spans="1:17" ht="60" x14ac:dyDescent="0.25">
      <c r="A861" s="23">
        <v>38104</v>
      </c>
      <c r="B861" s="23">
        <v>38104</v>
      </c>
      <c r="C861" s="24">
        <v>2004</v>
      </c>
      <c r="D861" s="351" t="s">
        <v>23</v>
      </c>
      <c r="E861" s="22" t="s">
        <v>86</v>
      </c>
      <c r="F861" s="7" t="s">
        <v>82</v>
      </c>
      <c r="G861" s="25" t="s">
        <v>1308</v>
      </c>
      <c r="H861" s="52" t="s">
        <v>1309</v>
      </c>
      <c r="I861" s="20">
        <v>0</v>
      </c>
      <c r="J861" s="20">
        <v>0</v>
      </c>
      <c r="K861" s="20">
        <v>0</v>
      </c>
      <c r="L861" s="20">
        <v>0</v>
      </c>
      <c r="M861" s="20">
        <v>0</v>
      </c>
      <c r="N861" s="20">
        <v>0</v>
      </c>
      <c r="O861" s="20">
        <v>0</v>
      </c>
      <c r="P861" s="26">
        <v>0.7</v>
      </c>
      <c r="Q861" s="35" t="s">
        <v>154</v>
      </c>
    </row>
    <row r="862" spans="1:17" ht="96" x14ac:dyDescent="0.25">
      <c r="A862" s="23">
        <v>38104</v>
      </c>
      <c r="B862" s="23">
        <v>38104</v>
      </c>
      <c r="C862" s="24">
        <v>2004</v>
      </c>
      <c r="D862" s="351" t="s">
        <v>23</v>
      </c>
      <c r="E862" s="22" t="s">
        <v>86</v>
      </c>
      <c r="F862" s="28" t="s">
        <v>210</v>
      </c>
      <c r="G862" s="25" t="s">
        <v>1310</v>
      </c>
      <c r="H862" s="57" t="s">
        <v>1311</v>
      </c>
      <c r="I862" s="20">
        <v>0</v>
      </c>
      <c r="J862" s="20">
        <v>515</v>
      </c>
      <c r="K862" s="20">
        <v>0</v>
      </c>
      <c r="L862" s="20">
        <v>0</v>
      </c>
      <c r="M862" s="20">
        <v>0</v>
      </c>
      <c r="N862" s="20">
        <v>0</v>
      </c>
      <c r="O862" s="20">
        <v>0</v>
      </c>
      <c r="P862" s="26">
        <v>0.05</v>
      </c>
      <c r="Q862" s="35" t="s">
        <v>154</v>
      </c>
    </row>
    <row r="863" spans="1:17" ht="84" x14ac:dyDescent="0.25">
      <c r="A863" s="23">
        <v>38106</v>
      </c>
      <c r="B863" s="23">
        <v>38108</v>
      </c>
      <c r="C863" s="24">
        <v>2004</v>
      </c>
      <c r="D863" s="351" t="s">
        <v>23</v>
      </c>
      <c r="E863" s="22" t="s">
        <v>86</v>
      </c>
      <c r="F863" s="28" t="s">
        <v>210</v>
      </c>
      <c r="G863" s="25" t="s">
        <v>1312</v>
      </c>
      <c r="H863" s="57" t="s">
        <v>1313</v>
      </c>
      <c r="I863" s="20">
        <v>0</v>
      </c>
      <c r="J863" s="20">
        <v>6250</v>
      </c>
      <c r="K863" s="20">
        <v>1250</v>
      </c>
      <c r="L863" s="20">
        <v>0</v>
      </c>
      <c r="M863" s="20">
        <v>0</v>
      </c>
      <c r="N863" s="20">
        <v>0</v>
      </c>
      <c r="O863" s="20">
        <v>165</v>
      </c>
      <c r="P863" s="26">
        <v>5.26</v>
      </c>
      <c r="Q863" s="35" t="s">
        <v>154</v>
      </c>
    </row>
    <row r="864" spans="1:17" ht="96" x14ac:dyDescent="0.25">
      <c r="A864" s="23">
        <v>38108</v>
      </c>
      <c r="B864" s="23">
        <v>38115</v>
      </c>
      <c r="C864" s="24">
        <v>2004</v>
      </c>
      <c r="D864" s="351" t="s">
        <v>23</v>
      </c>
      <c r="E864" s="22" t="s">
        <v>86</v>
      </c>
      <c r="F864" s="28" t="s">
        <v>210</v>
      </c>
      <c r="G864" s="25" t="s">
        <v>1314</v>
      </c>
      <c r="H864" s="57" t="s">
        <v>1315</v>
      </c>
      <c r="I864" s="20">
        <v>0</v>
      </c>
      <c r="J864" s="20">
        <v>2200</v>
      </c>
      <c r="K864" s="20">
        <v>440</v>
      </c>
      <c r="L864" s="20">
        <v>1</v>
      </c>
      <c r="M864" s="20">
        <v>0</v>
      </c>
      <c r="N864" s="20">
        <v>0</v>
      </c>
      <c r="O864" s="20">
        <v>80</v>
      </c>
      <c r="P864" s="26">
        <v>4.9800000000000004</v>
      </c>
      <c r="Q864" s="35" t="s">
        <v>154</v>
      </c>
    </row>
    <row r="865" spans="1:17" ht="120" x14ac:dyDescent="0.25">
      <c r="A865" s="23">
        <v>38109</v>
      </c>
      <c r="B865" s="23">
        <v>38109</v>
      </c>
      <c r="C865" s="24">
        <v>2004</v>
      </c>
      <c r="D865" s="351" t="s">
        <v>23</v>
      </c>
      <c r="E865" s="22" t="s">
        <v>86</v>
      </c>
      <c r="F865" s="7" t="s">
        <v>53</v>
      </c>
      <c r="G865" s="25" t="s">
        <v>1316</v>
      </c>
      <c r="H865" s="57" t="s">
        <v>1317</v>
      </c>
      <c r="I865" s="20">
        <v>1</v>
      </c>
      <c r="J865" s="20">
        <v>1209</v>
      </c>
      <c r="K865" s="20">
        <v>203</v>
      </c>
      <c r="L865" s="20">
        <v>2</v>
      </c>
      <c r="M865" s="20">
        <v>0</v>
      </c>
      <c r="N865" s="20">
        <v>10</v>
      </c>
      <c r="O865" s="20">
        <v>300</v>
      </c>
      <c r="P865" s="26">
        <v>3.32</v>
      </c>
      <c r="Q865" s="35" t="s">
        <v>154</v>
      </c>
    </row>
    <row r="866" spans="1:17" ht="48" x14ac:dyDescent="0.25">
      <c r="A866" s="23">
        <v>38110</v>
      </c>
      <c r="B866" s="23">
        <v>38110</v>
      </c>
      <c r="C866" s="24">
        <v>2004</v>
      </c>
      <c r="D866" s="351" t="s">
        <v>23</v>
      </c>
      <c r="E866" s="22" t="s">
        <v>86</v>
      </c>
      <c r="F866" s="7" t="s">
        <v>36</v>
      </c>
      <c r="G866" s="25" t="s">
        <v>1318</v>
      </c>
      <c r="H866" s="57" t="s">
        <v>1319</v>
      </c>
      <c r="I866" s="20">
        <v>0</v>
      </c>
      <c r="J866" s="20">
        <v>335</v>
      </c>
      <c r="K866" s="20">
        <v>67</v>
      </c>
      <c r="L866" s="20">
        <v>0</v>
      </c>
      <c r="M866" s="20">
        <v>0</v>
      </c>
      <c r="N866" s="20">
        <v>0</v>
      </c>
      <c r="O866" s="20">
        <v>0</v>
      </c>
      <c r="P866" s="26">
        <v>0.4</v>
      </c>
      <c r="Q866" s="35" t="s">
        <v>154</v>
      </c>
    </row>
    <row r="867" spans="1:17" ht="48" x14ac:dyDescent="0.25">
      <c r="A867" s="23">
        <v>38112</v>
      </c>
      <c r="B867" s="23">
        <v>38112</v>
      </c>
      <c r="C867" s="24">
        <v>2004</v>
      </c>
      <c r="D867" s="351" t="s">
        <v>23</v>
      </c>
      <c r="E867" s="22" t="s">
        <v>86</v>
      </c>
      <c r="F867" s="7" t="s">
        <v>62</v>
      </c>
      <c r="G867" s="25" t="s">
        <v>1320</v>
      </c>
      <c r="H867" s="57" t="s">
        <v>1321</v>
      </c>
      <c r="I867" s="20">
        <v>0</v>
      </c>
      <c r="J867" s="20">
        <v>140</v>
      </c>
      <c r="K867" s="20">
        <v>28</v>
      </c>
      <c r="L867" s="20">
        <v>0</v>
      </c>
      <c r="M867" s="20">
        <v>0</v>
      </c>
      <c r="N867" s="20">
        <v>0</v>
      </c>
      <c r="O867" s="20">
        <v>0</v>
      </c>
      <c r="P867" s="26">
        <v>0.11</v>
      </c>
      <c r="Q867" s="35" t="s">
        <v>154</v>
      </c>
    </row>
    <row r="868" spans="1:17" ht="48" x14ac:dyDescent="0.25">
      <c r="A868" s="23">
        <v>38113</v>
      </c>
      <c r="B868" s="23">
        <v>38113</v>
      </c>
      <c r="C868" s="24">
        <v>2004</v>
      </c>
      <c r="D868" s="351" t="s">
        <v>23</v>
      </c>
      <c r="E868" s="22" t="s">
        <v>86</v>
      </c>
      <c r="F868" s="7" t="s">
        <v>75</v>
      </c>
      <c r="G868" s="25" t="s">
        <v>1322</v>
      </c>
      <c r="H868" s="57" t="s">
        <v>1323</v>
      </c>
      <c r="I868" s="20">
        <v>0</v>
      </c>
      <c r="J868" s="20">
        <v>14</v>
      </c>
      <c r="K868" s="20">
        <v>0</v>
      </c>
      <c r="L868" s="20">
        <v>0</v>
      </c>
      <c r="M868" s="20">
        <v>0</v>
      </c>
      <c r="N868" s="20">
        <v>0</v>
      </c>
      <c r="O868" s="20">
        <v>0</v>
      </c>
      <c r="P868" s="26">
        <v>0</v>
      </c>
      <c r="Q868" s="35" t="s">
        <v>154</v>
      </c>
    </row>
    <row r="869" spans="1:17" ht="48" x14ac:dyDescent="0.25">
      <c r="A869" s="23">
        <v>38114</v>
      </c>
      <c r="B869" s="23">
        <v>38114</v>
      </c>
      <c r="C869" s="24">
        <v>2004</v>
      </c>
      <c r="D869" s="351" t="s">
        <v>23</v>
      </c>
      <c r="E869" s="22" t="s">
        <v>86</v>
      </c>
      <c r="F869" s="7" t="s">
        <v>77</v>
      </c>
      <c r="G869" s="25" t="s">
        <v>1324</v>
      </c>
      <c r="H869" s="57" t="s">
        <v>1325</v>
      </c>
      <c r="I869" s="20">
        <v>0</v>
      </c>
      <c r="J869" s="20">
        <v>405</v>
      </c>
      <c r="K869" s="20">
        <v>81</v>
      </c>
      <c r="L869" s="20">
        <v>0</v>
      </c>
      <c r="M869" s="20">
        <v>0</v>
      </c>
      <c r="N869" s="20">
        <v>0</v>
      </c>
      <c r="O869" s="20">
        <v>0</v>
      </c>
      <c r="P869" s="26">
        <v>0.81</v>
      </c>
      <c r="Q869" s="35" t="s">
        <v>154</v>
      </c>
    </row>
    <row r="870" spans="1:17" ht="72" x14ac:dyDescent="0.25">
      <c r="A870" s="23">
        <v>38114</v>
      </c>
      <c r="B870" s="23">
        <v>38114</v>
      </c>
      <c r="C870" s="24">
        <v>2004</v>
      </c>
      <c r="D870" s="351" t="s">
        <v>23</v>
      </c>
      <c r="E870" s="22" t="s">
        <v>86</v>
      </c>
      <c r="F870" s="28" t="s">
        <v>160</v>
      </c>
      <c r="G870" s="25" t="s">
        <v>1326</v>
      </c>
      <c r="H870" s="57" t="s">
        <v>1327</v>
      </c>
      <c r="I870" s="20">
        <v>0</v>
      </c>
      <c r="J870" s="20">
        <v>645</v>
      </c>
      <c r="K870" s="20">
        <v>129</v>
      </c>
      <c r="L870" s="20">
        <v>0</v>
      </c>
      <c r="M870" s="20">
        <v>0</v>
      </c>
      <c r="N870" s="20">
        <v>0</v>
      </c>
      <c r="O870" s="20">
        <v>0</v>
      </c>
      <c r="P870" s="26">
        <v>1.29</v>
      </c>
      <c r="Q870" s="35" t="s">
        <v>154</v>
      </c>
    </row>
    <row r="871" spans="1:17" ht="48" x14ac:dyDescent="0.25">
      <c r="A871" s="23">
        <v>38114</v>
      </c>
      <c r="B871" s="23">
        <v>38114</v>
      </c>
      <c r="C871" s="24">
        <v>2004</v>
      </c>
      <c r="D871" s="351" t="s">
        <v>23</v>
      </c>
      <c r="E871" s="22" t="s">
        <v>86</v>
      </c>
      <c r="F871" s="7" t="s">
        <v>62</v>
      </c>
      <c r="G871" s="25" t="s">
        <v>1328</v>
      </c>
      <c r="H871" s="57" t="s">
        <v>1329</v>
      </c>
      <c r="I871" s="20">
        <v>0</v>
      </c>
      <c r="J871" s="20">
        <v>180</v>
      </c>
      <c r="K871" s="20">
        <v>36</v>
      </c>
      <c r="L871" s="20">
        <v>0</v>
      </c>
      <c r="M871" s="20">
        <v>0</v>
      </c>
      <c r="N871" s="20">
        <v>0</v>
      </c>
      <c r="O871" s="20">
        <v>0</v>
      </c>
      <c r="P871" s="26">
        <v>0.36</v>
      </c>
      <c r="Q871" s="35" t="s">
        <v>154</v>
      </c>
    </row>
    <row r="872" spans="1:17" ht="60" x14ac:dyDescent="0.25">
      <c r="A872" s="23">
        <v>38114</v>
      </c>
      <c r="B872" s="23">
        <v>38116</v>
      </c>
      <c r="C872" s="24">
        <v>2004</v>
      </c>
      <c r="D872" s="351" t="s">
        <v>23</v>
      </c>
      <c r="E872" s="22" t="s">
        <v>86</v>
      </c>
      <c r="F872" s="7" t="s">
        <v>56</v>
      </c>
      <c r="G872" s="25" t="s">
        <v>218</v>
      </c>
      <c r="H872" s="57" t="s">
        <v>1330</v>
      </c>
      <c r="I872" s="20">
        <v>0</v>
      </c>
      <c r="J872" s="20">
        <v>51</v>
      </c>
      <c r="K872" s="20">
        <v>12</v>
      </c>
      <c r="L872" s="20">
        <v>0</v>
      </c>
      <c r="M872" s="20">
        <v>0</v>
      </c>
      <c r="N872" s="20">
        <v>0</v>
      </c>
      <c r="O872" s="20">
        <v>0</v>
      </c>
      <c r="P872" s="26">
        <v>0.12</v>
      </c>
      <c r="Q872" s="35" t="s">
        <v>154</v>
      </c>
    </row>
    <row r="873" spans="1:17" ht="36" x14ac:dyDescent="0.25">
      <c r="A873" s="23">
        <v>38118</v>
      </c>
      <c r="B873" s="23">
        <v>38118</v>
      </c>
      <c r="C873" s="24">
        <v>2004</v>
      </c>
      <c r="D873" s="351" t="s">
        <v>23</v>
      </c>
      <c r="E873" s="22" t="s">
        <v>86</v>
      </c>
      <c r="F873" s="28" t="s">
        <v>160</v>
      </c>
      <c r="G873" s="25" t="s">
        <v>1331</v>
      </c>
      <c r="H873" s="57" t="s">
        <v>1332</v>
      </c>
      <c r="I873" s="20">
        <v>0</v>
      </c>
      <c r="J873" s="20">
        <v>30</v>
      </c>
      <c r="K873" s="20">
        <v>6</v>
      </c>
      <c r="L873" s="20">
        <v>0</v>
      </c>
      <c r="M873" s="20">
        <v>0</v>
      </c>
      <c r="N873" s="20">
        <v>0</v>
      </c>
      <c r="O873" s="20">
        <v>0</v>
      </c>
      <c r="P873" s="26">
        <v>0.06</v>
      </c>
      <c r="Q873" s="35" t="s">
        <v>154</v>
      </c>
    </row>
    <row r="874" spans="1:17" ht="48" x14ac:dyDescent="0.25">
      <c r="A874" s="23">
        <v>38120</v>
      </c>
      <c r="B874" s="23">
        <v>38120</v>
      </c>
      <c r="C874" s="24">
        <v>2004</v>
      </c>
      <c r="D874" s="351" t="s">
        <v>23</v>
      </c>
      <c r="E874" s="22" t="s">
        <v>86</v>
      </c>
      <c r="F874" s="28" t="s">
        <v>160</v>
      </c>
      <c r="G874" s="25" t="s">
        <v>1333</v>
      </c>
      <c r="H874" s="57" t="s">
        <v>1334</v>
      </c>
      <c r="I874" s="20">
        <v>0</v>
      </c>
      <c r="J874" s="20">
        <v>500</v>
      </c>
      <c r="K874" s="20">
        <v>100</v>
      </c>
      <c r="L874" s="20">
        <v>0</v>
      </c>
      <c r="M874" s="20">
        <v>0</v>
      </c>
      <c r="N874" s="20">
        <v>0</v>
      </c>
      <c r="O874" s="20">
        <v>0</v>
      </c>
      <c r="P874" s="26">
        <v>1</v>
      </c>
      <c r="Q874" s="35" t="s">
        <v>154</v>
      </c>
    </row>
    <row r="875" spans="1:17" ht="48" x14ac:dyDescent="0.25">
      <c r="A875" s="23">
        <v>38122</v>
      </c>
      <c r="B875" s="23">
        <v>38122</v>
      </c>
      <c r="C875" s="24">
        <v>2004</v>
      </c>
      <c r="D875" s="351" t="s">
        <v>23</v>
      </c>
      <c r="E875" s="22" t="s">
        <v>86</v>
      </c>
      <c r="F875" s="7" t="s">
        <v>82</v>
      </c>
      <c r="G875" s="25" t="s">
        <v>1335</v>
      </c>
      <c r="H875" s="57" t="s">
        <v>1336</v>
      </c>
      <c r="I875" s="20">
        <v>0</v>
      </c>
      <c r="J875" s="20">
        <v>425</v>
      </c>
      <c r="K875" s="20">
        <v>85</v>
      </c>
      <c r="L875" s="20">
        <v>0</v>
      </c>
      <c r="M875" s="20">
        <v>0</v>
      </c>
      <c r="N875" s="20">
        <v>0</v>
      </c>
      <c r="O875" s="20">
        <v>0</v>
      </c>
      <c r="P875" s="26">
        <v>0.85</v>
      </c>
      <c r="Q875" s="35" t="s">
        <v>154</v>
      </c>
    </row>
    <row r="876" spans="1:17" ht="72" x14ac:dyDescent="0.25">
      <c r="A876" s="23">
        <v>38123</v>
      </c>
      <c r="B876" s="23">
        <v>38123</v>
      </c>
      <c r="C876" s="24">
        <v>2004</v>
      </c>
      <c r="D876" s="351" t="s">
        <v>23</v>
      </c>
      <c r="E876" s="22" t="s">
        <v>86</v>
      </c>
      <c r="F876" s="7" t="s">
        <v>36</v>
      </c>
      <c r="G876" s="25" t="s">
        <v>1337</v>
      </c>
      <c r="H876" s="57" t="s">
        <v>1338</v>
      </c>
      <c r="I876" s="20">
        <v>0</v>
      </c>
      <c r="J876" s="20">
        <v>5</v>
      </c>
      <c r="K876" s="20">
        <v>1</v>
      </c>
      <c r="L876" s="20">
        <v>0</v>
      </c>
      <c r="M876" s="20">
        <v>0</v>
      </c>
      <c r="N876" s="20">
        <v>0</v>
      </c>
      <c r="O876" s="20">
        <v>0</v>
      </c>
      <c r="P876" s="26">
        <v>0.04</v>
      </c>
      <c r="Q876" s="35" t="s">
        <v>154</v>
      </c>
    </row>
    <row r="877" spans="1:17" ht="60" x14ac:dyDescent="0.25">
      <c r="A877" s="23">
        <v>38124</v>
      </c>
      <c r="B877" s="23">
        <v>38124</v>
      </c>
      <c r="C877" s="24">
        <v>2004</v>
      </c>
      <c r="D877" s="351" t="s">
        <v>23</v>
      </c>
      <c r="E877" s="22" t="s">
        <v>86</v>
      </c>
      <c r="F877" s="7" t="s">
        <v>56</v>
      </c>
      <c r="G877" s="25" t="s">
        <v>1339</v>
      </c>
      <c r="H877" s="57" t="s">
        <v>1340</v>
      </c>
      <c r="I877" s="20">
        <v>0</v>
      </c>
      <c r="J877" s="20">
        <v>40</v>
      </c>
      <c r="K877" s="20">
        <v>8</v>
      </c>
      <c r="L877" s="20">
        <v>0</v>
      </c>
      <c r="M877" s="20">
        <v>0</v>
      </c>
      <c r="N877" s="20">
        <v>0</v>
      </c>
      <c r="O877" s="20">
        <v>0</v>
      </c>
      <c r="P877" s="26">
        <v>0.04</v>
      </c>
      <c r="Q877" s="35" t="s">
        <v>154</v>
      </c>
    </row>
    <row r="878" spans="1:17" ht="48" x14ac:dyDescent="0.25">
      <c r="A878" s="23">
        <v>38125</v>
      </c>
      <c r="B878" s="23">
        <v>38125</v>
      </c>
      <c r="C878" s="24">
        <v>2004</v>
      </c>
      <c r="D878" s="351" t="s">
        <v>23</v>
      </c>
      <c r="E878" s="22" t="s">
        <v>86</v>
      </c>
      <c r="F878" s="7" t="s">
        <v>82</v>
      </c>
      <c r="G878" s="25" t="s">
        <v>1341</v>
      </c>
      <c r="H878" s="57" t="s">
        <v>1342</v>
      </c>
      <c r="I878" s="20">
        <v>0</v>
      </c>
      <c r="J878" s="20">
        <v>15</v>
      </c>
      <c r="K878" s="20">
        <v>3</v>
      </c>
      <c r="L878" s="20">
        <v>0</v>
      </c>
      <c r="M878" s="20">
        <v>0</v>
      </c>
      <c r="N878" s="20">
        <v>0</v>
      </c>
      <c r="O878" s="20">
        <v>400</v>
      </c>
      <c r="P878" s="26">
        <v>0.03</v>
      </c>
      <c r="Q878" s="35" t="s">
        <v>154</v>
      </c>
    </row>
    <row r="879" spans="1:17" ht="48" x14ac:dyDescent="0.25">
      <c r="A879" s="23">
        <v>38127</v>
      </c>
      <c r="B879" s="23">
        <v>38127</v>
      </c>
      <c r="C879" s="24">
        <v>2004</v>
      </c>
      <c r="D879" s="351" t="s">
        <v>23</v>
      </c>
      <c r="E879" s="22" t="s">
        <v>86</v>
      </c>
      <c r="F879" s="7" t="s">
        <v>53</v>
      </c>
      <c r="G879" s="25" t="s">
        <v>1343</v>
      </c>
      <c r="H879" s="57" t="s">
        <v>1344</v>
      </c>
      <c r="I879" s="20">
        <v>0</v>
      </c>
      <c r="J879" s="20">
        <v>300</v>
      </c>
      <c r="K879" s="20">
        <v>60</v>
      </c>
      <c r="L879" s="20">
        <v>0</v>
      </c>
      <c r="M879" s="20">
        <v>0</v>
      </c>
      <c r="N879" s="20">
        <v>0</v>
      </c>
      <c r="O879" s="20">
        <v>0</v>
      </c>
      <c r="P879" s="26">
        <v>0.6</v>
      </c>
      <c r="Q879" s="35" t="s">
        <v>154</v>
      </c>
    </row>
    <row r="880" spans="1:17" ht="48" x14ac:dyDescent="0.25">
      <c r="A880" s="23">
        <v>38131</v>
      </c>
      <c r="B880" s="23">
        <v>38131</v>
      </c>
      <c r="C880" s="24">
        <v>2004</v>
      </c>
      <c r="D880" s="351" t="s">
        <v>23</v>
      </c>
      <c r="E880" s="22" t="s">
        <v>86</v>
      </c>
      <c r="F880" s="7" t="s">
        <v>53</v>
      </c>
      <c r="G880" s="25" t="s">
        <v>1119</v>
      </c>
      <c r="H880" s="57" t="s">
        <v>1345</v>
      </c>
      <c r="I880" s="20">
        <v>0</v>
      </c>
      <c r="J880" s="20">
        <v>125</v>
      </c>
      <c r="K880" s="20">
        <v>25</v>
      </c>
      <c r="L880" s="20">
        <v>0</v>
      </c>
      <c r="M880" s="20">
        <v>0</v>
      </c>
      <c r="N880" s="20">
        <v>0</v>
      </c>
      <c r="O880" s="20">
        <v>0</v>
      </c>
      <c r="P880" s="26">
        <v>0.1</v>
      </c>
      <c r="Q880" s="35" t="s">
        <v>154</v>
      </c>
    </row>
    <row r="881" spans="1:17" ht="36" x14ac:dyDescent="0.25">
      <c r="A881" s="23">
        <v>38134</v>
      </c>
      <c r="B881" s="23">
        <v>38134</v>
      </c>
      <c r="C881" s="24">
        <v>2004</v>
      </c>
      <c r="D881" s="351" t="s">
        <v>23</v>
      </c>
      <c r="E881" s="22" t="s">
        <v>86</v>
      </c>
      <c r="F881" s="7" t="s">
        <v>65</v>
      </c>
      <c r="G881" s="25" t="s">
        <v>1346</v>
      </c>
      <c r="H881" s="57" t="s">
        <v>1347</v>
      </c>
      <c r="I881" s="20">
        <v>0</v>
      </c>
      <c r="J881" s="20">
        <v>60</v>
      </c>
      <c r="K881" s="20">
        <v>12</v>
      </c>
      <c r="L881" s="20">
        <v>0</v>
      </c>
      <c r="M881" s="20">
        <v>0</v>
      </c>
      <c r="N881" s="20">
        <v>0</v>
      </c>
      <c r="O881" s="20">
        <v>0</v>
      </c>
      <c r="P881" s="26">
        <v>0.04</v>
      </c>
      <c r="Q881" s="35" t="s">
        <v>154</v>
      </c>
    </row>
    <row r="882" spans="1:17" ht="48" x14ac:dyDescent="0.25">
      <c r="A882" s="23">
        <v>38135</v>
      </c>
      <c r="B882" s="23">
        <v>38135</v>
      </c>
      <c r="C882" s="24">
        <v>2004</v>
      </c>
      <c r="D882" s="351" t="s">
        <v>23</v>
      </c>
      <c r="E882" s="22" t="s">
        <v>86</v>
      </c>
      <c r="F882" s="7" t="s">
        <v>56</v>
      </c>
      <c r="G882" s="25" t="s">
        <v>1348</v>
      </c>
      <c r="H882" s="57" t="s">
        <v>1349</v>
      </c>
      <c r="I882" s="20">
        <v>0</v>
      </c>
      <c r="J882" s="20">
        <v>35</v>
      </c>
      <c r="K882" s="20">
        <v>7</v>
      </c>
      <c r="L882" s="20">
        <v>0</v>
      </c>
      <c r="M882" s="20">
        <v>0</v>
      </c>
      <c r="N882" s="20">
        <v>0</v>
      </c>
      <c r="O882" s="20">
        <v>0</v>
      </c>
      <c r="P882" s="26">
        <v>7.0000000000000007E-2</v>
      </c>
      <c r="Q882" s="35" t="s">
        <v>154</v>
      </c>
    </row>
    <row r="883" spans="1:17" ht="36" x14ac:dyDescent="0.25">
      <c r="A883" s="23">
        <v>38137</v>
      </c>
      <c r="B883" s="23">
        <v>38137</v>
      </c>
      <c r="C883" s="24">
        <v>2004</v>
      </c>
      <c r="D883" s="351" t="s">
        <v>23</v>
      </c>
      <c r="E883" s="22" t="s">
        <v>86</v>
      </c>
      <c r="F883" s="28" t="s">
        <v>160</v>
      </c>
      <c r="G883" s="25" t="s">
        <v>1350</v>
      </c>
      <c r="H883" s="57" t="s">
        <v>1351</v>
      </c>
      <c r="I883" s="20">
        <v>0</v>
      </c>
      <c r="J883" s="20">
        <v>200</v>
      </c>
      <c r="K883" s="20">
        <v>40</v>
      </c>
      <c r="L883" s="20">
        <v>0</v>
      </c>
      <c r="M883" s="20">
        <v>0</v>
      </c>
      <c r="N883" s="20">
        <v>0</v>
      </c>
      <c r="O883" s="20">
        <v>0</v>
      </c>
      <c r="P883" s="26">
        <v>0.16</v>
      </c>
      <c r="Q883" s="35" t="s">
        <v>154</v>
      </c>
    </row>
    <row r="884" spans="1:17" ht="36" x14ac:dyDescent="0.25">
      <c r="A884" s="23">
        <v>38138</v>
      </c>
      <c r="B884" s="23">
        <v>38138</v>
      </c>
      <c r="C884" s="24">
        <v>2004</v>
      </c>
      <c r="D884" s="351" t="s">
        <v>23</v>
      </c>
      <c r="E884" s="22" t="s">
        <v>86</v>
      </c>
      <c r="F884" s="7" t="s">
        <v>58</v>
      </c>
      <c r="G884" s="25" t="s">
        <v>1352</v>
      </c>
      <c r="H884" s="57" t="s">
        <v>1353</v>
      </c>
      <c r="I884" s="20">
        <v>0</v>
      </c>
      <c r="J884" s="20">
        <v>55</v>
      </c>
      <c r="K884" s="20">
        <v>11</v>
      </c>
      <c r="L884" s="20">
        <v>0</v>
      </c>
      <c r="M884" s="20">
        <v>0</v>
      </c>
      <c r="N884" s="20">
        <v>0</v>
      </c>
      <c r="O884" s="20">
        <v>0</v>
      </c>
      <c r="P884" s="26">
        <v>0.04</v>
      </c>
      <c r="Q884" s="35" t="s">
        <v>154</v>
      </c>
    </row>
    <row r="885" spans="1:17" ht="60" x14ac:dyDescent="0.25">
      <c r="A885" s="23">
        <v>38140</v>
      </c>
      <c r="B885" s="23">
        <v>38140</v>
      </c>
      <c r="C885" s="24">
        <v>2004</v>
      </c>
      <c r="D885" s="351" t="s">
        <v>23</v>
      </c>
      <c r="E885" s="22" t="s">
        <v>86</v>
      </c>
      <c r="F885" s="7" t="s">
        <v>62</v>
      </c>
      <c r="G885" s="25" t="s">
        <v>1354</v>
      </c>
      <c r="H885" s="57" t="s">
        <v>1355</v>
      </c>
      <c r="I885" s="20">
        <v>0</v>
      </c>
      <c r="J885" s="20">
        <v>1000</v>
      </c>
      <c r="K885" s="20">
        <v>200</v>
      </c>
      <c r="L885" s="20">
        <v>0</v>
      </c>
      <c r="M885" s="20">
        <v>0</v>
      </c>
      <c r="N885" s="20">
        <v>0</v>
      </c>
      <c r="O885" s="20">
        <v>0</v>
      </c>
      <c r="P885" s="26">
        <v>1.2</v>
      </c>
      <c r="Q885" s="35" t="s">
        <v>154</v>
      </c>
    </row>
    <row r="886" spans="1:17" ht="48" x14ac:dyDescent="0.25">
      <c r="A886" s="23">
        <v>38140</v>
      </c>
      <c r="B886" s="23">
        <v>38140</v>
      </c>
      <c r="C886" s="24">
        <v>2004</v>
      </c>
      <c r="D886" s="351" t="s">
        <v>23</v>
      </c>
      <c r="E886" s="22" t="s">
        <v>86</v>
      </c>
      <c r="F886" s="7" t="s">
        <v>77</v>
      </c>
      <c r="G886" s="25" t="s">
        <v>77</v>
      </c>
      <c r="H886" s="57" t="s">
        <v>1356</v>
      </c>
      <c r="I886" s="20">
        <v>0</v>
      </c>
      <c r="J886" s="20">
        <v>35</v>
      </c>
      <c r="K886" s="20">
        <v>7</v>
      </c>
      <c r="L886" s="20">
        <v>0</v>
      </c>
      <c r="M886" s="20">
        <v>0</v>
      </c>
      <c r="N886" s="20">
        <v>0</v>
      </c>
      <c r="O886" s="20">
        <v>0</v>
      </c>
      <c r="P886" s="26">
        <v>0.04</v>
      </c>
      <c r="Q886" s="35" t="s">
        <v>154</v>
      </c>
    </row>
    <row r="887" spans="1:17" ht="60" x14ac:dyDescent="0.25">
      <c r="A887" s="23">
        <v>38142</v>
      </c>
      <c r="B887" s="23">
        <v>38142</v>
      </c>
      <c r="C887" s="24">
        <v>2004</v>
      </c>
      <c r="D887" s="351" t="s">
        <v>23</v>
      </c>
      <c r="E887" s="22" t="s">
        <v>86</v>
      </c>
      <c r="F887" s="7" t="s">
        <v>62</v>
      </c>
      <c r="G887" s="25" t="s">
        <v>1357</v>
      </c>
      <c r="H887" s="57" t="s">
        <v>1358</v>
      </c>
      <c r="I887" s="20">
        <v>0</v>
      </c>
      <c r="J887" s="20">
        <v>0</v>
      </c>
      <c r="K887" s="20">
        <v>0</v>
      </c>
      <c r="L887" s="20">
        <v>0</v>
      </c>
      <c r="M887" s="20">
        <v>0</v>
      </c>
      <c r="N887" s="20">
        <v>0</v>
      </c>
      <c r="O887" s="20">
        <v>0</v>
      </c>
      <c r="P887" s="26">
        <v>0</v>
      </c>
      <c r="Q887" s="35" t="s">
        <v>154</v>
      </c>
    </row>
    <row r="888" spans="1:17" ht="72" x14ac:dyDescent="0.25">
      <c r="A888" s="23">
        <v>38142</v>
      </c>
      <c r="B888" s="23">
        <v>38142</v>
      </c>
      <c r="C888" s="24">
        <v>2004</v>
      </c>
      <c r="D888" s="351" t="s">
        <v>23</v>
      </c>
      <c r="E888" s="22" t="s">
        <v>86</v>
      </c>
      <c r="F888" s="28" t="s">
        <v>163</v>
      </c>
      <c r="G888" s="25" t="s">
        <v>1359</v>
      </c>
      <c r="H888" s="57" t="s">
        <v>1360</v>
      </c>
      <c r="I888" s="20">
        <v>0</v>
      </c>
      <c r="J888" s="20">
        <v>50</v>
      </c>
      <c r="K888" s="20">
        <v>10</v>
      </c>
      <c r="L888" s="20">
        <v>0</v>
      </c>
      <c r="M888" s="20">
        <v>0</v>
      </c>
      <c r="N888" s="20">
        <v>0</v>
      </c>
      <c r="O888" s="20">
        <v>0</v>
      </c>
      <c r="P888" s="26">
        <v>0.04</v>
      </c>
      <c r="Q888" s="35" t="s">
        <v>154</v>
      </c>
    </row>
    <row r="889" spans="1:17" ht="48" x14ac:dyDescent="0.25">
      <c r="A889" s="23">
        <v>38142</v>
      </c>
      <c r="B889" s="23">
        <v>38142</v>
      </c>
      <c r="C889" s="24">
        <v>2004</v>
      </c>
      <c r="D889" s="351" t="s">
        <v>23</v>
      </c>
      <c r="E889" s="22" t="s">
        <v>86</v>
      </c>
      <c r="F889" s="7" t="s">
        <v>72</v>
      </c>
      <c r="G889" s="25" t="s">
        <v>1361</v>
      </c>
      <c r="H889" s="57" t="s">
        <v>1362</v>
      </c>
      <c r="I889" s="20">
        <v>0</v>
      </c>
      <c r="J889" s="20">
        <v>1000</v>
      </c>
      <c r="K889" s="20">
        <v>200</v>
      </c>
      <c r="L889" s="20">
        <v>0</v>
      </c>
      <c r="M889" s="20">
        <v>0</v>
      </c>
      <c r="N889" s="20">
        <v>0</v>
      </c>
      <c r="O889" s="20">
        <v>400</v>
      </c>
      <c r="P889" s="26">
        <v>1.29</v>
      </c>
      <c r="Q889" s="35" t="s">
        <v>154</v>
      </c>
    </row>
    <row r="890" spans="1:17" ht="84" x14ac:dyDescent="0.25">
      <c r="A890" s="23">
        <v>38142</v>
      </c>
      <c r="B890" s="23">
        <v>38142</v>
      </c>
      <c r="C890" s="24">
        <v>2004</v>
      </c>
      <c r="D890" s="351" t="s">
        <v>23</v>
      </c>
      <c r="E890" s="22" t="s">
        <v>86</v>
      </c>
      <c r="F890" s="7" t="s">
        <v>58</v>
      </c>
      <c r="G890" s="25" t="s">
        <v>1363</v>
      </c>
      <c r="H890" s="57" t="s">
        <v>1364</v>
      </c>
      <c r="I890" s="20">
        <v>8</v>
      </c>
      <c r="J890" s="20">
        <v>8</v>
      </c>
      <c r="K890" s="20">
        <v>0</v>
      </c>
      <c r="L890" s="20">
        <v>0</v>
      </c>
      <c r="M890" s="20">
        <v>0</v>
      </c>
      <c r="N890" s="20">
        <v>0</v>
      </c>
      <c r="O890" s="20">
        <v>0</v>
      </c>
      <c r="P890" s="26">
        <v>0</v>
      </c>
      <c r="Q890" s="35" t="s">
        <v>154</v>
      </c>
    </row>
    <row r="891" spans="1:17" ht="60" x14ac:dyDescent="0.25">
      <c r="A891" s="23">
        <v>38143</v>
      </c>
      <c r="B891" s="23">
        <v>38144</v>
      </c>
      <c r="C891" s="24">
        <v>2004</v>
      </c>
      <c r="D891" s="351" t="s">
        <v>23</v>
      </c>
      <c r="E891" s="22" t="s">
        <v>86</v>
      </c>
      <c r="F891" s="7" t="s">
        <v>60</v>
      </c>
      <c r="G891" s="25" t="s">
        <v>1365</v>
      </c>
      <c r="H891" s="57" t="s">
        <v>1366</v>
      </c>
      <c r="I891" s="20">
        <v>0</v>
      </c>
      <c r="J891" s="20">
        <v>15</v>
      </c>
      <c r="K891" s="20">
        <v>3</v>
      </c>
      <c r="L891" s="20">
        <v>0</v>
      </c>
      <c r="M891" s="20">
        <v>0</v>
      </c>
      <c r="N891" s="20">
        <v>0</v>
      </c>
      <c r="O891" s="20">
        <v>15</v>
      </c>
      <c r="P891" s="26">
        <v>0.01</v>
      </c>
      <c r="Q891" s="35" t="s">
        <v>154</v>
      </c>
    </row>
    <row r="892" spans="1:17" ht="120" x14ac:dyDescent="0.25">
      <c r="A892" s="23">
        <v>38145</v>
      </c>
      <c r="B892" s="23">
        <v>38145</v>
      </c>
      <c r="C892" s="24">
        <v>2004</v>
      </c>
      <c r="D892" s="351" t="s">
        <v>23</v>
      </c>
      <c r="E892" s="22" t="s">
        <v>86</v>
      </c>
      <c r="F892" s="7" t="s">
        <v>60</v>
      </c>
      <c r="G892" s="25" t="s">
        <v>1367</v>
      </c>
      <c r="H892" s="57" t="s">
        <v>1368</v>
      </c>
      <c r="I892" s="20">
        <v>0</v>
      </c>
      <c r="J892" s="20">
        <v>249</v>
      </c>
      <c r="K892" s="20">
        <v>126</v>
      </c>
      <c r="L892" s="20">
        <v>3</v>
      </c>
      <c r="M892" s="20">
        <v>0</v>
      </c>
      <c r="N892" s="20">
        <v>0</v>
      </c>
      <c r="O892" s="20">
        <v>0</v>
      </c>
      <c r="P892" s="26">
        <v>2</v>
      </c>
      <c r="Q892" s="35" t="s">
        <v>154</v>
      </c>
    </row>
    <row r="893" spans="1:17" ht="48" x14ac:dyDescent="0.25">
      <c r="A893" s="23">
        <v>38145</v>
      </c>
      <c r="B893" s="23">
        <v>38145</v>
      </c>
      <c r="C893" s="24">
        <v>2004</v>
      </c>
      <c r="D893" s="351" t="s">
        <v>23</v>
      </c>
      <c r="E893" s="22" t="s">
        <v>86</v>
      </c>
      <c r="F893" s="7" t="s">
        <v>56</v>
      </c>
      <c r="G893" s="25" t="s">
        <v>1369</v>
      </c>
      <c r="H893" s="57" t="s">
        <v>1370</v>
      </c>
      <c r="I893" s="20">
        <v>0</v>
      </c>
      <c r="J893" s="20">
        <v>1500</v>
      </c>
      <c r="K893" s="20">
        <v>300</v>
      </c>
      <c r="L893" s="20">
        <v>0</v>
      </c>
      <c r="M893" s="20">
        <v>0</v>
      </c>
      <c r="N893" s="20">
        <v>0</v>
      </c>
      <c r="O893" s="20">
        <v>0</v>
      </c>
      <c r="P893" s="26">
        <v>1.21</v>
      </c>
      <c r="Q893" s="35" t="s">
        <v>154</v>
      </c>
    </row>
    <row r="894" spans="1:17" ht="36" x14ac:dyDescent="0.25">
      <c r="A894" s="23">
        <v>38145</v>
      </c>
      <c r="B894" s="23">
        <v>38145</v>
      </c>
      <c r="C894" s="24">
        <v>2004</v>
      </c>
      <c r="D894" s="351" t="s">
        <v>23</v>
      </c>
      <c r="E894" s="22" t="s">
        <v>86</v>
      </c>
      <c r="F894" s="7" t="s">
        <v>67</v>
      </c>
      <c r="G894" s="25" t="s">
        <v>1371</v>
      </c>
      <c r="H894" s="57" t="s">
        <v>1372</v>
      </c>
      <c r="I894" s="20">
        <v>0</v>
      </c>
      <c r="J894" s="20">
        <v>120</v>
      </c>
      <c r="K894" s="20">
        <v>24</v>
      </c>
      <c r="L894" s="20">
        <v>0</v>
      </c>
      <c r="M894" s="20">
        <v>0</v>
      </c>
      <c r="N894" s="20">
        <v>0</v>
      </c>
      <c r="O894" s="20">
        <v>0</v>
      </c>
      <c r="P894" s="26">
        <v>0.09</v>
      </c>
      <c r="Q894" s="35" t="s">
        <v>154</v>
      </c>
    </row>
    <row r="895" spans="1:17" ht="84" x14ac:dyDescent="0.25">
      <c r="A895" s="23">
        <v>38146</v>
      </c>
      <c r="B895" s="23">
        <v>38146</v>
      </c>
      <c r="C895" s="24">
        <v>2004</v>
      </c>
      <c r="D895" s="351" t="s">
        <v>23</v>
      </c>
      <c r="E895" s="22" t="s">
        <v>86</v>
      </c>
      <c r="F895" s="7" t="s">
        <v>91</v>
      </c>
      <c r="G895" s="25" t="s">
        <v>1373</v>
      </c>
      <c r="H895" s="57" t="s">
        <v>1374</v>
      </c>
      <c r="I895" s="20">
        <v>0</v>
      </c>
      <c r="J895" s="20">
        <v>250</v>
      </c>
      <c r="K895" s="20">
        <v>16</v>
      </c>
      <c r="L895" s="20">
        <v>0</v>
      </c>
      <c r="M895" s="20">
        <v>0</v>
      </c>
      <c r="N895" s="20">
        <v>0</v>
      </c>
      <c r="O895" s="20">
        <v>0</v>
      </c>
      <c r="P895" s="26">
        <v>0.06</v>
      </c>
      <c r="Q895" s="35" t="s">
        <v>154</v>
      </c>
    </row>
    <row r="896" spans="1:17" ht="84" x14ac:dyDescent="0.25">
      <c r="A896" s="23">
        <v>38147</v>
      </c>
      <c r="B896" s="23">
        <v>38147</v>
      </c>
      <c r="C896" s="24">
        <v>2004</v>
      </c>
      <c r="D896" s="351" t="s">
        <v>23</v>
      </c>
      <c r="E896" s="22" t="s">
        <v>86</v>
      </c>
      <c r="F896" s="7" t="s">
        <v>82</v>
      </c>
      <c r="G896" s="25" t="s">
        <v>1375</v>
      </c>
      <c r="H896" s="44" t="s">
        <v>1376</v>
      </c>
      <c r="I896" s="20">
        <v>0</v>
      </c>
      <c r="J896" s="20">
        <v>300</v>
      </c>
      <c r="K896" s="20">
        <v>80</v>
      </c>
      <c r="L896" s="20">
        <v>0</v>
      </c>
      <c r="M896" s="20">
        <v>0</v>
      </c>
      <c r="N896" s="20">
        <v>0</v>
      </c>
      <c r="O896" s="20">
        <v>0</v>
      </c>
      <c r="P896" s="26">
        <v>0.48</v>
      </c>
      <c r="Q896" s="35" t="s">
        <v>154</v>
      </c>
    </row>
    <row r="897" spans="1:17" ht="156" x14ac:dyDescent="0.25">
      <c r="A897" s="23">
        <v>38147</v>
      </c>
      <c r="B897" s="23">
        <v>38147</v>
      </c>
      <c r="C897" s="24">
        <v>2004</v>
      </c>
      <c r="D897" s="351" t="s">
        <v>23</v>
      </c>
      <c r="E897" s="22" t="s">
        <v>86</v>
      </c>
      <c r="F897" s="7" t="s">
        <v>82</v>
      </c>
      <c r="G897" s="25" t="s">
        <v>1377</v>
      </c>
      <c r="H897" s="44" t="s">
        <v>1378</v>
      </c>
      <c r="I897" s="20">
        <v>0</v>
      </c>
      <c r="J897" s="20">
        <v>1200</v>
      </c>
      <c r="K897" s="20">
        <v>0</v>
      </c>
      <c r="L897" s="20">
        <v>0</v>
      </c>
      <c r="M897" s="20">
        <v>0</v>
      </c>
      <c r="N897" s="20">
        <v>0</v>
      </c>
      <c r="O897" s="20">
        <v>0</v>
      </c>
      <c r="P897" s="26">
        <v>0.24</v>
      </c>
      <c r="Q897" s="35" t="s">
        <v>154</v>
      </c>
    </row>
    <row r="898" spans="1:17" ht="72" x14ac:dyDescent="0.25">
      <c r="A898" s="23">
        <v>38148</v>
      </c>
      <c r="B898" s="23">
        <v>38148</v>
      </c>
      <c r="C898" s="24">
        <v>2004</v>
      </c>
      <c r="D898" s="351" t="s">
        <v>23</v>
      </c>
      <c r="E898" s="22" t="s">
        <v>86</v>
      </c>
      <c r="F898" s="7" t="s">
        <v>36</v>
      </c>
      <c r="G898" s="25" t="s">
        <v>110</v>
      </c>
      <c r="H898" s="44" t="s">
        <v>1379</v>
      </c>
      <c r="I898" s="20">
        <v>0</v>
      </c>
      <c r="J898" s="20">
        <v>50</v>
      </c>
      <c r="K898" s="20">
        <v>10</v>
      </c>
      <c r="L898" s="20">
        <v>0</v>
      </c>
      <c r="M898" s="20">
        <v>0</v>
      </c>
      <c r="N898" s="20">
        <v>0</v>
      </c>
      <c r="O898" s="20">
        <v>0</v>
      </c>
      <c r="P898" s="26">
        <v>0.06</v>
      </c>
      <c r="Q898" s="35" t="s">
        <v>154</v>
      </c>
    </row>
    <row r="899" spans="1:17" ht="60" x14ac:dyDescent="0.25">
      <c r="A899" s="23">
        <v>38148</v>
      </c>
      <c r="B899" s="23">
        <v>38148</v>
      </c>
      <c r="C899" s="24">
        <v>2004</v>
      </c>
      <c r="D899" s="351" t="s">
        <v>23</v>
      </c>
      <c r="E899" s="22" t="s">
        <v>86</v>
      </c>
      <c r="F899" s="7" t="s">
        <v>75</v>
      </c>
      <c r="G899" s="25" t="s">
        <v>1380</v>
      </c>
      <c r="H899" s="44" t="s">
        <v>1381</v>
      </c>
      <c r="I899" s="20">
        <v>0</v>
      </c>
      <c r="J899" s="20">
        <v>125</v>
      </c>
      <c r="K899" s="20">
        <v>25</v>
      </c>
      <c r="L899" s="20">
        <v>0</v>
      </c>
      <c r="M899" s="20">
        <v>0</v>
      </c>
      <c r="N899" s="20">
        <v>0</v>
      </c>
      <c r="O899" s="20">
        <v>0</v>
      </c>
      <c r="P899" s="26">
        <v>0.13</v>
      </c>
      <c r="Q899" s="35" t="s">
        <v>154</v>
      </c>
    </row>
    <row r="900" spans="1:17" ht="72" x14ac:dyDescent="0.25">
      <c r="A900" s="23">
        <v>38148</v>
      </c>
      <c r="B900" s="23">
        <v>38148</v>
      </c>
      <c r="C900" s="24">
        <v>2004</v>
      </c>
      <c r="D900" s="351" t="s">
        <v>23</v>
      </c>
      <c r="E900" s="22" t="s">
        <v>86</v>
      </c>
      <c r="F900" s="7" t="s">
        <v>53</v>
      </c>
      <c r="G900" s="25" t="s">
        <v>1382</v>
      </c>
      <c r="H900" s="44" t="s">
        <v>1383</v>
      </c>
      <c r="I900" s="20">
        <v>0</v>
      </c>
      <c r="J900" s="20">
        <v>145</v>
      </c>
      <c r="K900" s="20">
        <v>29</v>
      </c>
      <c r="L900" s="20">
        <v>0</v>
      </c>
      <c r="M900" s="20">
        <v>0</v>
      </c>
      <c r="N900" s="20">
        <v>0</v>
      </c>
      <c r="O900" s="20">
        <v>0</v>
      </c>
      <c r="P900" s="26">
        <v>0.17</v>
      </c>
      <c r="Q900" s="35" t="s">
        <v>154</v>
      </c>
    </row>
    <row r="901" spans="1:17" ht="60" x14ac:dyDescent="0.25">
      <c r="A901" s="23">
        <v>38150</v>
      </c>
      <c r="B901" s="23">
        <v>38150</v>
      </c>
      <c r="C901" s="24">
        <v>2004</v>
      </c>
      <c r="D901" s="351" t="s">
        <v>23</v>
      </c>
      <c r="E901" s="22" t="s">
        <v>86</v>
      </c>
      <c r="F901" s="7" t="s">
        <v>80</v>
      </c>
      <c r="G901" s="25" t="s">
        <v>1384</v>
      </c>
      <c r="H901" s="44" t="s">
        <v>1385</v>
      </c>
      <c r="I901" s="20">
        <v>1</v>
      </c>
      <c r="J901" s="20">
        <v>20000</v>
      </c>
      <c r="K901" s="20">
        <v>98</v>
      </c>
      <c r="L901" s="20">
        <v>17</v>
      </c>
      <c r="M901" s="20">
        <v>0</v>
      </c>
      <c r="N901" s="20">
        <v>75</v>
      </c>
      <c r="O901" s="20">
        <v>0</v>
      </c>
      <c r="P901" s="26">
        <v>14.13</v>
      </c>
      <c r="Q901" s="35" t="s">
        <v>154</v>
      </c>
    </row>
    <row r="902" spans="1:17" ht="48" x14ac:dyDescent="0.25">
      <c r="A902" s="23">
        <v>38151</v>
      </c>
      <c r="B902" s="23">
        <v>38151</v>
      </c>
      <c r="C902" s="24">
        <v>2004</v>
      </c>
      <c r="D902" s="351" t="s">
        <v>23</v>
      </c>
      <c r="E902" s="22" t="s">
        <v>86</v>
      </c>
      <c r="F902" s="7" t="s">
        <v>97</v>
      </c>
      <c r="G902" s="25" t="s">
        <v>1386</v>
      </c>
      <c r="H902" s="44" t="s">
        <v>1387</v>
      </c>
      <c r="I902" s="20">
        <v>0</v>
      </c>
      <c r="J902" s="20">
        <v>45</v>
      </c>
      <c r="K902" s="20">
        <v>9</v>
      </c>
      <c r="L902" s="20">
        <v>0</v>
      </c>
      <c r="M902" s="20">
        <v>0</v>
      </c>
      <c r="N902" s="20">
        <v>0</v>
      </c>
      <c r="O902" s="20">
        <v>0</v>
      </c>
      <c r="P902" s="26">
        <v>0.1</v>
      </c>
      <c r="Q902" s="35" t="s">
        <v>154</v>
      </c>
    </row>
    <row r="903" spans="1:17" ht="84" x14ac:dyDescent="0.25">
      <c r="A903" s="23">
        <v>38151</v>
      </c>
      <c r="B903" s="23">
        <v>38151</v>
      </c>
      <c r="C903" s="24">
        <v>2004</v>
      </c>
      <c r="D903" s="351" t="s">
        <v>23</v>
      </c>
      <c r="E903" s="22" t="s">
        <v>86</v>
      </c>
      <c r="F903" s="7" t="s">
        <v>60</v>
      </c>
      <c r="G903" s="25" t="s">
        <v>1388</v>
      </c>
      <c r="H903" s="44" t="s">
        <v>1389</v>
      </c>
      <c r="I903" s="20">
        <v>1</v>
      </c>
      <c r="J903" s="20">
        <v>6</v>
      </c>
      <c r="K903" s="20">
        <v>0</v>
      </c>
      <c r="L903" s="20">
        <v>0</v>
      </c>
      <c r="M903" s="20">
        <v>0</v>
      </c>
      <c r="N903" s="20">
        <v>0</v>
      </c>
      <c r="O903" s="20">
        <v>0</v>
      </c>
      <c r="P903" s="26">
        <v>0.03</v>
      </c>
      <c r="Q903" s="35" t="s">
        <v>154</v>
      </c>
    </row>
    <row r="904" spans="1:17" ht="36" x14ac:dyDescent="0.25">
      <c r="A904" s="23">
        <v>38153</v>
      </c>
      <c r="B904" s="23">
        <v>38153</v>
      </c>
      <c r="C904" s="24">
        <v>2004</v>
      </c>
      <c r="D904" s="351" t="s">
        <v>23</v>
      </c>
      <c r="E904" s="22" t="s">
        <v>86</v>
      </c>
      <c r="F904" s="7" t="s">
        <v>25</v>
      </c>
      <c r="G904" s="25" t="s">
        <v>1390</v>
      </c>
      <c r="H904" s="44" t="s">
        <v>1391</v>
      </c>
      <c r="I904" s="20">
        <v>0</v>
      </c>
      <c r="J904" s="20">
        <v>50</v>
      </c>
      <c r="K904" s="20">
        <v>10</v>
      </c>
      <c r="L904" s="20">
        <v>0</v>
      </c>
      <c r="M904" s="20">
        <v>0</v>
      </c>
      <c r="N904" s="20">
        <v>0</v>
      </c>
      <c r="O904" s="20">
        <v>0</v>
      </c>
      <c r="P904" s="26">
        <v>0.04</v>
      </c>
      <c r="Q904" s="35" t="s">
        <v>154</v>
      </c>
    </row>
    <row r="905" spans="1:17" ht="156" x14ac:dyDescent="0.25">
      <c r="A905" s="23">
        <v>38153</v>
      </c>
      <c r="B905" s="23">
        <v>38153</v>
      </c>
      <c r="C905" s="24">
        <v>2004</v>
      </c>
      <c r="D905" s="351" t="s">
        <v>23</v>
      </c>
      <c r="E905" s="22" t="s">
        <v>86</v>
      </c>
      <c r="F905" s="7" t="s">
        <v>60</v>
      </c>
      <c r="G905" s="25" t="s">
        <v>1392</v>
      </c>
      <c r="H905" s="44" t="s">
        <v>1393</v>
      </c>
      <c r="I905" s="20">
        <v>0</v>
      </c>
      <c r="J905" s="20">
        <v>170</v>
      </c>
      <c r="K905" s="20">
        <v>0</v>
      </c>
      <c r="L905" s="20">
        <v>1</v>
      </c>
      <c r="M905" s="20">
        <v>0</v>
      </c>
      <c r="N905" s="20">
        <v>0</v>
      </c>
      <c r="O905" s="20">
        <v>0</v>
      </c>
      <c r="P905" s="26">
        <v>0.23</v>
      </c>
      <c r="Q905" s="35" t="s">
        <v>154</v>
      </c>
    </row>
    <row r="906" spans="1:17" ht="48" x14ac:dyDescent="0.25">
      <c r="A906" s="23">
        <v>38157</v>
      </c>
      <c r="B906" s="23">
        <v>38157</v>
      </c>
      <c r="C906" s="24">
        <v>2004</v>
      </c>
      <c r="D906" s="351" t="s">
        <v>23</v>
      </c>
      <c r="E906" s="22" t="s">
        <v>86</v>
      </c>
      <c r="F906" s="28" t="s">
        <v>157</v>
      </c>
      <c r="G906" s="25" t="s">
        <v>206</v>
      </c>
      <c r="H906" s="44" t="s">
        <v>1394</v>
      </c>
      <c r="I906" s="20">
        <v>0</v>
      </c>
      <c r="J906" s="20">
        <v>0</v>
      </c>
      <c r="K906" s="20">
        <v>50</v>
      </c>
      <c r="L906" s="20">
        <v>0</v>
      </c>
      <c r="M906" s="20">
        <v>0</v>
      </c>
      <c r="N906" s="20">
        <v>0</v>
      </c>
      <c r="O906" s="20">
        <v>0</v>
      </c>
      <c r="P906" s="26">
        <v>0.3</v>
      </c>
      <c r="Q906" s="35" t="s">
        <v>154</v>
      </c>
    </row>
    <row r="907" spans="1:17" ht="48" x14ac:dyDescent="0.25">
      <c r="A907" s="23">
        <v>38187</v>
      </c>
      <c r="B907" s="23">
        <v>38187</v>
      </c>
      <c r="C907" s="24">
        <v>2004</v>
      </c>
      <c r="D907" s="351" t="s">
        <v>23</v>
      </c>
      <c r="E907" s="22" t="s">
        <v>86</v>
      </c>
      <c r="F907" s="28" t="s">
        <v>157</v>
      </c>
      <c r="G907" s="25" t="s">
        <v>1395</v>
      </c>
      <c r="H907" s="44" t="s">
        <v>1396</v>
      </c>
      <c r="I907" s="20">
        <v>0</v>
      </c>
      <c r="J907" s="20">
        <v>3000</v>
      </c>
      <c r="K907" s="20">
        <v>600</v>
      </c>
      <c r="L907" s="20">
        <v>0</v>
      </c>
      <c r="M907" s="20">
        <v>0</v>
      </c>
      <c r="N907" s="20">
        <v>0</v>
      </c>
      <c r="O907" s="20">
        <v>0</v>
      </c>
      <c r="P907" s="26">
        <v>3.6</v>
      </c>
      <c r="Q907" s="35" t="s">
        <v>154</v>
      </c>
    </row>
    <row r="908" spans="1:17" ht="72" x14ac:dyDescent="0.25">
      <c r="A908" s="23">
        <v>38159</v>
      </c>
      <c r="B908" s="23">
        <v>38159</v>
      </c>
      <c r="C908" s="24">
        <v>2004</v>
      </c>
      <c r="D908" s="351" t="s">
        <v>23</v>
      </c>
      <c r="E908" s="22" t="s">
        <v>86</v>
      </c>
      <c r="F908" s="7" t="s">
        <v>101</v>
      </c>
      <c r="G908" s="25" t="s">
        <v>1397</v>
      </c>
      <c r="H908" s="44" t="s">
        <v>1398</v>
      </c>
      <c r="I908" s="20">
        <v>0</v>
      </c>
      <c r="J908" s="20">
        <v>126</v>
      </c>
      <c r="K908" s="20">
        <v>50</v>
      </c>
      <c r="L908" s="20">
        <v>0</v>
      </c>
      <c r="M908" s="20">
        <v>0</v>
      </c>
      <c r="N908" s="20">
        <v>0</v>
      </c>
      <c r="O908" s="20">
        <v>0</v>
      </c>
      <c r="P908" s="26">
        <v>0.3</v>
      </c>
      <c r="Q908" s="35" t="s">
        <v>154</v>
      </c>
    </row>
    <row r="909" spans="1:17" ht="48" x14ac:dyDescent="0.25">
      <c r="A909" s="23">
        <v>38158</v>
      </c>
      <c r="B909" s="23">
        <v>38158</v>
      </c>
      <c r="C909" s="24">
        <v>2004</v>
      </c>
      <c r="D909" s="351" t="s">
        <v>23</v>
      </c>
      <c r="E909" s="22" t="s">
        <v>86</v>
      </c>
      <c r="F909" s="7" t="s">
        <v>62</v>
      </c>
      <c r="G909" s="25" t="s">
        <v>1011</v>
      </c>
      <c r="H909" s="44" t="s">
        <v>1399</v>
      </c>
      <c r="I909" s="20">
        <v>0</v>
      </c>
      <c r="J909" s="20">
        <v>0</v>
      </c>
      <c r="K909" s="20">
        <v>0</v>
      </c>
      <c r="L909" s="20">
        <v>1</v>
      </c>
      <c r="M909" s="20">
        <v>0</v>
      </c>
      <c r="N909" s="20">
        <v>0</v>
      </c>
      <c r="O909" s="20">
        <v>0</v>
      </c>
      <c r="P909" s="26">
        <v>0.01</v>
      </c>
      <c r="Q909" s="35" t="s">
        <v>154</v>
      </c>
    </row>
    <row r="910" spans="1:17" ht="48" x14ac:dyDescent="0.25">
      <c r="A910" s="23">
        <v>38160</v>
      </c>
      <c r="B910" s="23">
        <v>38160</v>
      </c>
      <c r="C910" s="24">
        <v>2004</v>
      </c>
      <c r="D910" s="351" t="s">
        <v>23</v>
      </c>
      <c r="E910" s="22" t="s">
        <v>86</v>
      </c>
      <c r="F910" s="7" t="s">
        <v>25</v>
      </c>
      <c r="G910" s="25" t="s">
        <v>110</v>
      </c>
      <c r="H910" s="44" t="s">
        <v>1400</v>
      </c>
      <c r="I910" s="20">
        <v>0</v>
      </c>
      <c r="J910" s="20">
        <v>35</v>
      </c>
      <c r="K910" s="20">
        <v>7</v>
      </c>
      <c r="L910" s="20">
        <v>0</v>
      </c>
      <c r="M910" s="20">
        <v>0</v>
      </c>
      <c r="N910" s="20">
        <v>0</v>
      </c>
      <c r="O910" s="20">
        <v>0</v>
      </c>
      <c r="P910" s="26">
        <v>0.04</v>
      </c>
      <c r="Q910" s="35" t="s">
        <v>154</v>
      </c>
    </row>
    <row r="911" spans="1:17" ht="60" x14ac:dyDescent="0.25">
      <c r="A911" s="23">
        <v>38191</v>
      </c>
      <c r="B911" s="23">
        <v>38192</v>
      </c>
      <c r="C911" s="24">
        <v>2004</v>
      </c>
      <c r="D911" s="351" t="s">
        <v>23</v>
      </c>
      <c r="E911" s="22" t="s">
        <v>86</v>
      </c>
      <c r="F911" s="7" t="s">
        <v>53</v>
      </c>
      <c r="G911" s="25" t="s">
        <v>1401</v>
      </c>
      <c r="H911" s="44" t="s">
        <v>1402</v>
      </c>
      <c r="I911" s="20">
        <v>1</v>
      </c>
      <c r="J911" s="20">
        <v>1</v>
      </c>
      <c r="K911" s="20">
        <v>0</v>
      </c>
      <c r="L911" s="20">
        <v>0</v>
      </c>
      <c r="M911" s="20">
        <v>0</v>
      </c>
      <c r="N911" s="20">
        <v>0</v>
      </c>
      <c r="O911" s="20">
        <v>0</v>
      </c>
      <c r="P911" s="26">
        <v>0</v>
      </c>
      <c r="Q911" s="35" t="s">
        <v>154</v>
      </c>
    </row>
    <row r="912" spans="1:17" ht="48" x14ac:dyDescent="0.25">
      <c r="A912" s="23">
        <v>38163</v>
      </c>
      <c r="B912" s="23">
        <v>38163</v>
      </c>
      <c r="C912" s="24">
        <v>2004</v>
      </c>
      <c r="D912" s="351" t="s">
        <v>23</v>
      </c>
      <c r="E912" s="22" t="s">
        <v>86</v>
      </c>
      <c r="F912" s="7" t="s">
        <v>72</v>
      </c>
      <c r="G912" s="25" t="s">
        <v>1403</v>
      </c>
      <c r="H912" s="44" t="s">
        <v>1404</v>
      </c>
      <c r="I912" s="20">
        <v>0</v>
      </c>
      <c r="J912" s="20">
        <v>400</v>
      </c>
      <c r="K912" s="20">
        <v>80</v>
      </c>
      <c r="L912" s="20">
        <v>0</v>
      </c>
      <c r="M912" s="20">
        <v>0</v>
      </c>
      <c r="N912" s="20">
        <v>0</v>
      </c>
      <c r="O912" s="20">
        <v>0</v>
      </c>
      <c r="P912" s="26">
        <v>0.32</v>
      </c>
      <c r="Q912" s="35" t="s">
        <v>154</v>
      </c>
    </row>
    <row r="913" spans="1:17" ht="84" x14ac:dyDescent="0.25">
      <c r="A913" s="23">
        <v>38163</v>
      </c>
      <c r="B913" s="23">
        <v>38163</v>
      </c>
      <c r="C913" s="24">
        <v>2004</v>
      </c>
      <c r="D913" s="351" t="s">
        <v>23</v>
      </c>
      <c r="E913" s="22" t="s">
        <v>86</v>
      </c>
      <c r="F913" s="7" t="s">
        <v>36</v>
      </c>
      <c r="G913" s="25" t="s">
        <v>744</v>
      </c>
      <c r="H913" s="44" t="s">
        <v>1405</v>
      </c>
      <c r="I913" s="20">
        <v>0</v>
      </c>
      <c r="J913" s="20">
        <v>75</v>
      </c>
      <c r="K913" s="20">
        <v>15</v>
      </c>
      <c r="L913" s="20">
        <v>0</v>
      </c>
      <c r="M913" s="20">
        <v>0</v>
      </c>
      <c r="N913" s="20">
        <v>0</v>
      </c>
      <c r="O913" s="20">
        <v>0</v>
      </c>
      <c r="P913" s="26">
        <v>0.08</v>
      </c>
      <c r="Q913" s="35" t="s">
        <v>154</v>
      </c>
    </row>
    <row r="914" spans="1:17" ht="36" x14ac:dyDescent="0.25">
      <c r="A914" s="23">
        <v>38163</v>
      </c>
      <c r="B914" s="23">
        <v>38163</v>
      </c>
      <c r="C914" s="24">
        <v>2004</v>
      </c>
      <c r="D914" s="351" t="s">
        <v>23</v>
      </c>
      <c r="E914" s="22" t="s">
        <v>86</v>
      </c>
      <c r="F914" s="7" t="s">
        <v>36</v>
      </c>
      <c r="G914" s="25" t="s">
        <v>1406</v>
      </c>
      <c r="H914" s="44" t="s">
        <v>1407</v>
      </c>
      <c r="I914" s="20">
        <v>0</v>
      </c>
      <c r="J914" s="20">
        <v>75</v>
      </c>
      <c r="K914" s="20">
        <v>15</v>
      </c>
      <c r="L914" s="20">
        <v>0</v>
      </c>
      <c r="M914" s="20">
        <v>0</v>
      </c>
      <c r="N914" s="20">
        <v>0</v>
      </c>
      <c r="O914" s="20">
        <v>0</v>
      </c>
      <c r="P914" s="26">
        <v>0.06</v>
      </c>
      <c r="Q914" s="35" t="s">
        <v>154</v>
      </c>
    </row>
    <row r="915" spans="1:17" ht="48" x14ac:dyDescent="0.25">
      <c r="A915" s="23">
        <v>38163</v>
      </c>
      <c r="B915" s="23">
        <v>38163</v>
      </c>
      <c r="C915" s="24">
        <v>2004</v>
      </c>
      <c r="D915" s="351" t="s">
        <v>23</v>
      </c>
      <c r="E915" s="22" t="s">
        <v>86</v>
      </c>
      <c r="F915" s="7" t="s">
        <v>97</v>
      </c>
      <c r="G915" s="25" t="s">
        <v>1408</v>
      </c>
      <c r="H915" s="44" t="s">
        <v>1409</v>
      </c>
      <c r="I915" s="20">
        <v>0</v>
      </c>
      <c r="J915" s="20">
        <v>220</v>
      </c>
      <c r="K915" s="20">
        <v>44</v>
      </c>
      <c r="L915" s="20">
        <v>0</v>
      </c>
      <c r="M915" s="20">
        <v>0</v>
      </c>
      <c r="N915" s="20">
        <v>0</v>
      </c>
      <c r="O915" s="20">
        <v>0</v>
      </c>
      <c r="P915" s="26">
        <v>0.23</v>
      </c>
      <c r="Q915" s="35" t="s">
        <v>154</v>
      </c>
    </row>
    <row r="916" spans="1:17" ht="72" x14ac:dyDescent="0.25">
      <c r="A916" s="23">
        <v>38164</v>
      </c>
      <c r="B916" s="23">
        <v>38164</v>
      </c>
      <c r="C916" s="24">
        <v>2004</v>
      </c>
      <c r="D916" s="351" t="s">
        <v>23</v>
      </c>
      <c r="E916" s="22" t="s">
        <v>86</v>
      </c>
      <c r="F916" s="7" t="s">
        <v>62</v>
      </c>
      <c r="G916" s="25" t="s">
        <v>1410</v>
      </c>
      <c r="H916" s="44" t="s">
        <v>1411</v>
      </c>
      <c r="I916" s="20">
        <v>0</v>
      </c>
      <c r="J916" s="20">
        <v>1000</v>
      </c>
      <c r="K916" s="20">
        <v>250</v>
      </c>
      <c r="L916" s="20">
        <v>0</v>
      </c>
      <c r="M916" s="20">
        <v>0</v>
      </c>
      <c r="N916" s="20">
        <v>0</v>
      </c>
      <c r="O916" s="20">
        <v>0</v>
      </c>
      <c r="P916" s="26">
        <v>1.01</v>
      </c>
      <c r="Q916" s="35" t="s">
        <v>154</v>
      </c>
    </row>
    <row r="917" spans="1:17" ht="60" x14ac:dyDescent="0.25">
      <c r="A917" s="23">
        <v>38164</v>
      </c>
      <c r="B917" s="23">
        <v>38164</v>
      </c>
      <c r="C917" s="24">
        <v>2004</v>
      </c>
      <c r="D917" s="351" t="s">
        <v>23</v>
      </c>
      <c r="E917" s="22" t="s">
        <v>86</v>
      </c>
      <c r="F917" s="7" t="s">
        <v>58</v>
      </c>
      <c r="G917" s="25" t="s">
        <v>1412</v>
      </c>
      <c r="H917" s="44" t="s">
        <v>1413</v>
      </c>
      <c r="I917" s="20">
        <v>0</v>
      </c>
      <c r="J917" s="20">
        <v>151</v>
      </c>
      <c r="K917" s="20">
        <v>31</v>
      </c>
      <c r="L917" s="20">
        <v>0</v>
      </c>
      <c r="M917" s="20">
        <v>0</v>
      </c>
      <c r="N917" s="20">
        <v>0</v>
      </c>
      <c r="O917" s="20">
        <v>0</v>
      </c>
      <c r="P917" s="26">
        <v>0.21</v>
      </c>
      <c r="Q917" s="35" t="s">
        <v>154</v>
      </c>
    </row>
    <row r="918" spans="1:17" ht="36" x14ac:dyDescent="0.25">
      <c r="A918" s="23">
        <v>38165</v>
      </c>
      <c r="B918" s="23">
        <v>38165</v>
      </c>
      <c r="C918" s="24">
        <v>2004</v>
      </c>
      <c r="D918" s="351" t="s">
        <v>23</v>
      </c>
      <c r="E918" s="22" t="s">
        <v>86</v>
      </c>
      <c r="F918" s="7" t="s">
        <v>56</v>
      </c>
      <c r="G918" s="25" t="s">
        <v>351</v>
      </c>
      <c r="H918" s="44" t="s">
        <v>1414</v>
      </c>
      <c r="I918" s="20">
        <v>0</v>
      </c>
      <c r="J918" s="20">
        <v>220</v>
      </c>
      <c r="K918" s="20">
        <v>44</v>
      </c>
      <c r="L918" s="20">
        <v>0</v>
      </c>
      <c r="M918" s="20">
        <v>0</v>
      </c>
      <c r="N918" s="20">
        <v>0</v>
      </c>
      <c r="O918" s="20">
        <v>0</v>
      </c>
      <c r="P918" s="26">
        <v>0.17</v>
      </c>
      <c r="Q918" s="35" t="s">
        <v>154</v>
      </c>
    </row>
    <row r="919" spans="1:17" ht="72" x14ac:dyDescent="0.25">
      <c r="A919" s="23">
        <v>38165</v>
      </c>
      <c r="B919" s="23">
        <v>38165</v>
      </c>
      <c r="C919" s="24">
        <v>2004</v>
      </c>
      <c r="D919" s="351" t="s">
        <v>23</v>
      </c>
      <c r="E919" s="22" t="s">
        <v>86</v>
      </c>
      <c r="F919" s="7" t="s">
        <v>60</v>
      </c>
      <c r="G919" s="25" t="s">
        <v>1415</v>
      </c>
      <c r="H919" s="44" t="s">
        <v>1416</v>
      </c>
      <c r="I919" s="20">
        <v>0</v>
      </c>
      <c r="J919" s="20">
        <v>102</v>
      </c>
      <c r="K919" s="20">
        <v>27</v>
      </c>
      <c r="L919" s="20">
        <v>0</v>
      </c>
      <c r="M919" s="20">
        <v>0</v>
      </c>
      <c r="N919" s="20">
        <v>0</v>
      </c>
      <c r="O919" s="20">
        <v>50</v>
      </c>
      <c r="P919" s="26">
        <v>0.1</v>
      </c>
      <c r="Q919" s="35" t="s">
        <v>154</v>
      </c>
    </row>
    <row r="920" spans="1:17" ht="60" x14ac:dyDescent="0.25">
      <c r="A920" s="23">
        <v>38165</v>
      </c>
      <c r="B920" s="23">
        <v>38165</v>
      </c>
      <c r="C920" s="24">
        <v>2004</v>
      </c>
      <c r="D920" s="351" t="s">
        <v>23</v>
      </c>
      <c r="E920" s="22" t="s">
        <v>86</v>
      </c>
      <c r="F920" s="7" t="s">
        <v>56</v>
      </c>
      <c r="G920" s="25" t="s">
        <v>1417</v>
      </c>
      <c r="H920" s="44" t="s">
        <v>1418</v>
      </c>
      <c r="I920" s="20">
        <v>0</v>
      </c>
      <c r="J920" s="20">
        <v>45</v>
      </c>
      <c r="K920" s="20">
        <v>9</v>
      </c>
      <c r="L920" s="20">
        <v>0</v>
      </c>
      <c r="M920" s="20">
        <v>0</v>
      </c>
      <c r="N920" s="20">
        <v>0</v>
      </c>
      <c r="O920" s="20">
        <v>0</v>
      </c>
      <c r="P920" s="26">
        <v>0.05</v>
      </c>
      <c r="Q920" s="35" t="s">
        <v>154</v>
      </c>
    </row>
    <row r="921" spans="1:17" ht="60" x14ac:dyDescent="0.25">
      <c r="A921" s="23">
        <v>38166</v>
      </c>
      <c r="B921" s="23">
        <v>38166</v>
      </c>
      <c r="C921" s="24">
        <v>2004</v>
      </c>
      <c r="D921" s="351" t="s">
        <v>23</v>
      </c>
      <c r="E921" s="22" t="s">
        <v>86</v>
      </c>
      <c r="F921" s="7" t="s">
        <v>53</v>
      </c>
      <c r="G921" s="25" t="s">
        <v>1304</v>
      </c>
      <c r="H921" s="44" t="s">
        <v>1419</v>
      </c>
      <c r="I921" s="20">
        <v>0</v>
      </c>
      <c r="J921" s="20">
        <v>50</v>
      </c>
      <c r="K921" s="20">
        <v>10</v>
      </c>
      <c r="L921" s="20">
        <v>0</v>
      </c>
      <c r="M921" s="20">
        <v>0</v>
      </c>
      <c r="N921" s="20">
        <v>0</v>
      </c>
      <c r="O921" s="20">
        <v>0</v>
      </c>
      <c r="P921" s="26">
        <v>0.09</v>
      </c>
      <c r="Q921" s="35" t="s">
        <v>154</v>
      </c>
    </row>
    <row r="922" spans="1:17" ht="72" x14ac:dyDescent="0.25">
      <c r="A922" s="23">
        <v>38166</v>
      </c>
      <c r="B922" s="23">
        <v>38166</v>
      </c>
      <c r="C922" s="24">
        <v>2004</v>
      </c>
      <c r="D922" s="351" t="s">
        <v>23</v>
      </c>
      <c r="E922" s="22" t="s">
        <v>86</v>
      </c>
      <c r="F922" s="7" t="s">
        <v>101</v>
      </c>
      <c r="G922" s="25" t="s">
        <v>1420</v>
      </c>
      <c r="H922" s="44" t="s">
        <v>1421</v>
      </c>
      <c r="I922" s="20">
        <v>0</v>
      </c>
      <c r="J922" s="20">
        <v>60</v>
      </c>
      <c r="K922" s="20">
        <v>18</v>
      </c>
      <c r="L922" s="20">
        <v>1</v>
      </c>
      <c r="M922" s="20">
        <v>0</v>
      </c>
      <c r="N922" s="20">
        <v>0</v>
      </c>
      <c r="O922" s="20">
        <v>0</v>
      </c>
      <c r="P922" s="26">
        <v>0.08</v>
      </c>
      <c r="Q922" s="35" t="s">
        <v>154</v>
      </c>
    </row>
    <row r="923" spans="1:17" ht="36" x14ac:dyDescent="0.25">
      <c r="A923" s="23">
        <v>38167</v>
      </c>
      <c r="B923" s="23">
        <v>38167</v>
      </c>
      <c r="C923" s="24">
        <v>2004</v>
      </c>
      <c r="D923" s="351" t="s">
        <v>23</v>
      </c>
      <c r="E923" s="22" t="s">
        <v>86</v>
      </c>
      <c r="F923" s="7" t="s">
        <v>25</v>
      </c>
      <c r="G923" s="25" t="s">
        <v>1422</v>
      </c>
      <c r="H923" s="44" t="s">
        <v>1423</v>
      </c>
      <c r="I923" s="20">
        <v>0</v>
      </c>
      <c r="J923" s="20">
        <v>50</v>
      </c>
      <c r="K923" s="20">
        <v>10</v>
      </c>
      <c r="L923" s="20">
        <v>0</v>
      </c>
      <c r="M923" s="20">
        <v>0</v>
      </c>
      <c r="N923" s="20">
        <v>0</v>
      </c>
      <c r="O923" s="20">
        <v>0</v>
      </c>
      <c r="P923" s="26">
        <v>0.04</v>
      </c>
      <c r="Q923" s="35" t="s">
        <v>154</v>
      </c>
    </row>
    <row r="924" spans="1:17" ht="72" x14ac:dyDescent="0.25">
      <c r="A924" s="23">
        <v>38168</v>
      </c>
      <c r="B924" s="23">
        <v>38168</v>
      </c>
      <c r="C924" s="24">
        <v>2004</v>
      </c>
      <c r="D924" s="351" t="s">
        <v>23</v>
      </c>
      <c r="E924" s="22" t="s">
        <v>86</v>
      </c>
      <c r="F924" s="7" t="s">
        <v>36</v>
      </c>
      <c r="G924" s="25" t="s">
        <v>1424</v>
      </c>
      <c r="H924" s="44" t="s">
        <v>1425</v>
      </c>
      <c r="I924" s="20">
        <v>0</v>
      </c>
      <c r="J924" s="20">
        <v>105</v>
      </c>
      <c r="K924" s="20">
        <v>21</v>
      </c>
      <c r="L924" s="20">
        <v>0</v>
      </c>
      <c r="M924" s="20">
        <v>0</v>
      </c>
      <c r="N924" s="20">
        <v>0</v>
      </c>
      <c r="O924" s="20">
        <v>0</v>
      </c>
      <c r="P924" s="26">
        <v>0.32</v>
      </c>
      <c r="Q924" s="35" t="s">
        <v>154</v>
      </c>
    </row>
    <row r="925" spans="1:17" ht="60" x14ac:dyDescent="0.25">
      <c r="A925" s="23">
        <v>38169</v>
      </c>
      <c r="B925" s="23">
        <v>38169</v>
      </c>
      <c r="C925" s="24">
        <v>2004</v>
      </c>
      <c r="D925" s="351" t="s">
        <v>23</v>
      </c>
      <c r="E925" s="22" t="s">
        <v>86</v>
      </c>
      <c r="F925" s="7" t="s">
        <v>56</v>
      </c>
      <c r="G925" s="25" t="s">
        <v>1426</v>
      </c>
      <c r="H925" s="44" t="s">
        <v>1427</v>
      </c>
      <c r="I925" s="20">
        <v>0</v>
      </c>
      <c r="J925" s="20">
        <v>354</v>
      </c>
      <c r="K925" s="20">
        <v>22</v>
      </c>
      <c r="L925" s="20">
        <v>0</v>
      </c>
      <c r="M925" s="20">
        <v>0</v>
      </c>
      <c r="N925" s="20">
        <v>0</v>
      </c>
      <c r="O925" s="20">
        <v>0</v>
      </c>
      <c r="P925" s="26">
        <v>0.08</v>
      </c>
      <c r="Q925" s="35" t="s">
        <v>154</v>
      </c>
    </row>
    <row r="926" spans="1:17" ht="60" x14ac:dyDescent="0.25">
      <c r="A926" s="23">
        <v>38169</v>
      </c>
      <c r="B926" s="23">
        <v>38169</v>
      </c>
      <c r="C926" s="24">
        <v>2004</v>
      </c>
      <c r="D926" s="351" t="s">
        <v>23</v>
      </c>
      <c r="E926" s="22" t="s">
        <v>86</v>
      </c>
      <c r="F926" s="7" t="s">
        <v>58</v>
      </c>
      <c r="G926" s="25" t="s">
        <v>1428</v>
      </c>
      <c r="H926" s="44" t="s">
        <v>1429</v>
      </c>
      <c r="I926" s="20">
        <v>0</v>
      </c>
      <c r="J926" s="20">
        <v>190</v>
      </c>
      <c r="K926" s="20">
        <v>38</v>
      </c>
      <c r="L926" s="20">
        <v>0</v>
      </c>
      <c r="M926" s="20">
        <v>0</v>
      </c>
      <c r="N926" s="20">
        <v>0</v>
      </c>
      <c r="O926" s="20">
        <v>0</v>
      </c>
      <c r="P926" s="26">
        <v>0.22</v>
      </c>
      <c r="Q926" s="35" t="s">
        <v>154</v>
      </c>
    </row>
    <row r="927" spans="1:17" ht="36" x14ac:dyDescent="0.25">
      <c r="A927" s="23">
        <v>38171</v>
      </c>
      <c r="B927" s="23">
        <v>38171</v>
      </c>
      <c r="C927" s="24">
        <v>2004</v>
      </c>
      <c r="D927" s="351" t="s">
        <v>23</v>
      </c>
      <c r="E927" s="22" t="s">
        <v>86</v>
      </c>
      <c r="F927" s="7" t="s">
        <v>62</v>
      </c>
      <c r="G927" s="25" t="s">
        <v>1430</v>
      </c>
      <c r="H927" s="44" t="s">
        <v>1431</v>
      </c>
      <c r="I927" s="20">
        <v>0</v>
      </c>
      <c r="J927" s="20">
        <v>50</v>
      </c>
      <c r="K927" s="20">
        <v>10</v>
      </c>
      <c r="L927" s="20">
        <v>0</v>
      </c>
      <c r="M927" s="20">
        <v>0</v>
      </c>
      <c r="N927" s="20">
        <v>0</v>
      </c>
      <c r="O927" s="20">
        <v>0</v>
      </c>
      <c r="P927" s="26">
        <v>0.06</v>
      </c>
      <c r="Q927" s="35" t="s">
        <v>154</v>
      </c>
    </row>
    <row r="928" spans="1:17" ht="60" x14ac:dyDescent="0.25">
      <c r="A928" s="23">
        <v>38172</v>
      </c>
      <c r="B928" s="23">
        <v>38172</v>
      </c>
      <c r="C928" s="24">
        <v>2004</v>
      </c>
      <c r="D928" s="351" t="s">
        <v>23</v>
      </c>
      <c r="E928" s="22" t="s">
        <v>86</v>
      </c>
      <c r="F928" s="7" t="s">
        <v>75</v>
      </c>
      <c r="G928" s="25" t="s">
        <v>1432</v>
      </c>
      <c r="H928" s="44" t="s">
        <v>1433</v>
      </c>
      <c r="I928" s="20">
        <v>0</v>
      </c>
      <c r="J928" s="20">
        <v>700</v>
      </c>
      <c r="K928" s="20">
        <v>140</v>
      </c>
      <c r="L928" s="20">
        <v>0</v>
      </c>
      <c r="M928" s="20">
        <v>0</v>
      </c>
      <c r="N928" s="20">
        <v>0</v>
      </c>
      <c r="O928" s="20">
        <v>0</v>
      </c>
      <c r="P928" s="26">
        <v>0.56000000000000005</v>
      </c>
      <c r="Q928" s="35" t="s">
        <v>154</v>
      </c>
    </row>
    <row r="929" spans="1:17" ht="84" x14ac:dyDescent="0.25">
      <c r="A929" s="23">
        <v>38175</v>
      </c>
      <c r="B929" s="23">
        <v>38175</v>
      </c>
      <c r="C929" s="24">
        <v>2004</v>
      </c>
      <c r="D929" s="351" t="s">
        <v>23</v>
      </c>
      <c r="E929" s="22" t="s">
        <v>86</v>
      </c>
      <c r="F929" s="7" t="s">
        <v>56</v>
      </c>
      <c r="G929" s="25" t="s">
        <v>1434</v>
      </c>
      <c r="H929" s="44" t="s">
        <v>1435</v>
      </c>
      <c r="I929" s="20">
        <v>0</v>
      </c>
      <c r="J929" s="20">
        <v>500</v>
      </c>
      <c r="K929" s="20">
        <v>100</v>
      </c>
      <c r="L929" s="20">
        <v>0</v>
      </c>
      <c r="M929" s="20">
        <v>0</v>
      </c>
      <c r="N929" s="20">
        <v>0</v>
      </c>
      <c r="O929" s="20">
        <v>0</v>
      </c>
      <c r="P929" s="26">
        <v>0.6</v>
      </c>
      <c r="Q929" s="35" t="s">
        <v>154</v>
      </c>
    </row>
    <row r="930" spans="1:17" ht="60" x14ac:dyDescent="0.25">
      <c r="A930" s="23">
        <v>38177</v>
      </c>
      <c r="B930" s="23">
        <v>38177</v>
      </c>
      <c r="C930" s="24">
        <v>2004</v>
      </c>
      <c r="D930" s="351" t="s">
        <v>23</v>
      </c>
      <c r="E930" s="22" t="s">
        <v>86</v>
      </c>
      <c r="F930" s="28" t="s">
        <v>157</v>
      </c>
      <c r="G930" s="25" t="s">
        <v>1436</v>
      </c>
      <c r="H930" s="44" t="s">
        <v>1437</v>
      </c>
      <c r="I930" s="20">
        <v>0</v>
      </c>
      <c r="J930" s="20">
        <v>50</v>
      </c>
      <c r="K930" s="20">
        <v>10</v>
      </c>
      <c r="L930" s="20">
        <v>0</v>
      </c>
      <c r="M930" s="20">
        <v>0</v>
      </c>
      <c r="N930" s="20">
        <v>0</v>
      </c>
      <c r="O930" s="20">
        <v>0</v>
      </c>
      <c r="P930" s="26">
        <v>0.06</v>
      </c>
      <c r="Q930" s="35" t="s">
        <v>154</v>
      </c>
    </row>
    <row r="931" spans="1:17" ht="84" x14ac:dyDescent="0.25">
      <c r="A931" s="23">
        <v>38180</v>
      </c>
      <c r="B931" s="23">
        <v>38180</v>
      </c>
      <c r="C931" s="24">
        <v>2004</v>
      </c>
      <c r="D931" s="351" t="s">
        <v>23</v>
      </c>
      <c r="E931" s="22" t="s">
        <v>86</v>
      </c>
      <c r="F931" s="7" t="s">
        <v>87</v>
      </c>
      <c r="G931" s="25" t="s">
        <v>1438</v>
      </c>
      <c r="H931" s="44" t="s">
        <v>1439</v>
      </c>
      <c r="I931" s="20">
        <v>0</v>
      </c>
      <c r="J931" s="20">
        <v>165</v>
      </c>
      <c r="K931" s="20">
        <v>33</v>
      </c>
      <c r="L931" s="20">
        <v>0</v>
      </c>
      <c r="M931" s="20">
        <v>0</v>
      </c>
      <c r="N931" s="20">
        <v>0</v>
      </c>
      <c r="O931" s="20">
        <v>300</v>
      </c>
      <c r="P931" s="26">
        <v>4.7</v>
      </c>
      <c r="Q931" s="35" t="s">
        <v>154</v>
      </c>
    </row>
    <row r="932" spans="1:17" ht="48" x14ac:dyDescent="0.25">
      <c r="A932" s="23">
        <v>38181</v>
      </c>
      <c r="B932" s="23">
        <v>38181</v>
      </c>
      <c r="C932" s="24">
        <v>2004</v>
      </c>
      <c r="D932" s="351" t="s">
        <v>23</v>
      </c>
      <c r="E932" s="22" t="s">
        <v>86</v>
      </c>
      <c r="F932" s="7" t="s">
        <v>49</v>
      </c>
      <c r="G932" s="25" t="s">
        <v>1440</v>
      </c>
      <c r="H932" s="44" t="s">
        <v>1441</v>
      </c>
      <c r="I932" s="20">
        <v>0</v>
      </c>
      <c r="J932" s="20">
        <v>576</v>
      </c>
      <c r="K932" s="20">
        <v>144</v>
      </c>
      <c r="L932" s="20">
        <v>0</v>
      </c>
      <c r="M932" s="20">
        <v>0</v>
      </c>
      <c r="N932" s="20">
        <v>0</v>
      </c>
      <c r="O932" s="20">
        <v>0</v>
      </c>
      <c r="P932" s="26">
        <v>0.86</v>
      </c>
      <c r="Q932" s="35" t="s">
        <v>154</v>
      </c>
    </row>
    <row r="933" spans="1:17" ht="72" x14ac:dyDescent="0.25">
      <c r="A933" s="23">
        <v>38183</v>
      </c>
      <c r="B933" s="23">
        <v>38183</v>
      </c>
      <c r="C933" s="24">
        <v>2004</v>
      </c>
      <c r="D933" s="351" t="s">
        <v>23</v>
      </c>
      <c r="E933" s="22" t="s">
        <v>86</v>
      </c>
      <c r="F933" s="7" t="s">
        <v>87</v>
      </c>
      <c r="G933" s="25" t="s">
        <v>567</v>
      </c>
      <c r="H933" s="44" t="s">
        <v>1442</v>
      </c>
      <c r="I933" s="20">
        <v>0</v>
      </c>
      <c r="J933" s="20">
        <v>125</v>
      </c>
      <c r="K933" s="20">
        <v>25</v>
      </c>
      <c r="L933" s="20">
        <v>0</v>
      </c>
      <c r="M933" s="20">
        <v>0</v>
      </c>
      <c r="N933" s="20">
        <v>0</v>
      </c>
      <c r="O933" s="20">
        <v>0</v>
      </c>
      <c r="P933" s="26">
        <v>0.17</v>
      </c>
      <c r="Q933" s="35" t="s">
        <v>154</v>
      </c>
    </row>
    <row r="934" spans="1:17" ht="48" x14ac:dyDescent="0.25">
      <c r="A934" s="23">
        <v>38185</v>
      </c>
      <c r="B934" s="23">
        <v>38185</v>
      </c>
      <c r="C934" s="24">
        <v>2004</v>
      </c>
      <c r="D934" s="351" t="s">
        <v>23</v>
      </c>
      <c r="E934" s="22" t="s">
        <v>86</v>
      </c>
      <c r="F934" s="28" t="s">
        <v>157</v>
      </c>
      <c r="G934" s="25" t="s">
        <v>1443</v>
      </c>
      <c r="H934" s="44" t="s">
        <v>1444</v>
      </c>
      <c r="I934" s="20">
        <v>0</v>
      </c>
      <c r="J934" s="20">
        <v>350</v>
      </c>
      <c r="K934" s="20">
        <v>70</v>
      </c>
      <c r="L934" s="20">
        <v>0</v>
      </c>
      <c r="M934" s="20">
        <v>0</v>
      </c>
      <c r="N934" s="20">
        <v>0</v>
      </c>
      <c r="O934" s="20">
        <v>0</v>
      </c>
      <c r="P934" s="26">
        <v>0.42</v>
      </c>
      <c r="Q934" s="35" t="s">
        <v>154</v>
      </c>
    </row>
    <row r="935" spans="1:17" ht="48" x14ac:dyDescent="0.25">
      <c r="A935" s="23">
        <v>38190</v>
      </c>
      <c r="B935" s="23">
        <v>38190</v>
      </c>
      <c r="C935" s="24">
        <v>2004</v>
      </c>
      <c r="D935" s="351" t="s">
        <v>23</v>
      </c>
      <c r="E935" s="22" t="s">
        <v>86</v>
      </c>
      <c r="F935" s="7" t="s">
        <v>49</v>
      </c>
      <c r="G935" s="25" t="s">
        <v>1445</v>
      </c>
      <c r="H935" s="44" t="s">
        <v>1446</v>
      </c>
      <c r="I935" s="20">
        <v>0</v>
      </c>
      <c r="J935" s="20">
        <v>150</v>
      </c>
      <c r="K935" s="20">
        <v>30</v>
      </c>
      <c r="L935" s="20">
        <v>0</v>
      </c>
      <c r="M935" s="20">
        <v>0</v>
      </c>
      <c r="N935" s="20">
        <v>0</v>
      </c>
      <c r="O935" s="20">
        <v>0</v>
      </c>
      <c r="P935" s="26">
        <v>0.3</v>
      </c>
      <c r="Q935" s="35" t="s">
        <v>154</v>
      </c>
    </row>
    <row r="936" spans="1:17" ht="84" x14ac:dyDescent="0.25">
      <c r="A936" s="23">
        <v>38190</v>
      </c>
      <c r="B936" s="23">
        <v>38190</v>
      </c>
      <c r="C936" s="24">
        <v>2004</v>
      </c>
      <c r="D936" s="351" t="s">
        <v>23</v>
      </c>
      <c r="E936" s="22" t="s">
        <v>86</v>
      </c>
      <c r="F936" s="7" t="s">
        <v>87</v>
      </c>
      <c r="G936" s="25" t="s">
        <v>110</v>
      </c>
      <c r="H936" s="44" t="s">
        <v>1447</v>
      </c>
      <c r="I936" s="20">
        <v>3</v>
      </c>
      <c r="J936" s="20">
        <v>3</v>
      </c>
      <c r="K936" s="20">
        <v>0</v>
      </c>
      <c r="L936" s="20">
        <v>0</v>
      </c>
      <c r="M936" s="20">
        <v>0</v>
      </c>
      <c r="N936" s="20">
        <v>0</v>
      </c>
      <c r="O936" s="20">
        <v>0</v>
      </c>
      <c r="P936" s="26">
        <v>0</v>
      </c>
      <c r="Q936" s="35" t="s">
        <v>154</v>
      </c>
    </row>
    <row r="937" spans="1:17" ht="60" x14ac:dyDescent="0.25">
      <c r="A937" s="23">
        <v>38191</v>
      </c>
      <c r="B937" s="23">
        <v>38191</v>
      </c>
      <c r="C937" s="24">
        <v>2004</v>
      </c>
      <c r="D937" s="351" t="s">
        <v>23</v>
      </c>
      <c r="E937" s="22" t="s">
        <v>86</v>
      </c>
      <c r="F937" s="7" t="s">
        <v>65</v>
      </c>
      <c r="G937" s="25" t="s">
        <v>1448</v>
      </c>
      <c r="H937" s="44" t="s">
        <v>1449</v>
      </c>
      <c r="I937" s="20">
        <v>2</v>
      </c>
      <c r="J937" s="20">
        <v>704</v>
      </c>
      <c r="K937" s="20">
        <v>140</v>
      </c>
      <c r="L937" s="20">
        <v>0</v>
      </c>
      <c r="M937" s="20">
        <v>0</v>
      </c>
      <c r="N937" s="20">
        <v>0</v>
      </c>
      <c r="O937" s="20">
        <v>0</v>
      </c>
      <c r="P937" s="26">
        <v>0.56000000000000005</v>
      </c>
      <c r="Q937" s="35" t="s">
        <v>154</v>
      </c>
    </row>
    <row r="938" spans="1:17" ht="48" x14ac:dyDescent="0.25">
      <c r="A938" s="23">
        <v>38195</v>
      </c>
      <c r="B938" s="23">
        <v>38195</v>
      </c>
      <c r="C938" s="24">
        <v>2004</v>
      </c>
      <c r="D938" s="351" t="s">
        <v>23</v>
      </c>
      <c r="E938" s="22" t="s">
        <v>86</v>
      </c>
      <c r="F938" s="7" t="s">
        <v>40</v>
      </c>
      <c r="G938" s="25" t="s">
        <v>40</v>
      </c>
      <c r="H938" s="44" t="s">
        <v>1450</v>
      </c>
      <c r="I938" s="20">
        <v>0</v>
      </c>
      <c r="J938" s="20">
        <v>300</v>
      </c>
      <c r="K938" s="20">
        <v>60</v>
      </c>
      <c r="L938" s="20">
        <v>0</v>
      </c>
      <c r="M938" s="20">
        <v>0</v>
      </c>
      <c r="N938" s="20">
        <v>0</v>
      </c>
      <c r="O938" s="20">
        <v>0</v>
      </c>
      <c r="P938" s="26">
        <v>0.36</v>
      </c>
      <c r="Q938" s="35" t="s">
        <v>154</v>
      </c>
    </row>
    <row r="939" spans="1:17" ht="48" x14ac:dyDescent="0.25">
      <c r="A939" s="23">
        <v>38195</v>
      </c>
      <c r="B939" s="23">
        <v>38195</v>
      </c>
      <c r="C939" s="24">
        <v>2004</v>
      </c>
      <c r="D939" s="351" t="s">
        <v>23</v>
      </c>
      <c r="E939" s="22" t="s">
        <v>86</v>
      </c>
      <c r="F939" s="7" t="s">
        <v>53</v>
      </c>
      <c r="G939" s="25" t="s">
        <v>1451</v>
      </c>
      <c r="H939" s="44" t="s">
        <v>1452</v>
      </c>
      <c r="I939" s="20">
        <v>0</v>
      </c>
      <c r="J939" s="20">
        <v>25</v>
      </c>
      <c r="K939" s="20">
        <v>5</v>
      </c>
      <c r="L939" s="20">
        <v>0</v>
      </c>
      <c r="M939" s="20">
        <v>0</v>
      </c>
      <c r="N939" s="20">
        <v>0</v>
      </c>
      <c r="O939" s="20">
        <v>0</v>
      </c>
      <c r="P939" s="26">
        <v>0.05</v>
      </c>
      <c r="Q939" s="35" t="s">
        <v>154</v>
      </c>
    </row>
    <row r="940" spans="1:17" ht="48" x14ac:dyDescent="0.25">
      <c r="A940" s="23">
        <v>38195</v>
      </c>
      <c r="B940" s="23">
        <v>38195</v>
      </c>
      <c r="C940" s="24">
        <v>2004</v>
      </c>
      <c r="D940" s="351" t="s">
        <v>23</v>
      </c>
      <c r="E940" s="22" t="s">
        <v>86</v>
      </c>
      <c r="F940" s="7" t="s">
        <v>84</v>
      </c>
      <c r="G940" s="25" t="s">
        <v>1453</v>
      </c>
      <c r="H940" s="44" t="s">
        <v>1454</v>
      </c>
      <c r="I940" s="20">
        <v>1</v>
      </c>
      <c r="J940" s="20">
        <v>1</v>
      </c>
      <c r="K940" s="20">
        <v>0</v>
      </c>
      <c r="L940" s="20">
        <v>0</v>
      </c>
      <c r="M940" s="20">
        <v>0</v>
      </c>
      <c r="N940" s="20">
        <v>0</v>
      </c>
      <c r="O940" s="20">
        <v>0</v>
      </c>
      <c r="P940" s="26">
        <v>0</v>
      </c>
      <c r="Q940" s="35" t="s">
        <v>154</v>
      </c>
    </row>
    <row r="941" spans="1:17" ht="36" x14ac:dyDescent="0.25">
      <c r="A941" s="23">
        <v>38196</v>
      </c>
      <c r="B941" s="23">
        <v>38196</v>
      </c>
      <c r="C941" s="24">
        <v>2004</v>
      </c>
      <c r="D941" s="351" t="s">
        <v>23</v>
      </c>
      <c r="E941" s="22" t="s">
        <v>86</v>
      </c>
      <c r="F941" s="7" t="s">
        <v>25</v>
      </c>
      <c r="G941" s="25" t="s">
        <v>1455</v>
      </c>
      <c r="H941" s="44" t="s">
        <v>1456</v>
      </c>
      <c r="I941" s="20">
        <v>0</v>
      </c>
      <c r="J941" s="20">
        <v>240</v>
      </c>
      <c r="K941" s="20">
        <v>48</v>
      </c>
      <c r="L941" s="20">
        <v>0</v>
      </c>
      <c r="M941" s="20">
        <v>0</v>
      </c>
      <c r="N941" s="20">
        <v>0</v>
      </c>
      <c r="O941" s="20">
        <v>0</v>
      </c>
      <c r="P941" s="26">
        <v>0.19</v>
      </c>
      <c r="Q941" s="35" t="s">
        <v>154</v>
      </c>
    </row>
    <row r="942" spans="1:17" ht="48" x14ac:dyDescent="0.25">
      <c r="A942" s="23">
        <v>38196</v>
      </c>
      <c r="B942" s="23">
        <v>38196</v>
      </c>
      <c r="C942" s="24">
        <v>2004</v>
      </c>
      <c r="D942" s="351" t="s">
        <v>23</v>
      </c>
      <c r="E942" s="22" t="s">
        <v>86</v>
      </c>
      <c r="F942" s="7" t="s">
        <v>87</v>
      </c>
      <c r="G942" s="25" t="s">
        <v>1457</v>
      </c>
      <c r="H942" s="44" t="s">
        <v>1458</v>
      </c>
      <c r="I942" s="20">
        <v>0</v>
      </c>
      <c r="J942" s="20">
        <v>17</v>
      </c>
      <c r="K942" s="20">
        <v>7</v>
      </c>
      <c r="L942" s="20">
        <v>0</v>
      </c>
      <c r="M942" s="20">
        <v>0</v>
      </c>
      <c r="N942" s="20">
        <v>0</v>
      </c>
      <c r="O942" s="20">
        <v>0</v>
      </c>
      <c r="P942" s="26">
        <v>0.02</v>
      </c>
      <c r="Q942" s="35" t="s">
        <v>154</v>
      </c>
    </row>
    <row r="943" spans="1:17" ht="60" x14ac:dyDescent="0.25">
      <c r="A943" s="23">
        <v>38196</v>
      </c>
      <c r="B943" s="23">
        <v>38196</v>
      </c>
      <c r="C943" s="24">
        <v>2004</v>
      </c>
      <c r="D943" s="351" t="s">
        <v>23</v>
      </c>
      <c r="E943" s="22" t="s">
        <v>86</v>
      </c>
      <c r="F943" s="7" t="s">
        <v>65</v>
      </c>
      <c r="G943" s="25" t="s">
        <v>1459</v>
      </c>
      <c r="H943" s="44" t="s">
        <v>1460</v>
      </c>
      <c r="I943" s="20">
        <v>0</v>
      </c>
      <c r="J943" s="20">
        <v>150</v>
      </c>
      <c r="K943" s="20">
        <v>30</v>
      </c>
      <c r="L943" s="20">
        <v>0</v>
      </c>
      <c r="M943" s="20">
        <v>0</v>
      </c>
      <c r="N943" s="20">
        <v>0</v>
      </c>
      <c r="O943" s="20">
        <v>0</v>
      </c>
      <c r="P943" s="26">
        <v>0.14000000000000001</v>
      </c>
      <c r="Q943" s="35" t="s">
        <v>154</v>
      </c>
    </row>
    <row r="944" spans="1:17" ht="48" x14ac:dyDescent="0.25">
      <c r="A944" s="23">
        <v>38197</v>
      </c>
      <c r="B944" s="23">
        <v>38197</v>
      </c>
      <c r="C944" s="24">
        <v>2004</v>
      </c>
      <c r="D944" s="351" t="s">
        <v>23</v>
      </c>
      <c r="E944" s="22" t="s">
        <v>86</v>
      </c>
      <c r="F944" s="7" t="s">
        <v>101</v>
      </c>
      <c r="G944" s="25" t="s">
        <v>1461</v>
      </c>
      <c r="H944" s="44" t="s">
        <v>1462</v>
      </c>
      <c r="I944" s="20">
        <v>1</v>
      </c>
      <c r="J944" s="20">
        <v>0</v>
      </c>
      <c r="K944" s="20">
        <v>0</v>
      </c>
      <c r="L944" s="20">
        <v>0</v>
      </c>
      <c r="M944" s="20">
        <v>0</v>
      </c>
      <c r="N944" s="20">
        <v>0</v>
      </c>
      <c r="O944" s="20">
        <v>0</v>
      </c>
      <c r="P944" s="26">
        <v>0</v>
      </c>
      <c r="Q944" s="35" t="s">
        <v>154</v>
      </c>
    </row>
    <row r="945" spans="1:17" ht="48" x14ac:dyDescent="0.25">
      <c r="A945" s="23">
        <v>38218</v>
      </c>
      <c r="B945" s="23">
        <v>38219</v>
      </c>
      <c r="C945" s="24">
        <v>2004</v>
      </c>
      <c r="D945" s="351" t="s">
        <v>23</v>
      </c>
      <c r="E945" s="22" t="s">
        <v>86</v>
      </c>
      <c r="F945" s="7" t="s">
        <v>53</v>
      </c>
      <c r="G945" s="44" t="s">
        <v>1463</v>
      </c>
      <c r="H945" s="44" t="s">
        <v>1464</v>
      </c>
      <c r="I945" s="20">
        <v>0</v>
      </c>
      <c r="J945" s="20">
        <v>64</v>
      </c>
      <c r="K945" s="20">
        <v>16</v>
      </c>
      <c r="L945" s="20">
        <v>0</v>
      </c>
      <c r="M945" s="20">
        <v>0</v>
      </c>
      <c r="N945" s="20">
        <v>0</v>
      </c>
      <c r="O945" s="20">
        <v>0</v>
      </c>
      <c r="P945" s="26">
        <v>0.16</v>
      </c>
      <c r="Q945" s="35" t="s">
        <v>154</v>
      </c>
    </row>
    <row r="946" spans="1:17" ht="156" x14ac:dyDescent="0.25">
      <c r="A946" s="23">
        <v>38215</v>
      </c>
      <c r="B946" s="23">
        <v>38215</v>
      </c>
      <c r="C946" s="24">
        <v>2004</v>
      </c>
      <c r="D946" s="351" t="s">
        <v>23</v>
      </c>
      <c r="E946" s="22" t="s">
        <v>86</v>
      </c>
      <c r="F946" s="7" t="s">
        <v>40</v>
      </c>
      <c r="G946" s="25" t="s">
        <v>1465</v>
      </c>
      <c r="H946" s="44" t="s">
        <v>1466</v>
      </c>
      <c r="I946" s="20">
        <v>2</v>
      </c>
      <c r="J946" s="20">
        <v>500</v>
      </c>
      <c r="K946" s="20">
        <v>168</v>
      </c>
      <c r="L946" s="20">
        <v>0</v>
      </c>
      <c r="M946" s="20">
        <v>0</v>
      </c>
      <c r="N946" s="20">
        <v>0</v>
      </c>
      <c r="O946" s="20">
        <v>219</v>
      </c>
      <c r="P946" s="26">
        <v>30.53</v>
      </c>
      <c r="Q946" s="35" t="s">
        <v>154</v>
      </c>
    </row>
    <row r="947" spans="1:17" ht="48" x14ac:dyDescent="0.25">
      <c r="A947" s="23">
        <v>38218</v>
      </c>
      <c r="B947" s="23">
        <v>38218</v>
      </c>
      <c r="C947" s="24">
        <v>2004</v>
      </c>
      <c r="D947" s="351" t="s">
        <v>23</v>
      </c>
      <c r="E947" s="22" t="s">
        <v>86</v>
      </c>
      <c r="F947" s="7" t="s">
        <v>60</v>
      </c>
      <c r="G947" s="25" t="s">
        <v>1467</v>
      </c>
      <c r="H947" s="44" t="s">
        <v>1468</v>
      </c>
      <c r="I947" s="20">
        <v>0</v>
      </c>
      <c r="J947" s="20">
        <v>7</v>
      </c>
      <c r="K947" s="20">
        <v>1</v>
      </c>
      <c r="L947" s="20">
        <v>0</v>
      </c>
      <c r="M947" s="20">
        <v>0</v>
      </c>
      <c r="N947" s="20">
        <v>0</v>
      </c>
      <c r="O947" s="20">
        <v>0</v>
      </c>
      <c r="P947" s="26">
        <v>0.01</v>
      </c>
      <c r="Q947" s="35" t="s">
        <v>154</v>
      </c>
    </row>
    <row r="948" spans="1:17" ht="60" x14ac:dyDescent="0.25">
      <c r="A948" s="23">
        <v>38219</v>
      </c>
      <c r="B948" s="23">
        <v>38219</v>
      </c>
      <c r="C948" s="24">
        <v>2004</v>
      </c>
      <c r="D948" s="351" t="s">
        <v>23</v>
      </c>
      <c r="E948" s="22" t="s">
        <v>86</v>
      </c>
      <c r="F948" s="7" t="s">
        <v>62</v>
      </c>
      <c r="G948" s="25" t="s">
        <v>857</v>
      </c>
      <c r="H948" s="44" t="s">
        <v>1469</v>
      </c>
      <c r="I948" s="20">
        <v>0</v>
      </c>
      <c r="J948" s="20">
        <v>100</v>
      </c>
      <c r="K948" s="20">
        <v>20</v>
      </c>
      <c r="L948" s="20">
        <v>0</v>
      </c>
      <c r="M948" s="20">
        <v>0</v>
      </c>
      <c r="N948" s="20">
        <v>0</v>
      </c>
      <c r="O948" s="20">
        <v>0</v>
      </c>
      <c r="P948" s="26">
        <v>0.08</v>
      </c>
      <c r="Q948" s="35" t="s">
        <v>154</v>
      </c>
    </row>
    <row r="949" spans="1:17" ht="60" x14ac:dyDescent="0.25">
      <c r="A949" s="23">
        <v>38221</v>
      </c>
      <c r="B949" s="23">
        <v>38221</v>
      </c>
      <c r="C949" s="24">
        <v>2004</v>
      </c>
      <c r="D949" s="351" t="s">
        <v>23</v>
      </c>
      <c r="E949" s="22" t="s">
        <v>86</v>
      </c>
      <c r="F949" s="7" t="s">
        <v>82</v>
      </c>
      <c r="G949" s="25" t="s">
        <v>1470</v>
      </c>
      <c r="H949" s="44" t="s">
        <v>1471</v>
      </c>
      <c r="I949" s="20">
        <v>0</v>
      </c>
      <c r="J949" s="20">
        <v>85</v>
      </c>
      <c r="K949" s="20">
        <v>17</v>
      </c>
      <c r="L949" s="20">
        <v>0</v>
      </c>
      <c r="M949" s="20">
        <v>0</v>
      </c>
      <c r="N949" s="20">
        <v>0</v>
      </c>
      <c r="O949" s="20">
        <v>0</v>
      </c>
      <c r="P949" s="26">
        <v>0.06</v>
      </c>
      <c r="Q949" s="35" t="s">
        <v>154</v>
      </c>
    </row>
    <row r="950" spans="1:17" ht="72" x14ac:dyDescent="0.25">
      <c r="A950" s="23">
        <v>38222</v>
      </c>
      <c r="B950" s="23">
        <v>38222</v>
      </c>
      <c r="C950" s="24">
        <v>2004</v>
      </c>
      <c r="D950" s="351" t="s">
        <v>23</v>
      </c>
      <c r="E950" s="22" t="s">
        <v>86</v>
      </c>
      <c r="F950" s="7" t="s">
        <v>58</v>
      </c>
      <c r="G950" s="25" t="s">
        <v>1472</v>
      </c>
      <c r="H950" s="44" t="s">
        <v>1473</v>
      </c>
      <c r="I950" s="20">
        <v>0</v>
      </c>
      <c r="J950" s="20">
        <v>5</v>
      </c>
      <c r="K950" s="20">
        <v>1</v>
      </c>
      <c r="L950" s="20">
        <v>0</v>
      </c>
      <c r="M950" s="20">
        <v>0</v>
      </c>
      <c r="N950" s="20">
        <v>0</v>
      </c>
      <c r="O950" s="20">
        <v>0</v>
      </c>
      <c r="P950" s="26">
        <v>0.04</v>
      </c>
      <c r="Q950" s="35" t="s">
        <v>154</v>
      </c>
    </row>
    <row r="951" spans="1:17" ht="96" x14ac:dyDescent="0.25">
      <c r="A951" s="23">
        <v>38222</v>
      </c>
      <c r="B951" s="23">
        <v>38222</v>
      </c>
      <c r="C951" s="24">
        <v>2004</v>
      </c>
      <c r="D951" s="351" t="s">
        <v>23</v>
      </c>
      <c r="E951" s="22" t="s">
        <v>86</v>
      </c>
      <c r="F951" s="7" t="s">
        <v>60</v>
      </c>
      <c r="G951" s="25" t="s">
        <v>1474</v>
      </c>
      <c r="H951" s="44" t="s">
        <v>1475</v>
      </c>
      <c r="I951" s="20">
        <v>0</v>
      </c>
      <c r="J951" s="20">
        <v>25</v>
      </c>
      <c r="K951" s="20">
        <v>5</v>
      </c>
      <c r="L951" s="20">
        <v>0</v>
      </c>
      <c r="M951" s="20">
        <v>0</v>
      </c>
      <c r="N951" s="20">
        <v>0</v>
      </c>
      <c r="O951" s="20">
        <v>0</v>
      </c>
      <c r="P951" s="26">
        <v>0.23</v>
      </c>
      <c r="Q951" s="35" t="s">
        <v>154</v>
      </c>
    </row>
    <row r="952" spans="1:17" ht="48" x14ac:dyDescent="0.25">
      <c r="A952" s="23">
        <v>38224</v>
      </c>
      <c r="B952" s="23">
        <v>38224</v>
      </c>
      <c r="C952" s="24">
        <v>2004</v>
      </c>
      <c r="D952" s="351" t="s">
        <v>23</v>
      </c>
      <c r="E952" s="22" t="s">
        <v>86</v>
      </c>
      <c r="F952" s="7" t="s">
        <v>62</v>
      </c>
      <c r="G952" s="25" t="s">
        <v>665</v>
      </c>
      <c r="H952" s="44" t="s">
        <v>1476</v>
      </c>
      <c r="I952" s="20">
        <v>0</v>
      </c>
      <c r="J952" s="20">
        <v>45</v>
      </c>
      <c r="K952" s="20">
        <v>9</v>
      </c>
      <c r="L952" s="20">
        <v>0</v>
      </c>
      <c r="M952" s="20">
        <v>0</v>
      </c>
      <c r="N952" s="20">
        <v>0</v>
      </c>
      <c r="O952" s="20">
        <v>0</v>
      </c>
      <c r="P952" s="26">
        <v>0.05</v>
      </c>
      <c r="Q952" s="35" t="s">
        <v>154</v>
      </c>
    </row>
    <row r="953" spans="1:17" ht="48" x14ac:dyDescent="0.25">
      <c r="A953" s="23">
        <v>38225</v>
      </c>
      <c r="B953" s="23">
        <v>38225</v>
      </c>
      <c r="C953" s="24">
        <v>2004</v>
      </c>
      <c r="D953" s="351" t="s">
        <v>23</v>
      </c>
      <c r="E953" s="22" t="s">
        <v>86</v>
      </c>
      <c r="F953" s="28" t="s">
        <v>151</v>
      </c>
      <c r="G953" s="25" t="s">
        <v>1477</v>
      </c>
      <c r="H953" s="44" t="s">
        <v>1478</v>
      </c>
      <c r="I953" s="20">
        <v>0</v>
      </c>
      <c r="J953" s="20">
        <v>75</v>
      </c>
      <c r="K953" s="20">
        <v>15</v>
      </c>
      <c r="L953" s="20">
        <v>0</v>
      </c>
      <c r="M953" s="20">
        <v>0</v>
      </c>
      <c r="N953" s="20">
        <v>0</v>
      </c>
      <c r="O953" s="20">
        <v>0</v>
      </c>
      <c r="P953" s="26">
        <v>0.06</v>
      </c>
      <c r="Q953" s="35" t="s">
        <v>154</v>
      </c>
    </row>
    <row r="954" spans="1:17" ht="60" x14ac:dyDescent="0.25">
      <c r="A954" s="23">
        <v>38226</v>
      </c>
      <c r="B954" s="23">
        <v>38226</v>
      </c>
      <c r="C954" s="24">
        <v>2004</v>
      </c>
      <c r="D954" s="351" t="s">
        <v>23</v>
      </c>
      <c r="E954" s="22" t="s">
        <v>86</v>
      </c>
      <c r="F954" s="7" t="s">
        <v>40</v>
      </c>
      <c r="G954" s="25" t="s">
        <v>1479</v>
      </c>
      <c r="H954" s="44" t="s">
        <v>1480</v>
      </c>
      <c r="I954" s="20">
        <v>0</v>
      </c>
      <c r="J954" s="20">
        <v>50</v>
      </c>
      <c r="K954" s="20">
        <v>10</v>
      </c>
      <c r="L954" s="20">
        <v>0</v>
      </c>
      <c r="M954" s="20">
        <v>0</v>
      </c>
      <c r="N954" s="20">
        <v>0</v>
      </c>
      <c r="O954" s="20">
        <v>0</v>
      </c>
      <c r="P954" s="26">
        <v>0.06</v>
      </c>
      <c r="Q954" s="35" t="s">
        <v>154</v>
      </c>
    </row>
    <row r="955" spans="1:17" ht="84" x14ac:dyDescent="0.25">
      <c r="A955" s="23">
        <v>38227</v>
      </c>
      <c r="B955" s="23">
        <v>38227</v>
      </c>
      <c r="C955" s="24">
        <v>2004</v>
      </c>
      <c r="D955" s="351" t="s">
        <v>23</v>
      </c>
      <c r="E955" s="22" t="s">
        <v>86</v>
      </c>
      <c r="F955" s="7" t="s">
        <v>87</v>
      </c>
      <c r="G955" s="25" t="s">
        <v>1481</v>
      </c>
      <c r="H955" s="44" t="s">
        <v>1482</v>
      </c>
      <c r="I955" s="20">
        <v>0</v>
      </c>
      <c r="J955" s="20">
        <v>180</v>
      </c>
      <c r="K955" s="20">
        <v>36</v>
      </c>
      <c r="L955" s="20">
        <v>0</v>
      </c>
      <c r="M955" s="20">
        <v>0</v>
      </c>
      <c r="N955" s="20">
        <v>0</v>
      </c>
      <c r="O955" s="20">
        <v>0</v>
      </c>
      <c r="P955" s="26">
        <v>0.14000000000000001</v>
      </c>
      <c r="Q955" s="35" t="s">
        <v>154</v>
      </c>
    </row>
    <row r="956" spans="1:17" ht="60" x14ac:dyDescent="0.25">
      <c r="A956" s="23">
        <v>38231</v>
      </c>
      <c r="B956" s="23">
        <v>38232</v>
      </c>
      <c r="C956" s="24">
        <v>2004</v>
      </c>
      <c r="D956" s="351" t="s">
        <v>23</v>
      </c>
      <c r="E956" s="22" t="s">
        <v>86</v>
      </c>
      <c r="F956" s="7" t="s">
        <v>68</v>
      </c>
      <c r="G956" s="25" t="s">
        <v>1483</v>
      </c>
      <c r="H956" s="44" t="s">
        <v>1484</v>
      </c>
      <c r="I956" s="20">
        <v>0</v>
      </c>
      <c r="J956" s="20">
        <v>21</v>
      </c>
      <c r="K956" s="20">
        <v>0</v>
      </c>
      <c r="L956" s="20">
        <v>0</v>
      </c>
      <c r="M956" s="20">
        <v>0</v>
      </c>
      <c r="N956" s="20">
        <v>0</v>
      </c>
      <c r="O956" s="20">
        <v>0</v>
      </c>
      <c r="P956" s="26">
        <v>0</v>
      </c>
      <c r="Q956" s="35" t="s">
        <v>154</v>
      </c>
    </row>
    <row r="957" spans="1:17" ht="108" x14ac:dyDescent="0.25">
      <c r="A957" s="23">
        <v>38232</v>
      </c>
      <c r="B957" s="23">
        <v>38234</v>
      </c>
      <c r="C957" s="24">
        <v>2004</v>
      </c>
      <c r="D957" s="351" t="s">
        <v>23</v>
      </c>
      <c r="E957" s="22" t="s">
        <v>86</v>
      </c>
      <c r="F957" s="7" t="s">
        <v>56</v>
      </c>
      <c r="G957" s="25" t="s">
        <v>1485</v>
      </c>
      <c r="H957" s="44" t="s">
        <v>1486</v>
      </c>
      <c r="I957" s="20">
        <v>0</v>
      </c>
      <c r="J957" s="20">
        <v>770</v>
      </c>
      <c r="K957" s="20">
        <v>283</v>
      </c>
      <c r="L957" s="20">
        <v>0</v>
      </c>
      <c r="M957" s="20">
        <v>0</v>
      </c>
      <c r="N957" s="20">
        <v>0</v>
      </c>
      <c r="O957" s="20">
        <v>0</v>
      </c>
      <c r="P957" s="26">
        <v>2.94</v>
      </c>
      <c r="Q957" s="35" t="s">
        <v>154</v>
      </c>
    </row>
    <row r="958" spans="1:17" ht="60" x14ac:dyDescent="0.25">
      <c r="A958" s="23">
        <v>38232</v>
      </c>
      <c r="B958" s="23">
        <v>38232</v>
      </c>
      <c r="C958" s="24">
        <v>2004</v>
      </c>
      <c r="D958" s="351" t="s">
        <v>23</v>
      </c>
      <c r="E958" s="22" t="s">
        <v>86</v>
      </c>
      <c r="F958" s="7" t="s">
        <v>91</v>
      </c>
      <c r="G958" s="25" t="s">
        <v>160</v>
      </c>
      <c r="H958" s="44" t="s">
        <v>1487</v>
      </c>
      <c r="I958" s="20">
        <v>0</v>
      </c>
      <c r="J958" s="20">
        <v>200</v>
      </c>
      <c r="K958" s="20">
        <v>0</v>
      </c>
      <c r="L958" s="20">
        <v>0</v>
      </c>
      <c r="M958" s="20">
        <v>0</v>
      </c>
      <c r="N958" s="20">
        <v>0</v>
      </c>
      <c r="O958" s="20">
        <v>0</v>
      </c>
      <c r="P958" s="26">
        <v>0.06</v>
      </c>
      <c r="Q958" s="35" t="s">
        <v>154</v>
      </c>
    </row>
    <row r="959" spans="1:17" ht="48" x14ac:dyDescent="0.25">
      <c r="A959" s="23">
        <v>38233</v>
      </c>
      <c r="B959" s="23">
        <v>38233</v>
      </c>
      <c r="C959" s="24">
        <v>2004</v>
      </c>
      <c r="D959" s="351" t="s">
        <v>23</v>
      </c>
      <c r="E959" s="22" t="s">
        <v>86</v>
      </c>
      <c r="F959" s="7" t="s">
        <v>101</v>
      </c>
      <c r="G959" s="25" t="s">
        <v>1461</v>
      </c>
      <c r="H959" s="44" t="s">
        <v>1488</v>
      </c>
      <c r="I959" s="20">
        <v>0</v>
      </c>
      <c r="J959" s="20">
        <v>140</v>
      </c>
      <c r="K959" s="20">
        <v>47</v>
      </c>
      <c r="L959" s="20">
        <v>0</v>
      </c>
      <c r="M959" s="20">
        <v>0</v>
      </c>
      <c r="N959" s="20">
        <v>0</v>
      </c>
      <c r="O959" s="20">
        <v>0</v>
      </c>
      <c r="P959" s="26">
        <v>0.28000000000000003</v>
      </c>
      <c r="Q959" s="35" t="s">
        <v>154</v>
      </c>
    </row>
    <row r="960" spans="1:17" ht="48" x14ac:dyDescent="0.25">
      <c r="A960" s="23">
        <v>38234</v>
      </c>
      <c r="B960" s="23">
        <v>38234</v>
      </c>
      <c r="C960" s="24">
        <v>2004</v>
      </c>
      <c r="D960" s="351" t="s">
        <v>23</v>
      </c>
      <c r="E960" s="22" t="s">
        <v>86</v>
      </c>
      <c r="F960" s="7" t="s">
        <v>84</v>
      </c>
      <c r="G960" s="25" t="s">
        <v>1489</v>
      </c>
      <c r="H960" s="44" t="s">
        <v>1490</v>
      </c>
      <c r="I960" s="20">
        <v>0</v>
      </c>
      <c r="J960" s="20">
        <v>180</v>
      </c>
      <c r="K960" s="20">
        <v>45</v>
      </c>
      <c r="L960" s="20">
        <v>0</v>
      </c>
      <c r="M960" s="20">
        <v>0</v>
      </c>
      <c r="N960" s="20">
        <v>0</v>
      </c>
      <c r="O960" s="20">
        <v>0</v>
      </c>
      <c r="P960" s="26">
        <v>0.45</v>
      </c>
      <c r="Q960" s="35" t="s">
        <v>154</v>
      </c>
    </row>
    <row r="961" spans="1:17" ht="72" x14ac:dyDescent="0.25">
      <c r="A961" s="23">
        <v>38234</v>
      </c>
      <c r="B961" s="23">
        <v>38234</v>
      </c>
      <c r="C961" s="24">
        <v>2004</v>
      </c>
      <c r="D961" s="351" t="s">
        <v>23</v>
      </c>
      <c r="E961" s="22" t="s">
        <v>86</v>
      </c>
      <c r="F961" s="7" t="s">
        <v>60</v>
      </c>
      <c r="G961" s="44" t="s">
        <v>1491</v>
      </c>
      <c r="H961" s="44" t="s">
        <v>1492</v>
      </c>
      <c r="I961" s="20">
        <v>0</v>
      </c>
      <c r="J961" s="20">
        <v>600</v>
      </c>
      <c r="K961" s="20">
        <v>150</v>
      </c>
      <c r="L961" s="20">
        <v>0</v>
      </c>
      <c r="M961" s="20">
        <v>0</v>
      </c>
      <c r="N961" s="20">
        <v>0</v>
      </c>
      <c r="O961" s="20">
        <v>0</v>
      </c>
      <c r="P961" s="26">
        <v>0.9</v>
      </c>
      <c r="Q961" s="35" t="s">
        <v>154</v>
      </c>
    </row>
    <row r="962" spans="1:17" ht="120" x14ac:dyDescent="0.25">
      <c r="A962" s="23">
        <v>38235</v>
      </c>
      <c r="B962" s="23">
        <v>38235</v>
      </c>
      <c r="C962" s="24">
        <v>2004</v>
      </c>
      <c r="D962" s="351" t="s">
        <v>23</v>
      </c>
      <c r="E962" s="14" t="s">
        <v>32</v>
      </c>
      <c r="F962" s="7" t="s">
        <v>87</v>
      </c>
      <c r="G962" s="25" t="s">
        <v>1493</v>
      </c>
      <c r="H962" s="44" t="s">
        <v>1494</v>
      </c>
      <c r="I962" s="20">
        <v>0</v>
      </c>
      <c r="J962" s="20">
        <v>2654</v>
      </c>
      <c r="K962" s="20">
        <v>284</v>
      </c>
      <c r="L962" s="20">
        <v>0</v>
      </c>
      <c r="M962" s="20">
        <v>0</v>
      </c>
      <c r="N962" s="20">
        <v>0</v>
      </c>
      <c r="O962" s="20">
        <v>0</v>
      </c>
      <c r="P962" s="26">
        <v>1.1499999999999999</v>
      </c>
      <c r="Q962" s="35" t="s">
        <v>154</v>
      </c>
    </row>
    <row r="963" spans="1:17" ht="48" x14ac:dyDescent="0.25">
      <c r="A963" s="23">
        <v>38235</v>
      </c>
      <c r="B963" s="23">
        <v>38235</v>
      </c>
      <c r="C963" s="24">
        <v>2004</v>
      </c>
      <c r="D963" s="351" t="s">
        <v>23</v>
      </c>
      <c r="E963" s="22" t="s">
        <v>86</v>
      </c>
      <c r="F963" s="7" t="s">
        <v>56</v>
      </c>
      <c r="G963" s="25" t="s">
        <v>1495</v>
      </c>
      <c r="H963" s="44" t="s">
        <v>1496</v>
      </c>
      <c r="I963" s="20">
        <v>0</v>
      </c>
      <c r="J963" s="20">
        <v>15</v>
      </c>
      <c r="K963" s="20">
        <v>3</v>
      </c>
      <c r="L963" s="20">
        <v>0</v>
      </c>
      <c r="M963" s="20">
        <v>0</v>
      </c>
      <c r="N963" s="20">
        <v>0</v>
      </c>
      <c r="O963" s="20">
        <v>0</v>
      </c>
      <c r="P963" s="26">
        <v>0.1</v>
      </c>
      <c r="Q963" s="35" t="s">
        <v>154</v>
      </c>
    </row>
    <row r="964" spans="1:17" ht="96" x14ac:dyDescent="0.25">
      <c r="A964" s="23">
        <v>38236</v>
      </c>
      <c r="B964" s="23">
        <v>38236</v>
      </c>
      <c r="C964" s="24">
        <v>2004</v>
      </c>
      <c r="D964" s="351" t="s">
        <v>23</v>
      </c>
      <c r="E964" s="22" t="s">
        <v>86</v>
      </c>
      <c r="F964" s="7" t="s">
        <v>62</v>
      </c>
      <c r="G964" s="25" t="s">
        <v>959</v>
      </c>
      <c r="H964" s="44" t="s">
        <v>1497</v>
      </c>
      <c r="I964" s="20">
        <v>0</v>
      </c>
      <c r="J964" s="20">
        <v>8535</v>
      </c>
      <c r="K964" s="20">
        <v>1707</v>
      </c>
      <c r="L964" s="20">
        <v>0</v>
      </c>
      <c r="M964" s="20">
        <v>0</v>
      </c>
      <c r="N964" s="20">
        <v>0</v>
      </c>
      <c r="O964" s="20">
        <v>0</v>
      </c>
      <c r="P964" s="26">
        <v>10.28</v>
      </c>
      <c r="Q964" s="35" t="s">
        <v>154</v>
      </c>
    </row>
    <row r="965" spans="1:17" ht="48" x14ac:dyDescent="0.25">
      <c r="A965" s="23">
        <v>38236</v>
      </c>
      <c r="B965" s="23">
        <v>38236</v>
      </c>
      <c r="C965" s="24">
        <v>2004</v>
      </c>
      <c r="D965" s="351" t="s">
        <v>23</v>
      </c>
      <c r="E965" s="22" t="s">
        <v>86</v>
      </c>
      <c r="F965" s="7" t="s">
        <v>49</v>
      </c>
      <c r="G965" s="25" t="s">
        <v>1498</v>
      </c>
      <c r="H965" s="44" t="s">
        <v>1499</v>
      </c>
      <c r="I965" s="20">
        <v>0</v>
      </c>
      <c r="J965" s="20">
        <v>0</v>
      </c>
      <c r="K965" s="20">
        <v>15</v>
      </c>
      <c r="L965" s="20">
        <v>0</v>
      </c>
      <c r="M965" s="20">
        <v>0</v>
      </c>
      <c r="N965" s="20">
        <v>0</v>
      </c>
      <c r="O965" s="20">
        <v>0</v>
      </c>
      <c r="P965" s="26">
        <v>0.09</v>
      </c>
      <c r="Q965" s="35" t="s">
        <v>154</v>
      </c>
    </row>
    <row r="966" spans="1:17" ht="36" x14ac:dyDescent="0.25">
      <c r="A966" s="23">
        <v>38237</v>
      </c>
      <c r="B966" s="23">
        <v>38237</v>
      </c>
      <c r="C966" s="24">
        <v>2004</v>
      </c>
      <c r="D966" s="351" t="s">
        <v>23</v>
      </c>
      <c r="E966" s="22" t="s">
        <v>86</v>
      </c>
      <c r="F966" s="7" t="s">
        <v>36</v>
      </c>
      <c r="G966" s="25" t="s">
        <v>1500</v>
      </c>
      <c r="H966" s="44" t="s">
        <v>1501</v>
      </c>
      <c r="I966" s="20">
        <v>3</v>
      </c>
      <c r="J966" s="20">
        <v>3</v>
      </c>
      <c r="K966" s="20">
        <v>0</v>
      </c>
      <c r="L966" s="20">
        <v>0</v>
      </c>
      <c r="M966" s="20">
        <v>0</v>
      </c>
      <c r="N966" s="20">
        <v>0</v>
      </c>
      <c r="O966" s="20">
        <v>0</v>
      </c>
      <c r="P966" s="26">
        <v>0</v>
      </c>
      <c r="Q966" s="35" t="s">
        <v>154</v>
      </c>
    </row>
    <row r="967" spans="1:17" ht="36" x14ac:dyDescent="0.25">
      <c r="A967" s="23">
        <v>38238</v>
      </c>
      <c r="B967" s="23">
        <v>38238</v>
      </c>
      <c r="C967" s="24">
        <v>2004</v>
      </c>
      <c r="D967" s="351" t="s">
        <v>23</v>
      </c>
      <c r="E967" s="22" t="s">
        <v>86</v>
      </c>
      <c r="F967" s="7" t="s">
        <v>53</v>
      </c>
      <c r="G967" s="25" t="s">
        <v>1502</v>
      </c>
      <c r="H967" s="44" t="s">
        <v>1503</v>
      </c>
      <c r="I967" s="20">
        <v>0</v>
      </c>
      <c r="J967" s="20">
        <v>140</v>
      </c>
      <c r="K967" s="20">
        <v>35</v>
      </c>
      <c r="L967" s="20">
        <v>0</v>
      </c>
      <c r="M967" s="20">
        <v>0</v>
      </c>
      <c r="N967" s="20">
        <v>0</v>
      </c>
      <c r="O967" s="20">
        <v>0</v>
      </c>
      <c r="P967" s="26">
        <v>0.21</v>
      </c>
      <c r="Q967" s="35" t="s">
        <v>154</v>
      </c>
    </row>
    <row r="968" spans="1:17" ht="72" x14ac:dyDescent="0.25">
      <c r="A968" s="23">
        <v>38238</v>
      </c>
      <c r="B968" s="23">
        <v>38238</v>
      </c>
      <c r="C968" s="24">
        <v>2004</v>
      </c>
      <c r="D968" s="351" t="s">
        <v>23</v>
      </c>
      <c r="E968" s="22" t="s">
        <v>86</v>
      </c>
      <c r="F968" s="7" t="s">
        <v>60</v>
      </c>
      <c r="G968" s="25" t="s">
        <v>307</v>
      </c>
      <c r="H968" s="44" t="s">
        <v>1504</v>
      </c>
      <c r="I968" s="20">
        <v>0</v>
      </c>
      <c r="J968" s="20">
        <v>1</v>
      </c>
      <c r="K968" s="20">
        <v>0</v>
      </c>
      <c r="L968" s="20">
        <v>0</v>
      </c>
      <c r="M968" s="20">
        <v>0</v>
      </c>
      <c r="N968" s="20">
        <v>0</v>
      </c>
      <c r="O968" s="20">
        <v>0</v>
      </c>
      <c r="P968" s="26">
        <v>0</v>
      </c>
      <c r="Q968" s="35" t="s">
        <v>154</v>
      </c>
    </row>
    <row r="969" spans="1:17" ht="84" x14ac:dyDescent="0.25">
      <c r="A969" s="23">
        <v>38239</v>
      </c>
      <c r="B969" s="23">
        <v>38239</v>
      </c>
      <c r="C969" s="24">
        <v>2004</v>
      </c>
      <c r="D969" s="351" t="s">
        <v>23</v>
      </c>
      <c r="E969" s="22" t="s">
        <v>86</v>
      </c>
      <c r="F969" s="7" t="s">
        <v>72</v>
      </c>
      <c r="G969" s="25" t="s">
        <v>850</v>
      </c>
      <c r="H969" s="44" t="s">
        <v>1505</v>
      </c>
      <c r="I969" s="20">
        <v>4</v>
      </c>
      <c r="J969" s="20">
        <v>56</v>
      </c>
      <c r="K969" s="20">
        <v>10</v>
      </c>
      <c r="L969" s="20">
        <v>0</v>
      </c>
      <c r="M969" s="20">
        <v>0</v>
      </c>
      <c r="N969" s="20">
        <v>0</v>
      </c>
      <c r="O969" s="20">
        <v>0</v>
      </c>
      <c r="P969" s="26">
        <v>0.04</v>
      </c>
      <c r="Q969" s="35" t="s">
        <v>154</v>
      </c>
    </row>
    <row r="970" spans="1:17" ht="96" x14ac:dyDescent="0.25">
      <c r="A970" s="23">
        <v>38241</v>
      </c>
      <c r="B970" s="23">
        <v>38241</v>
      </c>
      <c r="C970" s="24">
        <v>2004</v>
      </c>
      <c r="D970" s="351" t="s">
        <v>23</v>
      </c>
      <c r="E970" s="14" t="s">
        <v>32</v>
      </c>
      <c r="F970" s="7" t="s">
        <v>80</v>
      </c>
      <c r="G970" s="25" t="s">
        <v>110</v>
      </c>
      <c r="H970" s="44" t="s">
        <v>1506</v>
      </c>
      <c r="I970" s="20">
        <v>0</v>
      </c>
      <c r="J970" s="20">
        <v>4140</v>
      </c>
      <c r="K970" s="20">
        <v>0</v>
      </c>
      <c r="L970" s="20">
        <v>0</v>
      </c>
      <c r="M970" s="20">
        <v>0</v>
      </c>
      <c r="N970" s="20">
        <v>0</v>
      </c>
      <c r="O970" s="20">
        <v>0</v>
      </c>
      <c r="P970" s="26">
        <v>0.24</v>
      </c>
      <c r="Q970" s="35" t="s">
        <v>154</v>
      </c>
    </row>
    <row r="971" spans="1:17" ht="84" x14ac:dyDescent="0.25">
      <c r="A971" s="23">
        <v>38243</v>
      </c>
      <c r="B971" s="23">
        <v>38243</v>
      </c>
      <c r="C971" s="24">
        <v>2004</v>
      </c>
      <c r="D971" s="351" t="s">
        <v>23</v>
      </c>
      <c r="E971" s="22" t="s">
        <v>86</v>
      </c>
      <c r="F971" s="7" t="s">
        <v>62</v>
      </c>
      <c r="G971" s="25" t="s">
        <v>1507</v>
      </c>
      <c r="H971" s="44" t="s">
        <v>1508</v>
      </c>
      <c r="I971" s="20">
        <v>0</v>
      </c>
      <c r="J971" s="20">
        <v>250</v>
      </c>
      <c r="K971" s="20">
        <v>50</v>
      </c>
      <c r="L971" s="20">
        <v>0</v>
      </c>
      <c r="M971" s="20">
        <v>0</v>
      </c>
      <c r="N971" s="20">
        <v>0</v>
      </c>
      <c r="O971" s="20">
        <v>0</v>
      </c>
      <c r="P971" s="26">
        <v>0.2</v>
      </c>
      <c r="Q971" s="35" t="s">
        <v>154</v>
      </c>
    </row>
    <row r="972" spans="1:17" ht="36" x14ac:dyDescent="0.25">
      <c r="A972" s="23">
        <v>38244</v>
      </c>
      <c r="B972" s="23">
        <v>38244</v>
      </c>
      <c r="C972" s="24">
        <v>2004</v>
      </c>
      <c r="D972" s="351" t="s">
        <v>23</v>
      </c>
      <c r="E972" s="22" t="s">
        <v>86</v>
      </c>
      <c r="F972" s="7" t="s">
        <v>56</v>
      </c>
      <c r="G972" s="25" t="s">
        <v>1509</v>
      </c>
      <c r="H972" s="44" t="s">
        <v>1510</v>
      </c>
      <c r="I972" s="20">
        <v>0</v>
      </c>
      <c r="J972" s="20">
        <v>85</v>
      </c>
      <c r="K972" s="20">
        <v>17</v>
      </c>
      <c r="L972" s="20">
        <v>0</v>
      </c>
      <c r="M972" s="20">
        <v>0</v>
      </c>
      <c r="N972" s="20">
        <v>0</v>
      </c>
      <c r="O972" s="20">
        <v>0</v>
      </c>
      <c r="P972" s="26">
        <v>0.06</v>
      </c>
      <c r="Q972" s="35" t="s">
        <v>154</v>
      </c>
    </row>
    <row r="973" spans="1:17" ht="60" x14ac:dyDescent="0.25">
      <c r="A973" s="23">
        <v>38247</v>
      </c>
      <c r="B973" s="23">
        <v>38247</v>
      </c>
      <c r="C973" s="24">
        <v>2004</v>
      </c>
      <c r="D973" s="351" t="s">
        <v>23</v>
      </c>
      <c r="E973" s="22" t="s">
        <v>86</v>
      </c>
      <c r="F973" s="7" t="s">
        <v>65</v>
      </c>
      <c r="G973" s="25" t="s">
        <v>1511</v>
      </c>
      <c r="H973" s="44" t="s">
        <v>1512</v>
      </c>
      <c r="I973" s="20">
        <v>0</v>
      </c>
      <c r="J973" s="20">
        <v>110</v>
      </c>
      <c r="K973" s="20">
        <v>22</v>
      </c>
      <c r="L973" s="20">
        <v>0</v>
      </c>
      <c r="M973" s="20">
        <v>0</v>
      </c>
      <c r="N973" s="20">
        <v>0</v>
      </c>
      <c r="O973" s="20">
        <v>0</v>
      </c>
      <c r="P973" s="26">
        <v>0.08</v>
      </c>
      <c r="Q973" s="35" t="s">
        <v>154</v>
      </c>
    </row>
    <row r="974" spans="1:17" ht="36" x14ac:dyDescent="0.25">
      <c r="A974" s="23">
        <v>38250</v>
      </c>
      <c r="B974" s="23">
        <v>38250</v>
      </c>
      <c r="C974" s="24">
        <v>2004</v>
      </c>
      <c r="D974" s="351" t="s">
        <v>23</v>
      </c>
      <c r="E974" s="22" t="s">
        <v>86</v>
      </c>
      <c r="F974" s="7" t="s">
        <v>36</v>
      </c>
      <c r="G974" s="25" t="s">
        <v>1513</v>
      </c>
      <c r="H974" s="44" t="s">
        <v>1514</v>
      </c>
      <c r="I974" s="20">
        <v>0</v>
      </c>
      <c r="J974" s="20">
        <v>35</v>
      </c>
      <c r="K974" s="20">
        <v>7</v>
      </c>
      <c r="L974" s="20">
        <v>0</v>
      </c>
      <c r="M974" s="20">
        <v>0</v>
      </c>
      <c r="N974" s="20">
        <v>0</v>
      </c>
      <c r="O974" s="20">
        <v>0</v>
      </c>
      <c r="P974" s="26">
        <v>0.02</v>
      </c>
      <c r="Q974" s="35" t="s">
        <v>154</v>
      </c>
    </row>
    <row r="975" spans="1:17" ht="36" x14ac:dyDescent="0.25">
      <c r="A975" s="23">
        <v>38251</v>
      </c>
      <c r="B975" s="23">
        <v>38251</v>
      </c>
      <c r="C975" s="24">
        <v>2004</v>
      </c>
      <c r="D975" s="351" t="s">
        <v>23</v>
      </c>
      <c r="E975" s="22" t="s">
        <v>86</v>
      </c>
      <c r="F975" s="7" t="s">
        <v>36</v>
      </c>
      <c r="G975" s="25" t="s">
        <v>854</v>
      </c>
      <c r="H975" s="44" t="s">
        <v>1515</v>
      </c>
      <c r="I975" s="20">
        <v>0</v>
      </c>
      <c r="J975" s="20">
        <v>355</v>
      </c>
      <c r="K975" s="20">
        <v>71</v>
      </c>
      <c r="L975" s="20">
        <v>0</v>
      </c>
      <c r="M975" s="20">
        <v>0</v>
      </c>
      <c r="N975" s="20">
        <v>0</v>
      </c>
      <c r="O975" s="20">
        <v>0</v>
      </c>
      <c r="P975" s="26">
        <v>0.28000000000000003</v>
      </c>
      <c r="Q975" s="35" t="s">
        <v>154</v>
      </c>
    </row>
    <row r="976" spans="1:17" ht="48" x14ac:dyDescent="0.25">
      <c r="A976" s="23">
        <v>38252</v>
      </c>
      <c r="B976" s="23">
        <v>38252</v>
      </c>
      <c r="C976" s="24">
        <v>2004</v>
      </c>
      <c r="D976" s="351" t="s">
        <v>23</v>
      </c>
      <c r="E976" s="22" t="s">
        <v>86</v>
      </c>
      <c r="F976" s="7" t="s">
        <v>60</v>
      </c>
      <c r="G976" s="25" t="s">
        <v>1516</v>
      </c>
      <c r="H976" s="44" t="s">
        <v>1517</v>
      </c>
      <c r="I976" s="20">
        <v>0</v>
      </c>
      <c r="J976" s="20">
        <v>500</v>
      </c>
      <c r="K976" s="20">
        <v>100</v>
      </c>
      <c r="L976" s="20">
        <v>0</v>
      </c>
      <c r="M976" s="20">
        <v>0</v>
      </c>
      <c r="N976" s="20">
        <v>0</v>
      </c>
      <c r="O976" s="20">
        <v>0</v>
      </c>
      <c r="P976" s="26">
        <v>0.4</v>
      </c>
      <c r="Q976" s="35" t="s">
        <v>154</v>
      </c>
    </row>
    <row r="977" spans="1:17" ht="96" x14ac:dyDescent="0.25">
      <c r="A977" s="23">
        <v>38254</v>
      </c>
      <c r="B977" s="23">
        <v>38254</v>
      </c>
      <c r="C977" s="24">
        <v>2004</v>
      </c>
      <c r="D977" s="351" t="s">
        <v>23</v>
      </c>
      <c r="E977" s="22" t="s">
        <v>86</v>
      </c>
      <c r="F977" s="7" t="s">
        <v>60</v>
      </c>
      <c r="G977" s="25" t="s">
        <v>1518</v>
      </c>
      <c r="H977" s="44" t="s">
        <v>1519</v>
      </c>
      <c r="I977" s="20">
        <v>0</v>
      </c>
      <c r="J977" s="20">
        <v>327</v>
      </c>
      <c r="K977" s="20">
        <v>26</v>
      </c>
      <c r="L977" s="20">
        <v>3</v>
      </c>
      <c r="M977" s="20">
        <v>0</v>
      </c>
      <c r="N977" s="20">
        <v>0</v>
      </c>
      <c r="O977" s="20">
        <v>0</v>
      </c>
      <c r="P977" s="26">
        <v>0.3</v>
      </c>
      <c r="Q977" s="35" t="s">
        <v>154</v>
      </c>
    </row>
    <row r="978" spans="1:17" ht="48" x14ac:dyDescent="0.25">
      <c r="A978" s="23">
        <v>38255</v>
      </c>
      <c r="B978" s="23">
        <v>38255</v>
      </c>
      <c r="C978" s="24">
        <v>2004</v>
      </c>
      <c r="D978" s="351" t="s">
        <v>23</v>
      </c>
      <c r="E978" s="22" t="s">
        <v>86</v>
      </c>
      <c r="F978" s="7" t="s">
        <v>49</v>
      </c>
      <c r="G978" s="25" t="s">
        <v>49</v>
      </c>
      <c r="H978" s="44" t="s">
        <v>1520</v>
      </c>
      <c r="I978" s="20">
        <v>0</v>
      </c>
      <c r="J978" s="20">
        <v>4455</v>
      </c>
      <c r="K978" s="20">
        <v>1023</v>
      </c>
      <c r="L978" s="20">
        <v>32</v>
      </c>
      <c r="M978" s="20">
        <v>0</v>
      </c>
      <c r="N978" s="20">
        <v>0</v>
      </c>
      <c r="O978" s="20">
        <v>1771</v>
      </c>
      <c r="P978" s="26">
        <v>120.05</v>
      </c>
      <c r="Q978" s="35" t="s">
        <v>154</v>
      </c>
    </row>
    <row r="979" spans="1:17" ht="48" x14ac:dyDescent="0.25">
      <c r="A979" s="23">
        <v>38255</v>
      </c>
      <c r="B979" s="23">
        <v>38255</v>
      </c>
      <c r="C979" s="24">
        <v>2004</v>
      </c>
      <c r="D979" s="351" t="s">
        <v>23</v>
      </c>
      <c r="E979" s="22" t="s">
        <v>86</v>
      </c>
      <c r="F979" s="7" t="s">
        <v>56</v>
      </c>
      <c r="G979" s="25" t="s">
        <v>351</v>
      </c>
      <c r="H979" s="44" t="s">
        <v>1521</v>
      </c>
      <c r="I979" s="20">
        <v>0</v>
      </c>
      <c r="J979" s="20">
        <v>200</v>
      </c>
      <c r="K979" s="20">
        <v>40</v>
      </c>
      <c r="L979" s="20">
        <v>0</v>
      </c>
      <c r="M979" s="20">
        <v>0</v>
      </c>
      <c r="N979" s="20">
        <v>0</v>
      </c>
      <c r="O979" s="20">
        <v>0</v>
      </c>
      <c r="P979" s="26">
        <v>0.16</v>
      </c>
      <c r="Q979" s="35" t="s">
        <v>154</v>
      </c>
    </row>
    <row r="980" spans="1:17" ht="36" x14ac:dyDescent="0.25">
      <c r="A980" s="23">
        <v>38256</v>
      </c>
      <c r="B980" s="23">
        <v>38256</v>
      </c>
      <c r="C980" s="24">
        <v>2004</v>
      </c>
      <c r="D980" s="351" t="s">
        <v>23</v>
      </c>
      <c r="E980" s="22" t="s">
        <v>86</v>
      </c>
      <c r="F980" s="7" t="s">
        <v>56</v>
      </c>
      <c r="G980" s="25" t="s">
        <v>1522</v>
      </c>
      <c r="H980" s="44" t="s">
        <v>1523</v>
      </c>
      <c r="I980" s="20">
        <v>0</v>
      </c>
      <c r="J980" s="20">
        <v>225</v>
      </c>
      <c r="K980" s="20">
        <v>45</v>
      </c>
      <c r="L980" s="20">
        <v>0</v>
      </c>
      <c r="M980" s="20">
        <v>0</v>
      </c>
      <c r="N980" s="20">
        <v>0</v>
      </c>
      <c r="O980" s="20">
        <v>0</v>
      </c>
      <c r="P980" s="26">
        <v>0.18</v>
      </c>
      <c r="Q980" s="35" t="s">
        <v>154</v>
      </c>
    </row>
    <row r="981" spans="1:17" ht="84" x14ac:dyDescent="0.25">
      <c r="A981" s="23">
        <v>38258</v>
      </c>
      <c r="B981" s="23">
        <v>38267</v>
      </c>
      <c r="C981" s="24">
        <v>2004</v>
      </c>
      <c r="D981" s="351" t="s">
        <v>23</v>
      </c>
      <c r="E981" s="22" t="s">
        <v>86</v>
      </c>
      <c r="F981" s="28" t="s">
        <v>210</v>
      </c>
      <c r="G981" s="25" t="s">
        <v>1524</v>
      </c>
      <c r="H981" s="44" t="s">
        <v>1525</v>
      </c>
      <c r="I981" s="20">
        <v>0</v>
      </c>
      <c r="J981" s="20">
        <v>3500</v>
      </c>
      <c r="K981" s="20">
        <v>700</v>
      </c>
      <c r="L981" s="20">
        <v>0</v>
      </c>
      <c r="M981" s="20">
        <v>0</v>
      </c>
      <c r="N981" s="20">
        <v>0</v>
      </c>
      <c r="O981" s="20">
        <v>0</v>
      </c>
      <c r="P981" s="26">
        <v>4.2</v>
      </c>
      <c r="Q981" s="35" t="s">
        <v>154</v>
      </c>
    </row>
    <row r="982" spans="1:17" ht="84" x14ac:dyDescent="0.25">
      <c r="A982" s="23">
        <v>38259</v>
      </c>
      <c r="B982" s="23">
        <v>38259</v>
      </c>
      <c r="C982" s="24">
        <v>2004</v>
      </c>
      <c r="D982" s="351" t="s">
        <v>23</v>
      </c>
      <c r="E982" s="22" t="s">
        <v>86</v>
      </c>
      <c r="F982" s="7" t="s">
        <v>56</v>
      </c>
      <c r="G982" s="25" t="s">
        <v>1526</v>
      </c>
      <c r="H982" s="44" t="s">
        <v>1527</v>
      </c>
      <c r="I982" s="20">
        <v>2</v>
      </c>
      <c r="J982" s="20">
        <v>325</v>
      </c>
      <c r="K982" s="20">
        <v>65</v>
      </c>
      <c r="L982" s="20">
        <v>2</v>
      </c>
      <c r="M982" s="20">
        <v>0</v>
      </c>
      <c r="N982" s="20">
        <v>0</v>
      </c>
      <c r="O982" s="20">
        <v>0</v>
      </c>
      <c r="P982" s="26">
        <v>0.28999999999999998</v>
      </c>
      <c r="Q982" s="35" t="s">
        <v>154</v>
      </c>
    </row>
    <row r="983" spans="1:17" ht="36" x14ac:dyDescent="0.25">
      <c r="A983" s="23">
        <v>38259</v>
      </c>
      <c r="B983" s="23">
        <v>38259</v>
      </c>
      <c r="C983" s="24">
        <v>2004</v>
      </c>
      <c r="D983" s="351" t="s">
        <v>23</v>
      </c>
      <c r="E983" s="22" t="s">
        <v>86</v>
      </c>
      <c r="F983" s="7" t="s">
        <v>56</v>
      </c>
      <c r="G983" s="25" t="s">
        <v>1528</v>
      </c>
      <c r="H983" s="44" t="s">
        <v>1529</v>
      </c>
      <c r="I983" s="20">
        <v>0</v>
      </c>
      <c r="J983" s="20">
        <v>115</v>
      </c>
      <c r="K983" s="20">
        <v>23</v>
      </c>
      <c r="L983" s="20">
        <v>0</v>
      </c>
      <c r="M983" s="20">
        <v>0</v>
      </c>
      <c r="N983" s="20">
        <v>0</v>
      </c>
      <c r="O983" s="20">
        <v>0</v>
      </c>
      <c r="P983" s="26">
        <v>0.09</v>
      </c>
      <c r="Q983" s="35" t="s">
        <v>154</v>
      </c>
    </row>
    <row r="984" spans="1:17" ht="36" x14ac:dyDescent="0.25">
      <c r="A984" s="23">
        <v>38260</v>
      </c>
      <c r="B984" s="23">
        <v>38260</v>
      </c>
      <c r="C984" s="24">
        <v>2004</v>
      </c>
      <c r="D984" s="351" t="s">
        <v>23</v>
      </c>
      <c r="E984" s="22" t="s">
        <v>86</v>
      </c>
      <c r="F984" s="7" t="s">
        <v>56</v>
      </c>
      <c r="G984" s="44" t="s">
        <v>110</v>
      </c>
      <c r="H984" s="44" t="s">
        <v>1530</v>
      </c>
      <c r="I984" s="20">
        <v>0</v>
      </c>
      <c r="J984" s="20">
        <v>470</v>
      </c>
      <c r="K984" s="20">
        <v>94</v>
      </c>
      <c r="L984" s="20">
        <v>0</v>
      </c>
      <c r="M984" s="20">
        <v>0</v>
      </c>
      <c r="N984" s="20">
        <v>0</v>
      </c>
      <c r="O984" s="20">
        <v>0</v>
      </c>
      <c r="P984" s="26">
        <v>0.31</v>
      </c>
      <c r="Q984" s="35" t="s">
        <v>154</v>
      </c>
    </row>
    <row r="985" spans="1:17" ht="60" x14ac:dyDescent="0.25">
      <c r="A985" s="23">
        <v>38262</v>
      </c>
      <c r="B985" s="23">
        <v>38262</v>
      </c>
      <c r="C985" s="24">
        <v>2004</v>
      </c>
      <c r="D985" s="351" t="s">
        <v>23</v>
      </c>
      <c r="E985" s="22" t="s">
        <v>86</v>
      </c>
      <c r="F985" s="7" t="s">
        <v>56</v>
      </c>
      <c r="G985" s="25" t="s">
        <v>1531</v>
      </c>
      <c r="H985" s="44" t="s">
        <v>1532</v>
      </c>
      <c r="I985" s="20">
        <v>0</v>
      </c>
      <c r="J985" s="20">
        <v>345</v>
      </c>
      <c r="K985" s="20">
        <v>69</v>
      </c>
      <c r="L985" s="20">
        <v>0</v>
      </c>
      <c r="M985" s="20">
        <v>0</v>
      </c>
      <c r="N985" s="20">
        <v>0</v>
      </c>
      <c r="O985" s="20">
        <v>0</v>
      </c>
      <c r="P985" s="26">
        <v>0.27</v>
      </c>
      <c r="Q985" s="35" t="s">
        <v>154</v>
      </c>
    </row>
    <row r="986" spans="1:17" ht="48" x14ac:dyDescent="0.25">
      <c r="A986" s="23">
        <v>38265</v>
      </c>
      <c r="B986" s="23">
        <v>38265</v>
      </c>
      <c r="C986" s="24">
        <v>2004</v>
      </c>
      <c r="D986" s="351" t="s">
        <v>23</v>
      </c>
      <c r="E986" s="22" t="s">
        <v>86</v>
      </c>
      <c r="F986" s="7" t="s">
        <v>62</v>
      </c>
      <c r="G986" s="25" t="s">
        <v>1533</v>
      </c>
      <c r="H986" s="44" t="s">
        <v>1534</v>
      </c>
      <c r="I986" s="20">
        <v>0</v>
      </c>
      <c r="J986" s="20">
        <v>255</v>
      </c>
      <c r="K986" s="20">
        <v>51</v>
      </c>
      <c r="L986" s="20">
        <v>0</v>
      </c>
      <c r="M986" s="20">
        <v>0</v>
      </c>
      <c r="N986" s="20">
        <v>0</v>
      </c>
      <c r="O986" s="20">
        <v>0</v>
      </c>
      <c r="P986" s="26">
        <v>0.2</v>
      </c>
      <c r="Q986" s="35" t="s">
        <v>154</v>
      </c>
    </row>
    <row r="987" spans="1:17" ht="60" x14ac:dyDescent="0.25">
      <c r="A987" s="23">
        <v>38269</v>
      </c>
      <c r="B987" s="23">
        <v>38269</v>
      </c>
      <c r="C987" s="24">
        <v>2004</v>
      </c>
      <c r="D987" s="351" t="s">
        <v>23</v>
      </c>
      <c r="E987" s="22" t="s">
        <v>86</v>
      </c>
      <c r="F987" s="7" t="s">
        <v>82</v>
      </c>
      <c r="G987" s="25" t="s">
        <v>1535</v>
      </c>
      <c r="H987" s="44" t="s">
        <v>1536</v>
      </c>
      <c r="I987" s="20">
        <v>0</v>
      </c>
      <c r="J987" s="20">
        <v>100</v>
      </c>
      <c r="K987" s="20">
        <v>20</v>
      </c>
      <c r="L987" s="20">
        <v>0</v>
      </c>
      <c r="M987" s="20">
        <v>0</v>
      </c>
      <c r="N987" s="20">
        <v>0</v>
      </c>
      <c r="O987" s="20">
        <v>0</v>
      </c>
      <c r="P987" s="26">
        <v>0.12</v>
      </c>
      <c r="Q987" s="35" t="s">
        <v>154</v>
      </c>
    </row>
    <row r="988" spans="1:17" ht="60" x14ac:dyDescent="0.25">
      <c r="A988" s="23">
        <v>38269</v>
      </c>
      <c r="B988" s="23">
        <v>38269</v>
      </c>
      <c r="C988" s="24">
        <v>2004</v>
      </c>
      <c r="D988" s="351" t="s">
        <v>23</v>
      </c>
      <c r="E988" s="22" t="s">
        <v>86</v>
      </c>
      <c r="F988" s="7" t="s">
        <v>65</v>
      </c>
      <c r="G988" s="25" t="s">
        <v>1537</v>
      </c>
      <c r="H988" s="44" t="s">
        <v>1538</v>
      </c>
      <c r="I988" s="20">
        <v>0</v>
      </c>
      <c r="J988" s="20">
        <v>55</v>
      </c>
      <c r="K988" s="20">
        <v>11</v>
      </c>
      <c r="L988" s="20">
        <v>0</v>
      </c>
      <c r="M988" s="20">
        <v>0</v>
      </c>
      <c r="N988" s="20">
        <v>0</v>
      </c>
      <c r="O988" s="20">
        <v>0</v>
      </c>
      <c r="P988" s="26">
        <v>7.0000000000000007E-2</v>
      </c>
      <c r="Q988" s="35" t="s">
        <v>154</v>
      </c>
    </row>
    <row r="989" spans="1:17" ht="48" x14ac:dyDescent="0.25">
      <c r="A989" s="23">
        <v>38269</v>
      </c>
      <c r="B989" s="23">
        <v>38269</v>
      </c>
      <c r="C989" s="24">
        <v>2004</v>
      </c>
      <c r="D989" s="351" t="s">
        <v>23</v>
      </c>
      <c r="E989" s="22" t="s">
        <v>86</v>
      </c>
      <c r="F989" s="7" t="s">
        <v>36</v>
      </c>
      <c r="G989" s="25" t="s">
        <v>673</v>
      </c>
      <c r="H989" s="44" t="s">
        <v>1539</v>
      </c>
      <c r="I989" s="20">
        <v>0</v>
      </c>
      <c r="J989" s="20">
        <v>350</v>
      </c>
      <c r="K989" s="20">
        <v>70</v>
      </c>
      <c r="L989" s="20">
        <v>0</v>
      </c>
      <c r="M989" s="20">
        <v>0</v>
      </c>
      <c r="N989" s="20">
        <v>0</v>
      </c>
      <c r="O989" s="20">
        <v>0</v>
      </c>
      <c r="P989" s="26">
        <v>0.28000000000000003</v>
      </c>
      <c r="Q989" s="35" t="s">
        <v>154</v>
      </c>
    </row>
    <row r="990" spans="1:17" ht="36" x14ac:dyDescent="0.25">
      <c r="A990" s="23">
        <v>38273</v>
      </c>
      <c r="B990" s="23">
        <v>38273</v>
      </c>
      <c r="C990" s="24">
        <v>2004</v>
      </c>
      <c r="D990" s="351" t="s">
        <v>23</v>
      </c>
      <c r="E990" s="22" t="s">
        <v>86</v>
      </c>
      <c r="F990" s="7" t="s">
        <v>36</v>
      </c>
      <c r="G990" s="25" t="s">
        <v>1540</v>
      </c>
      <c r="H990" s="44" t="s">
        <v>1541</v>
      </c>
      <c r="I990" s="20">
        <v>0</v>
      </c>
      <c r="J990" s="20">
        <v>360</v>
      </c>
      <c r="K990" s="20">
        <v>72</v>
      </c>
      <c r="L990" s="20">
        <v>0</v>
      </c>
      <c r="M990" s="20">
        <v>0</v>
      </c>
      <c r="N990" s="20">
        <v>0</v>
      </c>
      <c r="O990" s="20">
        <v>0</v>
      </c>
      <c r="P990" s="26">
        <v>0.28999999999999998</v>
      </c>
      <c r="Q990" s="35" t="s">
        <v>154</v>
      </c>
    </row>
    <row r="991" spans="1:17" ht="36" x14ac:dyDescent="0.25">
      <c r="A991" s="23">
        <v>38276</v>
      </c>
      <c r="B991" s="23">
        <v>38276</v>
      </c>
      <c r="C991" s="24">
        <v>2004</v>
      </c>
      <c r="D991" s="351" t="s">
        <v>23</v>
      </c>
      <c r="E991" s="22" t="s">
        <v>86</v>
      </c>
      <c r="F991" s="7" t="s">
        <v>36</v>
      </c>
      <c r="G991" s="25" t="s">
        <v>1542</v>
      </c>
      <c r="H991" s="44" t="s">
        <v>1543</v>
      </c>
      <c r="I991" s="20">
        <v>0</v>
      </c>
      <c r="J991" s="20">
        <v>325</v>
      </c>
      <c r="K991" s="20">
        <v>65</v>
      </c>
      <c r="L991" s="20">
        <v>0</v>
      </c>
      <c r="M991" s="20">
        <v>0</v>
      </c>
      <c r="N991" s="20">
        <v>0</v>
      </c>
      <c r="O991" s="20">
        <v>0</v>
      </c>
      <c r="P991" s="26">
        <v>0.26</v>
      </c>
      <c r="Q991" s="35" t="s">
        <v>154</v>
      </c>
    </row>
    <row r="992" spans="1:17" ht="36" x14ac:dyDescent="0.25">
      <c r="A992" s="23">
        <v>38280</v>
      </c>
      <c r="B992" s="23">
        <v>38280</v>
      </c>
      <c r="C992" s="24">
        <v>2004</v>
      </c>
      <c r="D992" s="351" t="s">
        <v>23</v>
      </c>
      <c r="E992" s="22" t="s">
        <v>86</v>
      </c>
      <c r="F992" s="7" t="s">
        <v>30</v>
      </c>
      <c r="G992" s="25" t="s">
        <v>1078</v>
      </c>
      <c r="H992" s="44" t="s">
        <v>1544</v>
      </c>
      <c r="I992" s="20">
        <v>0</v>
      </c>
      <c r="J992" s="20">
        <v>100</v>
      </c>
      <c r="K992" s="20">
        <v>20</v>
      </c>
      <c r="L992" s="20">
        <v>0</v>
      </c>
      <c r="M992" s="20">
        <v>0</v>
      </c>
      <c r="N992" s="20">
        <v>0</v>
      </c>
      <c r="O992" s="20">
        <v>0</v>
      </c>
      <c r="P992" s="26">
        <v>0.08</v>
      </c>
      <c r="Q992" s="35" t="s">
        <v>154</v>
      </c>
    </row>
    <row r="993" spans="1:17" ht="48" x14ac:dyDescent="0.25">
      <c r="A993" s="23">
        <v>38284</v>
      </c>
      <c r="B993" s="23">
        <v>38284</v>
      </c>
      <c r="C993" s="24">
        <v>2004</v>
      </c>
      <c r="D993" s="351" t="s">
        <v>23</v>
      </c>
      <c r="E993" s="22" t="s">
        <v>86</v>
      </c>
      <c r="F993" s="7" t="s">
        <v>87</v>
      </c>
      <c r="G993" s="25" t="s">
        <v>1545</v>
      </c>
      <c r="H993" s="44" t="s">
        <v>1546</v>
      </c>
      <c r="I993" s="20">
        <v>0</v>
      </c>
      <c r="J993" s="20">
        <v>50</v>
      </c>
      <c r="K993" s="20">
        <v>10</v>
      </c>
      <c r="L993" s="20">
        <v>0</v>
      </c>
      <c r="M993" s="20">
        <v>0</v>
      </c>
      <c r="N993" s="20">
        <v>0</v>
      </c>
      <c r="O993" s="20">
        <v>0</v>
      </c>
      <c r="P993" s="26">
        <v>0.04</v>
      </c>
      <c r="Q993" s="35" t="s">
        <v>154</v>
      </c>
    </row>
    <row r="994" spans="1:17" ht="96" x14ac:dyDescent="0.25">
      <c r="A994" s="23">
        <v>38285</v>
      </c>
      <c r="B994" s="23">
        <v>38285</v>
      </c>
      <c r="C994" s="24">
        <v>2004</v>
      </c>
      <c r="D994" s="351" t="s">
        <v>23</v>
      </c>
      <c r="E994" s="22" t="s">
        <v>86</v>
      </c>
      <c r="F994" s="7" t="s">
        <v>84</v>
      </c>
      <c r="G994" s="25" t="s">
        <v>1547</v>
      </c>
      <c r="H994" s="44" t="s">
        <v>1548</v>
      </c>
      <c r="I994" s="20">
        <v>2</v>
      </c>
      <c r="J994" s="20">
        <v>1329</v>
      </c>
      <c r="K994" s="20">
        <v>0</v>
      </c>
      <c r="L994" s="20">
        <v>0</v>
      </c>
      <c r="M994" s="20">
        <v>0</v>
      </c>
      <c r="N994" s="20">
        <v>0</v>
      </c>
      <c r="O994" s="20">
        <v>0</v>
      </c>
      <c r="P994" s="26">
        <v>0</v>
      </c>
      <c r="Q994" s="35" t="s">
        <v>154</v>
      </c>
    </row>
    <row r="995" spans="1:17" ht="84" x14ac:dyDescent="0.25">
      <c r="A995" s="23">
        <v>38286</v>
      </c>
      <c r="B995" s="23">
        <v>38286</v>
      </c>
      <c r="C995" s="24">
        <v>2004</v>
      </c>
      <c r="D995" s="351" t="s">
        <v>23</v>
      </c>
      <c r="E995" s="22" t="s">
        <v>86</v>
      </c>
      <c r="F995" s="7" t="s">
        <v>30</v>
      </c>
      <c r="G995" s="25" t="s">
        <v>1549</v>
      </c>
      <c r="H995" s="44" t="s">
        <v>1550</v>
      </c>
      <c r="I995" s="20">
        <v>0</v>
      </c>
      <c r="J995" s="20">
        <v>156</v>
      </c>
      <c r="K995" s="20">
        <v>31</v>
      </c>
      <c r="L995" s="20">
        <v>0</v>
      </c>
      <c r="M995" s="20">
        <v>0</v>
      </c>
      <c r="N995" s="20">
        <v>0</v>
      </c>
      <c r="O995" s="20">
        <v>0</v>
      </c>
      <c r="P995" s="26">
        <v>0.12</v>
      </c>
      <c r="Q995" s="35" t="s">
        <v>154</v>
      </c>
    </row>
    <row r="996" spans="1:17" ht="168" x14ac:dyDescent="0.25">
      <c r="A996" s="23">
        <v>38294</v>
      </c>
      <c r="B996" s="23">
        <v>38295</v>
      </c>
      <c r="C996" s="24">
        <v>2004</v>
      </c>
      <c r="D996" s="351" t="s">
        <v>23</v>
      </c>
      <c r="E996" s="22" t="s">
        <v>86</v>
      </c>
      <c r="F996" s="28" t="s">
        <v>210</v>
      </c>
      <c r="G996" s="25" t="s">
        <v>1551</v>
      </c>
      <c r="H996" s="44" t="s">
        <v>1552</v>
      </c>
      <c r="I996" s="20">
        <v>0</v>
      </c>
      <c r="J996" s="20">
        <v>1302</v>
      </c>
      <c r="K996" s="20">
        <v>10</v>
      </c>
      <c r="L996" s="20">
        <v>3</v>
      </c>
      <c r="M996" s="20">
        <v>0</v>
      </c>
      <c r="N996" s="20">
        <v>0</v>
      </c>
      <c r="O996" s="20">
        <v>0</v>
      </c>
      <c r="P996" s="26">
        <v>4.41</v>
      </c>
      <c r="Q996" s="35" t="s">
        <v>154</v>
      </c>
    </row>
    <row r="997" spans="1:17" ht="60" x14ac:dyDescent="0.25">
      <c r="A997" s="23">
        <v>38296</v>
      </c>
      <c r="B997" s="23">
        <v>38296</v>
      </c>
      <c r="C997" s="24">
        <v>2004</v>
      </c>
      <c r="D997" s="351" t="s">
        <v>23</v>
      </c>
      <c r="E997" s="22" t="s">
        <v>86</v>
      </c>
      <c r="F997" s="7" t="s">
        <v>36</v>
      </c>
      <c r="G997" s="25" t="s">
        <v>1553</v>
      </c>
      <c r="H997" s="44" t="s">
        <v>1554</v>
      </c>
      <c r="I997" s="20">
        <v>0</v>
      </c>
      <c r="J997" s="20">
        <v>170</v>
      </c>
      <c r="K997" s="20">
        <v>34</v>
      </c>
      <c r="L997" s="20">
        <v>0</v>
      </c>
      <c r="M997" s="20">
        <v>0</v>
      </c>
      <c r="N997" s="20">
        <v>0</v>
      </c>
      <c r="O997" s="20">
        <v>0</v>
      </c>
      <c r="P997" s="26">
        <v>3.63</v>
      </c>
      <c r="Q997" s="35" t="s">
        <v>154</v>
      </c>
    </row>
    <row r="998" spans="1:17" ht="48" x14ac:dyDescent="0.25">
      <c r="A998" s="23">
        <v>38297</v>
      </c>
      <c r="B998" s="23">
        <v>38297</v>
      </c>
      <c r="C998" s="24">
        <v>2004</v>
      </c>
      <c r="D998" s="351" t="s">
        <v>23</v>
      </c>
      <c r="E998" s="22" t="s">
        <v>86</v>
      </c>
      <c r="F998" s="25" t="s">
        <v>781</v>
      </c>
      <c r="G998" s="25" t="s">
        <v>1555</v>
      </c>
      <c r="H998" s="44" t="s">
        <v>1556</v>
      </c>
      <c r="I998" s="20">
        <v>0</v>
      </c>
      <c r="J998" s="20">
        <v>1260</v>
      </c>
      <c r="K998" s="20">
        <v>252</v>
      </c>
      <c r="L998" s="20">
        <v>0</v>
      </c>
      <c r="M998" s="20">
        <v>0</v>
      </c>
      <c r="N998" s="20">
        <v>0</v>
      </c>
      <c r="O998" s="20">
        <v>0</v>
      </c>
      <c r="P998" s="26">
        <v>1.02</v>
      </c>
      <c r="Q998" s="35" t="s">
        <v>154</v>
      </c>
    </row>
    <row r="999" spans="1:17" ht="60" x14ac:dyDescent="0.25">
      <c r="A999" s="23">
        <v>38244</v>
      </c>
      <c r="B999" s="23">
        <v>38245</v>
      </c>
      <c r="C999" s="24">
        <v>2004</v>
      </c>
      <c r="D999" s="351" t="s">
        <v>23</v>
      </c>
      <c r="E999" s="22" t="s">
        <v>86</v>
      </c>
      <c r="F999" s="7" t="s">
        <v>40</v>
      </c>
      <c r="G999" s="25" t="s">
        <v>1557</v>
      </c>
      <c r="H999" s="44" t="s">
        <v>1558</v>
      </c>
      <c r="I999" s="20">
        <v>0</v>
      </c>
      <c r="J999" s="20">
        <v>7850</v>
      </c>
      <c r="K999" s="20">
        <v>1570</v>
      </c>
      <c r="L999" s="20">
        <v>0</v>
      </c>
      <c r="M999" s="20">
        <v>0</v>
      </c>
      <c r="N999" s="20">
        <v>0</v>
      </c>
      <c r="O999" s="20">
        <v>0</v>
      </c>
      <c r="P999" s="26">
        <v>9.42</v>
      </c>
      <c r="Q999" s="35" t="s">
        <v>154</v>
      </c>
    </row>
    <row r="1000" spans="1:17" ht="60" x14ac:dyDescent="0.25">
      <c r="A1000" s="23">
        <v>38306</v>
      </c>
      <c r="B1000" s="23">
        <v>38306</v>
      </c>
      <c r="C1000" s="24">
        <v>2004</v>
      </c>
      <c r="D1000" s="351" t="s">
        <v>23</v>
      </c>
      <c r="E1000" s="22" t="s">
        <v>86</v>
      </c>
      <c r="F1000" s="7" t="s">
        <v>84</v>
      </c>
      <c r="G1000" s="25" t="s">
        <v>1559</v>
      </c>
      <c r="H1000" s="44" t="s">
        <v>1560</v>
      </c>
      <c r="I1000" s="20">
        <v>0</v>
      </c>
      <c r="J1000" s="20">
        <v>379</v>
      </c>
      <c r="K1000" s="20">
        <v>0</v>
      </c>
      <c r="L1000" s="20">
        <v>0</v>
      </c>
      <c r="M1000" s="20">
        <v>0</v>
      </c>
      <c r="N1000" s="20">
        <v>0</v>
      </c>
      <c r="O1000" s="20">
        <v>0</v>
      </c>
      <c r="P1000" s="26">
        <v>0</v>
      </c>
      <c r="Q1000" s="35" t="s">
        <v>154</v>
      </c>
    </row>
    <row r="1001" spans="1:17" ht="24" x14ac:dyDescent="0.25">
      <c r="A1001" s="23">
        <v>38052</v>
      </c>
      <c r="B1001" s="23">
        <v>38052</v>
      </c>
      <c r="C1001" s="24">
        <v>2004</v>
      </c>
      <c r="D1001" s="351" t="s">
        <v>23</v>
      </c>
      <c r="E1001" s="14" t="s">
        <v>24</v>
      </c>
      <c r="F1001" s="7" t="s">
        <v>40</v>
      </c>
      <c r="G1001" s="25" t="s">
        <v>26</v>
      </c>
      <c r="H1001" s="25" t="s">
        <v>1561</v>
      </c>
      <c r="I1001" s="20">
        <v>0</v>
      </c>
      <c r="J1001" s="20">
        <v>0</v>
      </c>
      <c r="K1001" s="20">
        <v>0</v>
      </c>
      <c r="L1001" s="20">
        <v>0</v>
      </c>
      <c r="M1001" s="20">
        <v>0</v>
      </c>
      <c r="N1001" s="20">
        <v>0</v>
      </c>
      <c r="O1001" s="20">
        <v>0</v>
      </c>
      <c r="P1001" s="26">
        <v>118</v>
      </c>
      <c r="Q1001" s="35" t="s">
        <v>154</v>
      </c>
    </row>
    <row r="1002" spans="1:17" ht="48.75" x14ac:dyDescent="0.25">
      <c r="A1002" s="23">
        <v>38119</v>
      </c>
      <c r="B1002" s="23">
        <v>38119</v>
      </c>
      <c r="C1002" s="24">
        <v>2004</v>
      </c>
      <c r="D1002" s="351" t="s">
        <v>23</v>
      </c>
      <c r="E1002" s="14" t="s">
        <v>24</v>
      </c>
      <c r="F1002" s="7" t="s">
        <v>84</v>
      </c>
      <c r="G1002" s="25" t="s">
        <v>26</v>
      </c>
      <c r="H1002" s="55" t="s">
        <v>1562</v>
      </c>
      <c r="I1002" s="20">
        <v>0</v>
      </c>
      <c r="J1002" s="20">
        <v>0</v>
      </c>
      <c r="K1002" s="20">
        <v>0</v>
      </c>
      <c r="L1002" s="20">
        <v>0</v>
      </c>
      <c r="M1002" s="20">
        <v>0</v>
      </c>
      <c r="N1002" s="20">
        <v>0</v>
      </c>
      <c r="O1002" s="20">
        <v>0</v>
      </c>
      <c r="P1002" s="26">
        <v>29</v>
      </c>
      <c r="Q1002" s="35" t="s">
        <v>154</v>
      </c>
    </row>
    <row r="1003" spans="1:17" ht="72" x14ac:dyDescent="0.25">
      <c r="A1003" s="23">
        <v>38145</v>
      </c>
      <c r="B1003" s="23">
        <v>38145</v>
      </c>
      <c r="C1003" s="24">
        <v>2004</v>
      </c>
      <c r="D1003" s="351" t="s">
        <v>23</v>
      </c>
      <c r="E1003" s="22" t="s">
        <v>42</v>
      </c>
      <c r="F1003" s="7" t="s">
        <v>67</v>
      </c>
      <c r="G1003" s="44" t="s">
        <v>110</v>
      </c>
      <c r="H1003" s="44" t="s">
        <v>1563</v>
      </c>
      <c r="I1003" s="27">
        <v>0</v>
      </c>
      <c r="J1003" s="20">
        <v>4500</v>
      </c>
      <c r="K1003" s="20">
        <v>0</v>
      </c>
      <c r="L1003" s="20">
        <v>0</v>
      </c>
      <c r="M1003" s="20">
        <v>0</v>
      </c>
      <c r="N1003" s="20">
        <v>0</v>
      </c>
      <c r="O1003" s="20">
        <v>10000</v>
      </c>
      <c r="P1003" s="26">
        <v>128</v>
      </c>
      <c r="Q1003" s="35" t="s">
        <v>154</v>
      </c>
    </row>
    <row r="1004" spans="1:17" ht="48" x14ac:dyDescent="0.25">
      <c r="A1004" s="23">
        <v>38261</v>
      </c>
      <c r="B1004" s="23">
        <v>38352</v>
      </c>
      <c r="C1004" s="24">
        <v>2004</v>
      </c>
      <c r="D1004" s="351" t="s">
        <v>23</v>
      </c>
      <c r="E1004" s="22" t="s">
        <v>42</v>
      </c>
      <c r="F1004" s="7" t="s">
        <v>40</v>
      </c>
      <c r="G1004" s="44" t="s">
        <v>110</v>
      </c>
      <c r="H1004" s="44" t="s">
        <v>1564</v>
      </c>
      <c r="I1004" s="27">
        <v>23</v>
      </c>
      <c r="J1004" s="20">
        <v>23</v>
      </c>
      <c r="K1004" s="20">
        <v>0</v>
      </c>
      <c r="L1004" s="20">
        <v>0</v>
      </c>
      <c r="M1004" s="20">
        <v>0</v>
      </c>
      <c r="N1004" s="20">
        <v>0</v>
      </c>
      <c r="O1004" s="20">
        <v>0</v>
      </c>
      <c r="P1004" s="26">
        <v>0</v>
      </c>
      <c r="Q1004" s="35" t="s">
        <v>154</v>
      </c>
    </row>
    <row r="1005" spans="1:17" ht="36" x14ac:dyDescent="0.25">
      <c r="A1005" s="23">
        <v>38016</v>
      </c>
      <c r="B1005" s="23">
        <v>38016</v>
      </c>
      <c r="C1005" s="24">
        <v>2004</v>
      </c>
      <c r="D1005" s="351" t="s">
        <v>23</v>
      </c>
      <c r="E1005" s="41" t="s">
        <v>1565</v>
      </c>
      <c r="F1005" s="28" t="s">
        <v>157</v>
      </c>
      <c r="G1005" s="44" t="s">
        <v>158</v>
      </c>
      <c r="H1005" s="44" t="s">
        <v>1566</v>
      </c>
      <c r="I1005" s="27">
        <v>0</v>
      </c>
      <c r="J1005" s="20">
        <v>29</v>
      </c>
      <c r="K1005" s="20">
        <v>0</v>
      </c>
      <c r="L1005" s="20">
        <v>0</v>
      </c>
      <c r="M1005" s="20">
        <v>0</v>
      </c>
      <c r="N1005" s="20">
        <v>0</v>
      </c>
      <c r="O1005" s="20">
        <v>0</v>
      </c>
      <c r="P1005" s="26">
        <v>0</v>
      </c>
      <c r="Q1005" s="35" t="s">
        <v>154</v>
      </c>
    </row>
    <row r="1006" spans="1:17" ht="48" x14ac:dyDescent="0.25">
      <c r="A1006" s="23">
        <v>38038</v>
      </c>
      <c r="B1006" s="23">
        <v>38038</v>
      </c>
      <c r="C1006" s="24">
        <v>2004</v>
      </c>
      <c r="D1006" s="351" t="s">
        <v>23</v>
      </c>
      <c r="E1006" s="41" t="s">
        <v>1567</v>
      </c>
      <c r="F1006" s="28" t="s">
        <v>157</v>
      </c>
      <c r="G1006" s="44" t="s">
        <v>158</v>
      </c>
      <c r="H1006" s="44" t="s">
        <v>1568</v>
      </c>
      <c r="I1006" s="27">
        <v>0</v>
      </c>
      <c r="J1006" s="20">
        <v>0</v>
      </c>
      <c r="K1006" s="20">
        <v>1</v>
      </c>
      <c r="L1006" s="20">
        <v>0</v>
      </c>
      <c r="M1006" s="20">
        <v>0</v>
      </c>
      <c r="N1006" s="20">
        <v>0</v>
      </c>
      <c r="O1006" s="20">
        <v>0</v>
      </c>
      <c r="P1006" s="26">
        <v>0.01</v>
      </c>
      <c r="Q1006" s="35" t="s">
        <v>154</v>
      </c>
    </row>
    <row r="1007" spans="1:17" ht="36" x14ac:dyDescent="0.25">
      <c r="A1007" s="23">
        <v>38039</v>
      </c>
      <c r="B1007" s="23">
        <v>38039</v>
      </c>
      <c r="C1007" s="24">
        <v>2004</v>
      </c>
      <c r="D1007" s="351" t="s">
        <v>23</v>
      </c>
      <c r="E1007" s="41" t="s">
        <v>1565</v>
      </c>
      <c r="F1007" s="7" t="s">
        <v>87</v>
      </c>
      <c r="G1007" s="44" t="s">
        <v>1569</v>
      </c>
      <c r="H1007" s="44" t="s">
        <v>1570</v>
      </c>
      <c r="I1007" s="27">
        <v>0</v>
      </c>
      <c r="J1007" s="20">
        <v>0</v>
      </c>
      <c r="K1007" s="20">
        <v>0</v>
      </c>
      <c r="L1007" s="20">
        <v>0</v>
      </c>
      <c r="M1007" s="20">
        <v>0</v>
      </c>
      <c r="N1007" s="20">
        <v>0</v>
      </c>
      <c r="O1007" s="20">
        <v>0</v>
      </c>
      <c r="P1007" s="26">
        <v>0</v>
      </c>
      <c r="Q1007" s="35" t="s">
        <v>154</v>
      </c>
    </row>
    <row r="1008" spans="1:17" ht="72" x14ac:dyDescent="0.25">
      <c r="A1008" s="23">
        <v>38040</v>
      </c>
      <c r="B1008" s="23">
        <v>38040</v>
      </c>
      <c r="C1008" s="24">
        <v>2004</v>
      </c>
      <c r="D1008" s="351" t="s">
        <v>23</v>
      </c>
      <c r="E1008" s="41" t="s">
        <v>1565</v>
      </c>
      <c r="F1008" s="7" t="s">
        <v>40</v>
      </c>
      <c r="G1008" s="44" t="s">
        <v>1571</v>
      </c>
      <c r="H1008" s="44" t="s">
        <v>1572</v>
      </c>
      <c r="I1008" s="27">
        <v>0</v>
      </c>
      <c r="J1008" s="20">
        <v>0</v>
      </c>
      <c r="K1008" s="20">
        <v>0</v>
      </c>
      <c r="L1008" s="20">
        <v>0</v>
      </c>
      <c r="M1008" s="20">
        <v>0</v>
      </c>
      <c r="N1008" s="20">
        <v>0</v>
      </c>
      <c r="O1008" s="20">
        <v>0</v>
      </c>
      <c r="P1008" s="26">
        <v>0</v>
      </c>
      <c r="Q1008" s="35" t="s">
        <v>154</v>
      </c>
    </row>
    <row r="1009" spans="1:17" ht="36" x14ac:dyDescent="0.25">
      <c r="A1009" s="23">
        <v>38044</v>
      </c>
      <c r="B1009" s="23">
        <v>38044</v>
      </c>
      <c r="C1009" s="24">
        <v>2004</v>
      </c>
      <c r="D1009" s="351" t="s">
        <v>23</v>
      </c>
      <c r="E1009" s="41" t="s">
        <v>1565</v>
      </c>
      <c r="F1009" s="7" t="s">
        <v>30</v>
      </c>
      <c r="G1009" s="44" t="s">
        <v>1573</v>
      </c>
      <c r="H1009" s="44" t="s">
        <v>1574</v>
      </c>
      <c r="I1009" s="27">
        <v>0</v>
      </c>
      <c r="J1009" s="20">
        <v>0</v>
      </c>
      <c r="K1009" s="20">
        <v>0</v>
      </c>
      <c r="L1009" s="20">
        <v>0</v>
      </c>
      <c r="M1009" s="20">
        <v>0</v>
      </c>
      <c r="N1009" s="20">
        <v>0</v>
      </c>
      <c r="O1009" s="20">
        <v>0</v>
      </c>
      <c r="P1009" s="26">
        <v>0</v>
      </c>
      <c r="Q1009" s="35" t="s">
        <v>154</v>
      </c>
    </row>
    <row r="1010" spans="1:17" ht="48" x14ac:dyDescent="0.25">
      <c r="A1010" s="23">
        <v>38099</v>
      </c>
      <c r="B1010" s="23">
        <v>38099</v>
      </c>
      <c r="C1010" s="24">
        <v>2004</v>
      </c>
      <c r="D1010" s="351" t="s">
        <v>23</v>
      </c>
      <c r="E1010" s="41" t="s">
        <v>1567</v>
      </c>
      <c r="F1010" s="28" t="s">
        <v>210</v>
      </c>
      <c r="G1010" s="44" t="s">
        <v>1575</v>
      </c>
      <c r="H1010" s="44" t="s">
        <v>1576</v>
      </c>
      <c r="I1010" s="27">
        <v>0</v>
      </c>
      <c r="J1010" s="20">
        <v>150</v>
      </c>
      <c r="K1010" s="20">
        <v>30</v>
      </c>
      <c r="L1010" s="20">
        <v>0</v>
      </c>
      <c r="M1010" s="20">
        <v>0</v>
      </c>
      <c r="N1010" s="20">
        <v>0</v>
      </c>
      <c r="O1010" s="20">
        <v>0</v>
      </c>
      <c r="P1010" s="26">
        <v>0.12</v>
      </c>
      <c r="Q1010" s="35" t="s">
        <v>154</v>
      </c>
    </row>
    <row r="1011" spans="1:17" ht="48" x14ac:dyDescent="0.25">
      <c r="A1011" s="23">
        <v>38109</v>
      </c>
      <c r="B1011" s="23">
        <v>38109</v>
      </c>
      <c r="C1011" s="24">
        <v>2004</v>
      </c>
      <c r="D1011" s="351" t="s">
        <v>23</v>
      </c>
      <c r="E1011" s="41" t="s">
        <v>1567</v>
      </c>
      <c r="F1011" s="7" t="s">
        <v>91</v>
      </c>
      <c r="G1011" s="44" t="s">
        <v>1220</v>
      </c>
      <c r="H1011" s="44" t="s">
        <v>1577</v>
      </c>
      <c r="I1011" s="27">
        <v>3</v>
      </c>
      <c r="J1011" s="20">
        <v>3</v>
      </c>
      <c r="K1011" s="20">
        <v>0</v>
      </c>
      <c r="L1011" s="20">
        <v>0</v>
      </c>
      <c r="M1011" s="20">
        <v>0</v>
      </c>
      <c r="N1011" s="20">
        <v>0</v>
      </c>
      <c r="O1011" s="20">
        <v>0</v>
      </c>
      <c r="P1011" s="26">
        <v>0</v>
      </c>
      <c r="Q1011" s="35" t="s">
        <v>154</v>
      </c>
    </row>
    <row r="1012" spans="1:17" ht="72" x14ac:dyDescent="0.25">
      <c r="A1012" s="23">
        <v>38114</v>
      </c>
      <c r="B1012" s="23">
        <v>38114</v>
      </c>
      <c r="C1012" s="24">
        <v>2004</v>
      </c>
      <c r="D1012" s="351" t="s">
        <v>23</v>
      </c>
      <c r="E1012" s="41" t="s">
        <v>1567</v>
      </c>
      <c r="F1012" s="7" t="s">
        <v>97</v>
      </c>
      <c r="G1012" s="44" t="s">
        <v>110</v>
      </c>
      <c r="H1012" s="44" t="s">
        <v>1578</v>
      </c>
      <c r="I1012" s="27">
        <v>0</v>
      </c>
      <c r="J1012" s="20">
        <v>3</v>
      </c>
      <c r="K1012" s="20">
        <v>0</v>
      </c>
      <c r="L1012" s="20">
        <v>1</v>
      </c>
      <c r="M1012" s="20">
        <v>0</v>
      </c>
      <c r="N1012" s="20">
        <v>0</v>
      </c>
      <c r="O1012" s="20">
        <v>0</v>
      </c>
      <c r="P1012" s="26">
        <v>0</v>
      </c>
      <c r="Q1012" s="35" t="s">
        <v>154</v>
      </c>
    </row>
    <row r="1013" spans="1:17" ht="36" x14ac:dyDescent="0.25">
      <c r="A1013" s="23">
        <v>38119</v>
      </c>
      <c r="B1013" s="23">
        <v>38119</v>
      </c>
      <c r="C1013" s="24">
        <v>2004</v>
      </c>
      <c r="D1013" s="351" t="s">
        <v>23</v>
      </c>
      <c r="E1013" s="41" t="s">
        <v>1567</v>
      </c>
      <c r="F1013" s="7" t="s">
        <v>36</v>
      </c>
      <c r="G1013" s="44" t="s">
        <v>1513</v>
      </c>
      <c r="H1013" s="44" t="s">
        <v>1579</v>
      </c>
      <c r="I1013" s="27">
        <v>0</v>
      </c>
      <c r="J1013" s="20">
        <v>145</v>
      </c>
      <c r="K1013" s="20">
        <v>29</v>
      </c>
      <c r="L1013" s="20">
        <v>0</v>
      </c>
      <c r="M1013" s="20">
        <v>0</v>
      </c>
      <c r="N1013" s="20">
        <v>0</v>
      </c>
      <c r="O1013" s="20">
        <v>0</v>
      </c>
      <c r="P1013" s="26">
        <v>0.11</v>
      </c>
      <c r="Q1013" s="35" t="s">
        <v>154</v>
      </c>
    </row>
    <row r="1014" spans="1:17" ht="48" x14ac:dyDescent="0.25">
      <c r="A1014" s="23">
        <v>38121</v>
      </c>
      <c r="B1014" s="23">
        <v>38121</v>
      </c>
      <c r="C1014" s="24">
        <v>2004</v>
      </c>
      <c r="D1014" s="351" t="s">
        <v>23</v>
      </c>
      <c r="E1014" s="41" t="s">
        <v>1567</v>
      </c>
      <c r="F1014" s="25" t="s">
        <v>781</v>
      </c>
      <c r="G1014" s="44" t="s">
        <v>1580</v>
      </c>
      <c r="H1014" s="44" t="s">
        <v>1581</v>
      </c>
      <c r="I1014" s="27">
        <v>0</v>
      </c>
      <c r="J1014" s="20">
        <v>400</v>
      </c>
      <c r="K1014" s="20">
        <v>100</v>
      </c>
      <c r="L1014" s="20">
        <v>0</v>
      </c>
      <c r="M1014" s="20">
        <v>0</v>
      </c>
      <c r="N1014" s="20">
        <v>0</v>
      </c>
      <c r="O1014" s="20">
        <v>0</v>
      </c>
      <c r="P1014" s="26">
        <v>0.4</v>
      </c>
      <c r="Q1014" s="35" t="s">
        <v>154</v>
      </c>
    </row>
    <row r="1015" spans="1:17" ht="36" x14ac:dyDescent="0.25">
      <c r="A1015" s="23">
        <v>38121</v>
      </c>
      <c r="B1015" s="23">
        <v>38121</v>
      </c>
      <c r="C1015" s="24">
        <v>2004</v>
      </c>
      <c r="D1015" s="351" t="s">
        <v>23</v>
      </c>
      <c r="E1015" s="41" t="s">
        <v>1567</v>
      </c>
      <c r="F1015" s="7" t="s">
        <v>58</v>
      </c>
      <c r="G1015" s="44" t="s">
        <v>1582</v>
      </c>
      <c r="H1015" s="44" t="s">
        <v>1583</v>
      </c>
      <c r="I1015" s="27">
        <v>0</v>
      </c>
      <c r="J1015" s="20">
        <v>200</v>
      </c>
      <c r="K1015" s="20">
        <v>40</v>
      </c>
      <c r="L1015" s="20">
        <v>0</v>
      </c>
      <c r="M1015" s="20">
        <v>0</v>
      </c>
      <c r="N1015" s="20">
        <v>0</v>
      </c>
      <c r="O1015" s="20">
        <v>0</v>
      </c>
      <c r="P1015" s="26">
        <v>0.16</v>
      </c>
      <c r="Q1015" s="35" t="s">
        <v>154</v>
      </c>
    </row>
    <row r="1016" spans="1:17" ht="36" x14ac:dyDescent="0.25">
      <c r="A1016" s="23">
        <v>38153</v>
      </c>
      <c r="B1016" s="23">
        <v>38153</v>
      </c>
      <c r="C1016" s="24">
        <v>2004</v>
      </c>
      <c r="D1016" s="351" t="s">
        <v>23</v>
      </c>
      <c r="E1016" s="41" t="s">
        <v>1567</v>
      </c>
      <c r="F1016" s="7" t="s">
        <v>25</v>
      </c>
      <c r="G1016" s="44" t="s">
        <v>1584</v>
      </c>
      <c r="H1016" s="44" t="s">
        <v>1585</v>
      </c>
      <c r="I1016" s="27">
        <v>0</v>
      </c>
      <c r="J1016" s="20">
        <v>50</v>
      </c>
      <c r="K1016" s="20">
        <v>10</v>
      </c>
      <c r="L1016" s="20">
        <v>0</v>
      </c>
      <c r="M1016" s="20">
        <v>0</v>
      </c>
      <c r="N1016" s="20">
        <v>0</v>
      </c>
      <c r="O1016" s="20">
        <v>0</v>
      </c>
      <c r="P1016" s="26">
        <v>0.04</v>
      </c>
      <c r="Q1016" s="35" t="s">
        <v>154</v>
      </c>
    </row>
    <row r="1017" spans="1:17" ht="48" x14ac:dyDescent="0.25">
      <c r="A1017" s="23">
        <v>38167</v>
      </c>
      <c r="B1017" s="23">
        <v>38167</v>
      </c>
      <c r="C1017" s="24">
        <v>2004</v>
      </c>
      <c r="D1017" s="351" t="s">
        <v>23</v>
      </c>
      <c r="E1017" s="41" t="s">
        <v>1567</v>
      </c>
      <c r="F1017" s="7" t="s">
        <v>36</v>
      </c>
      <c r="G1017" s="44" t="s">
        <v>673</v>
      </c>
      <c r="H1017" s="44" t="s">
        <v>1586</v>
      </c>
      <c r="I1017" s="27">
        <v>0</v>
      </c>
      <c r="J1017" s="20">
        <v>51</v>
      </c>
      <c r="K1017" s="20">
        <v>10</v>
      </c>
      <c r="L1017" s="20">
        <v>0</v>
      </c>
      <c r="M1017" s="20">
        <v>0</v>
      </c>
      <c r="N1017" s="20">
        <v>0</v>
      </c>
      <c r="O1017" s="20">
        <v>0</v>
      </c>
      <c r="P1017" s="26">
        <v>0.04</v>
      </c>
      <c r="Q1017" s="35" t="s">
        <v>154</v>
      </c>
    </row>
    <row r="1018" spans="1:17" ht="48" x14ac:dyDescent="0.25">
      <c r="A1018" s="23">
        <v>38173</v>
      </c>
      <c r="B1018" s="23">
        <v>38173</v>
      </c>
      <c r="C1018" s="24">
        <v>2004</v>
      </c>
      <c r="D1018" s="351" t="s">
        <v>23</v>
      </c>
      <c r="E1018" s="41" t="s">
        <v>1567</v>
      </c>
      <c r="F1018" s="25" t="s">
        <v>781</v>
      </c>
      <c r="G1018" s="44" t="s">
        <v>1555</v>
      </c>
      <c r="H1018" s="44" t="s">
        <v>1587</v>
      </c>
      <c r="I1018" s="27">
        <v>0</v>
      </c>
      <c r="J1018" s="20">
        <v>100</v>
      </c>
      <c r="K1018" s="20">
        <v>20</v>
      </c>
      <c r="L1018" s="20">
        <v>0</v>
      </c>
      <c r="M1018" s="20">
        <v>0</v>
      </c>
      <c r="N1018" s="20">
        <v>0</v>
      </c>
      <c r="O1018" s="20">
        <v>0</v>
      </c>
      <c r="P1018" s="26">
        <v>0.2</v>
      </c>
      <c r="Q1018" s="35" t="s">
        <v>154</v>
      </c>
    </row>
    <row r="1019" spans="1:17" ht="60" x14ac:dyDescent="0.25">
      <c r="A1019" s="23">
        <v>38190</v>
      </c>
      <c r="B1019" s="23">
        <v>38190</v>
      </c>
      <c r="C1019" s="24">
        <v>2004</v>
      </c>
      <c r="D1019" s="351" t="s">
        <v>23</v>
      </c>
      <c r="E1019" s="41" t="s">
        <v>1567</v>
      </c>
      <c r="F1019" s="7" t="s">
        <v>53</v>
      </c>
      <c r="G1019" s="44" t="s">
        <v>1588</v>
      </c>
      <c r="H1019" s="44" t="s">
        <v>1589</v>
      </c>
      <c r="I1019" s="27">
        <v>0</v>
      </c>
      <c r="J1019" s="20">
        <v>200</v>
      </c>
      <c r="K1019" s="20">
        <v>40</v>
      </c>
      <c r="L1019" s="20">
        <v>0</v>
      </c>
      <c r="M1019" s="20">
        <v>0</v>
      </c>
      <c r="N1019" s="20">
        <v>0</v>
      </c>
      <c r="O1019" s="20">
        <v>0</v>
      </c>
      <c r="P1019" s="26">
        <v>0.16</v>
      </c>
      <c r="Q1019" s="35" t="s">
        <v>154</v>
      </c>
    </row>
    <row r="1020" spans="1:17" ht="48" x14ac:dyDescent="0.25">
      <c r="A1020" s="23">
        <v>38197</v>
      </c>
      <c r="B1020" s="23">
        <v>38197</v>
      </c>
      <c r="C1020" s="24">
        <v>2004</v>
      </c>
      <c r="D1020" s="351" t="s">
        <v>23</v>
      </c>
      <c r="E1020" s="41" t="s">
        <v>1567</v>
      </c>
      <c r="F1020" s="7" t="s">
        <v>53</v>
      </c>
      <c r="G1020" s="44" t="s">
        <v>1590</v>
      </c>
      <c r="H1020" s="44" t="s">
        <v>1591</v>
      </c>
      <c r="I1020" s="27">
        <v>0</v>
      </c>
      <c r="J1020" s="20">
        <v>525</v>
      </c>
      <c r="K1020" s="20">
        <v>105</v>
      </c>
      <c r="L1020" s="20">
        <v>0</v>
      </c>
      <c r="M1020" s="20">
        <v>0</v>
      </c>
      <c r="N1020" s="20">
        <v>0</v>
      </c>
      <c r="O1020" s="20">
        <v>0</v>
      </c>
      <c r="P1020" s="26">
        <v>0.42</v>
      </c>
      <c r="Q1020" s="35" t="s">
        <v>154</v>
      </c>
    </row>
    <row r="1021" spans="1:17" ht="60" x14ac:dyDescent="0.25">
      <c r="A1021" s="23">
        <v>38282</v>
      </c>
      <c r="B1021" s="23">
        <v>38282</v>
      </c>
      <c r="C1021" s="24">
        <v>2004</v>
      </c>
      <c r="D1021" s="351" t="s">
        <v>23</v>
      </c>
      <c r="E1021" s="41" t="s">
        <v>1567</v>
      </c>
      <c r="F1021" s="7" t="s">
        <v>36</v>
      </c>
      <c r="G1021" s="44" t="s">
        <v>1592</v>
      </c>
      <c r="H1021" s="44" t="s">
        <v>1593</v>
      </c>
      <c r="I1021" s="27">
        <v>1</v>
      </c>
      <c r="J1021" s="20">
        <v>23</v>
      </c>
      <c r="K1021" s="20">
        <v>4</v>
      </c>
      <c r="L1021" s="20">
        <v>0</v>
      </c>
      <c r="M1021" s="20">
        <v>0</v>
      </c>
      <c r="N1021" s="20">
        <v>0</v>
      </c>
      <c r="O1021" s="20">
        <v>0</v>
      </c>
      <c r="P1021" s="26">
        <v>0.04</v>
      </c>
      <c r="Q1021" s="35" t="s">
        <v>154</v>
      </c>
    </row>
    <row r="1022" spans="1:17" ht="60" x14ac:dyDescent="0.25">
      <c r="A1022" s="36">
        <v>38084</v>
      </c>
      <c r="B1022" s="36">
        <v>38084</v>
      </c>
      <c r="C1022" s="24">
        <v>2004</v>
      </c>
      <c r="D1022" s="35" t="s">
        <v>17</v>
      </c>
      <c r="E1022" s="6" t="s">
        <v>1594</v>
      </c>
      <c r="F1022" s="7" t="s">
        <v>91</v>
      </c>
      <c r="G1022" s="57" t="s">
        <v>1595</v>
      </c>
      <c r="H1022" s="44" t="s">
        <v>1596</v>
      </c>
      <c r="I1022" s="27">
        <v>0</v>
      </c>
      <c r="J1022" s="20">
        <v>2</v>
      </c>
      <c r="K1022" s="20">
        <v>0</v>
      </c>
      <c r="L1022" s="20">
        <v>0</v>
      </c>
      <c r="M1022" s="20">
        <v>0</v>
      </c>
      <c r="N1022" s="20">
        <v>0</v>
      </c>
      <c r="O1022" s="20">
        <v>0</v>
      </c>
      <c r="P1022" s="26">
        <v>0</v>
      </c>
      <c r="Q1022" s="35" t="s">
        <v>154</v>
      </c>
    </row>
    <row r="1023" spans="1:17" ht="120" x14ac:dyDescent="0.25">
      <c r="A1023" s="36">
        <v>38142</v>
      </c>
      <c r="B1023" s="36">
        <v>38142</v>
      </c>
      <c r="C1023" s="24">
        <v>2004</v>
      </c>
      <c r="D1023" s="35" t="s">
        <v>17</v>
      </c>
      <c r="E1023" s="6" t="s">
        <v>1597</v>
      </c>
      <c r="F1023" s="7" t="s">
        <v>36</v>
      </c>
      <c r="G1023" s="57" t="s">
        <v>1598</v>
      </c>
      <c r="H1023" s="44" t="s">
        <v>1599</v>
      </c>
      <c r="I1023" s="27">
        <v>0</v>
      </c>
      <c r="J1023" s="20">
        <v>185</v>
      </c>
      <c r="K1023" s="20">
        <v>0</v>
      </c>
      <c r="L1023" s="20">
        <v>2</v>
      </c>
      <c r="M1023" s="20">
        <v>0</v>
      </c>
      <c r="N1023" s="20">
        <v>0</v>
      </c>
      <c r="O1023" s="20">
        <v>0</v>
      </c>
      <c r="P1023" s="26">
        <v>0.15</v>
      </c>
      <c r="Q1023" s="35" t="s">
        <v>154</v>
      </c>
    </row>
    <row r="1024" spans="1:17" ht="48" x14ac:dyDescent="0.25">
      <c r="A1024" s="36">
        <v>38143</v>
      </c>
      <c r="B1024" s="36">
        <v>38143</v>
      </c>
      <c r="C1024" s="24">
        <v>2004</v>
      </c>
      <c r="D1024" s="35" t="s">
        <v>17</v>
      </c>
      <c r="E1024" s="6" t="s">
        <v>1600</v>
      </c>
      <c r="F1024" s="7" t="s">
        <v>45</v>
      </c>
      <c r="G1024" s="57" t="s">
        <v>1601</v>
      </c>
      <c r="H1024" s="44" t="s">
        <v>1602</v>
      </c>
      <c r="I1024" s="27">
        <v>1</v>
      </c>
      <c r="J1024" s="20">
        <v>3</v>
      </c>
      <c r="K1024" s="20">
        <v>0</v>
      </c>
      <c r="L1024" s="20">
        <v>0</v>
      </c>
      <c r="M1024" s="20">
        <v>0</v>
      </c>
      <c r="N1024" s="20">
        <v>0</v>
      </c>
      <c r="O1024" s="20">
        <v>0</v>
      </c>
      <c r="P1024" s="26">
        <v>0</v>
      </c>
      <c r="Q1024" s="35" t="s">
        <v>154</v>
      </c>
    </row>
    <row r="1025" spans="1:17" ht="48" x14ac:dyDescent="0.25">
      <c r="A1025" s="36">
        <v>38155</v>
      </c>
      <c r="B1025" s="36">
        <v>38155</v>
      </c>
      <c r="C1025" s="24">
        <v>2004</v>
      </c>
      <c r="D1025" s="35" t="s">
        <v>17</v>
      </c>
      <c r="E1025" s="6" t="s">
        <v>1603</v>
      </c>
      <c r="F1025" s="7" t="s">
        <v>30</v>
      </c>
      <c r="G1025" s="57" t="s">
        <v>1078</v>
      </c>
      <c r="H1025" s="44" t="s">
        <v>1604</v>
      </c>
      <c r="I1025" s="27">
        <v>0</v>
      </c>
      <c r="J1025" s="20">
        <v>0</v>
      </c>
      <c r="K1025" s="20">
        <v>0</v>
      </c>
      <c r="L1025" s="20">
        <v>0</v>
      </c>
      <c r="M1025" s="20">
        <v>0</v>
      </c>
      <c r="N1025" s="20">
        <v>0</v>
      </c>
      <c r="O1025" s="20">
        <v>0</v>
      </c>
      <c r="P1025" s="26">
        <v>0</v>
      </c>
      <c r="Q1025" s="35" t="s">
        <v>154</v>
      </c>
    </row>
    <row r="1026" spans="1:17" ht="96" x14ac:dyDescent="0.25">
      <c r="A1026" s="36">
        <v>38168</v>
      </c>
      <c r="B1026" s="36">
        <v>38168</v>
      </c>
      <c r="C1026" s="24">
        <v>2004</v>
      </c>
      <c r="D1026" s="35" t="s">
        <v>17</v>
      </c>
      <c r="E1026" s="6" t="s">
        <v>1603</v>
      </c>
      <c r="F1026" s="7" t="s">
        <v>60</v>
      </c>
      <c r="G1026" s="57" t="s">
        <v>1605</v>
      </c>
      <c r="H1026" s="44" t="s">
        <v>1606</v>
      </c>
      <c r="I1026" s="27">
        <v>1</v>
      </c>
      <c r="J1026" s="20">
        <v>130</v>
      </c>
      <c r="K1026" s="20">
        <v>26</v>
      </c>
      <c r="L1026" s="20">
        <v>0</v>
      </c>
      <c r="M1026" s="20">
        <v>0</v>
      </c>
      <c r="N1026" s="20">
        <v>0</v>
      </c>
      <c r="O1026" s="20">
        <v>0</v>
      </c>
      <c r="P1026" s="26">
        <v>0.26</v>
      </c>
      <c r="Q1026" s="35" t="s">
        <v>154</v>
      </c>
    </row>
    <row r="1027" spans="1:17" ht="48" x14ac:dyDescent="0.25">
      <c r="A1027" s="36">
        <v>38172</v>
      </c>
      <c r="B1027" s="36">
        <v>38172</v>
      </c>
      <c r="C1027" s="24">
        <v>2004</v>
      </c>
      <c r="D1027" s="35" t="s">
        <v>17</v>
      </c>
      <c r="E1027" s="6" t="s">
        <v>1600</v>
      </c>
      <c r="F1027" s="28" t="s">
        <v>210</v>
      </c>
      <c r="G1027" s="57" t="s">
        <v>1607</v>
      </c>
      <c r="H1027" s="44" t="s">
        <v>1608</v>
      </c>
      <c r="I1027" s="27">
        <v>3</v>
      </c>
      <c r="J1027" s="20">
        <v>6</v>
      </c>
      <c r="K1027" s="20">
        <v>0</v>
      </c>
      <c r="L1027" s="20">
        <v>0</v>
      </c>
      <c r="M1027" s="20">
        <v>0</v>
      </c>
      <c r="N1027" s="20">
        <v>0</v>
      </c>
      <c r="O1027" s="20">
        <v>0</v>
      </c>
      <c r="P1027" s="26">
        <v>0</v>
      </c>
      <c r="Q1027" s="35" t="s">
        <v>154</v>
      </c>
    </row>
    <row r="1028" spans="1:17" ht="48" x14ac:dyDescent="0.25">
      <c r="A1028" s="36">
        <v>38220</v>
      </c>
      <c r="B1028" s="36">
        <v>38220</v>
      </c>
      <c r="C1028" s="24">
        <v>2004</v>
      </c>
      <c r="D1028" s="35" t="s">
        <v>17</v>
      </c>
      <c r="E1028" s="6" t="s">
        <v>1600</v>
      </c>
      <c r="F1028" s="28" t="s">
        <v>157</v>
      </c>
      <c r="G1028" s="57" t="s">
        <v>1609</v>
      </c>
      <c r="H1028" s="44" t="s">
        <v>1610</v>
      </c>
      <c r="I1028" s="27">
        <v>3</v>
      </c>
      <c r="J1028" s="20">
        <v>3</v>
      </c>
      <c r="K1028" s="20">
        <v>0</v>
      </c>
      <c r="L1028" s="20">
        <v>0</v>
      </c>
      <c r="M1028" s="20">
        <v>0</v>
      </c>
      <c r="N1028" s="20">
        <v>0</v>
      </c>
      <c r="O1028" s="20">
        <v>0</v>
      </c>
      <c r="P1028" s="26">
        <v>0</v>
      </c>
      <c r="Q1028" s="35" t="s">
        <v>154</v>
      </c>
    </row>
    <row r="1029" spans="1:17" ht="48" x14ac:dyDescent="0.25">
      <c r="A1029" s="36">
        <v>38227</v>
      </c>
      <c r="B1029" s="36">
        <v>38227</v>
      </c>
      <c r="C1029" s="24">
        <v>2004</v>
      </c>
      <c r="D1029" s="35" t="s">
        <v>17</v>
      </c>
      <c r="E1029" s="6" t="s">
        <v>1600</v>
      </c>
      <c r="F1029" s="7" t="s">
        <v>56</v>
      </c>
      <c r="G1029" s="57" t="s">
        <v>711</v>
      </c>
      <c r="H1029" s="44" t="s">
        <v>1611</v>
      </c>
      <c r="I1029" s="27">
        <v>1</v>
      </c>
      <c r="J1029" s="20">
        <v>1</v>
      </c>
      <c r="K1029" s="20">
        <v>0</v>
      </c>
      <c r="L1029" s="20">
        <v>0</v>
      </c>
      <c r="M1029" s="20">
        <v>0</v>
      </c>
      <c r="N1029" s="20">
        <v>0</v>
      </c>
      <c r="O1029" s="20">
        <v>0</v>
      </c>
      <c r="P1029" s="26">
        <v>0</v>
      </c>
      <c r="Q1029" s="35" t="s">
        <v>154</v>
      </c>
    </row>
    <row r="1030" spans="1:17" ht="36" x14ac:dyDescent="0.25">
      <c r="A1030" s="36">
        <v>38231</v>
      </c>
      <c r="B1030" s="36">
        <v>38231</v>
      </c>
      <c r="C1030" s="24">
        <v>2004</v>
      </c>
      <c r="D1030" s="35" t="s">
        <v>17</v>
      </c>
      <c r="E1030" s="6" t="s">
        <v>1597</v>
      </c>
      <c r="F1030" s="7" t="s">
        <v>53</v>
      </c>
      <c r="G1030" s="57" t="s">
        <v>110</v>
      </c>
      <c r="H1030" s="44" t="s">
        <v>1612</v>
      </c>
      <c r="I1030" s="27">
        <v>0</v>
      </c>
      <c r="J1030" s="20">
        <v>5</v>
      </c>
      <c r="K1030" s="20">
        <v>1</v>
      </c>
      <c r="L1030" s="20">
        <v>0</v>
      </c>
      <c r="M1030" s="20">
        <v>0</v>
      </c>
      <c r="N1030" s="20">
        <v>0</v>
      </c>
      <c r="O1030" s="20">
        <v>0</v>
      </c>
      <c r="P1030" s="26">
        <v>0.01</v>
      </c>
      <c r="Q1030" s="35" t="s">
        <v>154</v>
      </c>
    </row>
    <row r="1031" spans="1:17" ht="84" x14ac:dyDescent="0.25">
      <c r="A1031" s="36">
        <v>38245</v>
      </c>
      <c r="B1031" s="36">
        <v>38245</v>
      </c>
      <c r="C1031" s="24">
        <v>2004</v>
      </c>
      <c r="D1031" s="35" t="s">
        <v>17</v>
      </c>
      <c r="E1031" s="6" t="s">
        <v>1600</v>
      </c>
      <c r="F1031" s="7" t="s">
        <v>53</v>
      </c>
      <c r="G1031" s="57" t="s">
        <v>110</v>
      </c>
      <c r="H1031" s="44" t="s">
        <v>1613</v>
      </c>
      <c r="I1031" s="27">
        <v>2</v>
      </c>
      <c r="J1031" s="20">
        <v>20</v>
      </c>
      <c r="K1031" s="20">
        <v>1</v>
      </c>
      <c r="L1031" s="20">
        <v>0</v>
      </c>
      <c r="M1031" s="20">
        <v>0</v>
      </c>
      <c r="N1031" s="20">
        <v>0</v>
      </c>
      <c r="O1031" s="20">
        <v>0</v>
      </c>
      <c r="P1031" s="26">
        <v>0.01</v>
      </c>
      <c r="Q1031" s="35" t="s">
        <v>154</v>
      </c>
    </row>
    <row r="1032" spans="1:17" ht="60" x14ac:dyDescent="0.25">
      <c r="A1032" s="23">
        <v>38007</v>
      </c>
      <c r="B1032" s="23">
        <v>38007</v>
      </c>
      <c r="C1032" s="24">
        <v>2004</v>
      </c>
      <c r="D1032" s="35" t="s">
        <v>28</v>
      </c>
      <c r="E1032" s="30" t="s">
        <v>133</v>
      </c>
      <c r="F1032" s="7" t="s">
        <v>72</v>
      </c>
      <c r="G1032" s="44" t="s">
        <v>1614</v>
      </c>
      <c r="H1032" s="44" t="s">
        <v>1615</v>
      </c>
      <c r="I1032" s="27">
        <v>1</v>
      </c>
      <c r="J1032" s="20">
        <v>80</v>
      </c>
      <c r="K1032" s="20">
        <v>16</v>
      </c>
      <c r="L1032" s="20">
        <v>0</v>
      </c>
      <c r="M1032" s="20">
        <v>0</v>
      </c>
      <c r="N1032" s="20">
        <v>0</v>
      </c>
      <c r="O1032" s="20">
        <v>0</v>
      </c>
      <c r="P1032" s="26">
        <f>(0.036*6)+(0.01*10)</f>
        <v>0.31599999999999995</v>
      </c>
      <c r="Q1032" s="35" t="s">
        <v>154</v>
      </c>
    </row>
    <row r="1033" spans="1:17" ht="60" x14ac:dyDescent="0.25">
      <c r="A1033" s="23">
        <v>38221</v>
      </c>
      <c r="B1033" s="23">
        <v>38221</v>
      </c>
      <c r="C1033" s="24">
        <v>2004</v>
      </c>
      <c r="D1033" s="35" t="s">
        <v>28</v>
      </c>
      <c r="E1033" s="6" t="s">
        <v>149</v>
      </c>
      <c r="F1033" s="7" t="s">
        <v>30</v>
      </c>
      <c r="G1033" s="25" t="s">
        <v>395</v>
      </c>
      <c r="H1033" s="44" t="s">
        <v>1616</v>
      </c>
      <c r="I1033" s="27">
        <v>0</v>
      </c>
      <c r="J1033" s="20">
        <v>50</v>
      </c>
      <c r="K1033" s="20">
        <v>10</v>
      </c>
      <c r="L1033" s="20">
        <v>0</v>
      </c>
      <c r="M1033" s="20">
        <v>0</v>
      </c>
      <c r="N1033" s="20">
        <v>0</v>
      </c>
      <c r="O1033" s="20">
        <v>0</v>
      </c>
      <c r="P1033" s="26">
        <v>0</v>
      </c>
      <c r="Q1033" s="35" t="s">
        <v>154</v>
      </c>
    </row>
    <row r="1034" spans="1:17" ht="60" x14ac:dyDescent="0.25">
      <c r="A1034" s="23">
        <v>38014</v>
      </c>
      <c r="B1034" s="23">
        <v>38014</v>
      </c>
      <c r="C1034" s="24">
        <v>2004</v>
      </c>
      <c r="D1034" s="35" t="s">
        <v>28</v>
      </c>
      <c r="E1034" s="30" t="s">
        <v>133</v>
      </c>
      <c r="F1034" s="7" t="s">
        <v>68</v>
      </c>
      <c r="G1034" s="44" t="s">
        <v>915</v>
      </c>
      <c r="H1034" s="44" t="s">
        <v>1617</v>
      </c>
      <c r="I1034" s="27">
        <v>0</v>
      </c>
      <c r="J1034" s="20">
        <v>3</v>
      </c>
      <c r="K1034" s="20">
        <v>0</v>
      </c>
      <c r="L1034" s="20">
        <v>0</v>
      </c>
      <c r="M1034" s="20">
        <v>0</v>
      </c>
      <c r="N1034" s="20">
        <v>0</v>
      </c>
      <c r="O1034" s="20">
        <v>0</v>
      </c>
      <c r="P1034" s="26">
        <v>0</v>
      </c>
      <c r="Q1034" s="35" t="s">
        <v>154</v>
      </c>
    </row>
    <row r="1035" spans="1:17" ht="60" x14ac:dyDescent="0.25">
      <c r="A1035" s="23">
        <v>38015</v>
      </c>
      <c r="B1035" s="23">
        <v>38015</v>
      </c>
      <c r="C1035" s="24">
        <v>2004</v>
      </c>
      <c r="D1035" s="35" t="s">
        <v>28</v>
      </c>
      <c r="E1035" s="30" t="s">
        <v>133</v>
      </c>
      <c r="F1035" s="28" t="s">
        <v>157</v>
      </c>
      <c r="G1035" s="44" t="s">
        <v>206</v>
      </c>
      <c r="H1035" s="44" t="s">
        <v>1618</v>
      </c>
      <c r="I1035" s="27">
        <v>0</v>
      </c>
      <c r="J1035" s="20">
        <v>1</v>
      </c>
      <c r="K1035" s="20">
        <v>0</v>
      </c>
      <c r="L1035" s="20">
        <v>0</v>
      </c>
      <c r="M1035" s="20">
        <v>0</v>
      </c>
      <c r="N1035" s="20">
        <v>0</v>
      </c>
      <c r="O1035" s="20">
        <v>0</v>
      </c>
      <c r="P1035" s="26">
        <v>0</v>
      </c>
      <c r="Q1035" s="35" t="s">
        <v>154</v>
      </c>
    </row>
    <row r="1036" spans="1:17" ht="36" x14ac:dyDescent="0.25">
      <c r="A1036" s="23">
        <v>38018</v>
      </c>
      <c r="B1036" s="23">
        <v>38018</v>
      </c>
      <c r="C1036" s="24">
        <v>2004</v>
      </c>
      <c r="D1036" s="35" t="s">
        <v>28</v>
      </c>
      <c r="E1036" s="30" t="s">
        <v>133</v>
      </c>
      <c r="F1036" s="7" t="s">
        <v>60</v>
      </c>
      <c r="G1036" s="44" t="s">
        <v>1619</v>
      </c>
      <c r="H1036" s="44" t="s">
        <v>1620</v>
      </c>
      <c r="I1036" s="27">
        <v>0</v>
      </c>
      <c r="J1036" s="20">
        <v>20</v>
      </c>
      <c r="K1036" s="20">
        <v>0</v>
      </c>
      <c r="L1036" s="20">
        <v>0</v>
      </c>
      <c r="M1036" s="20">
        <v>0</v>
      </c>
      <c r="N1036" s="20">
        <v>0</v>
      </c>
      <c r="O1036" s="20">
        <v>0</v>
      </c>
      <c r="P1036" s="26">
        <v>0</v>
      </c>
      <c r="Q1036" s="35" t="s">
        <v>154</v>
      </c>
    </row>
    <row r="1037" spans="1:17" ht="48" x14ac:dyDescent="0.25">
      <c r="A1037" s="23">
        <v>38172</v>
      </c>
      <c r="B1037" s="23">
        <v>38172</v>
      </c>
      <c r="C1037" s="24">
        <v>2004</v>
      </c>
      <c r="D1037" s="35" t="s">
        <v>28</v>
      </c>
      <c r="E1037" s="30" t="s">
        <v>133</v>
      </c>
      <c r="F1037" s="7" t="s">
        <v>67</v>
      </c>
      <c r="G1037" s="44" t="s">
        <v>1621</v>
      </c>
      <c r="H1037" s="44" t="s">
        <v>1622</v>
      </c>
      <c r="I1037" s="27">
        <v>0</v>
      </c>
      <c r="J1037" s="20">
        <v>40</v>
      </c>
      <c r="K1037" s="20">
        <v>8</v>
      </c>
      <c r="L1037" s="20">
        <v>0</v>
      </c>
      <c r="M1037" s="20">
        <v>0</v>
      </c>
      <c r="N1037" s="20">
        <v>0</v>
      </c>
      <c r="O1037" s="20">
        <v>0</v>
      </c>
      <c r="P1037" s="26">
        <f>8*0.036</f>
        <v>0.28799999999999998</v>
      </c>
      <c r="Q1037" s="35" t="s">
        <v>154</v>
      </c>
    </row>
    <row r="1038" spans="1:17" ht="36" x14ac:dyDescent="0.25">
      <c r="A1038" s="23">
        <v>38022</v>
      </c>
      <c r="B1038" s="23">
        <v>38022</v>
      </c>
      <c r="C1038" s="24">
        <v>2004</v>
      </c>
      <c r="D1038" s="35" t="s">
        <v>28</v>
      </c>
      <c r="E1038" s="30" t="s">
        <v>133</v>
      </c>
      <c r="F1038" s="7" t="s">
        <v>60</v>
      </c>
      <c r="G1038" s="44" t="s">
        <v>1605</v>
      </c>
      <c r="H1038" s="44" t="s">
        <v>1623</v>
      </c>
      <c r="I1038" s="27">
        <v>0</v>
      </c>
      <c r="J1038" s="20">
        <v>3</v>
      </c>
      <c r="K1038" s="20">
        <v>0</v>
      </c>
      <c r="L1038" s="20">
        <v>0</v>
      </c>
      <c r="M1038" s="20">
        <v>0</v>
      </c>
      <c r="N1038" s="20">
        <v>0</v>
      </c>
      <c r="O1038" s="20">
        <v>0</v>
      </c>
      <c r="P1038" s="26">
        <v>0</v>
      </c>
      <c r="Q1038" s="35" t="s">
        <v>154</v>
      </c>
    </row>
    <row r="1039" spans="1:17" ht="36" x14ac:dyDescent="0.25">
      <c r="A1039" s="23">
        <v>38028</v>
      </c>
      <c r="B1039" s="23">
        <v>38028</v>
      </c>
      <c r="C1039" s="24">
        <v>2004</v>
      </c>
      <c r="D1039" s="35" t="s">
        <v>28</v>
      </c>
      <c r="E1039" s="30" t="s">
        <v>133</v>
      </c>
      <c r="F1039" s="7" t="s">
        <v>91</v>
      </c>
      <c r="G1039" s="44" t="s">
        <v>1624</v>
      </c>
      <c r="H1039" s="44" t="s">
        <v>1625</v>
      </c>
      <c r="I1039" s="27">
        <v>0</v>
      </c>
      <c r="J1039" s="20">
        <v>11</v>
      </c>
      <c r="K1039" s="20">
        <v>0</v>
      </c>
      <c r="L1039" s="20">
        <v>0</v>
      </c>
      <c r="M1039" s="20">
        <v>0</v>
      </c>
      <c r="N1039" s="20">
        <v>0</v>
      </c>
      <c r="O1039" s="20">
        <v>0</v>
      </c>
      <c r="P1039" s="26">
        <v>0</v>
      </c>
      <c r="Q1039" s="35" t="s">
        <v>154</v>
      </c>
    </row>
    <row r="1040" spans="1:17" ht="84" x14ac:dyDescent="0.25">
      <c r="A1040" s="23">
        <v>38098</v>
      </c>
      <c r="B1040" s="23">
        <v>38098</v>
      </c>
      <c r="C1040" s="24">
        <v>2004</v>
      </c>
      <c r="D1040" s="35" t="s">
        <v>28</v>
      </c>
      <c r="E1040" s="30" t="s">
        <v>133</v>
      </c>
      <c r="F1040" s="7" t="s">
        <v>53</v>
      </c>
      <c r="G1040" s="44" t="s">
        <v>110</v>
      </c>
      <c r="H1040" s="44" t="s">
        <v>1626</v>
      </c>
      <c r="I1040" s="27">
        <v>0</v>
      </c>
      <c r="J1040" s="20">
        <v>10</v>
      </c>
      <c r="K1040" s="20">
        <v>7</v>
      </c>
      <c r="L1040" s="20">
        <v>0</v>
      </c>
      <c r="M1040" s="20">
        <v>0</v>
      </c>
      <c r="N1040" s="20">
        <v>0</v>
      </c>
      <c r="O1040" s="20">
        <v>0</v>
      </c>
      <c r="P1040" s="26">
        <f>(7*0.01)+(4*0.036)</f>
        <v>0.214</v>
      </c>
      <c r="Q1040" s="35" t="s">
        <v>154</v>
      </c>
    </row>
    <row r="1041" spans="1:17" ht="36" x14ac:dyDescent="0.25">
      <c r="A1041" s="23">
        <v>38035</v>
      </c>
      <c r="B1041" s="23">
        <v>38035</v>
      </c>
      <c r="C1041" s="24">
        <v>2004</v>
      </c>
      <c r="D1041" s="35" t="s">
        <v>28</v>
      </c>
      <c r="E1041" s="30" t="s">
        <v>133</v>
      </c>
      <c r="F1041" s="28" t="s">
        <v>157</v>
      </c>
      <c r="G1041" s="44" t="s">
        <v>206</v>
      </c>
      <c r="H1041" s="44" t="s">
        <v>1627</v>
      </c>
      <c r="I1041" s="27">
        <v>0</v>
      </c>
      <c r="J1041" s="20">
        <v>6</v>
      </c>
      <c r="K1041" s="20">
        <v>0</v>
      </c>
      <c r="L1041" s="20">
        <v>0</v>
      </c>
      <c r="M1041" s="20">
        <v>0</v>
      </c>
      <c r="N1041" s="20">
        <v>0</v>
      </c>
      <c r="O1041" s="20">
        <v>0</v>
      </c>
      <c r="P1041" s="26">
        <v>0</v>
      </c>
      <c r="Q1041" s="35" t="s">
        <v>154</v>
      </c>
    </row>
    <row r="1042" spans="1:17" ht="60" x14ac:dyDescent="0.25">
      <c r="A1042" s="23">
        <v>38043</v>
      </c>
      <c r="B1042" s="23">
        <v>38043</v>
      </c>
      <c r="C1042" s="24">
        <v>2004</v>
      </c>
      <c r="D1042" s="35" t="s">
        <v>28</v>
      </c>
      <c r="E1042" s="30" t="s">
        <v>133</v>
      </c>
      <c r="F1042" s="7" t="s">
        <v>53</v>
      </c>
      <c r="G1042" s="44" t="s">
        <v>1628</v>
      </c>
      <c r="H1042" s="44" t="s">
        <v>1629</v>
      </c>
      <c r="I1042" s="27">
        <v>2</v>
      </c>
      <c r="J1042" s="20">
        <v>2</v>
      </c>
      <c r="K1042" s="20">
        <v>0</v>
      </c>
      <c r="L1042" s="20">
        <v>0</v>
      </c>
      <c r="M1042" s="20">
        <v>0</v>
      </c>
      <c r="N1042" s="20">
        <v>0</v>
      </c>
      <c r="O1042" s="20">
        <v>0</v>
      </c>
      <c r="P1042" s="26">
        <v>0</v>
      </c>
      <c r="Q1042" s="35" t="s">
        <v>154</v>
      </c>
    </row>
    <row r="1043" spans="1:17" ht="36" x14ac:dyDescent="0.25">
      <c r="A1043" s="23">
        <v>38050</v>
      </c>
      <c r="B1043" s="23">
        <v>38050</v>
      </c>
      <c r="C1043" s="24">
        <v>2004</v>
      </c>
      <c r="D1043" s="35" t="s">
        <v>28</v>
      </c>
      <c r="E1043" s="30" t="s">
        <v>133</v>
      </c>
      <c r="F1043" s="28" t="s">
        <v>157</v>
      </c>
      <c r="G1043" s="44" t="s">
        <v>1089</v>
      </c>
      <c r="H1043" s="44" t="s">
        <v>1630</v>
      </c>
      <c r="I1043" s="27">
        <v>0</v>
      </c>
      <c r="J1043" s="20">
        <v>2</v>
      </c>
      <c r="K1043" s="20">
        <v>0</v>
      </c>
      <c r="L1043" s="20">
        <v>0</v>
      </c>
      <c r="M1043" s="20">
        <v>0</v>
      </c>
      <c r="N1043" s="20">
        <v>0</v>
      </c>
      <c r="O1043" s="20">
        <v>0</v>
      </c>
      <c r="P1043" s="26">
        <v>0</v>
      </c>
      <c r="Q1043" s="35" t="s">
        <v>154</v>
      </c>
    </row>
    <row r="1044" spans="1:17" ht="36" x14ac:dyDescent="0.25">
      <c r="A1044" s="23">
        <v>38071</v>
      </c>
      <c r="B1044" s="23">
        <v>38071</v>
      </c>
      <c r="C1044" s="24">
        <v>2004</v>
      </c>
      <c r="D1044" s="35" t="s">
        <v>28</v>
      </c>
      <c r="E1044" s="30" t="s">
        <v>133</v>
      </c>
      <c r="F1044" s="7" t="s">
        <v>56</v>
      </c>
      <c r="G1044" s="44" t="s">
        <v>218</v>
      </c>
      <c r="H1044" s="44" t="s">
        <v>1631</v>
      </c>
      <c r="I1044" s="27">
        <v>0</v>
      </c>
      <c r="J1044" s="20">
        <v>5</v>
      </c>
      <c r="K1044" s="20">
        <v>0</v>
      </c>
      <c r="L1044" s="20">
        <v>0</v>
      </c>
      <c r="M1044" s="20">
        <v>0</v>
      </c>
      <c r="N1044" s="20">
        <v>0</v>
      </c>
      <c r="O1044" s="20">
        <v>0</v>
      </c>
      <c r="P1044" s="26">
        <v>0</v>
      </c>
      <c r="Q1044" s="35" t="s">
        <v>154</v>
      </c>
    </row>
    <row r="1045" spans="1:17" ht="48" x14ac:dyDescent="0.25">
      <c r="A1045" s="23">
        <v>38075</v>
      </c>
      <c r="B1045" s="23">
        <v>38075</v>
      </c>
      <c r="C1045" s="24">
        <v>2004</v>
      </c>
      <c r="D1045" s="35" t="s">
        <v>28</v>
      </c>
      <c r="E1045" s="30" t="s">
        <v>133</v>
      </c>
      <c r="F1045" s="7" t="s">
        <v>65</v>
      </c>
      <c r="G1045" s="44" t="s">
        <v>1632</v>
      </c>
      <c r="H1045" s="44" t="s">
        <v>1633</v>
      </c>
      <c r="I1045" s="27">
        <v>0</v>
      </c>
      <c r="J1045" s="20">
        <v>10</v>
      </c>
      <c r="K1045" s="20">
        <v>0</v>
      </c>
      <c r="L1045" s="20">
        <v>0</v>
      </c>
      <c r="M1045" s="20">
        <v>0</v>
      </c>
      <c r="N1045" s="20">
        <v>0</v>
      </c>
      <c r="O1045" s="20">
        <v>0</v>
      </c>
      <c r="P1045" s="26">
        <v>0</v>
      </c>
      <c r="Q1045" s="35" t="s">
        <v>154</v>
      </c>
    </row>
    <row r="1046" spans="1:17" ht="24" x14ac:dyDescent="0.25">
      <c r="A1046" s="23">
        <v>38079</v>
      </c>
      <c r="B1046" s="23">
        <v>38079</v>
      </c>
      <c r="C1046" s="24">
        <v>2004</v>
      </c>
      <c r="D1046" s="35" t="s">
        <v>28</v>
      </c>
      <c r="E1046" s="30" t="s">
        <v>133</v>
      </c>
      <c r="F1046" s="7" t="s">
        <v>91</v>
      </c>
      <c r="G1046" s="44" t="s">
        <v>110</v>
      </c>
      <c r="H1046" s="44" t="s">
        <v>1634</v>
      </c>
      <c r="I1046" s="27">
        <v>0</v>
      </c>
      <c r="J1046" s="20">
        <v>15</v>
      </c>
      <c r="K1046" s="20">
        <v>0</v>
      </c>
      <c r="L1046" s="20">
        <v>0</v>
      </c>
      <c r="M1046" s="20">
        <v>0</v>
      </c>
      <c r="N1046" s="20">
        <v>0</v>
      </c>
      <c r="O1046" s="20">
        <v>0</v>
      </c>
      <c r="P1046" s="26">
        <v>0</v>
      </c>
      <c r="Q1046" s="35" t="s">
        <v>154</v>
      </c>
    </row>
    <row r="1047" spans="1:17" ht="48" x14ac:dyDescent="0.25">
      <c r="A1047" s="23">
        <v>38087</v>
      </c>
      <c r="B1047" s="23">
        <v>38087</v>
      </c>
      <c r="C1047" s="24">
        <v>2004</v>
      </c>
      <c r="D1047" s="35" t="s">
        <v>28</v>
      </c>
      <c r="E1047" s="30" t="s">
        <v>133</v>
      </c>
      <c r="F1047" s="7" t="s">
        <v>91</v>
      </c>
      <c r="G1047" s="44" t="s">
        <v>750</v>
      </c>
      <c r="H1047" s="44" t="s">
        <v>1635</v>
      </c>
      <c r="I1047" s="27">
        <v>6</v>
      </c>
      <c r="J1047" s="20">
        <v>15</v>
      </c>
      <c r="K1047" s="20">
        <v>0</v>
      </c>
      <c r="L1047" s="20">
        <v>0</v>
      </c>
      <c r="M1047" s="20">
        <v>0</v>
      </c>
      <c r="N1047" s="20">
        <v>0</v>
      </c>
      <c r="O1047" s="20">
        <v>0</v>
      </c>
      <c r="P1047" s="26">
        <v>0</v>
      </c>
      <c r="Q1047" s="35" t="s">
        <v>154</v>
      </c>
    </row>
    <row r="1048" spans="1:17" ht="60" x14ac:dyDescent="0.25">
      <c r="A1048" s="23">
        <v>38087</v>
      </c>
      <c r="B1048" s="23">
        <v>38087</v>
      </c>
      <c r="C1048" s="24">
        <v>2004</v>
      </c>
      <c r="D1048" s="35" t="s">
        <v>28</v>
      </c>
      <c r="E1048" s="30" t="s">
        <v>133</v>
      </c>
      <c r="F1048" s="7" t="s">
        <v>53</v>
      </c>
      <c r="G1048" s="44" t="s">
        <v>1636</v>
      </c>
      <c r="H1048" s="44" t="s">
        <v>1637</v>
      </c>
      <c r="I1048" s="27">
        <v>0</v>
      </c>
      <c r="J1048" s="20">
        <v>6</v>
      </c>
      <c r="K1048" s="20">
        <v>0</v>
      </c>
      <c r="L1048" s="20">
        <v>0</v>
      </c>
      <c r="M1048" s="20">
        <v>0</v>
      </c>
      <c r="N1048" s="20">
        <v>0</v>
      </c>
      <c r="O1048" s="20">
        <v>0</v>
      </c>
      <c r="P1048" s="26">
        <v>0</v>
      </c>
      <c r="Q1048" s="35" t="s">
        <v>154</v>
      </c>
    </row>
    <row r="1049" spans="1:17" ht="48" x14ac:dyDescent="0.25">
      <c r="A1049" s="23">
        <v>38089</v>
      </c>
      <c r="B1049" s="23">
        <v>38089</v>
      </c>
      <c r="C1049" s="24">
        <v>2004</v>
      </c>
      <c r="D1049" s="35" t="s">
        <v>28</v>
      </c>
      <c r="E1049" s="30" t="s">
        <v>133</v>
      </c>
      <c r="F1049" s="7" t="s">
        <v>56</v>
      </c>
      <c r="G1049" s="44" t="s">
        <v>1638</v>
      </c>
      <c r="H1049" s="44" t="s">
        <v>1639</v>
      </c>
      <c r="I1049" s="27">
        <v>0</v>
      </c>
      <c r="J1049" s="20">
        <v>36</v>
      </c>
      <c r="K1049" s="20">
        <v>0</v>
      </c>
      <c r="L1049" s="20">
        <v>0</v>
      </c>
      <c r="M1049" s="20">
        <v>0</v>
      </c>
      <c r="N1049" s="20">
        <v>0</v>
      </c>
      <c r="O1049" s="20">
        <v>0</v>
      </c>
      <c r="P1049" s="26">
        <v>0</v>
      </c>
      <c r="Q1049" s="35" t="s">
        <v>154</v>
      </c>
    </row>
    <row r="1050" spans="1:17" ht="36" x14ac:dyDescent="0.25">
      <c r="A1050" s="23">
        <v>38092</v>
      </c>
      <c r="B1050" s="23">
        <v>38092</v>
      </c>
      <c r="C1050" s="24">
        <v>2004</v>
      </c>
      <c r="D1050" s="35" t="s">
        <v>28</v>
      </c>
      <c r="E1050" s="30" t="s">
        <v>133</v>
      </c>
      <c r="F1050" s="7" t="s">
        <v>60</v>
      </c>
      <c r="G1050" s="44" t="s">
        <v>1640</v>
      </c>
      <c r="H1050" s="44" t="s">
        <v>1641</v>
      </c>
      <c r="I1050" s="27">
        <v>7</v>
      </c>
      <c r="J1050" s="20">
        <v>8</v>
      </c>
      <c r="K1050" s="20">
        <v>0</v>
      </c>
      <c r="L1050" s="20">
        <v>0</v>
      </c>
      <c r="M1050" s="20">
        <v>0</v>
      </c>
      <c r="N1050" s="20">
        <v>0</v>
      </c>
      <c r="O1050" s="20">
        <v>0</v>
      </c>
      <c r="P1050" s="26">
        <v>0</v>
      </c>
      <c r="Q1050" s="35" t="s">
        <v>154</v>
      </c>
    </row>
    <row r="1051" spans="1:17" ht="48" x14ac:dyDescent="0.25">
      <c r="A1051" s="23">
        <v>38095</v>
      </c>
      <c r="B1051" s="23">
        <v>38095</v>
      </c>
      <c r="C1051" s="24">
        <v>2004</v>
      </c>
      <c r="D1051" s="35" t="s">
        <v>28</v>
      </c>
      <c r="E1051" s="30" t="s">
        <v>133</v>
      </c>
      <c r="F1051" s="7" t="s">
        <v>62</v>
      </c>
      <c r="G1051" s="44" t="s">
        <v>1642</v>
      </c>
      <c r="H1051" s="44" t="s">
        <v>1643</v>
      </c>
      <c r="I1051" s="27">
        <v>0</v>
      </c>
      <c r="J1051" s="20">
        <v>1</v>
      </c>
      <c r="K1051" s="20">
        <v>0</v>
      </c>
      <c r="L1051" s="20">
        <v>0</v>
      </c>
      <c r="M1051" s="20">
        <v>0</v>
      </c>
      <c r="N1051" s="20">
        <v>0</v>
      </c>
      <c r="O1051" s="20">
        <v>0</v>
      </c>
      <c r="P1051" s="26">
        <v>0</v>
      </c>
      <c r="Q1051" s="35" t="s">
        <v>154</v>
      </c>
    </row>
    <row r="1052" spans="1:17" ht="36" x14ac:dyDescent="0.25">
      <c r="A1052" s="23">
        <v>38098</v>
      </c>
      <c r="B1052" s="23">
        <v>38098</v>
      </c>
      <c r="C1052" s="24">
        <v>2004</v>
      </c>
      <c r="D1052" s="35" t="s">
        <v>28</v>
      </c>
      <c r="E1052" s="30" t="s">
        <v>133</v>
      </c>
      <c r="F1052" s="7" t="s">
        <v>91</v>
      </c>
      <c r="G1052" s="44" t="s">
        <v>1644</v>
      </c>
      <c r="H1052" s="44" t="s">
        <v>1645</v>
      </c>
      <c r="I1052" s="27">
        <v>0</v>
      </c>
      <c r="J1052" s="20">
        <v>2</v>
      </c>
      <c r="K1052" s="20">
        <v>0</v>
      </c>
      <c r="L1052" s="20">
        <v>0</v>
      </c>
      <c r="M1052" s="20">
        <v>0</v>
      </c>
      <c r="N1052" s="20">
        <v>0</v>
      </c>
      <c r="O1052" s="20">
        <v>0</v>
      </c>
      <c r="P1052" s="26">
        <v>0</v>
      </c>
      <c r="Q1052" s="35" t="s">
        <v>154</v>
      </c>
    </row>
    <row r="1053" spans="1:17" ht="36" x14ac:dyDescent="0.25">
      <c r="A1053" s="23">
        <v>38098</v>
      </c>
      <c r="B1053" s="23">
        <v>38098</v>
      </c>
      <c r="C1053" s="24">
        <v>2004</v>
      </c>
      <c r="D1053" s="35" t="s">
        <v>28</v>
      </c>
      <c r="E1053" s="30" t="s">
        <v>133</v>
      </c>
      <c r="F1053" s="7" t="s">
        <v>72</v>
      </c>
      <c r="G1053" s="44" t="s">
        <v>1646</v>
      </c>
      <c r="H1053" s="44" t="s">
        <v>1647</v>
      </c>
      <c r="I1053" s="27">
        <v>2</v>
      </c>
      <c r="J1053" s="20">
        <v>3</v>
      </c>
      <c r="K1053" s="20">
        <v>0</v>
      </c>
      <c r="L1053" s="20">
        <v>0</v>
      </c>
      <c r="M1053" s="20">
        <v>0</v>
      </c>
      <c r="N1053" s="20">
        <v>0</v>
      </c>
      <c r="O1053" s="20">
        <v>0</v>
      </c>
      <c r="P1053" s="26">
        <v>0</v>
      </c>
      <c r="Q1053" s="35" t="s">
        <v>154</v>
      </c>
    </row>
    <row r="1054" spans="1:17" ht="48" x14ac:dyDescent="0.25">
      <c r="A1054" s="23">
        <v>38091</v>
      </c>
      <c r="B1054" s="23">
        <v>38091</v>
      </c>
      <c r="C1054" s="24">
        <v>2004</v>
      </c>
      <c r="D1054" s="35" t="s">
        <v>28</v>
      </c>
      <c r="E1054" s="6" t="s">
        <v>149</v>
      </c>
      <c r="F1054" s="28" t="s">
        <v>163</v>
      </c>
      <c r="G1054" s="25" t="s">
        <v>1648</v>
      </c>
      <c r="H1054" s="44" t="s">
        <v>1649</v>
      </c>
      <c r="I1054" s="27">
        <v>0</v>
      </c>
      <c r="J1054" s="20">
        <v>2</v>
      </c>
      <c r="K1054" s="20">
        <v>4</v>
      </c>
      <c r="L1054" s="20">
        <v>0</v>
      </c>
      <c r="M1054" s="20">
        <v>0</v>
      </c>
      <c r="N1054" s="20">
        <v>0</v>
      </c>
      <c r="O1054" s="20">
        <v>0</v>
      </c>
      <c r="P1054" s="26">
        <f>K1054*0.01</f>
        <v>0.04</v>
      </c>
      <c r="Q1054" s="35" t="s">
        <v>154</v>
      </c>
    </row>
    <row r="1055" spans="1:17" ht="48" x14ac:dyDescent="0.25">
      <c r="A1055" s="23">
        <v>38123</v>
      </c>
      <c r="B1055" s="23">
        <v>38123</v>
      </c>
      <c r="C1055" s="24">
        <v>2004</v>
      </c>
      <c r="D1055" s="35" t="s">
        <v>28</v>
      </c>
      <c r="E1055" s="30" t="s">
        <v>133</v>
      </c>
      <c r="F1055" s="7" t="s">
        <v>56</v>
      </c>
      <c r="G1055" s="44" t="s">
        <v>218</v>
      </c>
      <c r="H1055" s="44" t="s">
        <v>1650</v>
      </c>
      <c r="I1055" s="27">
        <v>2</v>
      </c>
      <c r="J1055" s="20">
        <v>6</v>
      </c>
      <c r="K1055" s="20">
        <v>0</v>
      </c>
      <c r="L1055" s="20">
        <v>0</v>
      </c>
      <c r="M1055" s="20">
        <v>0</v>
      </c>
      <c r="N1055" s="20">
        <v>0</v>
      </c>
      <c r="O1055" s="20">
        <v>0</v>
      </c>
      <c r="P1055" s="26">
        <v>0</v>
      </c>
      <c r="Q1055" s="35" t="s">
        <v>154</v>
      </c>
    </row>
    <row r="1056" spans="1:17" ht="72" x14ac:dyDescent="0.25">
      <c r="A1056" s="23">
        <v>38149</v>
      </c>
      <c r="B1056" s="23">
        <v>38149</v>
      </c>
      <c r="C1056" s="24">
        <v>2004</v>
      </c>
      <c r="D1056" s="35" t="s">
        <v>28</v>
      </c>
      <c r="E1056" s="30" t="s">
        <v>133</v>
      </c>
      <c r="F1056" s="7" t="s">
        <v>53</v>
      </c>
      <c r="G1056" s="44" t="s">
        <v>1651</v>
      </c>
      <c r="H1056" s="44" t="s">
        <v>1652</v>
      </c>
      <c r="I1056" s="27">
        <v>1</v>
      </c>
      <c r="J1056" s="20">
        <v>4</v>
      </c>
      <c r="K1056" s="20">
        <v>0</v>
      </c>
      <c r="L1056" s="20">
        <v>0</v>
      </c>
      <c r="M1056" s="20">
        <v>0</v>
      </c>
      <c r="N1056" s="20">
        <v>0</v>
      </c>
      <c r="O1056" s="20">
        <v>0</v>
      </c>
      <c r="P1056" s="26">
        <v>0</v>
      </c>
      <c r="Q1056" s="35" t="s">
        <v>154</v>
      </c>
    </row>
    <row r="1057" spans="1:17" ht="60" x14ac:dyDescent="0.25">
      <c r="A1057" s="23">
        <v>38245</v>
      </c>
      <c r="B1057" s="23">
        <v>38245</v>
      </c>
      <c r="C1057" s="24">
        <v>2004</v>
      </c>
      <c r="D1057" s="35" t="s">
        <v>28</v>
      </c>
      <c r="E1057" s="30" t="s">
        <v>133</v>
      </c>
      <c r="F1057" s="7" t="s">
        <v>56</v>
      </c>
      <c r="G1057" s="44" t="s">
        <v>56</v>
      </c>
      <c r="H1057" s="44" t="s">
        <v>1653</v>
      </c>
      <c r="I1057" s="27">
        <v>1</v>
      </c>
      <c r="J1057" s="20">
        <v>13</v>
      </c>
      <c r="K1057" s="20">
        <v>3</v>
      </c>
      <c r="L1057" s="20">
        <v>0</v>
      </c>
      <c r="M1057" s="20">
        <v>0</v>
      </c>
      <c r="N1057" s="20">
        <v>0</v>
      </c>
      <c r="O1057" s="20">
        <v>0</v>
      </c>
      <c r="P1057" s="26">
        <f>3*0.036</f>
        <v>0.10799999999999998</v>
      </c>
      <c r="Q1057" s="35" t="s">
        <v>154</v>
      </c>
    </row>
    <row r="1058" spans="1:17" ht="36" x14ac:dyDescent="0.25">
      <c r="A1058" s="23">
        <v>38187</v>
      </c>
      <c r="B1058" s="23">
        <v>38187</v>
      </c>
      <c r="C1058" s="24">
        <v>2004</v>
      </c>
      <c r="D1058" s="35" t="s">
        <v>28</v>
      </c>
      <c r="E1058" s="30" t="s">
        <v>133</v>
      </c>
      <c r="F1058" s="7" t="s">
        <v>53</v>
      </c>
      <c r="G1058" s="44" t="s">
        <v>1236</v>
      </c>
      <c r="H1058" s="44" t="s">
        <v>1654</v>
      </c>
      <c r="I1058" s="27">
        <v>1</v>
      </c>
      <c r="J1058" s="20">
        <v>1</v>
      </c>
      <c r="K1058" s="20">
        <v>0</v>
      </c>
      <c r="L1058" s="20">
        <v>0</v>
      </c>
      <c r="M1058" s="20">
        <v>0</v>
      </c>
      <c r="N1058" s="20">
        <v>0</v>
      </c>
      <c r="O1058" s="20">
        <v>0</v>
      </c>
      <c r="P1058" s="26">
        <v>0</v>
      </c>
      <c r="Q1058" s="35" t="s">
        <v>154</v>
      </c>
    </row>
    <row r="1059" spans="1:17" ht="36" x14ac:dyDescent="0.25">
      <c r="A1059" s="23">
        <v>38103</v>
      </c>
      <c r="B1059" s="23">
        <v>38103</v>
      </c>
      <c r="C1059" s="24">
        <v>2004</v>
      </c>
      <c r="D1059" s="35" t="s">
        <v>28</v>
      </c>
      <c r="E1059" s="6" t="s">
        <v>149</v>
      </c>
      <c r="F1059" s="7" t="s">
        <v>36</v>
      </c>
      <c r="G1059" s="25" t="s">
        <v>854</v>
      </c>
      <c r="H1059" s="44" t="s">
        <v>1655</v>
      </c>
      <c r="I1059" s="27">
        <v>0</v>
      </c>
      <c r="J1059" s="20">
        <v>15</v>
      </c>
      <c r="K1059" s="20">
        <v>3</v>
      </c>
      <c r="L1059" s="20">
        <v>0</v>
      </c>
      <c r="M1059" s="20">
        <v>0</v>
      </c>
      <c r="N1059" s="20">
        <v>0</v>
      </c>
      <c r="O1059" s="20">
        <v>0</v>
      </c>
      <c r="P1059" s="26">
        <f>K1059*0.036</f>
        <v>0.10799999999999998</v>
      </c>
      <c r="Q1059" s="35" t="s">
        <v>154</v>
      </c>
    </row>
    <row r="1060" spans="1:17" ht="48" x14ac:dyDescent="0.25">
      <c r="A1060" s="23">
        <v>38245</v>
      </c>
      <c r="B1060" s="23">
        <v>38245</v>
      </c>
      <c r="C1060" s="24">
        <v>2004</v>
      </c>
      <c r="D1060" s="35" t="s">
        <v>28</v>
      </c>
      <c r="E1060" s="30" t="s">
        <v>133</v>
      </c>
      <c r="F1060" s="7" t="s">
        <v>65</v>
      </c>
      <c r="G1060" s="51" t="s">
        <v>1656</v>
      </c>
      <c r="H1060" s="44" t="s">
        <v>1657</v>
      </c>
      <c r="I1060" s="27">
        <v>0</v>
      </c>
      <c r="J1060" s="20">
        <v>43</v>
      </c>
      <c r="K1060" s="20">
        <v>0</v>
      </c>
      <c r="L1060" s="20">
        <v>0</v>
      </c>
      <c r="M1060" s="20">
        <v>0</v>
      </c>
      <c r="N1060" s="20">
        <v>0</v>
      </c>
      <c r="O1060" s="20">
        <v>0</v>
      </c>
      <c r="P1060" s="26">
        <v>0</v>
      </c>
      <c r="Q1060" s="35" t="s">
        <v>154</v>
      </c>
    </row>
    <row r="1061" spans="1:17" ht="48" x14ac:dyDescent="0.25">
      <c r="A1061" s="23">
        <v>38247</v>
      </c>
      <c r="B1061" s="23">
        <v>38247</v>
      </c>
      <c r="C1061" s="24">
        <v>2004</v>
      </c>
      <c r="D1061" s="35" t="s">
        <v>28</v>
      </c>
      <c r="E1061" s="30" t="s">
        <v>133</v>
      </c>
      <c r="F1061" s="7" t="s">
        <v>60</v>
      </c>
      <c r="G1061" s="51" t="s">
        <v>908</v>
      </c>
      <c r="H1061" s="44" t="s">
        <v>1658</v>
      </c>
      <c r="I1061" s="27">
        <v>0</v>
      </c>
      <c r="J1061" s="20">
        <v>3</v>
      </c>
      <c r="K1061" s="20">
        <v>0</v>
      </c>
      <c r="L1061" s="20">
        <v>0</v>
      </c>
      <c r="M1061" s="20">
        <v>0</v>
      </c>
      <c r="N1061" s="20">
        <v>0</v>
      </c>
      <c r="O1061" s="20">
        <v>0</v>
      </c>
      <c r="P1061" s="26">
        <v>0</v>
      </c>
      <c r="Q1061" s="35" t="s">
        <v>154</v>
      </c>
    </row>
    <row r="1062" spans="1:17" ht="60" x14ac:dyDescent="0.25">
      <c r="A1062" s="23">
        <v>38252</v>
      </c>
      <c r="B1062" s="23">
        <v>38252</v>
      </c>
      <c r="C1062" s="24">
        <v>2004</v>
      </c>
      <c r="D1062" s="35" t="s">
        <v>28</v>
      </c>
      <c r="E1062" s="30" t="s">
        <v>133</v>
      </c>
      <c r="F1062" s="28" t="s">
        <v>157</v>
      </c>
      <c r="G1062" s="51" t="s">
        <v>1659</v>
      </c>
      <c r="H1062" s="44" t="s">
        <v>1660</v>
      </c>
      <c r="I1062" s="27">
        <v>0</v>
      </c>
      <c r="J1062" s="20">
        <v>1</v>
      </c>
      <c r="K1062" s="20">
        <v>0</v>
      </c>
      <c r="L1062" s="20">
        <v>0</v>
      </c>
      <c r="M1062" s="20">
        <v>0</v>
      </c>
      <c r="N1062" s="20">
        <v>0</v>
      </c>
      <c r="O1062" s="20">
        <v>0</v>
      </c>
      <c r="P1062" s="26">
        <v>0</v>
      </c>
      <c r="Q1062" s="35" t="s">
        <v>154</v>
      </c>
    </row>
    <row r="1063" spans="1:17" ht="48" x14ac:dyDescent="0.25">
      <c r="A1063" s="23">
        <v>38264</v>
      </c>
      <c r="B1063" s="23">
        <v>38264</v>
      </c>
      <c r="C1063" s="24">
        <v>2004</v>
      </c>
      <c r="D1063" s="35" t="s">
        <v>28</v>
      </c>
      <c r="E1063" s="30" t="s">
        <v>133</v>
      </c>
      <c r="F1063" s="7" t="s">
        <v>56</v>
      </c>
      <c r="G1063" s="51" t="s">
        <v>218</v>
      </c>
      <c r="H1063" s="44" t="s">
        <v>1661</v>
      </c>
      <c r="I1063" s="27">
        <v>0</v>
      </c>
      <c r="J1063" s="20">
        <v>7</v>
      </c>
      <c r="K1063" s="20">
        <v>0</v>
      </c>
      <c r="L1063" s="20">
        <v>0</v>
      </c>
      <c r="M1063" s="20">
        <v>0</v>
      </c>
      <c r="N1063" s="20">
        <v>0</v>
      </c>
      <c r="O1063" s="20">
        <v>0</v>
      </c>
      <c r="P1063" s="26">
        <v>0</v>
      </c>
      <c r="Q1063" s="35" t="s">
        <v>154</v>
      </c>
    </row>
    <row r="1064" spans="1:17" ht="96" x14ac:dyDescent="0.25">
      <c r="A1064" s="23">
        <v>38273</v>
      </c>
      <c r="B1064" s="23">
        <v>38273</v>
      </c>
      <c r="C1064" s="24">
        <v>2004</v>
      </c>
      <c r="D1064" s="35" t="s">
        <v>28</v>
      </c>
      <c r="E1064" s="30" t="s">
        <v>133</v>
      </c>
      <c r="F1064" s="28" t="s">
        <v>210</v>
      </c>
      <c r="G1064" s="51" t="s">
        <v>1662</v>
      </c>
      <c r="H1064" s="44" t="s">
        <v>1663</v>
      </c>
      <c r="I1064" s="27">
        <v>0</v>
      </c>
      <c r="J1064" s="20">
        <v>302</v>
      </c>
      <c r="K1064" s="20">
        <v>0</v>
      </c>
      <c r="L1064" s="20">
        <v>0</v>
      </c>
      <c r="M1064" s="20">
        <v>0</v>
      </c>
      <c r="N1064" s="20">
        <v>0</v>
      </c>
      <c r="O1064" s="20">
        <v>0</v>
      </c>
      <c r="P1064" s="26">
        <v>0</v>
      </c>
      <c r="Q1064" s="35" t="s">
        <v>154</v>
      </c>
    </row>
    <row r="1065" spans="1:17" ht="48" x14ac:dyDescent="0.25">
      <c r="A1065" s="23">
        <v>38276</v>
      </c>
      <c r="B1065" s="23">
        <v>38276</v>
      </c>
      <c r="C1065" s="24">
        <v>2004</v>
      </c>
      <c r="D1065" s="35" t="s">
        <v>28</v>
      </c>
      <c r="E1065" s="30" t="s">
        <v>133</v>
      </c>
      <c r="F1065" s="7" t="s">
        <v>68</v>
      </c>
      <c r="G1065" s="51" t="s">
        <v>1121</v>
      </c>
      <c r="H1065" s="44" t="s">
        <v>1664</v>
      </c>
      <c r="I1065" s="27">
        <v>1</v>
      </c>
      <c r="J1065" s="20">
        <v>15</v>
      </c>
      <c r="K1065" s="20">
        <v>0</v>
      </c>
      <c r="L1065" s="20">
        <v>0</v>
      </c>
      <c r="M1065" s="20">
        <v>0</v>
      </c>
      <c r="N1065" s="20">
        <v>0</v>
      </c>
      <c r="O1065" s="20">
        <v>0</v>
      </c>
      <c r="P1065" s="26">
        <v>0</v>
      </c>
      <c r="Q1065" s="35" t="s">
        <v>154</v>
      </c>
    </row>
    <row r="1066" spans="1:17" ht="36" x14ac:dyDescent="0.25">
      <c r="A1066" s="23">
        <v>38309</v>
      </c>
      <c r="B1066" s="23">
        <v>38309</v>
      </c>
      <c r="C1066" s="24">
        <v>2004</v>
      </c>
      <c r="D1066" s="35" t="s">
        <v>28</v>
      </c>
      <c r="E1066" s="30" t="s">
        <v>133</v>
      </c>
      <c r="F1066" s="28" t="s">
        <v>157</v>
      </c>
      <c r="G1066" s="51" t="s">
        <v>1089</v>
      </c>
      <c r="H1066" s="44" t="s">
        <v>1665</v>
      </c>
      <c r="I1066" s="27">
        <v>0</v>
      </c>
      <c r="J1066" s="20">
        <v>12</v>
      </c>
      <c r="K1066" s="20">
        <v>0</v>
      </c>
      <c r="L1066" s="20">
        <v>0</v>
      </c>
      <c r="M1066" s="20">
        <v>0</v>
      </c>
      <c r="N1066" s="20">
        <v>0</v>
      </c>
      <c r="O1066" s="20">
        <v>0</v>
      </c>
      <c r="P1066" s="26">
        <v>0</v>
      </c>
      <c r="Q1066" s="35" t="s">
        <v>154</v>
      </c>
    </row>
    <row r="1067" spans="1:17" ht="36" x14ac:dyDescent="0.25">
      <c r="A1067" s="23">
        <v>38315</v>
      </c>
      <c r="B1067" s="23">
        <v>38315</v>
      </c>
      <c r="C1067" s="24">
        <v>2004</v>
      </c>
      <c r="D1067" s="35" t="s">
        <v>28</v>
      </c>
      <c r="E1067" s="30" t="s">
        <v>133</v>
      </c>
      <c r="F1067" s="7" t="s">
        <v>56</v>
      </c>
      <c r="G1067" s="51" t="s">
        <v>1666</v>
      </c>
      <c r="H1067" s="44" t="s">
        <v>1667</v>
      </c>
      <c r="I1067" s="27">
        <v>0</v>
      </c>
      <c r="J1067" s="20">
        <v>3</v>
      </c>
      <c r="K1067" s="20">
        <v>0</v>
      </c>
      <c r="L1067" s="20">
        <v>0</v>
      </c>
      <c r="M1067" s="20">
        <v>0</v>
      </c>
      <c r="N1067" s="20">
        <v>0</v>
      </c>
      <c r="O1067" s="20">
        <v>0</v>
      </c>
      <c r="P1067" s="26">
        <v>0</v>
      </c>
      <c r="Q1067" s="35" t="s">
        <v>154</v>
      </c>
    </row>
    <row r="1068" spans="1:17" ht="48" x14ac:dyDescent="0.25">
      <c r="A1068" s="23">
        <v>38322</v>
      </c>
      <c r="B1068" s="23">
        <v>38322</v>
      </c>
      <c r="C1068" s="24">
        <v>2004</v>
      </c>
      <c r="D1068" s="35" t="s">
        <v>28</v>
      </c>
      <c r="E1068" s="30" t="s">
        <v>133</v>
      </c>
      <c r="F1068" s="7" t="s">
        <v>36</v>
      </c>
      <c r="G1068" s="51" t="s">
        <v>1668</v>
      </c>
      <c r="H1068" s="44" t="s">
        <v>1669</v>
      </c>
      <c r="I1068" s="27">
        <v>1</v>
      </c>
      <c r="J1068" s="20">
        <v>8</v>
      </c>
      <c r="K1068" s="20">
        <v>0</v>
      </c>
      <c r="L1068" s="20">
        <v>0</v>
      </c>
      <c r="M1068" s="20">
        <v>0</v>
      </c>
      <c r="N1068" s="20">
        <v>0</v>
      </c>
      <c r="O1068" s="20">
        <v>0</v>
      </c>
      <c r="P1068" s="26">
        <v>0</v>
      </c>
      <c r="Q1068" s="35" t="s">
        <v>154</v>
      </c>
    </row>
    <row r="1069" spans="1:17" ht="108" x14ac:dyDescent="0.25">
      <c r="A1069" s="23">
        <v>38323</v>
      </c>
      <c r="B1069" s="23">
        <v>38323</v>
      </c>
      <c r="C1069" s="24">
        <v>2004</v>
      </c>
      <c r="D1069" s="35" t="s">
        <v>28</v>
      </c>
      <c r="E1069" s="30" t="s">
        <v>133</v>
      </c>
      <c r="F1069" s="7" t="s">
        <v>58</v>
      </c>
      <c r="G1069" s="51" t="s">
        <v>110</v>
      </c>
      <c r="H1069" s="44" t="s">
        <v>1670</v>
      </c>
      <c r="I1069" s="27">
        <v>1</v>
      </c>
      <c r="J1069" s="20">
        <v>12</v>
      </c>
      <c r="K1069" s="20">
        <v>0</v>
      </c>
      <c r="L1069" s="20">
        <v>0</v>
      </c>
      <c r="M1069" s="20">
        <v>0</v>
      </c>
      <c r="N1069" s="20">
        <v>0</v>
      </c>
      <c r="O1069" s="20">
        <v>0</v>
      </c>
      <c r="P1069" s="26">
        <v>0.3</v>
      </c>
      <c r="Q1069" s="35" t="s">
        <v>154</v>
      </c>
    </row>
    <row r="1070" spans="1:17" ht="48" x14ac:dyDescent="0.25">
      <c r="A1070" s="23">
        <v>38324</v>
      </c>
      <c r="B1070" s="23">
        <v>38324</v>
      </c>
      <c r="C1070" s="24">
        <v>2004</v>
      </c>
      <c r="D1070" s="35" t="s">
        <v>28</v>
      </c>
      <c r="E1070" s="6" t="s">
        <v>149</v>
      </c>
      <c r="F1070" s="7" t="s">
        <v>87</v>
      </c>
      <c r="G1070" s="25" t="s">
        <v>567</v>
      </c>
      <c r="H1070" s="44" t="s">
        <v>1671</v>
      </c>
      <c r="I1070" s="27">
        <v>5</v>
      </c>
      <c r="J1070" s="20">
        <v>7</v>
      </c>
      <c r="K1070" s="20">
        <v>2</v>
      </c>
      <c r="L1070" s="20">
        <v>0</v>
      </c>
      <c r="M1070" s="20">
        <v>0</v>
      </c>
      <c r="N1070" s="20">
        <v>0</v>
      </c>
      <c r="O1070" s="20">
        <v>0</v>
      </c>
      <c r="P1070" s="26">
        <v>7.1999999999999995E-2</v>
      </c>
      <c r="Q1070" s="35" t="s">
        <v>154</v>
      </c>
    </row>
    <row r="1071" spans="1:17" ht="48" x14ac:dyDescent="0.25">
      <c r="A1071" s="23">
        <v>38333</v>
      </c>
      <c r="B1071" s="23">
        <v>38333</v>
      </c>
      <c r="C1071" s="24">
        <v>2004</v>
      </c>
      <c r="D1071" s="35" t="s">
        <v>28</v>
      </c>
      <c r="E1071" s="30" t="s">
        <v>133</v>
      </c>
      <c r="F1071" s="28" t="s">
        <v>157</v>
      </c>
      <c r="G1071" s="51" t="s">
        <v>158</v>
      </c>
      <c r="H1071" s="44" t="s">
        <v>1672</v>
      </c>
      <c r="I1071" s="27">
        <v>0</v>
      </c>
      <c r="J1071" s="20">
        <v>1</v>
      </c>
      <c r="K1071" s="20">
        <v>0</v>
      </c>
      <c r="L1071" s="20">
        <v>0</v>
      </c>
      <c r="M1071" s="20">
        <v>0</v>
      </c>
      <c r="N1071" s="20">
        <v>0</v>
      </c>
      <c r="O1071" s="20">
        <v>0</v>
      </c>
      <c r="P1071" s="26">
        <v>0</v>
      </c>
      <c r="Q1071" s="35" t="s">
        <v>154</v>
      </c>
    </row>
    <row r="1072" spans="1:17" ht="60" x14ac:dyDescent="0.25">
      <c r="A1072" s="23">
        <v>38340</v>
      </c>
      <c r="B1072" s="23">
        <v>38340</v>
      </c>
      <c r="C1072" s="24">
        <v>2004</v>
      </c>
      <c r="D1072" s="35" t="s">
        <v>28</v>
      </c>
      <c r="E1072" s="30" t="s">
        <v>133</v>
      </c>
      <c r="F1072" s="7" t="s">
        <v>58</v>
      </c>
      <c r="G1072" s="51" t="s">
        <v>1673</v>
      </c>
      <c r="H1072" s="44" t="s">
        <v>1674</v>
      </c>
      <c r="I1072" s="27">
        <v>0</v>
      </c>
      <c r="J1072" s="20">
        <v>12</v>
      </c>
      <c r="K1072" s="20">
        <v>0</v>
      </c>
      <c r="L1072" s="20">
        <v>0</v>
      </c>
      <c r="M1072" s="20">
        <v>0</v>
      </c>
      <c r="N1072" s="20">
        <v>0</v>
      </c>
      <c r="O1072" s="20">
        <v>0</v>
      </c>
      <c r="P1072" s="26">
        <v>0</v>
      </c>
      <c r="Q1072" s="35" t="s">
        <v>154</v>
      </c>
    </row>
    <row r="1073" spans="1:17" ht="132" x14ac:dyDescent="0.25">
      <c r="A1073" s="23">
        <v>38343</v>
      </c>
      <c r="B1073" s="23">
        <v>38343</v>
      </c>
      <c r="C1073" s="24">
        <v>2004</v>
      </c>
      <c r="D1073" s="35" t="s">
        <v>28</v>
      </c>
      <c r="E1073" s="30" t="s">
        <v>133</v>
      </c>
      <c r="F1073" s="28" t="s">
        <v>210</v>
      </c>
      <c r="G1073" s="51" t="s">
        <v>1675</v>
      </c>
      <c r="H1073" s="44" t="s">
        <v>1676</v>
      </c>
      <c r="I1073" s="27">
        <v>0</v>
      </c>
      <c r="J1073" s="20">
        <v>5005</v>
      </c>
      <c r="K1073" s="20">
        <v>0</v>
      </c>
      <c r="L1073" s="20">
        <v>0</v>
      </c>
      <c r="M1073" s="20">
        <v>0</v>
      </c>
      <c r="N1073" s="20">
        <v>0</v>
      </c>
      <c r="O1073" s="20">
        <v>0</v>
      </c>
      <c r="P1073" s="26">
        <v>1.4</v>
      </c>
      <c r="Q1073" s="35" t="s">
        <v>154</v>
      </c>
    </row>
    <row r="1074" spans="1:17" ht="72" x14ac:dyDescent="0.25">
      <c r="A1074" s="23">
        <v>37992</v>
      </c>
      <c r="B1074" s="23">
        <v>37992</v>
      </c>
      <c r="C1074" s="24">
        <v>2004</v>
      </c>
      <c r="D1074" s="35" t="s">
        <v>28</v>
      </c>
      <c r="E1074" s="30" t="s">
        <v>125</v>
      </c>
      <c r="F1074" s="7" t="s">
        <v>60</v>
      </c>
      <c r="G1074" s="54" t="s">
        <v>908</v>
      </c>
      <c r="H1074" s="44" t="s">
        <v>1677</v>
      </c>
      <c r="I1074" s="27">
        <v>0</v>
      </c>
      <c r="J1074" s="20">
        <v>90</v>
      </c>
      <c r="K1074" s="20">
        <v>0</v>
      </c>
      <c r="L1074" s="20">
        <v>0</v>
      </c>
      <c r="M1074" s="20">
        <v>0</v>
      </c>
      <c r="N1074" s="20">
        <v>0</v>
      </c>
      <c r="O1074" s="20">
        <v>0</v>
      </c>
      <c r="P1074" s="26">
        <v>0</v>
      </c>
      <c r="Q1074" s="35" t="s">
        <v>154</v>
      </c>
    </row>
    <row r="1075" spans="1:17" ht="48" x14ac:dyDescent="0.25">
      <c r="A1075" s="23">
        <v>38001</v>
      </c>
      <c r="B1075" s="23">
        <v>38001</v>
      </c>
      <c r="C1075" s="24">
        <v>2004</v>
      </c>
      <c r="D1075" s="35" t="s">
        <v>28</v>
      </c>
      <c r="E1075" s="30" t="s">
        <v>125</v>
      </c>
      <c r="F1075" s="28" t="s">
        <v>157</v>
      </c>
      <c r="G1075" s="44" t="s">
        <v>1062</v>
      </c>
      <c r="H1075" s="44" t="s">
        <v>1678</v>
      </c>
      <c r="I1075" s="27">
        <v>0</v>
      </c>
      <c r="J1075" s="20">
        <v>8</v>
      </c>
      <c r="K1075" s="20">
        <v>0</v>
      </c>
      <c r="L1075" s="20">
        <v>0</v>
      </c>
      <c r="M1075" s="20">
        <v>0</v>
      </c>
      <c r="N1075" s="20">
        <v>0</v>
      </c>
      <c r="O1075" s="20">
        <v>0</v>
      </c>
      <c r="P1075" s="26">
        <v>0</v>
      </c>
      <c r="Q1075" s="35" t="s">
        <v>154</v>
      </c>
    </row>
    <row r="1076" spans="1:17" ht="36" x14ac:dyDescent="0.25">
      <c r="A1076" s="23">
        <v>38003</v>
      </c>
      <c r="B1076" s="23">
        <v>38003</v>
      </c>
      <c r="C1076" s="24">
        <v>2004</v>
      </c>
      <c r="D1076" s="35" t="s">
        <v>28</v>
      </c>
      <c r="E1076" s="30" t="s">
        <v>125</v>
      </c>
      <c r="F1076" s="7" t="s">
        <v>56</v>
      </c>
      <c r="G1076" s="44" t="s">
        <v>110</v>
      </c>
      <c r="H1076" s="44" t="s">
        <v>1679</v>
      </c>
      <c r="I1076" s="27">
        <v>2</v>
      </c>
      <c r="J1076" s="20">
        <v>2</v>
      </c>
      <c r="K1076" s="20">
        <v>0</v>
      </c>
      <c r="L1076" s="20">
        <v>0</v>
      </c>
      <c r="M1076" s="20">
        <v>0</v>
      </c>
      <c r="N1076" s="20">
        <v>0</v>
      </c>
      <c r="O1076" s="20">
        <v>0</v>
      </c>
      <c r="P1076" s="26">
        <v>0</v>
      </c>
      <c r="Q1076" s="35" t="s">
        <v>154</v>
      </c>
    </row>
    <row r="1077" spans="1:17" ht="48" x14ac:dyDescent="0.25">
      <c r="A1077" s="23">
        <v>38016</v>
      </c>
      <c r="B1077" s="23">
        <v>38016</v>
      </c>
      <c r="C1077" s="24">
        <v>2004</v>
      </c>
      <c r="D1077" s="35" t="s">
        <v>28</v>
      </c>
      <c r="E1077" s="30" t="s">
        <v>125</v>
      </c>
      <c r="F1077" s="7" t="s">
        <v>65</v>
      </c>
      <c r="G1077" s="44" t="s">
        <v>1346</v>
      </c>
      <c r="H1077" s="44" t="s">
        <v>1680</v>
      </c>
      <c r="I1077" s="27">
        <v>0</v>
      </c>
      <c r="J1077" s="20">
        <v>5</v>
      </c>
      <c r="K1077" s="20">
        <v>0</v>
      </c>
      <c r="L1077" s="20">
        <v>0</v>
      </c>
      <c r="M1077" s="20">
        <v>0</v>
      </c>
      <c r="N1077" s="20">
        <v>0</v>
      </c>
      <c r="O1077" s="20">
        <v>0</v>
      </c>
      <c r="P1077" s="26">
        <v>0</v>
      </c>
      <c r="Q1077" s="35" t="s">
        <v>154</v>
      </c>
    </row>
    <row r="1078" spans="1:17" ht="36" x14ac:dyDescent="0.25">
      <c r="A1078" s="23">
        <v>38034</v>
      </c>
      <c r="B1078" s="23">
        <v>38034</v>
      </c>
      <c r="C1078" s="24">
        <v>2004</v>
      </c>
      <c r="D1078" s="35" t="s">
        <v>28</v>
      </c>
      <c r="E1078" s="30" t="s">
        <v>125</v>
      </c>
      <c r="F1078" s="7" t="s">
        <v>60</v>
      </c>
      <c r="G1078" s="44" t="s">
        <v>110</v>
      </c>
      <c r="H1078" s="44" t="s">
        <v>1681</v>
      </c>
      <c r="I1078" s="27">
        <v>0</v>
      </c>
      <c r="J1078" s="20">
        <v>65</v>
      </c>
      <c r="K1078" s="20">
        <v>0</v>
      </c>
      <c r="L1078" s="20">
        <v>0</v>
      </c>
      <c r="M1078" s="20">
        <v>0</v>
      </c>
      <c r="N1078" s="20">
        <v>0</v>
      </c>
      <c r="O1078" s="20">
        <v>0</v>
      </c>
      <c r="P1078" s="26">
        <v>0</v>
      </c>
      <c r="Q1078" s="35" t="s">
        <v>154</v>
      </c>
    </row>
    <row r="1079" spans="1:17" ht="48" x14ac:dyDescent="0.25">
      <c r="A1079" s="23">
        <v>38221</v>
      </c>
      <c r="B1079" s="23">
        <v>38222</v>
      </c>
      <c r="C1079" s="24">
        <v>2004</v>
      </c>
      <c r="D1079" s="35" t="s">
        <v>28</v>
      </c>
      <c r="E1079" s="30" t="s">
        <v>125</v>
      </c>
      <c r="F1079" s="7" t="s">
        <v>91</v>
      </c>
      <c r="G1079" s="44" t="s">
        <v>1682</v>
      </c>
      <c r="H1079" s="44" t="s">
        <v>1683</v>
      </c>
      <c r="I1079" s="27">
        <v>0</v>
      </c>
      <c r="J1079" s="20">
        <v>83</v>
      </c>
      <c r="K1079" s="20">
        <v>0</v>
      </c>
      <c r="L1079" s="20">
        <v>0</v>
      </c>
      <c r="M1079" s="20">
        <v>0</v>
      </c>
      <c r="N1079" s="20">
        <v>0</v>
      </c>
      <c r="O1079" s="20">
        <v>0</v>
      </c>
      <c r="P1079" s="26">
        <v>0</v>
      </c>
      <c r="Q1079" s="35" t="s">
        <v>154</v>
      </c>
    </row>
    <row r="1080" spans="1:17" ht="72" x14ac:dyDescent="0.25">
      <c r="A1080" s="23">
        <v>38126</v>
      </c>
      <c r="B1080" s="23">
        <v>38126</v>
      </c>
      <c r="C1080" s="24">
        <v>2004</v>
      </c>
      <c r="D1080" s="35" t="s">
        <v>28</v>
      </c>
      <c r="E1080" s="30" t="s">
        <v>125</v>
      </c>
      <c r="F1080" s="7" t="s">
        <v>60</v>
      </c>
      <c r="G1080" s="44" t="s">
        <v>1256</v>
      </c>
      <c r="H1080" s="44" t="s">
        <v>1684</v>
      </c>
      <c r="I1080" s="27">
        <v>0</v>
      </c>
      <c r="J1080" s="20">
        <v>11</v>
      </c>
      <c r="K1080" s="20">
        <v>0</v>
      </c>
      <c r="L1080" s="20">
        <v>0</v>
      </c>
      <c r="M1080" s="20">
        <v>0</v>
      </c>
      <c r="N1080" s="20">
        <v>0</v>
      </c>
      <c r="O1080" s="20">
        <v>0</v>
      </c>
      <c r="P1080" s="26">
        <v>0</v>
      </c>
      <c r="Q1080" s="35" t="s">
        <v>154</v>
      </c>
    </row>
    <row r="1081" spans="1:17" ht="48" x14ac:dyDescent="0.25">
      <c r="A1081" s="23">
        <v>38189</v>
      </c>
      <c r="B1081" s="23">
        <v>38189</v>
      </c>
      <c r="C1081" s="24">
        <v>2004</v>
      </c>
      <c r="D1081" s="35" t="s">
        <v>28</v>
      </c>
      <c r="E1081" s="30" t="s">
        <v>125</v>
      </c>
      <c r="F1081" s="7" t="s">
        <v>56</v>
      </c>
      <c r="G1081" s="44" t="s">
        <v>110</v>
      </c>
      <c r="H1081" s="44" t="s">
        <v>1685</v>
      </c>
      <c r="I1081" s="27">
        <v>0</v>
      </c>
      <c r="J1081" s="20">
        <v>5</v>
      </c>
      <c r="K1081" s="20">
        <v>0</v>
      </c>
      <c r="L1081" s="20">
        <v>0</v>
      </c>
      <c r="M1081" s="20">
        <v>0</v>
      </c>
      <c r="N1081" s="20">
        <v>0</v>
      </c>
      <c r="O1081" s="20">
        <v>0</v>
      </c>
      <c r="P1081" s="26">
        <v>0</v>
      </c>
      <c r="Q1081" s="35" t="s">
        <v>154</v>
      </c>
    </row>
    <row r="1082" spans="1:17" ht="48" x14ac:dyDescent="0.25">
      <c r="A1082" s="23">
        <v>38216</v>
      </c>
      <c r="B1082" s="23">
        <v>38216</v>
      </c>
      <c r="C1082" s="24">
        <v>2004</v>
      </c>
      <c r="D1082" s="35" t="s">
        <v>28</v>
      </c>
      <c r="E1082" s="30" t="s">
        <v>125</v>
      </c>
      <c r="F1082" s="28" t="s">
        <v>160</v>
      </c>
      <c r="G1082" s="44" t="s">
        <v>1686</v>
      </c>
      <c r="H1082" s="44" t="s">
        <v>1687</v>
      </c>
      <c r="I1082" s="27">
        <v>2</v>
      </c>
      <c r="J1082" s="20">
        <v>4</v>
      </c>
      <c r="K1082" s="20">
        <v>0</v>
      </c>
      <c r="L1082" s="20">
        <v>0</v>
      </c>
      <c r="M1082" s="20">
        <v>0</v>
      </c>
      <c r="N1082" s="20">
        <v>0</v>
      </c>
      <c r="O1082" s="20">
        <v>0</v>
      </c>
      <c r="P1082" s="26">
        <v>0</v>
      </c>
      <c r="Q1082" s="35" t="s">
        <v>154</v>
      </c>
    </row>
    <row r="1083" spans="1:17" ht="36" x14ac:dyDescent="0.25">
      <c r="A1083" s="23">
        <v>38225</v>
      </c>
      <c r="B1083" s="23">
        <v>38225</v>
      </c>
      <c r="C1083" s="24">
        <v>2004</v>
      </c>
      <c r="D1083" s="35" t="s">
        <v>28</v>
      </c>
      <c r="E1083" s="30" t="s">
        <v>125</v>
      </c>
      <c r="F1083" s="7" t="s">
        <v>56</v>
      </c>
      <c r="G1083" s="44" t="s">
        <v>110</v>
      </c>
      <c r="H1083" s="44" t="s">
        <v>1688</v>
      </c>
      <c r="I1083" s="27">
        <v>0</v>
      </c>
      <c r="J1083" s="20">
        <v>1</v>
      </c>
      <c r="K1083" s="20">
        <v>0</v>
      </c>
      <c r="L1083" s="20">
        <v>0</v>
      </c>
      <c r="M1083" s="20">
        <v>0</v>
      </c>
      <c r="N1083" s="20">
        <v>0</v>
      </c>
      <c r="O1083" s="20">
        <v>0</v>
      </c>
      <c r="P1083" s="26">
        <v>0</v>
      </c>
      <c r="Q1083" s="35" t="s">
        <v>154</v>
      </c>
    </row>
    <row r="1084" spans="1:17" ht="60" x14ac:dyDescent="0.25">
      <c r="A1084" s="23">
        <v>38273</v>
      </c>
      <c r="B1084" s="23">
        <v>38273</v>
      </c>
      <c r="C1084" s="24">
        <v>2004</v>
      </c>
      <c r="D1084" s="35" t="s">
        <v>28</v>
      </c>
      <c r="E1084" s="30" t="s">
        <v>125</v>
      </c>
      <c r="F1084" s="28" t="s">
        <v>157</v>
      </c>
      <c r="G1084" s="44" t="s">
        <v>110</v>
      </c>
      <c r="H1084" s="44" t="s">
        <v>1689</v>
      </c>
      <c r="I1084" s="27">
        <v>2</v>
      </c>
      <c r="J1084" s="20">
        <v>3</v>
      </c>
      <c r="K1084" s="20">
        <v>0</v>
      </c>
      <c r="L1084" s="20">
        <v>0</v>
      </c>
      <c r="M1084" s="20">
        <v>0</v>
      </c>
      <c r="N1084" s="20">
        <v>0</v>
      </c>
      <c r="O1084" s="20">
        <v>0</v>
      </c>
      <c r="P1084" s="26">
        <v>0</v>
      </c>
      <c r="Q1084" s="35" t="s">
        <v>154</v>
      </c>
    </row>
    <row r="1085" spans="1:17" ht="48" x14ac:dyDescent="0.25">
      <c r="A1085" s="23">
        <v>38332</v>
      </c>
      <c r="B1085" s="23">
        <v>38332</v>
      </c>
      <c r="C1085" s="24">
        <v>2004</v>
      </c>
      <c r="D1085" s="35" t="s">
        <v>28</v>
      </c>
      <c r="E1085" s="30" t="s">
        <v>125</v>
      </c>
      <c r="F1085" s="7" t="s">
        <v>65</v>
      </c>
      <c r="G1085" s="44" t="s">
        <v>1690</v>
      </c>
      <c r="H1085" s="44" t="s">
        <v>1691</v>
      </c>
      <c r="I1085" s="27">
        <v>0</v>
      </c>
      <c r="J1085" s="20">
        <v>0</v>
      </c>
      <c r="K1085" s="20">
        <v>0</v>
      </c>
      <c r="L1085" s="20">
        <v>0</v>
      </c>
      <c r="M1085" s="20">
        <v>0</v>
      </c>
      <c r="N1085" s="20">
        <v>0</v>
      </c>
      <c r="O1085" s="20">
        <v>0</v>
      </c>
      <c r="P1085" s="26">
        <v>0.03</v>
      </c>
      <c r="Q1085" s="35" t="s">
        <v>154</v>
      </c>
    </row>
    <row r="1086" spans="1:17" ht="48" x14ac:dyDescent="0.25">
      <c r="A1086" s="23">
        <v>38351</v>
      </c>
      <c r="B1086" s="23">
        <v>38351</v>
      </c>
      <c r="C1086" s="24">
        <v>2004</v>
      </c>
      <c r="D1086" s="35" t="s">
        <v>28</v>
      </c>
      <c r="E1086" s="30" t="s">
        <v>125</v>
      </c>
      <c r="F1086" s="28" t="s">
        <v>157</v>
      </c>
      <c r="G1086" s="44" t="s">
        <v>876</v>
      </c>
      <c r="H1086" s="44" t="s">
        <v>1692</v>
      </c>
      <c r="I1086" s="27">
        <v>5</v>
      </c>
      <c r="J1086" s="20">
        <v>8</v>
      </c>
      <c r="K1086" s="20">
        <v>0</v>
      </c>
      <c r="L1086" s="20">
        <v>0</v>
      </c>
      <c r="M1086" s="20">
        <v>0</v>
      </c>
      <c r="N1086" s="20">
        <v>0</v>
      </c>
      <c r="O1086" s="20">
        <v>0</v>
      </c>
      <c r="P1086" s="26">
        <v>0</v>
      </c>
      <c r="Q1086" s="35" t="s">
        <v>154</v>
      </c>
    </row>
    <row r="1087" spans="1:17" ht="84" x14ac:dyDescent="0.25">
      <c r="A1087" s="23">
        <v>38117</v>
      </c>
      <c r="B1087" s="23">
        <v>38117</v>
      </c>
      <c r="C1087" s="24">
        <v>2004</v>
      </c>
      <c r="D1087" s="24" t="s">
        <v>130</v>
      </c>
      <c r="E1087" s="30" t="s">
        <v>136</v>
      </c>
      <c r="F1087" s="7" t="s">
        <v>60</v>
      </c>
      <c r="G1087" s="25" t="s">
        <v>110</v>
      </c>
      <c r="H1087" s="44" t="s">
        <v>1693</v>
      </c>
      <c r="I1087" s="27">
        <v>0</v>
      </c>
      <c r="J1087" s="20">
        <v>39</v>
      </c>
      <c r="K1087" s="20">
        <v>0</v>
      </c>
      <c r="L1087" s="20">
        <v>0</v>
      </c>
      <c r="M1087" s="20">
        <v>0</v>
      </c>
      <c r="N1087" s="20">
        <v>0</v>
      </c>
      <c r="O1087" s="20">
        <v>0</v>
      </c>
      <c r="P1087" s="26">
        <v>0</v>
      </c>
      <c r="Q1087" s="35" t="s">
        <v>154</v>
      </c>
    </row>
    <row r="1088" spans="1:17" ht="36" x14ac:dyDescent="0.25">
      <c r="A1088" s="23">
        <v>37987</v>
      </c>
      <c r="B1088" s="23">
        <v>37987</v>
      </c>
      <c r="C1088" s="24">
        <v>2004</v>
      </c>
      <c r="D1088" s="35" t="s">
        <v>28</v>
      </c>
      <c r="E1088" s="14" t="s">
        <v>29</v>
      </c>
      <c r="F1088" s="7" t="s">
        <v>97</v>
      </c>
      <c r="G1088" s="51" t="s">
        <v>110</v>
      </c>
      <c r="H1088" s="44" t="s">
        <v>1694</v>
      </c>
      <c r="I1088" s="27">
        <v>0</v>
      </c>
      <c r="J1088" s="20">
        <v>0</v>
      </c>
      <c r="K1088" s="20">
        <v>0</v>
      </c>
      <c r="L1088" s="20">
        <v>0</v>
      </c>
      <c r="M1088" s="20">
        <v>0</v>
      </c>
      <c r="N1088" s="20">
        <v>0</v>
      </c>
      <c r="O1088" s="20" t="s">
        <v>1695</v>
      </c>
      <c r="P1088" s="26">
        <f>O1088*0.001</f>
        <v>2.5000000000000001E-3</v>
      </c>
      <c r="Q1088" s="35" t="s">
        <v>154</v>
      </c>
    </row>
    <row r="1089" spans="1:17" ht="36" x14ac:dyDescent="0.25">
      <c r="A1089" s="23">
        <v>38003</v>
      </c>
      <c r="B1089" s="23">
        <v>38003</v>
      </c>
      <c r="C1089" s="24">
        <v>2004</v>
      </c>
      <c r="D1089" s="35" t="s">
        <v>28</v>
      </c>
      <c r="E1089" s="14" t="s">
        <v>29</v>
      </c>
      <c r="F1089" s="28" t="s">
        <v>163</v>
      </c>
      <c r="G1089" s="51" t="s">
        <v>1696</v>
      </c>
      <c r="H1089" s="44" t="s">
        <v>1697</v>
      </c>
      <c r="I1089" s="27">
        <v>0</v>
      </c>
      <c r="J1089" s="20">
        <v>0</v>
      </c>
      <c r="K1089" s="20">
        <v>0</v>
      </c>
      <c r="L1089" s="20">
        <v>0</v>
      </c>
      <c r="M1089" s="20">
        <v>0</v>
      </c>
      <c r="N1089" s="20">
        <v>0</v>
      </c>
      <c r="O1089" s="20">
        <v>0</v>
      </c>
      <c r="P1089" s="26">
        <v>0</v>
      </c>
      <c r="Q1089" s="35" t="s">
        <v>154</v>
      </c>
    </row>
    <row r="1090" spans="1:17" ht="48" x14ac:dyDescent="0.25">
      <c r="A1090" s="23">
        <v>38004</v>
      </c>
      <c r="B1090" s="23">
        <v>38004</v>
      </c>
      <c r="C1090" s="24">
        <v>2004</v>
      </c>
      <c r="D1090" s="35" t="s">
        <v>28</v>
      </c>
      <c r="E1090" s="14" t="s">
        <v>29</v>
      </c>
      <c r="F1090" s="7" t="s">
        <v>56</v>
      </c>
      <c r="G1090" s="51" t="s">
        <v>1698</v>
      </c>
      <c r="H1090" s="44" t="s">
        <v>1699</v>
      </c>
      <c r="I1090" s="27">
        <v>0</v>
      </c>
      <c r="J1090" s="20">
        <v>0</v>
      </c>
      <c r="K1090" s="20">
        <v>0</v>
      </c>
      <c r="L1090" s="20">
        <v>0</v>
      </c>
      <c r="M1090" s="20">
        <v>0</v>
      </c>
      <c r="N1090" s="20">
        <v>0</v>
      </c>
      <c r="O1090" s="20" t="s">
        <v>1700</v>
      </c>
      <c r="P1090" s="26">
        <v>2.1999999999999999E-2</v>
      </c>
      <c r="Q1090" s="35" t="s">
        <v>154</v>
      </c>
    </row>
    <row r="1091" spans="1:17" ht="60" x14ac:dyDescent="0.25">
      <c r="A1091" s="23">
        <v>38014</v>
      </c>
      <c r="B1091" s="23">
        <v>38014</v>
      </c>
      <c r="C1091" s="24">
        <v>2004</v>
      </c>
      <c r="D1091" s="35" t="s">
        <v>28</v>
      </c>
      <c r="E1091" s="14" t="s">
        <v>29</v>
      </c>
      <c r="F1091" s="7" t="s">
        <v>56</v>
      </c>
      <c r="G1091" s="51" t="s">
        <v>1701</v>
      </c>
      <c r="H1091" s="44" t="s">
        <v>1702</v>
      </c>
      <c r="I1091" s="27">
        <v>0</v>
      </c>
      <c r="J1091" s="20">
        <v>0</v>
      </c>
      <c r="K1091" s="20">
        <v>0</v>
      </c>
      <c r="L1091" s="20">
        <v>0</v>
      </c>
      <c r="M1091" s="20">
        <v>0</v>
      </c>
      <c r="N1091" s="20">
        <v>0</v>
      </c>
      <c r="O1091" s="20">
        <v>65</v>
      </c>
      <c r="P1091" s="26">
        <v>6.5000000000000002E-2</v>
      </c>
      <c r="Q1091" s="35" t="s">
        <v>154</v>
      </c>
    </row>
    <row r="1092" spans="1:17" ht="84" x14ac:dyDescent="0.25">
      <c r="A1092" s="23">
        <v>38022</v>
      </c>
      <c r="B1092" s="23">
        <v>38022</v>
      </c>
      <c r="C1092" s="24">
        <v>2004</v>
      </c>
      <c r="D1092" s="35" t="s">
        <v>28</v>
      </c>
      <c r="E1092" s="14" t="s">
        <v>29</v>
      </c>
      <c r="F1092" s="7" t="s">
        <v>77</v>
      </c>
      <c r="G1092" s="51" t="s">
        <v>1703</v>
      </c>
      <c r="H1092" s="44" t="s">
        <v>1704</v>
      </c>
      <c r="I1092" s="27">
        <v>0</v>
      </c>
      <c r="J1092" s="20">
        <v>0</v>
      </c>
      <c r="K1092" s="20">
        <v>0</v>
      </c>
      <c r="L1092" s="20">
        <v>0</v>
      </c>
      <c r="M1092" s="20">
        <v>0</v>
      </c>
      <c r="N1092" s="20">
        <v>0</v>
      </c>
      <c r="O1092" s="20">
        <v>65</v>
      </c>
      <c r="P1092" s="26">
        <v>0.24</v>
      </c>
      <c r="Q1092" s="35" t="s">
        <v>154</v>
      </c>
    </row>
    <row r="1093" spans="1:17" ht="48" x14ac:dyDescent="0.25">
      <c r="A1093" s="23">
        <v>38023</v>
      </c>
      <c r="B1093" s="23">
        <v>38023</v>
      </c>
      <c r="C1093" s="24">
        <v>2004</v>
      </c>
      <c r="D1093" s="35" t="s">
        <v>28</v>
      </c>
      <c r="E1093" s="14" t="s">
        <v>29</v>
      </c>
      <c r="F1093" s="7" t="s">
        <v>25</v>
      </c>
      <c r="G1093" s="51" t="s">
        <v>1705</v>
      </c>
      <c r="H1093" s="44" t="s">
        <v>1706</v>
      </c>
      <c r="I1093" s="27">
        <v>0</v>
      </c>
      <c r="J1093" s="20">
        <v>0</v>
      </c>
      <c r="K1093" s="20">
        <v>0</v>
      </c>
      <c r="L1093" s="20">
        <v>0</v>
      </c>
      <c r="M1093" s="20">
        <v>0</v>
      </c>
      <c r="N1093" s="20">
        <v>0</v>
      </c>
      <c r="O1093" s="20">
        <v>500</v>
      </c>
      <c r="P1093" s="26">
        <v>8.5</v>
      </c>
      <c r="Q1093" s="35" t="s">
        <v>154</v>
      </c>
    </row>
    <row r="1094" spans="1:17" ht="36" x14ac:dyDescent="0.25">
      <c r="A1094" s="23">
        <v>38024</v>
      </c>
      <c r="B1094" s="23">
        <v>38024</v>
      </c>
      <c r="C1094" s="24">
        <v>2004</v>
      </c>
      <c r="D1094" s="35" t="s">
        <v>28</v>
      </c>
      <c r="E1094" s="14" t="s">
        <v>29</v>
      </c>
      <c r="F1094" s="7" t="s">
        <v>56</v>
      </c>
      <c r="G1094" s="51" t="s">
        <v>1707</v>
      </c>
      <c r="H1094" s="44" t="s">
        <v>1708</v>
      </c>
      <c r="I1094" s="27">
        <v>0</v>
      </c>
      <c r="J1094" s="20">
        <v>0</v>
      </c>
      <c r="K1094" s="20">
        <v>0</v>
      </c>
      <c r="L1094" s="20">
        <v>0</v>
      </c>
      <c r="M1094" s="20">
        <v>0</v>
      </c>
      <c r="N1094" s="20">
        <v>0</v>
      </c>
      <c r="O1094" s="20">
        <v>20</v>
      </c>
      <c r="P1094" s="26">
        <v>0.02</v>
      </c>
      <c r="Q1094" s="35" t="s">
        <v>154</v>
      </c>
    </row>
    <row r="1095" spans="1:17" ht="36" x14ac:dyDescent="0.25">
      <c r="A1095" s="23">
        <v>38027</v>
      </c>
      <c r="B1095" s="23">
        <v>38027</v>
      </c>
      <c r="C1095" s="24">
        <v>2004</v>
      </c>
      <c r="D1095" s="35" t="s">
        <v>28</v>
      </c>
      <c r="E1095" s="14" t="s">
        <v>29</v>
      </c>
      <c r="F1095" s="7" t="s">
        <v>77</v>
      </c>
      <c r="G1095" s="51" t="s">
        <v>26</v>
      </c>
      <c r="H1095" s="44" t="s">
        <v>1709</v>
      </c>
      <c r="I1095" s="27">
        <v>0</v>
      </c>
      <c r="J1095" s="20">
        <v>0</v>
      </c>
      <c r="K1095" s="20">
        <v>0</v>
      </c>
      <c r="L1095" s="20">
        <v>0</v>
      </c>
      <c r="M1095" s="20">
        <v>0</v>
      </c>
      <c r="N1095" s="20">
        <v>0</v>
      </c>
      <c r="O1095" s="20">
        <v>54</v>
      </c>
      <c r="P1095" s="26">
        <v>5.3999999999999999E-2</v>
      </c>
      <c r="Q1095" s="35" t="s">
        <v>154</v>
      </c>
    </row>
    <row r="1096" spans="1:17" ht="36" x14ac:dyDescent="0.25">
      <c r="A1096" s="23">
        <v>38028</v>
      </c>
      <c r="B1096" s="23">
        <v>38028</v>
      </c>
      <c r="C1096" s="24">
        <v>2004</v>
      </c>
      <c r="D1096" s="35" t="s">
        <v>28</v>
      </c>
      <c r="E1096" s="14" t="s">
        <v>29</v>
      </c>
      <c r="F1096" s="7" t="s">
        <v>56</v>
      </c>
      <c r="G1096" s="51" t="s">
        <v>1710</v>
      </c>
      <c r="H1096" s="44" t="s">
        <v>1711</v>
      </c>
      <c r="I1096" s="27">
        <v>0</v>
      </c>
      <c r="J1096" s="20">
        <v>0</v>
      </c>
      <c r="K1096" s="20">
        <v>0</v>
      </c>
      <c r="L1096" s="20">
        <v>0</v>
      </c>
      <c r="M1096" s="20">
        <v>0</v>
      </c>
      <c r="N1096" s="20">
        <v>0</v>
      </c>
      <c r="O1096" s="20">
        <v>40</v>
      </c>
      <c r="P1096" s="26">
        <v>0.04</v>
      </c>
      <c r="Q1096" s="35" t="s">
        <v>154</v>
      </c>
    </row>
    <row r="1097" spans="1:17" ht="48" x14ac:dyDescent="0.25">
      <c r="A1097" s="23">
        <v>38031</v>
      </c>
      <c r="B1097" s="23">
        <v>38031</v>
      </c>
      <c r="C1097" s="24">
        <v>2004</v>
      </c>
      <c r="D1097" s="35" t="s">
        <v>28</v>
      </c>
      <c r="E1097" s="14" t="s">
        <v>29</v>
      </c>
      <c r="F1097" s="7" t="s">
        <v>56</v>
      </c>
      <c r="G1097" s="51" t="s">
        <v>1712</v>
      </c>
      <c r="H1097" s="44" t="s">
        <v>1713</v>
      </c>
      <c r="I1097" s="27">
        <v>0</v>
      </c>
      <c r="J1097" s="20">
        <v>0</v>
      </c>
      <c r="K1097" s="20">
        <v>0</v>
      </c>
      <c r="L1097" s="20">
        <v>0</v>
      </c>
      <c r="M1097" s="20">
        <v>0</v>
      </c>
      <c r="N1097" s="20">
        <v>0</v>
      </c>
      <c r="O1097" s="20">
        <v>40</v>
      </c>
      <c r="P1097" s="26">
        <v>0.04</v>
      </c>
      <c r="Q1097" s="35" t="s">
        <v>154</v>
      </c>
    </row>
    <row r="1098" spans="1:17" ht="36" x14ac:dyDescent="0.25">
      <c r="A1098" s="23">
        <v>38035</v>
      </c>
      <c r="B1098" s="23">
        <v>38035</v>
      </c>
      <c r="C1098" s="24">
        <v>2004</v>
      </c>
      <c r="D1098" s="35" t="s">
        <v>28</v>
      </c>
      <c r="E1098" s="14" t="s">
        <v>29</v>
      </c>
      <c r="F1098" s="7" t="s">
        <v>87</v>
      </c>
      <c r="G1098" s="51" t="s">
        <v>1714</v>
      </c>
      <c r="H1098" s="44" t="s">
        <v>1715</v>
      </c>
      <c r="I1098" s="27">
        <v>0</v>
      </c>
      <c r="J1098" s="20">
        <v>0</v>
      </c>
      <c r="K1098" s="20">
        <v>0</v>
      </c>
      <c r="L1098" s="20">
        <v>0</v>
      </c>
      <c r="M1098" s="20">
        <v>0</v>
      </c>
      <c r="N1098" s="20">
        <v>0</v>
      </c>
      <c r="O1098" s="20">
        <v>7</v>
      </c>
      <c r="P1098" s="26">
        <v>7.0000000000000001E-3</v>
      </c>
      <c r="Q1098" s="35" t="s">
        <v>154</v>
      </c>
    </row>
    <row r="1099" spans="1:17" ht="60" x14ac:dyDescent="0.25">
      <c r="A1099" s="23">
        <v>38018</v>
      </c>
      <c r="B1099" s="23">
        <v>38036</v>
      </c>
      <c r="C1099" s="24">
        <v>2004</v>
      </c>
      <c r="D1099" s="35" t="s">
        <v>28</v>
      </c>
      <c r="E1099" s="14" t="s">
        <v>29</v>
      </c>
      <c r="F1099" s="7" t="s">
        <v>36</v>
      </c>
      <c r="G1099" s="51" t="s">
        <v>1716</v>
      </c>
      <c r="H1099" s="44" t="s">
        <v>1717</v>
      </c>
      <c r="I1099" s="27">
        <v>0</v>
      </c>
      <c r="J1099" s="20">
        <v>0</v>
      </c>
      <c r="K1099" s="20">
        <v>0</v>
      </c>
      <c r="L1099" s="20">
        <v>0</v>
      </c>
      <c r="M1099" s="20">
        <v>0</v>
      </c>
      <c r="N1099" s="20">
        <v>0</v>
      </c>
      <c r="O1099" s="20">
        <v>48</v>
      </c>
      <c r="P1099" s="26">
        <v>4.8000000000000001E-2</v>
      </c>
      <c r="Q1099" s="35" t="s">
        <v>154</v>
      </c>
    </row>
    <row r="1100" spans="1:17" ht="36" x14ac:dyDescent="0.25">
      <c r="A1100" s="23">
        <v>38036</v>
      </c>
      <c r="B1100" s="23">
        <v>38036</v>
      </c>
      <c r="C1100" s="24">
        <v>2004</v>
      </c>
      <c r="D1100" s="35" t="s">
        <v>28</v>
      </c>
      <c r="E1100" s="14" t="s">
        <v>29</v>
      </c>
      <c r="F1100" s="7" t="s">
        <v>87</v>
      </c>
      <c r="G1100" s="51" t="s">
        <v>1718</v>
      </c>
      <c r="H1100" s="44" t="s">
        <v>1719</v>
      </c>
      <c r="I1100" s="27">
        <v>0</v>
      </c>
      <c r="J1100" s="20">
        <v>0</v>
      </c>
      <c r="K1100" s="20">
        <v>0</v>
      </c>
      <c r="L1100" s="20">
        <v>0</v>
      </c>
      <c r="M1100" s="20">
        <v>0</v>
      </c>
      <c r="N1100" s="20">
        <v>0</v>
      </c>
      <c r="O1100" s="20">
        <v>20</v>
      </c>
      <c r="P1100" s="26">
        <v>0.02</v>
      </c>
      <c r="Q1100" s="35" t="s">
        <v>154</v>
      </c>
    </row>
    <row r="1101" spans="1:17" ht="84" x14ac:dyDescent="0.25">
      <c r="A1101" s="23">
        <v>38036</v>
      </c>
      <c r="B1101" s="23">
        <v>38036</v>
      </c>
      <c r="C1101" s="24">
        <v>2004</v>
      </c>
      <c r="D1101" s="35" t="s">
        <v>28</v>
      </c>
      <c r="E1101" s="14" t="s">
        <v>29</v>
      </c>
      <c r="F1101" s="7" t="s">
        <v>56</v>
      </c>
      <c r="G1101" s="51" t="s">
        <v>1720</v>
      </c>
      <c r="H1101" s="44" t="s">
        <v>1721</v>
      </c>
      <c r="I1101" s="27">
        <v>0</v>
      </c>
      <c r="J1101" s="20">
        <v>0</v>
      </c>
      <c r="K1101" s="20">
        <v>0</v>
      </c>
      <c r="L1101" s="20">
        <v>0</v>
      </c>
      <c r="M1101" s="20">
        <v>0</v>
      </c>
      <c r="N1101" s="20">
        <v>0</v>
      </c>
      <c r="O1101" s="20">
        <v>313</v>
      </c>
      <c r="P1101" s="26">
        <v>0.313</v>
      </c>
      <c r="Q1101" s="35" t="s">
        <v>154</v>
      </c>
    </row>
    <row r="1102" spans="1:17" ht="60" x14ac:dyDescent="0.25">
      <c r="A1102" s="23">
        <v>38037</v>
      </c>
      <c r="B1102" s="23">
        <v>38037</v>
      </c>
      <c r="C1102" s="24">
        <v>2004</v>
      </c>
      <c r="D1102" s="35" t="s">
        <v>28</v>
      </c>
      <c r="E1102" s="14" t="s">
        <v>29</v>
      </c>
      <c r="F1102" s="7" t="s">
        <v>56</v>
      </c>
      <c r="G1102" s="51" t="s">
        <v>1722</v>
      </c>
      <c r="H1102" s="44" t="s">
        <v>1723</v>
      </c>
      <c r="I1102" s="27">
        <v>0</v>
      </c>
      <c r="J1102" s="20">
        <v>0</v>
      </c>
      <c r="K1102" s="20">
        <v>0</v>
      </c>
      <c r="L1102" s="20">
        <v>0</v>
      </c>
      <c r="M1102" s="20">
        <v>0</v>
      </c>
      <c r="N1102" s="20">
        <v>0</v>
      </c>
      <c r="O1102" s="20">
        <v>102</v>
      </c>
      <c r="P1102" s="26">
        <v>0.10199999999999999</v>
      </c>
      <c r="Q1102" s="35" t="s">
        <v>154</v>
      </c>
    </row>
    <row r="1103" spans="1:17" ht="36" x14ac:dyDescent="0.25">
      <c r="A1103" s="23">
        <v>38039</v>
      </c>
      <c r="B1103" s="23">
        <v>38039</v>
      </c>
      <c r="C1103" s="24">
        <v>2004</v>
      </c>
      <c r="D1103" s="35" t="s">
        <v>28</v>
      </c>
      <c r="E1103" s="14" t="s">
        <v>29</v>
      </c>
      <c r="F1103" s="7" t="s">
        <v>56</v>
      </c>
      <c r="G1103" s="51" t="s">
        <v>1707</v>
      </c>
      <c r="H1103" s="44" t="s">
        <v>1724</v>
      </c>
      <c r="I1103" s="27">
        <v>0</v>
      </c>
      <c r="J1103" s="20">
        <v>0</v>
      </c>
      <c r="K1103" s="20">
        <v>0</v>
      </c>
      <c r="L1103" s="20">
        <v>0</v>
      </c>
      <c r="M1103" s="20">
        <v>0</v>
      </c>
      <c r="N1103" s="20">
        <v>0</v>
      </c>
      <c r="O1103" s="20">
        <v>32</v>
      </c>
      <c r="P1103" s="26">
        <v>3.2000000000000001E-2</v>
      </c>
      <c r="Q1103" s="35" t="s">
        <v>154</v>
      </c>
    </row>
    <row r="1104" spans="1:17" ht="60" x14ac:dyDescent="0.25">
      <c r="A1104" s="23">
        <v>38040</v>
      </c>
      <c r="B1104" s="23">
        <v>38040</v>
      </c>
      <c r="C1104" s="24">
        <v>2004</v>
      </c>
      <c r="D1104" s="35" t="s">
        <v>28</v>
      </c>
      <c r="E1104" s="14" t="s">
        <v>29</v>
      </c>
      <c r="F1104" s="7" t="s">
        <v>56</v>
      </c>
      <c r="G1104" s="51" t="s">
        <v>1725</v>
      </c>
      <c r="H1104" s="44" t="s">
        <v>1726</v>
      </c>
      <c r="I1104" s="27">
        <v>0</v>
      </c>
      <c r="J1104" s="20">
        <v>0</v>
      </c>
      <c r="K1104" s="20">
        <v>0</v>
      </c>
      <c r="L1104" s="20">
        <v>0</v>
      </c>
      <c r="M1104" s="20">
        <v>0</v>
      </c>
      <c r="N1104" s="20">
        <v>0</v>
      </c>
      <c r="O1104" s="20">
        <v>118</v>
      </c>
      <c r="P1104" s="26">
        <v>0.11799999999999999</v>
      </c>
      <c r="Q1104" s="35" t="s">
        <v>154</v>
      </c>
    </row>
    <row r="1105" spans="1:17" ht="48" x14ac:dyDescent="0.25">
      <c r="A1105" s="23">
        <v>38040</v>
      </c>
      <c r="B1105" s="23">
        <v>38040</v>
      </c>
      <c r="C1105" s="24">
        <v>2004</v>
      </c>
      <c r="D1105" s="35" t="s">
        <v>28</v>
      </c>
      <c r="E1105" s="14" t="s">
        <v>29</v>
      </c>
      <c r="F1105" s="7" t="s">
        <v>77</v>
      </c>
      <c r="G1105" s="51" t="s">
        <v>1727</v>
      </c>
      <c r="H1105" s="44" t="s">
        <v>1728</v>
      </c>
      <c r="I1105" s="27">
        <v>0</v>
      </c>
      <c r="J1105" s="20">
        <v>0</v>
      </c>
      <c r="K1105" s="20">
        <v>0</v>
      </c>
      <c r="L1105" s="20">
        <v>0</v>
      </c>
      <c r="M1105" s="20">
        <v>0</v>
      </c>
      <c r="N1105" s="20">
        <v>0</v>
      </c>
      <c r="O1105" s="20">
        <v>60</v>
      </c>
      <c r="P1105" s="26">
        <v>0.06</v>
      </c>
      <c r="Q1105" s="35" t="s">
        <v>154</v>
      </c>
    </row>
    <row r="1106" spans="1:17" ht="48" x14ac:dyDescent="0.25">
      <c r="A1106" s="23">
        <v>38041</v>
      </c>
      <c r="B1106" s="23">
        <v>38041</v>
      </c>
      <c r="C1106" s="24">
        <v>2004</v>
      </c>
      <c r="D1106" s="35" t="s">
        <v>28</v>
      </c>
      <c r="E1106" s="14" t="s">
        <v>29</v>
      </c>
      <c r="F1106" s="28" t="s">
        <v>157</v>
      </c>
      <c r="G1106" s="51" t="s">
        <v>1729</v>
      </c>
      <c r="H1106" s="44" t="s">
        <v>1730</v>
      </c>
      <c r="I1106" s="27">
        <v>0</v>
      </c>
      <c r="J1106" s="20">
        <v>0</v>
      </c>
      <c r="K1106" s="20">
        <v>0</v>
      </c>
      <c r="L1106" s="20">
        <v>0</v>
      </c>
      <c r="M1106" s="20">
        <v>0</v>
      </c>
      <c r="N1106" s="20">
        <v>0</v>
      </c>
      <c r="O1106" s="20">
        <v>52</v>
      </c>
      <c r="P1106" s="26">
        <v>5.1999999999999998E-2</v>
      </c>
      <c r="Q1106" s="35" t="s">
        <v>154</v>
      </c>
    </row>
    <row r="1107" spans="1:17" ht="24" x14ac:dyDescent="0.25">
      <c r="A1107" s="23">
        <v>38041</v>
      </c>
      <c r="B1107" s="23">
        <v>38041</v>
      </c>
      <c r="C1107" s="24">
        <v>2004</v>
      </c>
      <c r="D1107" s="35" t="s">
        <v>28</v>
      </c>
      <c r="E1107" s="14" t="s">
        <v>29</v>
      </c>
      <c r="F1107" s="7" t="s">
        <v>77</v>
      </c>
      <c r="G1107" s="51" t="s">
        <v>1731</v>
      </c>
      <c r="H1107" s="44" t="s">
        <v>1732</v>
      </c>
      <c r="I1107" s="27">
        <v>0</v>
      </c>
      <c r="J1107" s="20">
        <v>0</v>
      </c>
      <c r="K1107" s="20">
        <v>0</v>
      </c>
      <c r="L1107" s="20">
        <v>0</v>
      </c>
      <c r="M1107" s="20">
        <v>0</v>
      </c>
      <c r="N1107" s="20">
        <v>0</v>
      </c>
      <c r="O1107" s="20">
        <v>20</v>
      </c>
      <c r="P1107" s="26">
        <v>0.02</v>
      </c>
      <c r="Q1107" s="35" t="s">
        <v>154</v>
      </c>
    </row>
    <row r="1108" spans="1:17" ht="24" x14ac:dyDescent="0.25">
      <c r="A1108" s="23">
        <v>38045</v>
      </c>
      <c r="B1108" s="23">
        <v>38045</v>
      </c>
      <c r="C1108" s="24">
        <v>2004</v>
      </c>
      <c r="D1108" s="35" t="s">
        <v>28</v>
      </c>
      <c r="E1108" s="14" t="s">
        <v>29</v>
      </c>
      <c r="F1108" s="28" t="s">
        <v>163</v>
      </c>
      <c r="G1108" s="51" t="s">
        <v>110</v>
      </c>
      <c r="H1108" s="44" t="s">
        <v>1733</v>
      </c>
      <c r="I1108" s="27">
        <v>0</v>
      </c>
      <c r="J1108" s="20">
        <v>0</v>
      </c>
      <c r="K1108" s="20">
        <v>0</v>
      </c>
      <c r="L1108" s="20">
        <v>0</v>
      </c>
      <c r="M1108" s="20">
        <v>0</v>
      </c>
      <c r="N1108" s="20">
        <v>0</v>
      </c>
      <c r="O1108" s="20">
        <v>1</v>
      </c>
      <c r="P1108" s="26">
        <v>1E-3</v>
      </c>
      <c r="Q1108" s="35" t="s">
        <v>154</v>
      </c>
    </row>
    <row r="1109" spans="1:17" ht="36" x14ac:dyDescent="0.25">
      <c r="A1109" s="23">
        <v>38045</v>
      </c>
      <c r="B1109" s="23">
        <v>38045</v>
      </c>
      <c r="C1109" s="24">
        <v>2004</v>
      </c>
      <c r="D1109" s="35" t="s">
        <v>28</v>
      </c>
      <c r="E1109" s="14" t="s">
        <v>29</v>
      </c>
      <c r="F1109" s="28" t="s">
        <v>157</v>
      </c>
      <c r="G1109" s="51" t="s">
        <v>401</v>
      </c>
      <c r="H1109" s="44" t="s">
        <v>1734</v>
      </c>
      <c r="I1109" s="27">
        <v>0</v>
      </c>
      <c r="J1109" s="20">
        <v>0</v>
      </c>
      <c r="K1109" s="20">
        <v>0</v>
      </c>
      <c r="L1109" s="20">
        <v>0</v>
      </c>
      <c r="M1109" s="20">
        <v>0</v>
      </c>
      <c r="N1109" s="20">
        <v>0</v>
      </c>
      <c r="O1109" s="20">
        <v>2.6</v>
      </c>
      <c r="P1109" s="26">
        <v>3.0000000000000001E-3</v>
      </c>
      <c r="Q1109" s="35" t="s">
        <v>154</v>
      </c>
    </row>
    <row r="1110" spans="1:17" ht="48" x14ac:dyDescent="0.25">
      <c r="A1110" s="23">
        <v>38046</v>
      </c>
      <c r="B1110" s="23">
        <v>38046</v>
      </c>
      <c r="C1110" s="24">
        <v>2004</v>
      </c>
      <c r="D1110" s="35" t="s">
        <v>28</v>
      </c>
      <c r="E1110" s="14" t="s">
        <v>29</v>
      </c>
      <c r="F1110" s="7" t="s">
        <v>36</v>
      </c>
      <c r="G1110" s="51" t="s">
        <v>1735</v>
      </c>
      <c r="H1110" s="44" t="s">
        <v>1736</v>
      </c>
      <c r="I1110" s="27">
        <v>0</v>
      </c>
      <c r="J1110" s="20">
        <v>0</v>
      </c>
      <c r="K1110" s="20">
        <v>0</v>
      </c>
      <c r="L1110" s="20">
        <v>0</v>
      </c>
      <c r="M1110" s="20">
        <v>0</v>
      </c>
      <c r="N1110" s="20">
        <v>0</v>
      </c>
      <c r="O1110" s="20">
        <v>20</v>
      </c>
      <c r="P1110" s="26">
        <v>0.02</v>
      </c>
      <c r="Q1110" s="35" t="s">
        <v>154</v>
      </c>
    </row>
    <row r="1111" spans="1:17" ht="36" x14ac:dyDescent="0.25">
      <c r="A1111" s="23">
        <v>38048</v>
      </c>
      <c r="B1111" s="23">
        <v>38048</v>
      </c>
      <c r="C1111" s="24">
        <v>2004</v>
      </c>
      <c r="D1111" s="35" t="s">
        <v>28</v>
      </c>
      <c r="E1111" s="14" t="s">
        <v>29</v>
      </c>
      <c r="F1111" s="28" t="s">
        <v>157</v>
      </c>
      <c r="G1111" s="51" t="s">
        <v>401</v>
      </c>
      <c r="H1111" s="44" t="s">
        <v>1737</v>
      </c>
      <c r="I1111" s="27">
        <v>0</v>
      </c>
      <c r="J1111" s="20">
        <v>0</v>
      </c>
      <c r="K1111" s="20">
        <v>0</v>
      </c>
      <c r="L1111" s="20">
        <v>0</v>
      </c>
      <c r="M1111" s="20">
        <v>0</v>
      </c>
      <c r="N1111" s="20">
        <v>0</v>
      </c>
      <c r="O1111" s="20">
        <v>30</v>
      </c>
      <c r="P1111" s="26">
        <v>0.03</v>
      </c>
      <c r="Q1111" s="35" t="s">
        <v>154</v>
      </c>
    </row>
    <row r="1112" spans="1:17" ht="48" x14ac:dyDescent="0.25">
      <c r="A1112" s="23">
        <v>38048</v>
      </c>
      <c r="B1112" s="23">
        <v>38048</v>
      </c>
      <c r="C1112" s="24">
        <v>2004</v>
      </c>
      <c r="D1112" s="35" t="s">
        <v>28</v>
      </c>
      <c r="E1112" s="14" t="s">
        <v>29</v>
      </c>
      <c r="F1112" s="7" t="s">
        <v>56</v>
      </c>
      <c r="G1112" s="51" t="s">
        <v>1738</v>
      </c>
      <c r="H1112" s="44" t="s">
        <v>1739</v>
      </c>
      <c r="I1112" s="27">
        <v>0</v>
      </c>
      <c r="J1112" s="20">
        <v>0</v>
      </c>
      <c r="K1112" s="20">
        <v>0</v>
      </c>
      <c r="L1112" s="20">
        <v>0</v>
      </c>
      <c r="M1112" s="20">
        <v>0</v>
      </c>
      <c r="N1112" s="20">
        <v>0</v>
      </c>
      <c r="O1112" s="20">
        <v>400</v>
      </c>
      <c r="P1112" s="26">
        <v>0.4</v>
      </c>
      <c r="Q1112" s="35" t="s">
        <v>154</v>
      </c>
    </row>
    <row r="1113" spans="1:17" ht="48" x14ac:dyDescent="0.25">
      <c r="A1113" s="23">
        <v>38050</v>
      </c>
      <c r="B1113" s="23">
        <v>38050</v>
      </c>
      <c r="C1113" s="24">
        <v>2004</v>
      </c>
      <c r="D1113" s="35" t="s">
        <v>28</v>
      </c>
      <c r="E1113" s="14" t="s">
        <v>29</v>
      </c>
      <c r="F1113" s="28" t="s">
        <v>163</v>
      </c>
      <c r="G1113" s="51" t="s">
        <v>1740</v>
      </c>
      <c r="H1113" s="44" t="s">
        <v>1741</v>
      </c>
      <c r="I1113" s="27">
        <v>0</v>
      </c>
      <c r="J1113" s="20">
        <v>0</v>
      </c>
      <c r="K1113" s="20">
        <v>0</v>
      </c>
      <c r="L1113" s="20">
        <v>0</v>
      </c>
      <c r="M1113" s="20">
        <v>0</v>
      </c>
      <c r="N1113" s="20">
        <v>0</v>
      </c>
      <c r="O1113" s="20">
        <v>57</v>
      </c>
      <c r="P1113" s="26">
        <v>0.10199999999999999</v>
      </c>
      <c r="Q1113" s="35" t="s">
        <v>154</v>
      </c>
    </row>
    <row r="1114" spans="1:17" ht="36" x14ac:dyDescent="0.25">
      <c r="A1114" s="23">
        <v>38050</v>
      </c>
      <c r="B1114" s="23">
        <v>38050</v>
      </c>
      <c r="C1114" s="24">
        <v>2004</v>
      </c>
      <c r="D1114" s="35" t="s">
        <v>28</v>
      </c>
      <c r="E1114" s="14" t="s">
        <v>29</v>
      </c>
      <c r="F1114" s="28" t="s">
        <v>160</v>
      </c>
      <c r="G1114" s="51" t="s">
        <v>1742</v>
      </c>
      <c r="H1114" s="44" t="s">
        <v>1743</v>
      </c>
      <c r="I1114" s="27">
        <v>0</v>
      </c>
      <c r="J1114" s="20">
        <v>0</v>
      </c>
      <c r="K1114" s="20">
        <v>0</v>
      </c>
      <c r="L1114" s="20">
        <v>0</v>
      </c>
      <c r="M1114" s="20">
        <v>0</v>
      </c>
      <c r="N1114" s="20">
        <v>0</v>
      </c>
      <c r="O1114" s="20">
        <v>30</v>
      </c>
      <c r="P1114" s="26">
        <v>0.03</v>
      </c>
      <c r="Q1114" s="35" t="s">
        <v>154</v>
      </c>
    </row>
    <row r="1115" spans="1:17" ht="24" x14ac:dyDescent="0.25">
      <c r="A1115" s="23">
        <v>38052</v>
      </c>
      <c r="B1115" s="23">
        <v>38052</v>
      </c>
      <c r="C1115" s="24">
        <v>2004</v>
      </c>
      <c r="D1115" s="35" t="s">
        <v>28</v>
      </c>
      <c r="E1115" s="14" t="s">
        <v>29</v>
      </c>
      <c r="F1115" s="7" t="s">
        <v>97</v>
      </c>
      <c r="G1115" s="44" t="s">
        <v>1744</v>
      </c>
      <c r="H1115" s="44" t="s">
        <v>1745</v>
      </c>
      <c r="I1115" s="27">
        <v>0</v>
      </c>
      <c r="J1115" s="20">
        <v>0</v>
      </c>
      <c r="K1115" s="20">
        <v>0</v>
      </c>
      <c r="L1115" s="20">
        <v>0</v>
      </c>
      <c r="M1115" s="20">
        <v>0</v>
      </c>
      <c r="N1115" s="20">
        <v>0</v>
      </c>
      <c r="O1115" s="20">
        <v>7</v>
      </c>
      <c r="P1115" s="26">
        <v>7.0000000000000001E-3</v>
      </c>
      <c r="Q1115" s="35" t="s">
        <v>154</v>
      </c>
    </row>
    <row r="1116" spans="1:17" ht="36" x14ac:dyDescent="0.25">
      <c r="A1116" s="23">
        <v>38052</v>
      </c>
      <c r="B1116" s="23">
        <v>38052</v>
      </c>
      <c r="C1116" s="24">
        <v>2004</v>
      </c>
      <c r="D1116" s="35" t="s">
        <v>28</v>
      </c>
      <c r="E1116" s="14" t="s">
        <v>29</v>
      </c>
      <c r="F1116" s="7" t="s">
        <v>25</v>
      </c>
      <c r="G1116" s="51" t="s">
        <v>25</v>
      </c>
      <c r="H1116" s="44" t="s">
        <v>1746</v>
      </c>
      <c r="I1116" s="27">
        <v>0</v>
      </c>
      <c r="J1116" s="20">
        <v>0</v>
      </c>
      <c r="K1116" s="20">
        <v>0</v>
      </c>
      <c r="L1116" s="20">
        <v>0</v>
      </c>
      <c r="M1116" s="20">
        <v>0</v>
      </c>
      <c r="N1116" s="20">
        <v>0</v>
      </c>
      <c r="O1116" s="20">
        <v>400</v>
      </c>
      <c r="P1116" s="26">
        <v>0.4</v>
      </c>
      <c r="Q1116" s="35" t="s">
        <v>154</v>
      </c>
    </row>
    <row r="1117" spans="1:17" ht="36" x14ac:dyDescent="0.25">
      <c r="A1117" s="23">
        <v>38056</v>
      </c>
      <c r="B1117" s="23">
        <v>38056</v>
      </c>
      <c r="C1117" s="24">
        <v>2004</v>
      </c>
      <c r="D1117" s="35" t="s">
        <v>28</v>
      </c>
      <c r="E1117" s="14" t="s">
        <v>29</v>
      </c>
      <c r="F1117" s="7" t="s">
        <v>36</v>
      </c>
      <c r="G1117" s="51" t="s">
        <v>744</v>
      </c>
      <c r="H1117" s="44" t="s">
        <v>1747</v>
      </c>
      <c r="I1117" s="27">
        <v>0</v>
      </c>
      <c r="J1117" s="20">
        <v>0</v>
      </c>
      <c r="K1117" s="20">
        <v>0</v>
      </c>
      <c r="L1117" s="20">
        <v>0</v>
      </c>
      <c r="M1117" s="20">
        <v>0</v>
      </c>
      <c r="N1117" s="20">
        <v>0</v>
      </c>
      <c r="O1117" s="20">
        <v>825</v>
      </c>
      <c r="P1117" s="26">
        <v>0.82499999999999996</v>
      </c>
      <c r="Q1117" s="35" t="s">
        <v>154</v>
      </c>
    </row>
    <row r="1118" spans="1:17" ht="36" x14ac:dyDescent="0.25">
      <c r="A1118" s="23">
        <v>38057</v>
      </c>
      <c r="B1118" s="23">
        <v>38057</v>
      </c>
      <c r="C1118" s="24">
        <v>2004</v>
      </c>
      <c r="D1118" s="35" t="s">
        <v>28</v>
      </c>
      <c r="E1118" s="14" t="s">
        <v>29</v>
      </c>
      <c r="F1118" s="28" t="s">
        <v>160</v>
      </c>
      <c r="G1118" s="51" t="s">
        <v>1748</v>
      </c>
      <c r="H1118" s="44" t="s">
        <v>1749</v>
      </c>
      <c r="I1118" s="27">
        <v>0</v>
      </c>
      <c r="J1118" s="20">
        <v>0</v>
      </c>
      <c r="K1118" s="20">
        <v>0</v>
      </c>
      <c r="L1118" s="20">
        <v>0</v>
      </c>
      <c r="M1118" s="20">
        <v>0</v>
      </c>
      <c r="N1118" s="20">
        <v>0</v>
      </c>
      <c r="O1118" s="20">
        <v>20</v>
      </c>
      <c r="P1118" s="26">
        <v>2.4E-2</v>
      </c>
      <c r="Q1118" s="35" t="s">
        <v>154</v>
      </c>
    </row>
    <row r="1119" spans="1:17" ht="36" x14ac:dyDescent="0.25">
      <c r="A1119" s="23">
        <v>38059</v>
      </c>
      <c r="B1119" s="23">
        <v>38059</v>
      </c>
      <c r="C1119" s="24">
        <v>2004</v>
      </c>
      <c r="D1119" s="35" t="s">
        <v>28</v>
      </c>
      <c r="E1119" s="14" t="s">
        <v>29</v>
      </c>
      <c r="F1119" s="7" t="s">
        <v>36</v>
      </c>
      <c r="G1119" s="51" t="s">
        <v>1168</v>
      </c>
      <c r="H1119" s="44" t="s">
        <v>1750</v>
      </c>
      <c r="I1119" s="27">
        <v>0</v>
      </c>
      <c r="J1119" s="20">
        <v>0</v>
      </c>
      <c r="K1119" s="20">
        <v>0</v>
      </c>
      <c r="L1119" s="20">
        <v>0</v>
      </c>
      <c r="M1119" s="20">
        <v>0</v>
      </c>
      <c r="N1119" s="20">
        <v>0</v>
      </c>
      <c r="O1119" s="20">
        <v>25</v>
      </c>
      <c r="P1119" s="26">
        <v>2.5000000000000001E-2</v>
      </c>
      <c r="Q1119" s="35" t="s">
        <v>154</v>
      </c>
    </row>
    <row r="1120" spans="1:17" ht="36" x14ac:dyDescent="0.25">
      <c r="A1120" s="23">
        <v>38059</v>
      </c>
      <c r="B1120" s="23">
        <v>38059</v>
      </c>
      <c r="C1120" s="24">
        <v>2004</v>
      </c>
      <c r="D1120" s="35" t="s">
        <v>28</v>
      </c>
      <c r="E1120" s="14" t="s">
        <v>29</v>
      </c>
      <c r="F1120" s="28" t="s">
        <v>151</v>
      </c>
      <c r="G1120" s="51" t="s">
        <v>1751</v>
      </c>
      <c r="H1120" s="44" t="s">
        <v>1752</v>
      </c>
      <c r="I1120" s="27">
        <v>0</v>
      </c>
      <c r="J1120" s="20">
        <v>0</v>
      </c>
      <c r="K1120" s="20">
        <v>0</v>
      </c>
      <c r="L1120" s="20">
        <v>0</v>
      </c>
      <c r="M1120" s="20">
        <v>0</v>
      </c>
      <c r="N1120" s="20">
        <v>0</v>
      </c>
      <c r="O1120" s="20">
        <v>200</v>
      </c>
      <c r="P1120" s="26">
        <v>0.2</v>
      </c>
      <c r="Q1120" s="35" t="s">
        <v>154</v>
      </c>
    </row>
    <row r="1121" spans="1:17" ht="36" x14ac:dyDescent="0.25">
      <c r="A1121" s="23">
        <v>38066</v>
      </c>
      <c r="B1121" s="23">
        <v>38066</v>
      </c>
      <c r="C1121" s="24">
        <v>2004</v>
      </c>
      <c r="D1121" s="35" t="s">
        <v>28</v>
      </c>
      <c r="E1121" s="14" t="s">
        <v>29</v>
      </c>
      <c r="F1121" s="7" t="s">
        <v>75</v>
      </c>
      <c r="G1121" s="51" t="s">
        <v>110</v>
      </c>
      <c r="H1121" s="44" t="s">
        <v>1753</v>
      </c>
      <c r="I1121" s="27">
        <v>0</v>
      </c>
      <c r="J1121" s="20">
        <v>0</v>
      </c>
      <c r="K1121" s="20">
        <v>0</v>
      </c>
      <c r="L1121" s="20">
        <v>0</v>
      </c>
      <c r="M1121" s="20">
        <v>0</v>
      </c>
      <c r="N1121" s="20">
        <v>0</v>
      </c>
      <c r="O1121" s="20">
        <v>150</v>
      </c>
      <c r="P1121" s="26">
        <v>0.15</v>
      </c>
      <c r="Q1121" s="35" t="s">
        <v>154</v>
      </c>
    </row>
    <row r="1122" spans="1:17" ht="48" x14ac:dyDescent="0.25">
      <c r="A1122" s="23">
        <v>38066</v>
      </c>
      <c r="B1122" s="23">
        <v>38066</v>
      </c>
      <c r="C1122" s="24">
        <v>2004</v>
      </c>
      <c r="D1122" s="35" t="s">
        <v>28</v>
      </c>
      <c r="E1122" s="14" t="s">
        <v>29</v>
      </c>
      <c r="F1122" s="7" t="s">
        <v>36</v>
      </c>
      <c r="G1122" s="51" t="s">
        <v>1754</v>
      </c>
      <c r="H1122" s="44" t="s">
        <v>1755</v>
      </c>
      <c r="I1122" s="27">
        <v>0</v>
      </c>
      <c r="J1122" s="20">
        <v>0</v>
      </c>
      <c r="K1122" s="20">
        <v>0</v>
      </c>
      <c r="L1122" s="20">
        <v>0</v>
      </c>
      <c r="M1122" s="20">
        <v>0</v>
      </c>
      <c r="N1122" s="20">
        <v>0</v>
      </c>
      <c r="O1122" s="20">
        <v>25</v>
      </c>
      <c r="P1122" s="26">
        <v>2.5000000000000001E-2</v>
      </c>
      <c r="Q1122" s="35" t="s">
        <v>154</v>
      </c>
    </row>
    <row r="1123" spans="1:17" ht="48" x14ac:dyDescent="0.25">
      <c r="A1123" s="23">
        <v>38067</v>
      </c>
      <c r="B1123" s="23">
        <v>38068</v>
      </c>
      <c r="C1123" s="24">
        <v>2004</v>
      </c>
      <c r="D1123" s="35" t="s">
        <v>28</v>
      </c>
      <c r="E1123" s="14" t="s">
        <v>29</v>
      </c>
      <c r="F1123" s="7" t="s">
        <v>36</v>
      </c>
      <c r="G1123" s="51" t="s">
        <v>1756</v>
      </c>
      <c r="H1123" s="44" t="s">
        <v>1757</v>
      </c>
      <c r="I1123" s="27">
        <v>0</v>
      </c>
      <c r="J1123" s="20">
        <v>0</v>
      </c>
      <c r="K1123" s="20">
        <v>0</v>
      </c>
      <c r="L1123" s="20">
        <v>0</v>
      </c>
      <c r="M1123" s="20">
        <v>0</v>
      </c>
      <c r="N1123" s="20">
        <v>0</v>
      </c>
      <c r="O1123" s="20">
        <v>280</v>
      </c>
      <c r="P1123" s="26">
        <v>0.28000000000000003</v>
      </c>
      <c r="Q1123" s="35" t="s">
        <v>154</v>
      </c>
    </row>
    <row r="1124" spans="1:17" ht="36" x14ac:dyDescent="0.25">
      <c r="A1124" s="23">
        <v>38073</v>
      </c>
      <c r="B1124" s="23">
        <v>38073</v>
      </c>
      <c r="C1124" s="24">
        <v>2004</v>
      </c>
      <c r="D1124" s="35" t="s">
        <v>28</v>
      </c>
      <c r="E1124" s="14" t="s">
        <v>29</v>
      </c>
      <c r="F1124" s="7" t="s">
        <v>87</v>
      </c>
      <c r="G1124" s="51" t="s">
        <v>110</v>
      </c>
      <c r="H1124" s="44" t="s">
        <v>1758</v>
      </c>
      <c r="I1124" s="27">
        <v>0</v>
      </c>
      <c r="J1124" s="20">
        <v>0</v>
      </c>
      <c r="K1124" s="20">
        <v>0</v>
      </c>
      <c r="L1124" s="20">
        <v>0</v>
      </c>
      <c r="M1124" s="20">
        <v>0</v>
      </c>
      <c r="N1124" s="20">
        <v>0</v>
      </c>
      <c r="O1124" s="20">
        <v>8</v>
      </c>
      <c r="P1124" s="26">
        <v>8.0000000000000002E-3</v>
      </c>
      <c r="Q1124" s="35" t="s">
        <v>154</v>
      </c>
    </row>
    <row r="1125" spans="1:17" ht="36" x14ac:dyDescent="0.25">
      <c r="A1125" s="23">
        <v>38074</v>
      </c>
      <c r="B1125" s="23">
        <v>38074</v>
      </c>
      <c r="C1125" s="24">
        <v>2004</v>
      </c>
      <c r="D1125" s="35" t="s">
        <v>28</v>
      </c>
      <c r="E1125" s="14" t="s">
        <v>29</v>
      </c>
      <c r="F1125" s="7" t="s">
        <v>101</v>
      </c>
      <c r="G1125" s="51" t="s">
        <v>752</v>
      </c>
      <c r="H1125" s="44" t="s">
        <v>1759</v>
      </c>
      <c r="I1125" s="27">
        <v>0</v>
      </c>
      <c r="J1125" s="20">
        <v>0</v>
      </c>
      <c r="K1125" s="20">
        <v>0</v>
      </c>
      <c r="L1125" s="20">
        <v>0</v>
      </c>
      <c r="M1125" s="20">
        <v>0</v>
      </c>
      <c r="N1125" s="20">
        <v>0</v>
      </c>
      <c r="O1125" s="20">
        <v>15</v>
      </c>
      <c r="P1125" s="26">
        <v>1.4999999999999999E-2</v>
      </c>
      <c r="Q1125" s="35" t="s">
        <v>154</v>
      </c>
    </row>
    <row r="1126" spans="1:17" ht="84" x14ac:dyDescent="0.25">
      <c r="A1126" s="23">
        <v>38077</v>
      </c>
      <c r="B1126" s="23">
        <v>38088</v>
      </c>
      <c r="C1126" s="24">
        <v>2004</v>
      </c>
      <c r="D1126" s="35" t="s">
        <v>28</v>
      </c>
      <c r="E1126" s="14" t="s">
        <v>29</v>
      </c>
      <c r="F1126" s="7" t="s">
        <v>72</v>
      </c>
      <c r="G1126" s="51" t="s">
        <v>1760</v>
      </c>
      <c r="H1126" s="44" t="s">
        <v>1761</v>
      </c>
      <c r="I1126" s="27">
        <v>0</v>
      </c>
      <c r="J1126" s="20">
        <v>0</v>
      </c>
      <c r="K1126" s="20">
        <v>0</v>
      </c>
      <c r="L1126" s="20">
        <v>0</v>
      </c>
      <c r="M1126" s="20">
        <v>0</v>
      </c>
      <c r="N1126" s="20">
        <v>0</v>
      </c>
      <c r="O1126" s="20">
        <v>327</v>
      </c>
      <c r="P1126" s="26">
        <v>0.32700000000000001</v>
      </c>
      <c r="Q1126" s="35" t="s">
        <v>154</v>
      </c>
    </row>
    <row r="1127" spans="1:17" ht="48" x14ac:dyDescent="0.25">
      <c r="A1127" s="23">
        <v>38081</v>
      </c>
      <c r="B1127" s="23">
        <v>38081</v>
      </c>
      <c r="C1127" s="24">
        <v>2004</v>
      </c>
      <c r="D1127" s="35" t="s">
        <v>28</v>
      </c>
      <c r="E1127" s="14" t="s">
        <v>29</v>
      </c>
      <c r="F1127" s="7" t="s">
        <v>36</v>
      </c>
      <c r="G1127" s="51" t="s">
        <v>1762</v>
      </c>
      <c r="H1127" s="44" t="s">
        <v>1763</v>
      </c>
      <c r="I1127" s="27">
        <v>0</v>
      </c>
      <c r="J1127" s="20">
        <v>0</v>
      </c>
      <c r="K1127" s="20">
        <v>0</v>
      </c>
      <c r="L1127" s="20">
        <v>0</v>
      </c>
      <c r="M1127" s="20">
        <v>0</v>
      </c>
      <c r="N1127" s="20">
        <v>0</v>
      </c>
      <c r="O1127" s="20">
        <v>470</v>
      </c>
      <c r="P1127" s="26">
        <v>0.47</v>
      </c>
      <c r="Q1127" s="35" t="s">
        <v>154</v>
      </c>
    </row>
    <row r="1128" spans="1:17" ht="72" x14ac:dyDescent="0.25">
      <c r="A1128" s="23">
        <v>38081</v>
      </c>
      <c r="B1128" s="23">
        <v>38084</v>
      </c>
      <c r="C1128" s="24">
        <v>2004</v>
      </c>
      <c r="D1128" s="35" t="s">
        <v>28</v>
      </c>
      <c r="E1128" s="14" t="s">
        <v>29</v>
      </c>
      <c r="F1128" s="7" t="s">
        <v>72</v>
      </c>
      <c r="G1128" s="51" t="s">
        <v>1764</v>
      </c>
      <c r="H1128" s="44" t="s">
        <v>1765</v>
      </c>
      <c r="I1128" s="27">
        <v>0</v>
      </c>
      <c r="J1128" s="20">
        <v>0</v>
      </c>
      <c r="K1128" s="20">
        <v>0</v>
      </c>
      <c r="L1128" s="20">
        <v>0</v>
      </c>
      <c r="M1128" s="20">
        <v>0</v>
      </c>
      <c r="N1128" s="20">
        <v>0</v>
      </c>
      <c r="O1128" s="20">
        <v>383</v>
      </c>
      <c r="P1128" s="26">
        <v>0.38300000000000001</v>
      </c>
      <c r="Q1128" s="35" t="s">
        <v>154</v>
      </c>
    </row>
    <row r="1129" spans="1:17" ht="36" x14ac:dyDescent="0.25">
      <c r="A1129" s="23">
        <v>38083</v>
      </c>
      <c r="B1129" s="23">
        <v>38084</v>
      </c>
      <c r="C1129" s="24">
        <v>2004</v>
      </c>
      <c r="D1129" s="35" t="s">
        <v>28</v>
      </c>
      <c r="E1129" s="14" t="s">
        <v>29</v>
      </c>
      <c r="F1129" s="7" t="s">
        <v>56</v>
      </c>
      <c r="G1129" s="51" t="s">
        <v>1766</v>
      </c>
      <c r="H1129" s="44" t="s">
        <v>1767</v>
      </c>
      <c r="I1129" s="27">
        <v>0</v>
      </c>
      <c r="J1129" s="20">
        <v>0</v>
      </c>
      <c r="K1129" s="20">
        <v>0</v>
      </c>
      <c r="L1129" s="20">
        <v>0</v>
      </c>
      <c r="M1129" s="20">
        <v>0</v>
      </c>
      <c r="N1129" s="20">
        <v>0</v>
      </c>
      <c r="O1129" s="20">
        <v>100</v>
      </c>
      <c r="P1129" s="26">
        <v>0.1</v>
      </c>
      <c r="Q1129" s="35" t="s">
        <v>154</v>
      </c>
    </row>
    <row r="1130" spans="1:17" ht="36" x14ac:dyDescent="0.25">
      <c r="A1130" s="23">
        <v>38085</v>
      </c>
      <c r="B1130" s="23">
        <v>38085</v>
      </c>
      <c r="C1130" s="24">
        <v>2004</v>
      </c>
      <c r="D1130" s="35" t="s">
        <v>28</v>
      </c>
      <c r="E1130" s="14" t="s">
        <v>29</v>
      </c>
      <c r="F1130" s="28" t="s">
        <v>151</v>
      </c>
      <c r="G1130" s="51" t="s">
        <v>573</v>
      </c>
      <c r="H1130" s="44" t="s">
        <v>1768</v>
      </c>
      <c r="I1130" s="27">
        <v>0</v>
      </c>
      <c r="J1130" s="20">
        <v>0</v>
      </c>
      <c r="K1130" s="20">
        <v>0</v>
      </c>
      <c r="L1130" s="20">
        <v>0</v>
      </c>
      <c r="M1130" s="20">
        <v>0</v>
      </c>
      <c r="N1130" s="20">
        <v>0</v>
      </c>
      <c r="O1130" s="20">
        <v>48</v>
      </c>
      <c r="P1130" s="26">
        <v>4.8000000000000001E-2</v>
      </c>
      <c r="Q1130" s="35" t="s">
        <v>154</v>
      </c>
    </row>
    <row r="1131" spans="1:17" ht="36" x14ac:dyDescent="0.25">
      <c r="A1131" s="23">
        <v>38090</v>
      </c>
      <c r="B1131" s="23">
        <v>38090</v>
      </c>
      <c r="C1131" s="24">
        <v>2004</v>
      </c>
      <c r="D1131" s="35" t="s">
        <v>28</v>
      </c>
      <c r="E1131" s="14" t="s">
        <v>29</v>
      </c>
      <c r="F1131" s="7" t="s">
        <v>56</v>
      </c>
      <c r="G1131" s="51" t="s">
        <v>1769</v>
      </c>
      <c r="H1131" s="44" t="s">
        <v>1770</v>
      </c>
      <c r="I1131" s="27">
        <v>0</v>
      </c>
      <c r="J1131" s="20">
        <v>0</v>
      </c>
      <c r="K1131" s="20">
        <v>0</v>
      </c>
      <c r="L1131" s="20">
        <v>0</v>
      </c>
      <c r="M1131" s="20">
        <v>0</v>
      </c>
      <c r="N1131" s="20">
        <v>0</v>
      </c>
      <c r="O1131" s="20">
        <v>165</v>
      </c>
      <c r="P1131" s="26">
        <v>0.16500000000000001</v>
      </c>
      <c r="Q1131" s="35" t="s">
        <v>154</v>
      </c>
    </row>
    <row r="1132" spans="1:17" ht="48" x14ac:dyDescent="0.25">
      <c r="A1132" s="23">
        <v>38091</v>
      </c>
      <c r="B1132" s="23">
        <v>38092</v>
      </c>
      <c r="C1132" s="24">
        <v>2004</v>
      </c>
      <c r="D1132" s="35" t="s">
        <v>28</v>
      </c>
      <c r="E1132" s="14" t="s">
        <v>29</v>
      </c>
      <c r="F1132" s="7" t="s">
        <v>36</v>
      </c>
      <c r="G1132" s="51" t="s">
        <v>1771</v>
      </c>
      <c r="H1132" s="44" t="s">
        <v>1772</v>
      </c>
      <c r="I1132" s="27">
        <v>0</v>
      </c>
      <c r="J1132" s="20">
        <v>0</v>
      </c>
      <c r="K1132" s="20">
        <v>0</v>
      </c>
      <c r="L1132" s="20">
        <v>0</v>
      </c>
      <c r="M1132" s="20">
        <v>0</v>
      </c>
      <c r="N1132" s="20">
        <v>0</v>
      </c>
      <c r="O1132" s="20">
        <v>42</v>
      </c>
      <c r="P1132" s="26">
        <v>4.2000000000000003E-2</v>
      </c>
      <c r="Q1132" s="35" t="s">
        <v>154</v>
      </c>
    </row>
    <row r="1133" spans="1:17" ht="48" x14ac:dyDescent="0.25">
      <c r="A1133" s="23">
        <v>38092</v>
      </c>
      <c r="B1133" s="23">
        <v>38092</v>
      </c>
      <c r="C1133" s="24">
        <v>2004</v>
      </c>
      <c r="D1133" s="35" t="s">
        <v>28</v>
      </c>
      <c r="E1133" s="14" t="s">
        <v>29</v>
      </c>
      <c r="F1133" s="7" t="s">
        <v>56</v>
      </c>
      <c r="G1133" s="51" t="s">
        <v>1773</v>
      </c>
      <c r="H1133" s="44" t="s">
        <v>1774</v>
      </c>
      <c r="I1133" s="27">
        <v>0</v>
      </c>
      <c r="J1133" s="20">
        <v>0</v>
      </c>
      <c r="K1133" s="20">
        <v>0</v>
      </c>
      <c r="L1133" s="20">
        <v>0</v>
      </c>
      <c r="M1133" s="20">
        <v>0</v>
      </c>
      <c r="N1133" s="20">
        <v>0</v>
      </c>
      <c r="O1133" s="20">
        <v>352</v>
      </c>
      <c r="P1133" s="26">
        <v>0.35199999999999998</v>
      </c>
      <c r="Q1133" s="35" t="s">
        <v>154</v>
      </c>
    </row>
    <row r="1134" spans="1:17" ht="48" x14ac:dyDescent="0.25">
      <c r="A1134" s="23">
        <v>38093</v>
      </c>
      <c r="B1134" s="23">
        <v>38093</v>
      </c>
      <c r="C1134" s="24">
        <v>2004</v>
      </c>
      <c r="D1134" s="35" t="s">
        <v>28</v>
      </c>
      <c r="E1134" s="14" t="s">
        <v>29</v>
      </c>
      <c r="F1134" s="28" t="s">
        <v>163</v>
      </c>
      <c r="G1134" s="51" t="s">
        <v>1775</v>
      </c>
      <c r="H1134" s="44" t="s">
        <v>1776</v>
      </c>
      <c r="I1134" s="27">
        <v>0</v>
      </c>
      <c r="J1134" s="20">
        <v>0</v>
      </c>
      <c r="K1134" s="20">
        <v>0</v>
      </c>
      <c r="L1134" s="20">
        <v>0</v>
      </c>
      <c r="M1134" s="20">
        <v>0</v>
      </c>
      <c r="N1134" s="20">
        <v>0</v>
      </c>
      <c r="O1134" s="20">
        <v>550</v>
      </c>
      <c r="P1134" s="26">
        <v>0.55000000000000004</v>
      </c>
      <c r="Q1134" s="35" t="s">
        <v>154</v>
      </c>
    </row>
    <row r="1135" spans="1:17" ht="36" x14ac:dyDescent="0.25">
      <c r="A1135" s="23">
        <v>38093</v>
      </c>
      <c r="B1135" s="23">
        <v>38097</v>
      </c>
      <c r="C1135" s="24">
        <v>2004</v>
      </c>
      <c r="D1135" s="35" t="s">
        <v>28</v>
      </c>
      <c r="E1135" s="14" t="s">
        <v>29</v>
      </c>
      <c r="F1135" s="7" t="s">
        <v>36</v>
      </c>
      <c r="G1135" s="51" t="s">
        <v>1777</v>
      </c>
      <c r="H1135" s="44" t="s">
        <v>1778</v>
      </c>
      <c r="I1135" s="27">
        <v>0</v>
      </c>
      <c r="J1135" s="20">
        <v>0</v>
      </c>
      <c r="K1135" s="20">
        <v>0</v>
      </c>
      <c r="L1135" s="20">
        <v>0</v>
      </c>
      <c r="M1135" s="20">
        <v>0</v>
      </c>
      <c r="N1135" s="20">
        <v>0</v>
      </c>
      <c r="O1135" s="20">
        <v>1045</v>
      </c>
      <c r="P1135" s="26">
        <v>1.0449999999999999</v>
      </c>
      <c r="Q1135" s="35" t="s">
        <v>154</v>
      </c>
    </row>
    <row r="1136" spans="1:17" ht="48" x14ac:dyDescent="0.25">
      <c r="A1136" s="23">
        <v>38093</v>
      </c>
      <c r="B1136" s="23">
        <v>38097</v>
      </c>
      <c r="C1136" s="24">
        <v>2004</v>
      </c>
      <c r="D1136" s="35" t="s">
        <v>28</v>
      </c>
      <c r="E1136" s="14" t="s">
        <v>29</v>
      </c>
      <c r="F1136" s="28" t="s">
        <v>163</v>
      </c>
      <c r="G1136" s="51" t="s">
        <v>1779</v>
      </c>
      <c r="H1136" s="44" t="s">
        <v>1780</v>
      </c>
      <c r="I1136" s="27">
        <v>0</v>
      </c>
      <c r="J1136" s="20">
        <v>0</v>
      </c>
      <c r="K1136" s="20">
        <v>0</v>
      </c>
      <c r="L1136" s="20">
        <v>0</v>
      </c>
      <c r="M1136" s="20">
        <v>0</v>
      </c>
      <c r="N1136" s="20">
        <v>0</v>
      </c>
      <c r="O1136" s="20">
        <v>1529</v>
      </c>
      <c r="P1136" s="26">
        <v>1.5289999999999999</v>
      </c>
      <c r="Q1136" s="35" t="s">
        <v>154</v>
      </c>
    </row>
    <row r="1137" spans="1:17" ht="48" x14ac:dyDescent="0.25">
      <c r="A1137" s="23">
        <v>38095</v>
      </c>
      <c r="B1137" s="23">
        <v>38095</v>
      </c>
      <c r="C1137" s="24">
        <v>2004</v>
      </c>
      <c r="D1137" s="35" t="s">
        <v>28</v>
      </c>
      <c r="E1137" s="14" t="s">
        <v>29</v>
      </c>
      <c r="F1137" s="28" t="s">
        <v>151</v>
      </c>
      <c r="G1137" s="25" t="s">
        <v>1781</v>
      </c>
      <c r="H1137" s="44" t="s">
        <v>1782</v>
      </c>
      <c r="I1137" s="27">
        <v>0</v>
      </c>
      <c r="J1137" s="20">
        <v>0</v>
      </c>
      <c r="K1137" s="20">
        <v>0</v>
      </c>
      <c r="L1137" s="20">
        <v>0</v>
      </c>
      <c r="M1137" s="20">
        <v>0</v>
      </c>
      <c r="N1137" s="20">
        <v>0</v>
      </c>
      <c r="O1137" s="20">
        <v>2353</v>
      </c>
      <c r="P1137" s="26">
        <v>2.3530000000000002</v>
      </c>
      <c r="Q1137" s="35" t="s">
        <v>154</v>
      </c>
    </row>
    <row r="1138" spans="1:17" ht="24" x14ac:dyDescent="0.25">
      <c r="A1138" s="23">
        <v>38089</v>
      </c>
      <c r="B1138" s="23">
        <v>38095</v>
      </c>
      <c r="C1138" s="24">
        <v>2004</v>
      </c>
      <c r="D1138" s="35" t="s">
        <v>28</v>
      </c>
      <c r="E1138" s="14" t="s">
        <v>29</v>
      </c>
      <c r="F1138" s="7" t="s">
        <v>72</v>
      </c>
      <c r="G1138" s="25" t="s">
        <v>26</v>
      </c>
      <c r="H1138" s="44" t="s">
        <v>1783</v>
      </c>
      <c r="I1138" s="27">
        <v>0</v>
      </c>
      <c r="J1138" s="20">
        <v>0</v>
      </c>
      <c r="K1138" s="20">
        <v>0</v>
      </c>
      <c r="L1138" s="20">
        <v>0</v>
      </c>
      <c r="M1138" s="20">
        <v>0</v>
      </c>
      <c r="N1138" s="20">
        <v>0</v>
      </c>
      <c r="O1138" s="20">
        <v>346</v>
      </c>
      <c r="P1138" s="26">
        <v>0.34599999999999997</v>
      </c>
      <c r="Q1138" s="35" t="s">
        <v>154</v>
      </c>
    </row>
    <row r="1139" spans="1:17" ht="108" x14ac:dyDescent="0.25">
      <c r="A1139" s="23">
        <v>38091</v>
      </c>
      <c r="B1139" s="23">
        <v>38103</v>
      </c>
      <c r="C1139" s="24">
        <v>2004</v>
      </c>
      <c r="D1139" s="35" t="s">
        <v>28</v>
      </c>
      <c r="E1139" s="14" t="s">
        <v>29</v>
      </c>
      <c r="F1139" s="7" t="s">
        <v>72</v>
      </c>
      <c r="G1139" s="51" t="s">
        <v>1784</v>
      </c>
      <c r="H1139" s="44" t="s">
        <v>1785</v>
      </c>
      <c r="I1139" s="27">
        <v>0</v>
      </c>
      <c r="J1139" s="20">
        <v>0</v>
      </c>
      <c r="K1139" s="20">
        <v>0</v>
      </c>
      <c r="L1139" s="20">
        <v>0</v>
      </c>
      <c r="M1139" s="20">
        <v>0</v>
      </c>
      <c r="N1139" s="20">
        <v>0</v>
      </c>
      <c r="O1139" s="20">
        <v>653</v>
      </c>
      <c r="P1139" s="26">
        <v>0.65300000000000002</v>
      </c>
      <c r="Q1139" s="35" t="s">
        <v>154</v>
      </c>
    </row>
    <row r="1140" spans="1:17" ht="60" x14ac:dyDescent="0.25">
      <c r="A1140" s="23">
        <v>38097</v>
      </c>
      <c r="B1140" s="23">
        <v>38103</v>
      </c>
      <c r="C1140" s="24">
        <v>2004</v>
      </c>
      <c r="D1140" s="35" t="s">
        <v>28</v>
      </c>
      <c r="E1140" s="14" t="s">
        <v>29</v>
      </c>
      <c r="F1140" s="7" t="s">
        <v>36</v>
      </c>
      <c r="G1140" s="51" t="s">
        <v>1786</v>
      </c>
      <c r="H1140" s="44" t="s">
        <v>1787</v>
      </c>
      <c r="I1140" s="27">
        <v>0</v>
      </c>
      <c r="J1140" s="20">
        <v>0</v>
      </c>
      <c r="K1140" s="20">
        <v>0</v>
      </c>
      <c r="L1140" s="20">
        <v>0</v>
      </c>
      <c r="M1140" s="20">
        <v>0</v>
      </c>
      <c r="N1140" s="20">
        <v>0</v>
      </c>
      <c r="O1140" s="20">
        <v>1045</v>
      </c>
      <c r="P1140" s="26">
        <v>1.0449999999999999</v>
      </c>
      <c r="Q1140" s="35" t="s">
        <v>154</v>
      </c>
    </row>
    <row r="1141" spans="1:17" ht="48" x14ac:dyDescent="0.25">
      <c r="A1141" s="23">
        <v>38099</v>
      </c>
      <c r="B1141" s="23">
        <v>38099</v>
      </c>
      <c r="C1141" s="24">
        <v>2004</v>
      </c>
      <c r="D1141" s="35" t="s">
        <v>28</v>
      </c>
      <c r="E1141" s="14" t="s">
        <v>29</v>
      </c>
      <c r="F1141" s="28" t="s">
        <v>163</v>
      </c>
      <c r="G1141" s="51" t="s">
        <v>1788</v>
      </c>
      <c r="H1141" s="44" t="s">
        <v>1789</v>
      </c>
      <c r="I1141" s="27">
        <v>0</v>
      </c>
      <c r="J1141" s="20">
        <v>0</v>
      </c>
      <c r="K1141" s="20">
        <v>0</v>
      </c>
      <c r="L1141" s="20">
        <v>0</v>
      </c>
      <c r="M1141" s="20">
        <v>0</v>
      </c>
      <c r="N1141" s="20">
        <v>0</v>
      </c>
      <c r="O1141" s="20">
        <v>705</v>
      </c>
      <c r="P1141" s="26">
        <v>1.5289999999999999</v>
      </c>
      <c r="Q1141" s="35" t="s">
        <v>154</v>
      </c>
    </row>
    <row r="1142" spans="1:17" ht="48" x14ac:dyDescent="0.25">
      <c r="A1142" s="23">
        <v>38099</v>
      </c>
      <c r="B1142" s="23">
        <v>38099</v>
      </c>
      <c r="C1142" s="24">
        <v>2004</v>
      </c>
      <c r="D1142" s="35" t="s">
        <v>28</v>
      </c>
      <c r="E1142" s="14" t="s">
        <v>29</v>
      </c>
      <c r="F1142" s="7" t="s">
        <v>56</v>
      </c>
      <c r="G1142" s="51" t="s">
        <v>1790</v>
      </c>
      <c r="H1142" s="44" t="s">
        <v>1791</v>
      </c>
      <c r="I1142" s="27">
        <v>0</v>
      </c>
      <c r="J1142" s="20">
        <v>0</v>
      </c>
      <c r="K1142" s="20">
        <v>0</v>
      </c>
      <c r="L1142" s="20">
        <v>0</v>
      </c>
      <c r="M1142" s="20">
        <v>0</v>
      </c>
      <c r="N1142" s="20">
        <v>0</v>
      </c>
      <c r="O1142" s="20">
        <v>273</v>
      </c>
      <c r="P1142" s="26">
        <v>0.27300000000000002</v>
      </c>
      <c r="Q1142" s="35" t="s">
        <v>154</v>
      </c>
    </row>
    <row r="1143" spans="1:17" ht="84" x14ac:dyDescent="0.25">
      <c r="A1143" s="23">
        <v>38099</v>
      </c>
      <c r="B1143" s="23">
        <v>38079</v>
      </c>
      <c r="C1143" s="24">
        <v>2004</v>
      </c>
      <c r="D1143" s="35" t="s">
        <v>28</v>
      </c>
      <c r="E1143" s="14" t="s">
        <v>29</v>
      </c>
      <c r="F1143" s="7" t="s">
        <v>72</v>
      </c>
      <c r="G1143" s="25" t="s">
        <v>1792</v>
      </c>
      <c r="H1143" s="44" t="s">
        <v>1793</v>
      </c>
      <c r="I1143" s="27">
        <v>0</v>
      </c>
      <c r="J1143" s="20">
        <v>0</v>
      </c>
      <c r="K1143" s="20">
        <v>0</v>
      </c>
      <c r="L1143" s="20">
        <v>0</v>
      </c>
      <c r="M1143" s="20">
        <v>0</v>
      </c>
      <c r="N1143" s="20">
        <v>0</v>
      </c>
      <c r="O1143" s="20">
        <v>919</v>
      </c>
      <c r="P1143" s="26">
        <v>0.91900000000000004</v>
      </c>
      <c r="Q1143" s="35" t="s">
        <v>154</v>
      </c>
    </row>
    <row r="1144" spans="1:17" ht="48" x14ac:dyDescent="0.25">
      <c r="A1144" s="23">
        <v>38105</v>
      </c>
      <c r="B1144" s="23">
        <v>38106</v>
      </c>
      <c r="C1144" s="24">
        <v>2004</v>
      </c>
      <c r="D1144" s="35" t="s">
        <v>28</v>
      </c>
      <c r="E1144" s="14" t="s">
        <v>29</v>
      </c>
      <c r="F1144" s="7" t="s">
        <v>36</v>
      </c>
      <c r="G1144" s="51" t="s">
        <v>1794</v>
      </c>
      <c r="H1144" s="44" t="s">
        <v>1795</v>
      </c>
      <c r="I1144" s="27">
        <v>0</v>
      </c>
      <c r="J1144" s="20">
        <v>0</v>
      </c>
      <c r="K1144" s="20">
        <v>0</v>
      </c>
      <c r="L1144" s="20">
        <v>0</v>
      </c>
      <c r="M1144" s="20">
        <v>0</v>
      </c>
      <c r="N1144" s="20">
        <v>0</v>
      </c>
      <c r="O1144" s="20">
        <v>490</v>
      </c>
      <c r="P1144" s="26">
        <v>0.49</v>
      </c>
      <c r="Q1144" s="35" t="s">
        <v>154</v>
      </c>
    </row>
    <row r="1145" spans="1:17" ht="36" x14ac:dyDescent="0.25">
      <c r="A1145" s="23">
        <v>37987</v>
      </c>
      <c r="B1145" s="23">
        <v>38106</v>
      </c>
      <c r="C1145" s="24">
        <v>2004</v>
      </c>
      <c r="D1145" s="35" t="s">
        <v>28</v>
      </c>
      <c r="E1145" s="14" t="s">
        <v>29</v>
      </c>
      <c r="F1145" s="7" t="s">
        <v>80</v>
      </c>
      <c r="G1145" s="51" t="s">
        <v>26</v>
      </c>
      <c r="H1145" s="44" t="s">
        <v>1796</v>
      </c>
      <c r="I1145" s="27">
        <v>0</v>
      </c>
      <c r="J1145" s="20">
        <v>0</v>
      </c>
      <c r="K1145" s="20">
        <v>0</v>
      </c>
      <c r="L1145" s="20">
        <v>0</v>
      </c>
      <c r="M1145" s="20">
        <v>0</v>
      </c>
      <c r="N1145" s="20">
        <v>0</v>
      </c>
      <c r="O1145" s="20">
        <v>311</v>
      </c>
      <c r="P1145" s="26">
        <v>0.311</v>
      </c>
      <c r="Q1145" s="35" t="s">
        <v>154</v>
      </c>
    </row>
    <row r="1146" spans="1:17" ht="48" x14ac:dyDescent="0.25">
      <c r="A1146" s="23">
        <v>38018</v>
      </c>
      <c r="B1146" s="23">
        <v>38138</v>
      </c>
      <c r="C1146" s="24">
        <v>2004</v>
      </c>
      <c r="D1146" s="35" t="s">
        <v>28</v>
      </c>
      <c r="E1146" s="14" t="s">
        <v>29</v>
      </c>
      <c r="F1146" s="7" t="s">
        <v>87</v>
      </c>
      <c r="G1146" s="51" t="s">
        <v>1797</v>
      </c>
      <c r="H1146" s="44" t="s">
        <v>1798</v>
      </c>
      <c r="I1146" s="27">
        <v>0</v>
      </c>
      <c r="J1146" s="20">
        <v>0</v>
      </c>
      <c r="K1146" s="20">
        <v>0</v>
      </c>
      <c r="L1146" s="20">
        <v>0</v>
      </c>
      <c r="M1146" s="20">
        <v>0</v>
      </c>
      <c r="N1146" s="20">
        <v>0</v>
      </c>
      <c r="O1146" s="20">
        <v>114</v>
      </c>
      <c r="P1146" s="26">
        <v>0.114</v>
      </c>
      <c r="Q1146" s="35" t="s">
        <v>154</v>
      </c>
    </row>
    <row r="1147" spans="1:17" ht="48" x14ac:dyDescent="0.25">
      <c r="A1147" s="23">
        <v>38108</v>
      </c>
      <c r="B1147" s="23">
        <v>38110</v>
      </c>
      <c r="C1147" s="24">
        <v>2004</v>
      </c>
      <c r="D1147" s="35" t="s">
        <v>28</v>
      </c>
      <c r="E1147" s="14" t="s">
        <v>29</v>
      </c>
      <c r="F1147" s="7" t="s">
        <v>36</v>
      </c>
      <c r="G1147" s="51" t="s">
        <v>1799</v>
      </c>
      <c r="H1147" s="44" t="s">
        <v>1800</v>
      </c>
      <c r="I1147" s="27">
        <v>0</v>
      </c>
      <c r="J1147" s="20">
        <v>0</v>
      </c>
      <c r="K1147" s="20">
        <v>0</v>
      </c>
      <c r="L1147" s="20">
        <v>0</v>
      </c>
      <c r="M1147" s="20">
        <v>0</v>
      </c>
      <c r="N1147" s="20">
        <v>0</v>
      </c>
      <c r="O1147" s="20">
        <v>442</v>
      </c>
      <c r="P1147" s="26">
        <v>0.442</v>
      </c>
      <c r="Q1147" s="35" t="s">
        <v>154</v>
      </c>
    </row>
    <row r="1148" spans="1:17" ht="48" x14ac:dyDescent="0.25">
      <c r="A1148" s="23">
        <v>38109</v>
      </c>
      <c r="B1148" s="23">
        <v>38109</v>
      </c>
      <c r="C1148" s="24">
        <v>2004</v>
      </c>
      <c r="D1148" s="35" t="s">
        <v>28</v>
      </c>
      <c r="E1148" s="14" t="s">
        <v>29</v>
      </c>
      <c r="F1148" s="7" t="s">
        <v>58</v>
      </c>
      <c r="G1148" s="51" t="s">
        <v>26</v>
      </c>
      <c r="H1148" s="44" t="s">
        <v>1801</v>
      </c>
      <c r="I1148" s="27">
        <v>0</v>
      </c>
      <c r="J1148" s="20">
        <v>0</v>
      </c>
      <c r="K1148" s="20">
        <v>0</v>
      </c>
      <c r="L1148" s="20">
        <v>0</v>
      </c>
      <c r="M1148" s="20">
        <v>0</v>
      </c>
      <c r="N1148" s="20">
        <v>0</v>
      </c>
      <c r="O1148" s="20">
        <v>6278</v>
      </c>
      <c r="P1148" s="26">
        <v>6.2779999999999996</v>
      </c>
      <c r="Q1148" s="35" t="s">
        <v>154</v>
      </c>
    </row>
    <row r="1149" spans="1:17" ht="48" x14ac:dyDescent="0.25">
      <c r="A1149" s="23">
        <v>38113</v>
      </c>
      <c r="B1149" s="23">
        <v>38113</v>
      </c>
      <c r="C1149" s="24">
        <v>2004</v>
      </c>
      <c r="D1149" s="35" t="s">
        <v>28</v>
      </c>
      <c r="E1149" s="14" t="s">
        <v>29</v>
      </c>
      <c r="F1149" s="7" t="s">
        <v>84</v>
      </c>
      <c r="G1149" s="51" t="s">
        <v>1802</v>
      </c>
      <c r="H1149" s="44" t="s">
        <v>1803</v>
      </c>
      <c r="I1149" s="27">
        <v>0</v>
      </c>
      <c r="J1149" s="20">
        <v>0</v>
      </c>
      <c r="K1149" s="20">
        <v>0</v>
      </c>
      <c r="L1149" s="20">
        <v>0</v>
      </c>
      <c r="M1149" s="20">
        <v>0</v>
      </c>
      <c r="N1149" s="20">
        <v>0</v>
      </c>
      <c r="O1149" s="20">
        <v>400</v>
      </c>
      <c r="P1149" s="26">
        <v>9.8800000000000008</v>
      </c>
      <c r="Q1149" s="35" t="s">
        <v>154</v>
      </c>
    </row>
    <row r="1150" spans="1:17" ht="36" x14ac:dyDescent="0.25">
      <c r="A1150" s="23">
        <v>38113</v>
      </c>
      <c r="B1150" s="23">
        <v>38117</v>
      </c>
      <c r="C1150" s="24">
        <v>2004</v>
      </c>
      <c r="D1150" s="35" t="s">
        <v>28</v>
      </c>
      <c r="E1150" s="14" t="s">
        <v>29</v>
      </c>
      <c r="F1150" s="7" t="s">
        <v>36</v>
      </c>
      <c r="G1150" s="51" t="s">
        <v>1804</v>
      </c>
      <c r="H1150" s="44" t="s">
        <v>1805</v>
      </c>
      <c r="I1150" s="27">
        <v>0</v>
      </c>
      <c r="J1150" s="20">
        <v>0</v>
      </c>
      <c r="K1150" s="20">
        <v>0</v>
      </c>
      <c r="L1150" s="20">
        <v>0</v>
      </c>
      <c r="M1150" s="20">
        <v>0</v>
      </c>
      <c r="N1150" s="20">
        <v>0</v>
      </c>
      <c r="O1150" s="20">
        <v>580</v>
      </c>
      <c r="P1150" s="26">
        <v>0.57999999999999996</v>
      </c>
      <c r="Q1150" s="35" t="s">
        <v>154</v>
      </c>
    </row>
    <row r="1151" spans="1:17" ht="72" x14ac:dyDescent="0.25">
      <c r="A1151" s="23">
        <v>38115</v>
      </c>
      <c r="B1151" s="23">
        <v>38120</v>
      </c>
      <c r="C1151" s="24">
        <v>2004</v>
      </c>
      <c r="D1151" s="35" t="s">
        <v>28</v>
      </c>
      <c r="E1151" s="14" t="s">
        <v>29</v>
      </c>
      <c r="F1151" s="7" t="s">
        <v>72</v>
      </c>
      <c r="G1151" s="51" t="s">
        <v>1806</v>
      </c>
      <c r="H1151" s="44" t="s">
        <v>1807</v>
      </c>
      <c r="I1151" s="27">
        <v>0</v>
      </c>
      <c r="J1151" s="20">
        <v>0</v>
      </c>
      <c r="K1151" s="20">
        <v>0</v>
      </c>
      <c r="L1151" s="20">
        <v>0</v>
      </c>
      <c r="M1151" s="20">
        <v>0</v>
      </c>
      <c r="N1151" s="20">
        <v>0</v>
      </c>
      <c r="O1151" s="20">
        <v>213</v>
      </c>
      <c r="P1151" s="26">
        <v>0.21299999999999999</v>
      </c>
      <c r="Q1151" s="35" t="s">
        <v>154</v>
      </c>
    </row>
    <row r="1152" spans="1:17" ht="36" x14ac:dyDescent="0.25">
      <c r="A1152" s="23">
        <v>38118</v>
      </c>
      <c r="B1152" s="23">
        <v>38118</v>
      </c>
      <c r="C1152" s="24">
        <v>2004</v>
      </c>
      <c r="D1152" s="35" t="s">
        <v>28</v>
      </c>
      <c r="E1152" s="14" t="s">
        <v>29</v>
      </c>
      <c r="F1152" s="7" t="s">
        <v>56</v>
      </c>
      <c r="G1152" s="51" t="s">
        <v>1808</v>
      </c>
      <c r="H1152" s="44" t="s">
        <v>1809</v>
      </c>
      <c r="I1152" s="27">
        <v>0</v>
      </c>
      <c r="J1152" s="20">
        <v>0</v>
      </c>
      <c r="K1152" s="20">
        <v>0</v>
      </c>
      <c r="L1152" s="20">
        <v>0</v>
      </c>
      <c r="M1152" s="20">
        <v>0</v>
      </c>
      <c r="N1152" s="20">
        <v>0</v>
      </c>
      <c r="O1152" s="20">
        <v>60</v>
      </c>
      <c r="P1152" s="26">
        <v>0.06</v>
      </c>
      <c r="Q1152" s="35" t="s">
        <v>154</v>
      </c>
    </row>
    <row r="1153" spans="1:17" ht="36" x14ac:dyDescent="0.25">
      <c r="A1153" s="23">
        <v>38120</v>
      </c>
      <c r="B1153" s="23">
        <v>38120</v>
      </c>
      <c r="C1153" s="24">
        <v>2004</v>
      </c>
      <c r="D1153" s="35" t="s">
        <v>28</v>
      </c>
      <c r="E1153" s="14" t="s">
        <v>29</v>
      </c>
      <c r="F1153" s="7" t="s">
        <v>56</v>
      </c>
      <c r="G1153" s="51" t="s">
        <v>1810</v>
      </c>
      <c r="H1153" s="44" t="s">
        <v>1811</v>
      </c>
      <c r="I1153" s="27">
        <v>0</v>
      </c>
      <c r="J1153" s="20">
        <v>0</v>
      </c>
      <c r="K1153" s="20">
        <v>0</v>
      </c>
      <c r="L1153" s="20">
        <v>0</v>
      </c>
      <c r="M1153" s="20">
        <v>0</v>
      </c>
      <c r="N1153" s="20">
        <v>0</v>
      </c>
      <c r="O1153" s="20">
        <v>75</v>
      </c>
      <c r="P1153" s="26">
        <v>7.4999999999999997E-2</v>
      </c>
      <c r="Q1153" s="35" t="s">
        <v>154</v>
      </c>
    </row>
    <row r="1154" spans="1:17" ht="36" x14ac:dyDescent="0.25">
      <c r="A1154" s="23">
        <v>38120</v>
      </c>
      <c r="B1154" s="23">
        <v>38121</v>
      </c>
      <c r="C1154" s="24">
        <v>2004</v>
      </c>
      <c r="D1154" s="35" t="s">
        <v>28</v>
      </c>
      <c r="E1154" s="14" t="s">
        <v>29</v>
      </c>
      <c r="F1154" s="7" t="s">
        <v>36</v>
      </c>
      <c r="G1154" s="51" t="s">
        <v>1812</v>
      </c>
      <c r="H1154" s="44" t="s">
        <v>1813</v>
      </c>
      <c r="I1154" s="27">
        <v>0</v>
      </c>
      <c r="J1154" s="20">
        <v>0</v>
      </c>
      <c r="K1154" s="20">
        <v>0</v>
      </c>
      <c r="L1154" s="20">
        <v>0</v>
      </c>
      <c r="M1154" s="20">
        <v>0</v>
      </c>
      <c r="N1154" s="20">
        <v>0</v>
      </c>
      <c r="O1154" s="20">
        <v>110</v>
      </c>
      <c r="P1154" s="26">
        <v>0.11</v>
      </c>
      <c r="Q1154" s="35" t="s">
        <v>154</v>
      </c>
    </row>
    <row r="1155" spans="1:17" ht="36" x14ac:dyDescent="0.25">
      <c r="A1155" s="23">
        <v>38122</v>
      </c>
      <c r="B1155" s="23">
        <v>38122</v>
      </c>
      <c r="C1155" s="24">
        <v>2004</v>
      </c>
      <c r="D1155" s="35" t="s">
        <v>28</v>
      </c>
      <c r="E1155" s="14" t="s">
        <v>29</v>
      </c>
      <c r="F1155" s="7" t="s">
        <v>84</v>
      </c>
      <c r="G1155" s="51" t="s">
        <v>1170</v>
      </c>
      <c r="H1155" s="44" t="s">
        <v>1814</v>
      </c>
      <c r="I1155" s="27">
        <v>0</v>
      </c>
      <c r="J1155" s="20">
        <v>0</v>
      </c>
      <c r="K1155" s="20">
        <v>0</v>
      </c>
      <c r="L1155" s="20">
        <v>0</v>
      </c>
      <c r="M1155" s="20">
        <v>0</v>
      </c>
      <c r="N1155" s="20">
        <v>0</v>
      </c>
      <c r="O1155" s="20">
        <v>40</v>
      </c>
      <c r="P1155" s="26">
        <v>0.04</v>
      </c>
      <c r="Q1155" s="35" t="s">
        <v>154</v>
      </c>
    </row>
    <row r="1156" spans="1:17" ht="36" x14ac:dyDescent="0.25">
      <c r="A1156" s="23">
        <v>38123</v>
      </c>
      <c r="B1156" s="23">
        <v>38123</v>
      </c>
      <c r="C1156" s="24">
        <v>2004</v>
      </c>
      <c r="D1156" s="35" t="s">
        <v>28</v>
      </c>
      <c r="E1156" s="14" t="s">
        <v>29</v>
      </c>
      <c r="F1156" s="7" t="s">
        <v>87</v>
      </c>
      <c r="G1156" s="51" t="s">
        <v>1815</v>
      </c>
      <c r="H1156" s="44" t="s">
        <v>1816</v>
      </c>
      <c r="I1156" s="27">
        <v>0</v>
      </c>
      <c r="J1156" s="20">
        <v>0</v>
      </c>
      <c r="K1156" s="20">
        <v>0</v>
      </c>
      <c r="L1156" s="20">
        <v>0</v>
      </c>
      <c r="M1156" s="20">
        <v>0</v>
      </c>
      <c r="N1156" s="20">
        <v>0</v>
      </c>
      <c r="O1156" s="20">
        <v>1700</v>
      </c>
      <c r="P1156" s="26">
        <v>1.7</v>
      </c>
      <c r="Q1156" s="35" t="s">
        <v>154</v>
      </c>
    </row>
    <row r="1157" spans="1:17" ht="24" x14ac:dyDescent="0.25">
      <c r="A1157" s="23">
        <v>38139</v>
      </c>
      <c r="B1157" s="23">
        <v>38139</v>
      </c>
      <c r="C1157" s="24">
        <v>2004</v>
      </c>
      <c r="D1157" s="35" t="s">
        <v>28</v>
      </c>
      <c r="E1157" s="14" t="s">
        <v>29</v>
      </c>
      <c r="F1157" s="7" t="s">
        <v>56</v>
      </c>
      <c r="G1157" s="51" t="s">
        <v>1817</v>
      </c>
      <c r="H1157" s="44" t="s">
        <v>1818</v>
      </c>
      <c r="I1157" s="27">
        <v>0</v>
      </c>
      <c r="J1157" s="20">
        <v>0</v>
      </c>
      <c r="K1157" s="20">
        <v>0</v>
      </c>
      <c r="L1157" s="20">
        <v>0</v>
      </c>
      <c r="M1157" s="20">
        <v>0</v>
      </c>
      <c r="N1157" s="20">
        <v>0</v>
      </c>
      <c r="O1157" s="20">
        <v>35</v>
      </c>
      <c r="P1157" s="26">
        <v>3.5000000000000003E-2</v>
      </c>
      <c r="Q1157" s="35" t="s">
        <v>154</v>
      </c>
    </row>
    <row r="1158" spans="1:17" ht="48" x14ac:dyDescent="0.25">
      <c r="A1158" s="23">
        <v>38143</v>
      </c>
      <c r="B1158" s="23">
        <v>38143</v>
      </c>
      <c r="C1158" s="24">
        <v>2004</v>
      </c>
      <c r="D1158" s="35" t="s">
        <v>28</v>
      </c>
      <c r="E1158" s="14" t="s">
        <v>29</v>
      </c>
      <c r="F1158" s="7" t="s">
        <v>30</v>
      </c>
      <c r="G1158" s="51" t="s">
        <v>395</v>
      </c>
      <c r="H1158" s="44" t="s">
        <v>1819</v>
      </c>
      <c r="I1158" s="27">
        <v>0</v>
      </c>
      <c r="J1158" s="20">
        <v>0</v>
      </c>
      <c r="K1158" s="20">
        <v>0</v>
      </c>
      <c r="L1158" s="20">
        <v>0</v>
      </c>
      <c r="M1158" s="20">
        <v>0</v>
      </c>
      <c r="N1158" s="20">
        <v>0</v>
      </c>
      <c r="O1158" s="20">
        <v>600</v>
      </c>
      <c r="P1158" s="26">
        <v>8.5</v>
      </c>
      <c r="Q1158" s="35" t="s">
        <v>154</v>
      </c>
    </row>
    <row r="1159" spans="1:17" ht="36" x14ac:dyDescent="0.25">
      <c r="A1159" s="23">
        <v>38158</v>
      </c>
      <c r="B1159" s="23">
        <v>38158</v>
      </c>
      <c r="C1159" s="24">
        <v>2004</v>
      </c>
      <c r="D1159" s="35" t="s">
        <v>28</v>
      </c>
      <c r="E1159" s="14" t="s">
        <v>29</v>
      </c>
      <c r="F1159" s="7" t="s">
        <v>45</v>
      </c>
      <c r="G1159" s="51" t="s">
        <v>1820</v>
      </c>
      <c r="H1159" s="44" t="s">
        <v>1821</v>
      </c>
      <c r="I1159" s="27">
        <v>0</v>
      </c>
      <c r="J1159" s="20">
        <v>0</v>
      </c>
      <c r="K1159" s="20">
        <v>0</v>
      </c>
      <c r="L1159" s="20">
        <v>0</v>
      </c>
      <c r="M1159" s="20">
        <v>0</v>
      </c>
      <c r="N1159" s="20">
        <v>0</v>
      </c>
      <c r="O1159" s="20">
        <v>600</v>
      </c>
      <c r="P1159" s="26">
        <v>0.6</v>
      </c>
      <c r="Q1159" s="35" t="s">
        <v>154</v>
      </c>
    </row>
    <row r="1160" spans="1:17" ht="48" x14ac:dyDescent="0.25">
      <c r="A1160" s="23">
        <v>38095</v>
      </c>
      <c r="B1160" s="23">
        <v>38156</v>
      </c>
      <c r="C1160" s="24">
        <v>2004</v>
      </c>
      <c r="D1160" s="35" t="s">
        <v>28</v>
      </c>
      <c r="E1160" s="14" t="s">
        <v>29</v>
      </c>
      <c r="F1160" s="7" t="s">
        <v>30</v>
      </c>
      <c r="G1160" s="51" t="s">
        <v>1822</v>
      </c>
      <c r="H1160" s="44" t="s">
        <v>1823</v>
      </c>
      <c r="I1160" s="27">
        <v>0</v>
      </c>
      <c r="J1160" s="20">
        <v>0</v>
      </c>
      <c r="K1160" s="20">
        <v>0</v>
      </c>
      <c r="L1160" s="20">
        <v>0</v>
      </c>
      <c r="M1160" s="20">
        <v>0</v>
      </c>
      <c r="N1160" s="20">
        <v>0</v>
      </c>
      <c r="O1160" s="20">
        <v>346</v>
      </c>
      <c r="P1160" s="26">
        <v>0.66600000000000004</v>
      </c>
      <c r="Q1160" s="35" t="s">
        <v>154</v>
      </c>
    </row>
    <row r="1161" spans="1:17" ht="36" x14ac:dyDescent="0.25">
      <c r="A1161" s="23">
        <v>38196</v>
      </c>
      <c r="B1161" s="23">
        <v>38196</v>
      </c>
      <c r="C1161" s="24">
        <v>2004</v>
      </c>
      <c r="D1161" s="35" t="s">
        <v>28</v>
      </c>
      <c r="E1161" s="14" t="s">
        <v>29</v>
      </c>
      <c r="F1161" s="7" t="s">
        <v>30</v>
      </c>
      <c r="G1161" s="51" t="s">
        <v>1070</v>
      </c>
      <c r="H1161" s="44" t="s">
        <v>1824</v>
      </c>
      <c r="I1161" s="27">
        <v>0</v>
      </c>
      <c r="J1161" s="20">
        <v>0</v>
      </c>
      <c r="K1161" s="20">
        <v>0</v>
      </c>
      <c r="L1161" s="20">
        <v>0</v>
      </c>
      <c r="M1161" s="20">
        <v>0</v>
      </c>
      <c r="N1161" s="20">
        <v>0</v>
      </c>
      <c r="O1161" s="20">
        <v>100</v>
      </c>
      <c r="P1161" s="26">
        <v>8</v>
      </c>
      <c r="Q1161" s="35" t="s">
        <v>154</v>
      </c>
    </row>
    <row r="1162" spans="1:17" ht="24" x14ac:dyDescent="0.25">
      <c r="A1162" s="23">
        <v>38243</v>
      </c>
      <c r="B1162" s="23">
        <v>38243</v>
      </c>
      <c r="C1162" s="24">
        <v>2004</v>
      </c>
      <c r="D1162" s="35" t="s">
        <v>28</v>
      </c>
      <c r="E1162" s="14" t="s">
        <v>29</v>
      </c>
      <c r="F1162" s="7" t="s">
        <v>30</v>
      </c>
      <c r="G1162" s="51" t="s">
        <v>1070</v>
      </c>
      <c r="H1162" s="44" t="s">
        <v>1825</v>
      </c>
      <c r="I1162" s="27">
        <v>0</v>
      </c>
      <c r="J1162" s="20">
        <v>0</v>
      </c>
      <c r="K1162" s="20">
        <v>0</v>
      </c>
      <c r="L1162" s="20">
        <v>0</v>
      </c>
      <c r="M1162" s="20">
        <v>0</v>
      </c>
      <c r="N1162" s="20">
        <v>0</v>
      </c>
      <c r="O1162" s="20">
        <v>33</v>
      </c>
      <c r="P1162" s="26">
        <v>3.3000000000000002E-2</v>
      </c>
      <c r="Q1162" s="35" t="s">
        <v>154</v>
      </c>
    </row>
    <row r="1163" spans="1:17" ht="48" x14ac:dyDescent="0.25">
      <c r="A1163" s="23">
        <v>37999</v>
      </c>
      <c r="B1163" s="23">
        <v>37999</v>
      </c>
      <c r="C1163" s="24">
        <v>2004</v>
      </c>
      <c r="D1163" s="35" t="s">
        <v>28</v>
      </c>
      <c r="E1163" s="6" t="s">
        <v>149</v>
      </c>
      <c r="F1163" s="7" t="s">
        <v>53</v>
      </c>
      <c r="G1163" s="25" t="s">
        <v>1826</v>
      </c>
      <c r="H1163" s="44" t="s">
        <v>1827</v>
      </c>
      <c r="I1163" s="27">
        <v>0</v>
      </c>
      <c r="J1163" s="20">
        <v>10</v>
      </c>
      <c r="K1163" s="20">
        <v>0</v>
      </c>
      <c r="L1163" s="20">
        <v>0</v>
      </c>
      <c r="M1163" s="20">
        <v>0</v>
      </c>
      <c r="N1163" s="20">
        <v>0</v>
      </c>
      <c r="O1163" s="20">
        <v>0</v>
      </c>
      <c r="P1163" s="26">
        <v>0</v>
      </c>
      <c r="Q1163" s="35" t="s">
        <v>154</v>
      </c>
    </row>
    <row r="1164" spans="1:17" ht="48" x14ac:dyDescent="0.25">
      <c r="A1164" s="23">
        <v>38004</v>
      </c>
      <c r="B1164" s="23">
        <v>38004</v>
      </c>
      <c r="C1164" s="24">
        <v>2004</v>
      </c>
      <c r="D1164" s="35" t="s">
        <v>28</v>
      </c>
      <c r="E1164" s="6" t="s">
        <v>149</v>
      </c>
      <c r="F1164" s="28" t="s">
        <v>157</v>
      </c>
      <c r="G1164" s="25" t="s">
        <v>1062</v>
      </c>
      <c r="H1164" s="44" t="s">
        <v>1828</v>
      </c>
      <c r="I1164" s="27">
        <v>0</v>
      </c>
      <c r="J1164" s="20">
        <v>0</v>
      </c>
      <c r="K1164" s="20">
        <v>0</v>
      </c>
      <c r="L1164" s="20">
        <v>0</v>
      </c>
      <c r="M1164" s="20"/>
      <c r="N1164" s="20">
        <v>0</v>
      </c>
      <c r="O1164" s="20">
        <v>0</v>
      </c>
      <c r="P1164" s="26">
        <v>0</v>
      </c>
      <c r="Q1164" s="35" t="s">
        <v>154</v>
      </c>
    </row>
    <row r="1165" spans="1:17" ht="48" x14ac:dyDescent="0.25">
      <c r="A1165" s="23">
        <v>38028</v>
      </c>
      <c r="B1165" s="23">
        <v>38028</v>
      </c>
      <c r="C1165" s="24">
        <v>2004</v>
      </c>
      <c r="D1165" s="35" t="s">
        <v>28</v>
      </c>
      <c r="E1165" s="6" t="s">
        <v>149</v>
      </c>
      <c r="F1165" s="7" t="s">
        <v>53</v>
      </c>
      <c r="G1165" s="25" t="s">
        <v>1304</v>
      </c>
      <c r="H1165" s="44" t="s">
        <v>1829</v>
      </c>
      <c r="I1165" s="27">
        <v>2</v>
      </c>
      <c r="J1165" s="20">
        <v>2</v>
      </c>
      <c r="K1165" s="20">
        <v>0</v>
      </c>
      <c r="L1165" s="20">
        <v>0</v>
      </c>
      <c r="M1165" s="20">
        <v>0</v>
      </c>
      <c r="N1165" s="20">
        <v>0</v>
      </c>
      <c r="O1165" s="20">
        <v>0</v>
      </c>
      <c r="P1165" s="26">
        <v>0</v>
      </c>
      <c r="Q1165" s="35" t="s">
        <v>154</v>
      </c>
    </row>
    <row r="1166" spans="1:17" ht="84" x14ac:dyDescent="0.25">
      <c r="A1166" s="23">
        <v>37988</v>
      </c>
      <c r="B1166" s="23">
        <v>37988</v>
      </c>
      <c r="C1166" s="24">
        <v>2004</v>
      </c>
      <c r="D1166" s="35" t="s">
        <v>28</v>
      </c>
      <c r="E1166" s="30" t="s">
        <v>133</v>
      </c>
      <c r="F1166" s="7" t="s">
        <v>36</v>
      </c>
      <c r="G1166" s="44" t="s">
        <v>1830</v>
      </c>
      <c r="H1166" s="44" t="s">
        <v>1831</v>
      </c>
      <c r="I1166" s="27">
        <v>0</v>
      </c>
      <c r="J1166" s="20">
        <v>6</v>
      </c>
      <c r="K1166" s="20">
        <v>1</v>
      </c>
      <c r="L1166" s="20">
        <v>0</v>
      </c>
      <c r="M1166" s="20">
        <v>0</v>
      </c>
      <c r="N1166" s="20">
        <v>0</v>
      </c>
      <c r="O1166" s="20">
        <v>0</v>
      </c>
      <c r="P1166" s="26">
        <v>3.5999999999999997E-2</v>
      </c>
      <c r="Q1166" s="35" t="s">
        <v>154</v>
      </c>
    </row>
    <row r="1167" spans="1:17" ht="36" x14ac:dyDescent="0.25">
      <c r="A1167" s="23">
        <v>38049</v>
      </c>
      <c r="B1167" s="23">
        <v>38049</v>
      </c>
      <c r="C1167" s="24">
        <v>2004</v>
      </c>
      <c r="D1167" s="35" t="s">
        <v>28</v>
      </c>
      <c r="E1167" s="6" t="s">
        <v>149</v>
      </c>
      <c r="F1167" s="28" t="s">
        <v>157</v>
      </c>
      <c r="G1167" s="25" t="s">
        <v>1832</v>
      </c>
      <c r="H1167" s="44" t="s">
        <v>1833</v>
      </c>
      <c r="I1167" s="27">
        <v>0</v>
      </c>
      <c r="J1167" s="20">
        <v>2</v>
      </c>
      <c r="K1167" s="20">
        <v>0</v>
      </c>
      <c r="L1167" s="20">
        <v>0</v>
      </c>
      <c r="M1167" s="20">
        <v>0</v>
      </c>
      <c r="N1167" s="20">
        <v>0</v>
      </c>
      <c r="O1167" s="20">
        <v>0</v>
      </c>
      <c r="P1167" s="26">
        <v>0</v>
      </c>
      <c r="Q1167" s="35" t="s">
        <v>154</v>
      </c>
    </row>
    <row r="1168" spans="1:17" ht="72" x14ac:dyDescent="0.25">
      <c r="A1168" s="23">
        <v>38052</v>
      </c>
      <c r="B1168" s="23">
        <v>38052</v>
      </c>
      <c r="C1168" s="24">
        <v>2004</v>
      </c>
      <c r="D1168" s="35" t="s">
        <v>28</v>
      </c>
      <c r="E1168" s="6" t="s">
        <v>149</v>
      </c>
      <c r="F1168" s="28" t="s">
        <v>157</v>
      </c>
      <c r="G1168" s="25" t="s">
        <v>1834</v>
      </c>
      <c r="H1168" s="44" t="s">
        <v>1835</v>
      </c>
      <c r="I1168" s="27">
        <v>0</v>
      </c>
      <c r="J1168" s="20">
        <v>251</v>
      </c>
      <c r="K1168" s="20">
        <v>0</v>
      </c>
      <c r="L1168" s="20">
        <v>0</v>
      </c>
      <c r="M1168" s="20">
        <v>0</v>
      </c>
      <c r="N1168" s="20">
        <v>0</v>
      </c>
      <c r="O1168" s="20">
        <v>0</v>
      </c>
      <c r="P1168" s="26">
        <v>0</v>
      </c>
      <c r="Q1168" s="35" t="s">
        <v>154</v>
      </c>
    </row>
    <row r="1169" spans="1:17" ht="60" x14ac:dyDescent="0.25">
      <c r="A1169" s="23">
        <v>38054</v>
      </c>
      <c r="B1169" s="23">
        <v>38054</v>
      </c>
      <c r="C1169" s="24">
        <v>2004</v>
      </c>
      <c r="D1169" s="35" t="s">
        <v>28</v>
      </c>
      <c r="E1169" s="6" t="s">
        <v>149</v>
      </c>
      <c r="F1169" s="28" t="s">
        <v>157</v>
      </c>
      <c r="G1169" s="25" t="s">
        <v>110</v>
      </c>
      <c r="H1169" s="44" t="s">
        <v>1836</v>
      </c>
      <c r="I1169" s="27">
        <v>0</v>
      </c>
      <c r="J1169" s="20">
        <v>12</v>
      </c>
      <c r="K1169" s="20">
        <v>0</v>
      </c>
      <c r="L1169" s="20">
        <v>0</v>
      </c>
      <c r="M1169" s="20">
        <v>0</v>
      </c>
      <c r="N1169" s="20">
        <v>0</v>
      </c>
      <c r="O1169" s="20">
        <v>0</v>
      </c>
      <c r="P1169" s="26">
        <v>0</v>
      </c>
      <c r="Q1169" s="35" t="s">
        <v>154</v>
      </c>
    </row>
    <row r="1170" spans="1:17" ht="60" x14ac:dyDescent="0.25">
      <c r="A1170" s="23">
        <v>38059</v>
      </c>
      <c r="B1170" s="23">
        <v>38059</v>
      </c>
      <c r="C1170" s="24">
        <v>2004</v>
      </c>
      <c r="D1170" s="35" t="s">
        <v>28</v>
      </c>
      <c r="E1170" s="6" t="s">
        <v>149</v>
      </c>
      <c r="F1170" s="7" t="s">
        <v>60</v>
      </c>
      <c r="G1170" s="25" t="s">
        <v>110</v>
      </c>
      <c r="H1170" s="44" t="s">
        <v>1837</v>
      </c>
      <c r="I1170" s="27">
        <v>0</v>
      </c>
      <c r="J1170" s="20">
        <v>0</v>
      </c>
      <c r="K1170" s="20">
        <v>0</v>
      </c>
      <c r="L1170" s="20">
        <v>0</v>
      </c>
      <c r="M1170" s="20">
        <v>0</v>
      </c>
      <c r="N1170" s="20">
        <v>0</v>
      </c>
      <c r="O1170" s="20">
        <v>0</v>
      </c>
      <c r="P1170" s="26">
        <v>0</v>
      </c>
      <c r="Q1170" s="35" t="s">
        <v>154</v>
      </c>
    </row>
    <row r="1171" spans="1:17" ht="48" x14ac:dyDescent="0.25">
      <c r="A1171" s="23">
        <v>38067</v>
      </c>
      <c r="B1171" s="23">
        <v>38067</v>
      </c>
      <c r="C1171" s="24">
        <v>2004</v>
      </c>
      <c r="D1171" s="35" t="s">
        <v>28</v>
      </c>
      <c r="E1171" s="6" t="s">
        <v>149</v>
      </c>
      <c r="F1171" s="7" t="s">
        <v>45</v>
      </c>
      <c r="G1171" s="25" t="s">
        <v>110</v>
      </c>
      <c r="H1171" s="44" t="s">
        <v>1838</v>
      </c>
      <c r="I1171" s="27">
        <v>0</v>
      </c>
      <c r="J1171" s="20">
        <v>475</v>
      </c>
      <c r="K1171" s="20">
        <v>0</v>
      </c>
      <c r="L1171" s="20">
        <v>0</v>
      </c>
      <c r="M1171" s="20">
        <v>0</v>
      </c>
      <c r="N1171" s="20">
        <v>0</v>
      </c>
      <c r="O1171" s="20">
        <v>0</v>
      </c>
      <c r="P1171" s="26">
        <v>0</v>
      </c>
      <c r="Q1171" s="35" t="s">
        <v>154</v>
      </c>
    </row>
    <row r="1172" spans="1:17" ht="60" x14ac:dyDescent="0.25">
      <c r="A1172" s="23">
        <v>38069</v>
      </c>
      <c r="B1172" s="23">
        <v>38069</v>
      </c>
      <c r="C1172" s="24">
        <v>2004</v>
      </c>
      <c r="D1172" s="35" t="s">
        <v>28</v>
      </c>
      <c r="E1172" s="6" t="s">
        <v>149</v>
      </c>
      <c r="F1172" s="28" t="s">
        <v>157</v>
      </c>
      <c r="G1172" s="51" t="s">
        <v>716</v>
      </c>
      <c r="H1172" s="44" t="s">
        <v>1839</v>
      </c>
      <c r="I1172" s="27">
        <v>0</v>
      </c>
      <c r="J1172" s="20">
        <v>0</v>
      </c>
      <c r="K1172" s="20">
        <v>0</v>
      </c>
      <c r="L1172" s="20">
        <v>0</v>
      </c>
      <c r="M1172" s="20">
        <v>0</v>
      </c>
      <c r="N1172" s="20">
        <v>0</v>
      </c>
      <c r="O1172" s="20">
        <v>0</v>
      </c>
      <c r="P1172" s="26">
        <v>0</v>
      </c>
      <c r="Q1172" s="35" t="s">
        <v>154</v>
      </c>
    </row>
    <row r="1173" spans="1:17" ht="48" x14ac:dyDescent="0.25">
      <c r="A1173" s="23">
        <v>38075</v>
      </c>
      <c r="B1173" s="23">
        <v>38075</v>
      </c>
      <c r="C1173" s="24">
        <v>2004</v>
      </c>
      <c r="D1173" s="35" t="s">
        <v>28</v>
      </c>
      <c r="E1173" s="6" t="s">
        <v>149</v>
      </c>
      <c r="F1173" s="7" t="s">
        <v>53</v>
      </c>
      <c r="G1173" s="25" t="s">
        <v>1840</v>
      </c>
      <c r="H1173" s="44" t="s">
        <v>1841</v>
      </c>
      <c r="I1173" s="27">
        <v>0</v>
      </c>
      <c r="J1173" s="20">
        <v>0</v>
      </c>
      <c r="K1173" s="20">
        <v>0</v>
      </c>
      <c r="L1173" s="20">
        <v>0</v>
      </c>
      <c r="M1173" s="20">
        <v>0</v>
      </c>
      <c r="N1173" s="20">
        <v>0</v>
      </c>
      <c r="O1173" s="20">
        <v>0</v>
      </c>
      <c r="P1173" s="26">
        <v>0</v>
      </c>
      <c r="Q1173" s="35" t="s">
        <v>154</v>
      </c>
    </row>
    <row r="1174" spans="1:17" ht="48" x14ac:dyDescent="0.25">
      <c r="A1174" s="23">
        <v>38021</v>
      </c>
      <c r="B1174" s="23">
        <v>38021</v>
      </c>
      <c r="C1174" s="24">
        <v>2004</v>
      </c>
      <c r="D1174" s="35" t="s">
        <v>28</v>
      </c>
      <c r="E1174" s="30" t="s">
        <v>133</v>
      </c>
      <c r="F1174" s="7" t="s">
        <v>60</v>
      </c>
      <c r="G1174" s="44" t="s">
        <v>1256</v>
      </c>
      <c r="H1174" s="44" t="s">
        <v>1842</v>
      </c>
      <c r="I1174" s="27">
        <v>4</v>
      </c>
      <c r="J1174" s="20">
        <v>8</v>
      </c>
      <c r="K1174" s="20">
        <v>1</v>
      </c>
      <c r="L1174" s="20">
        <v>0</v>
      </c>
      <c r="M1174" s="20">
        <v>0</v>
      </c>
      <c r="N1174" s="20">
        <v>0</v>
      </c>
      <c r="O1174" s="20">
        <v>0</v>
      </c>
      <c r="P1174" s="26">
        <v>3.5999999999999997E-2</v>
      </c>
      <c r="Q1174" s="35" t="s">
        <v>154</v>
      </c>
    </row>
    <row r="1175" spans="1:17" ht="72" x14ac:dyDescent="0.25">
      <c r="A1175" s="23">
        <v>38085</v>
      </c>
      <c r="B1175" s="23">
        <v>38085</v>
      </c>
      <c r="C1175" s="24">
        <v>2004</v>
      </c>
      <c r="D1175" s="35" t="s">
        <v>28</v>
      </c>
      <c r="E1175" s="6" t="s">
        <v>149</v>
      </c>
      <c r="F1175" s="7" t="s">
        <v>60</v>
      </c>
      <c r="G1175" s="25" t="s">
        <v>110</v>
      </c>
      <c r="H1175" s="44" t="s">
        <v>1843</v>
      </c>
      <c r="I1175" s="27">
        <v>0</v>
      </c>
      <c r="J1175" s="20">
        <v>2</v>
      </c>
      <c r="K1175" s="20">
        <v>0</v>
      </c>
      <c r="L1175" s="20">
        <v>0</v>
      </c>
      <c r="M1175" s="20">
        <v>0</v>
      </c>
      <c r="N1175" s="20">
        <v>0</v>
      </c>
      <c r="O1175" s="20">
        <v>0</v>
      </c>
      <c r="P1175" s="26">
        <v>0.86399999999999999</v>
      </c>
      <c r="Q1175" s="35" t="s">
        <v>154</v>
      </c>
    </row>
    <row r="1176" spans="1:17" ht="36" x14ac:dyDescent="0.25">
      <c r="A1176" s="23">
        <v>38085</v>
      </c>
      <c r="B1176" s="23">
        <v>38085</v>
      </c>
      <c r="C1176" s="24">
        <v>2004</v>
      </c>
      <c r="D1176" s="35" t="s">
        <v>28</v>
      </c>
      <c r="E1176" s="6" t="s">
        <v>149</v>
      </c>
      <c r="F1176" s="7" t="s">
        <v>53</v>
      </c>
      <c r="G1176" s="25" t="s">
        <v>1844</v>
      </c>
      <c r="H1176" s="44" t="s">
        <v>1845</v>
      </c>
      <c r="I1176" s="27">
        <v>0</v>
      </c>
      <c r="J1176" s="20">
        <v>5</v>
      </c>
      <c r="K1176" s="20">
        <v>0</v>
      </c>
      <c r="L1176" s="20">
        <v>0</v>
      </c>
      <c r="M1176" s="20">
        <v>0</v>
      </c>
      <c r="N1176" s="20">
        <v>0</v>
      </c>
      <c r="O1176" s="20">
        <v>0</v>
      </c>
      <c r="P1176" s="26">
        <v>0</v>
      </c>
      <c r="Q1176" s="35" t="s">
        <v>154</v>
      </c>
    </row>
    <row r="1177" spans="1:17" ht="24" x14ac:dyDescent="0.25">
      <c r="A1177" s="23">
        <v>38086</v>
      </c>
      <c r="B1177" s="23">
        <v>38086</v>
      </c>
      <c r="C1177" s="24">
        <v>2004</v>
      </c>
      <c r="D1177" s="35" t="s">
        <v>28</v>
      </c>
      <c r="E1177" s="6" t="s">
        <v>149</v>
      </c>
      <c r="F1177" s="7" t="s">
        <v>65</v>
      </c>
      <c r="G1177" s="25" t="s">
        <v>110</v>
      </c>
      <c r="H1177" s="44" t="s">
        <v>1846</v>
      </c>
      <c r="I1177" s="27">
        <v>0</v>
      </c>
      <c r="J1177" s="20">
        <v>0</v>
      </c>
      <c r="K1177" s="20">
        <v>0</v>
      </c>
      <c r="L1177" s="20">
        <v>0</v>
      </c>
      <c r="M1177" s="20">
        <v>0</v>
      </c>
      <c r="N1177" s="20">
        <v>0</v>
      </c>
      <c r="O1177" s="20">
        <v>0</v>
      </c>
      <c r="P1177" s="26">
        <f>0.036*15</f>
        <v>0.53999999999999992</v>
      </c>
      <c r="Q1177" s="35" t="s">
        <v>154</v>
      </c>
    </row>
    <row r="1178" spans="1:17" ht="48" x14ac:dyDescent="0.25">
      <c r="A1178" s="23">
        <v>38086</v>
      </c>
      <c r="B1178" s="23">
        <v>38086</v>
      </c>
      <c r="C1178" s="24">
        <v>2004</v>
      </c>
      <c r="D1178" s="35" t="s">
        <v>28</v>
      </c>
      <c r="E1178" s="6" t="s">
        <v>149</v>
      </c>
      <c r="F1178" s="7" t="s">
        <v>53</v>
      </c>
      <c r="G1178" s="25" t="s">
        <v>1304</v>
      </c>
      <c r="H1178" s="44" t="s">
        <v>1847</v>
      </c>
      <c r="I1178" s="27">
        <v>0</v>
      </c>
      <c r="J1178" s="20">
        <v>0</v>
      </c>
      <c r="K1178" s="20">
        <v>0</v>
      </c>
      <c r="L1178" s="20">
        <v>0</v>
      </c>
      <c r="M1178" s="20">
        <v>0</v>
      </c>
      <c r="N1178" s="20">
        <v>0</v>
      </c>
      <c r="O1178" s="20">
        <v>0</v>
      </c>
      <c r="P1178" s="26">
        <v>0</v>
      </c>
      <c r="Q1178" s="35" t="s">
        <v>154</v>
      </c>
    </row>
    <row r="1179" spans="1:17" ht="60" x14ac:dyDescent="0.25">
      <c r="A1179" s="23">
        <v>38030</v>
      </c>
      <c r="B1179" s="23">
        <v>38030</v>
      </c>
      <c r="C1179" s="24">
        <v>2004</v>
      </c>
      <c r="D1179" s="35" t="s">
        <v>28</v>
      </c>
      <c r="E1179" s="30" t="s">
        <v>133</v>
      </c>
      <c r="F1179" s="7" t="s">
        <v>60</v>
      </c>
      <c r="G1179" s="44" t="s">
        <v>1848</v>
      </c>
      <c r="H1179" s="44" t="s">
        <v>1849</v>
      </c>
      <c r="I1179" s="27">
        <v>0</v>
      </c>
      <c r="J1179" s="20">
        <v>33</v>
      </c>
      <c r="K1179" s="20">
        <v>1</v>
      </c>
      <c r="L1179" s="20">
        <v>0</v>
      </c>
      <c r="M1179" s="20">
        <v>0</v>
      </c>
      <c r="N1179" s="20">
        <v>0</v>
      </c>
      <c r="O1179" s="20">
        <v>0</v>
      </c>
      <c r="P1179" s="26">
        <v>3.5999999999999997E-2</v>
      </c>
      <c r="Q1179" s="35" t="s">
        <v>154</v>
      </c>
    </row>
    <row r="1180" spans="1:17" ht="36" x14ac:dyDescent="0.25">
      <c r="A1180" s="23">
        <v>38099</v>
      </c>
      <c r="B1180" s="23">
        <v>38099</v>
      </c>
      <c r="C1180" s="24">
        <v>2004</v>
      </c>
      <c r="D1180" s="35" t="s">
        <v>28</v>
      </c>
      <c r="E1180" s="6" t="s">
        <v>149</v>
      </c>
      <c r="F1180" s="7" t="s">
        <v>87</v>
      </c>
      <c r="G1180" s="25" t="s">
        <v>567</v>
      </c>
      <c r="H1180" s="44" t="s">
        <v>1850</v>
      </c>
      <c r="I1180" s="27">
        <v>1</v>
      </c>
      <c r="J1180" s="20">
        <v>1</v>
      </c>
      <c r="K1180" s="20">
        <v>0</v>
      </c>
      <c r="L1180" s="20">
        <v>0</v>
      </c>
      <c r="M1180" s="20">
        <v>0</v>
      </c>
      <c r="N1180" s="20">
        <v>0</v>
      </c>
      <c r="O1180" s="20">
        <v>0</v>
      </c>
      <c r="P1180" s="26">
        <v>0</v>
      </c>
      <c r="Q1180" s="35" t="s">
        <v>154</v>
      </c>
    </row>
    <row r="1181" spans="1:17" ht="60" x14ac:dyDescent="0.25">
      <c r="A1181" s="23">
        <v>38101</v>
      </c>
      <c r="B1181" s="23">
        <v>38101</v>
      </c>
      <c r="C1181" s="24">
        <v>2004</v>
      </c>
      <c r="D1181" s="35" t="s">
        <v>28</v>
      </c>
      <c r="E1181" s="6" t="s">
        <v>149</v>
      </c>
      <c r="F1181" s="7" t="s">
        <v>30</v>
      </c>
      <c r="G1181" s="25" t="s">
        <v>1078</v>
      </c>
      <c r="H1181" s="44" t="s">
        <v>1851</v>
      </c>
      <c r="I1181" s="27">
        <v>0</v>
      </c>
      <c r="J1181" s="20">
        <v>0</v>
      </c>
      <c r="K1181" s="20">
        <v>0</v>
      </c>
      <c r="L1181" s="20">
        <v>0</v>
      </c>
      <c r="M1181" s="20">
        <v>0</v>
      </c>
      <c r="N1181" s="20">
        <v>0</v>
      </c>
      <c r="O1181" s="20">
        <v>0</v>
      </c>
      <c r="P1181" s="26">
        <v>0</v>
      </c>
      <c r="Q1181" s="35" t="s">
        <v>154</v>
      </c>
    </row>
    <row r="1182" spans="1:17" ht="60" x14ac:dyDescent="0.25">
      <c r="A1182" s="23">
        <v>38329</v>
      </c>
      <c r="B1182" s="23">
        <v>38329</v>
      </c>
      <c r="C1182" s="24">
        <v>2004</v>
      </c>
      <c r="D1182" s="35" t="s">
        <v>28</v>
      </c>
      <c r="E1182" s="30" t="s">
        <v>133</v>
      </c>
      <c r="F1182" s="7" t="s">
        <v>75</v>
      </c>
      <c r="G1182" s="51" t="s">
        <v>1852</v>
      </c>
      <c r="H1182" s="44" t="s">
        <v>1853</v>
      </c>
      <c r="I1182" s="27">
        <v>4</v>
      </c>
      <c r="J1182" s="20">
        <v>7</v>
      </c>
      <c r="K1182" s="20">
        <v>1</v>
      </c>
      <c r="L1182" s="20">
        <v>0</v>
      </c>
      <c r="M1182" s="20">
        <v>0</v>
      </c>
      <c r="N1182" s="20">
        <v>0</v>
      </c>
      <c r="O1182" s="20">
        <v>0</v>
      </c>
      <c r="P1182" s="26">
        <v>0.01</v>
      </c>
      <c r="Q1182" s="35" t="s">
        <v>154</v>
      </c>
    </row>
    <row r="1183" spans="1:17" ht="36" x14ac:dyDescent="0.25">
      <c r="A1183" s="23">
        <v>38104</v>
      </c>
      <c r="B1183" s="23">
        <v>38104</v>
      </c>
      <c r="C1183" s="24">
        <v>2004</v>
      </c>
      <c r="D1183" s="35" t="s">
        <v>28</v>
      </c>
      <c r="E1183" s="6" t="s">
        <v>149</v>
      </c>
      <c r="F1183" s="7" t="s">
        <v>30</v>
      </c>
      <c r="G1183" s="25" t="s">
        <v>1078</v>
      </c>
      <c r="H1183" s="44" t="s">
        <v>1854</v>
      </c>
      <c r="I1183" s="27">
        <v>0</v>
      </c>
      <c r="J1183" s="20">
        <v>3</v>
      </c>
      <c r="K1183" s="20">
        <v>0</v>
      </c>
      <c r="L1183" s="20">
        <v>0</v>
      </c>
      <c r="M1183" s="20">
        <v>0</v>
      </c>
      <c r="N1183" s="20">
        <v>0</v>
      </c>
      <c r="O1183" s="20">
        <v>0</v>
      </c>
      <c r="P1183" s="26">
        <v>0</v>
      </c>
      <c r="Q1183" s="35" t="s">
        <v>154</v>
      </c>
    </row>
    <row r="1184" spans="1:17" ht="60" x14ac:dyDescent="0.25">
      <c r="A1184" s="23">
        <v>38104</v>
      </c>
      <c r="B1184" s="23">
        <v>38104</v>
      </c>
      <c r="C1184" s="24">
        <v>2004</v>
      </c>
      <c r="D1184" s="35" t="s">
        <v>28</v>
      </c>
      <c r="E1184" s="6" t="s">
        <v>149</v>
      </c>
      <c r="F1184" s="28" t="s">
        <v>157</v>
      </c>
      <c r="G1184" s="25" t="s">
        <v>1062</v>
      </c>
      <c r="H1184" s="44" t="s">
        <v>1855</v>
      </c>
      <c r="I1184" s="27">
        <v>1</v>
      </c>
      <c r="J1184" s="20">
        <v>1</v>
      </c>
      <c r="K1184" s="20">
        <v>0</v>
      </c>
      <c r="L1184" s="20">
        <v>0</v>
      </c>
      <c r="M1184" s="20">
        <v>0</v>
      </c>
      <c r="N1184" s="20">
        <v>0</v>
      </c>
      <c r="O1184" s="20">
        <v>0</v>
      </c>
      <c r="P1184" s="26">
        <v>0</v>
      </c>
      <c r="Q1184" s="35" t="s">
        <v>154</v>
      </c>
    </row>
    <row r="1185" spans="1:17" ht="36" x14ac:dyDescent="0.25">
      <c r="A1185" s="23">
        <v>38105</v>
      </c>
      <c r="B1185" s="23">
        <v>38105</v>
      </c>
      <c r="C1185" s="24">
        <v>2004</v>
      </c>
      <c r="D1185" s="35" t="s">
        <v>28</v>
      </c>
      <c r="E1185" s="6" t="s">
        <v>149</v>
      </c>
      <c r="F1185" s="7" t="s">
        <v>60</v>
      </c>
      <c r="G1185" s="25" t="s">
        <v>908</v>
      </c>
      <c r="H1185" s="44" t="s">
        <v>1856</v>
      </c>
      <c r="I1185" s="27">
        <v>0</v>
      </c>
      <c r="J1185" s="20">
        <v>3</v>
      </c>
      <c r="K1185" s="20">
        <v>0</v>
      </c>
      <c r="L1185" s="20">
        <v>0</v>
      </c>
      <c r="M1185" s="20">
        <v>0</v>
      </c>
      <c r="N1185" s="20">
        <v>0</v>
      </c>
      <c r="O1185" s="20">
        <v>0</v>
      </c>
      <c r="P1185" s="26">
        <v>0</v>
      </c>
      <c r="Q1185" s="35" t="s">
        <v>154</v>
      </c>
    </row>
    <row r="1186" spans="1:17" ht="60" x14ac:dyDescent="0.25">
      <c r="A1186" s="23">
        <v>38106</v>
      </c>
      <c r="B1186" s="23">
        <v>38106</v>
      </c>
      <c r="C1186" s="24">
        <v>2004</v>
      </c>
      <c r="D1186" s="35" t="s">
        <v>28</v>
      </c>
      <c r="E1186" s="6" t="s">
        <v>149</v>
      </c>
      <c r="F1186" s="7" t="s">
        <v>60</v>
      </c>
      <c r="G1186" s="25" t="s">
        <v>1605</v>
      </c>
      <c r="H1186" s="44" t="s">
        <v>1857</v>
      </c>
      <c r="I1186" s="27">
        <v>0</v>
      </c>
      <c r="J1186" s="20">
        <v>0</v>
      </c>
      <c r="K1186" s="20">
        <v>0</v>
      </c>
      <c r="L1186" s="20">
        <v>0</v>
      </c>
      <c r="M1186" s="20">
        <v>0</v>
      </c>
      <c r="N1186" s="20">
        <v>0</v>
      </c>
      <c r="O1186" s="20">
        <v>0</v>
      </c>
      <c r="P1186" s="26">
        <v>0.36</v>
      </c>
      <c r="Q1186" s="35" t="s">
        <v>154</v>
      </c>
    </row>
    <row r="1187" spans="1:17" ht="36" x14ac:dyDescent="0.25">
      <c r="A1187" s="23">
        <v>38106</v>
      </c>
      <c r="B1187" s="23">
        <v>38106</v>
      </c>
      <c r="C1187" s="24">
        <v>2004</v>
      </c>
      <c r="D1187" s="35" t="s">
        <v>28</v>
      </c>
      <c r="E1187" s="6" t="s">
        <v>149</v>
      </c>
      <c r="F1187" s="7" t="s">
        <v>30</v>
      </c>
      <c r="G1187" s="25" t="s">
        <v>1070</v>
      </c>
      <c r="H1187" s="44" t="s">
        <v>1858</v>
      </c>
      <c r="I1187" s="27">
        <v>0</v>
      </c>
      <c r="J1187" s="20">
        <v>0</v>
      </c>
      <c r="K1187" s="20">
        <v>0</v>
      </c>
      <c r="L1187" s="20">
        <v>0</v>
      </c>
      <c r="M1187" s="20">
        <v>0</v>
      </c>
      <c r="N1187" s="20">
        <v>0</v>
      </c>
      <c r="O1187" s="20">
        <v>0</v>
      </c>
      <c r="P1187" s="26">
        <v>0</v>
      </c>
      <c r="Q1187" s="35" t="s">
        <v>154</v>
      </c>
    </row>
    <row r="1188" spans="1:17" ht="48" x14ac:dyDescent="0.25">
      <c r="A1188" s="23">
        <v>38111</v>
      </c>
      <c r="B1188" s="23">
        <v>38111</v>
      </c>
      <c r="C1188" s="24">
        <v>2004</v>
      </c>
      <c r="D1188" s="35" t="s">
        <v>28</v>
      </c>
      <c r="E1188" s="6" t="s">
        <v>149</v>
      </c>
      <c r="F1188" s="7" t="s">
        <v>60</v>
      </c>
      <c r="G1188" s="25" t="s">
        <v>1605</v>
      </c>
      <c r="H1188" s="44" t="s">
        <v>1859</v>
      </c>
      <c r="I1188" s="27">
        <v>0</v>
      </c>
      <c r="J1188" s="20">
        <v>0</v>
      </c>
      <c r="K1188" s="20">
        <v>0</v>
      </c>
      <c r="L1188" s="20">
        <v>0</v>
      </c>
      <c r="M1188" s="20">
        <v>0</v>
      </c>
      <c r="N1188" s="20">
        <v>0</v>
      </c>
      <c r="O1188" s="20">
        <v>0</v>
      </c>
      <c r="P1188" s="26">
        <v>0.24</v>
      </c>
      <c r="Q1188" s="35" t="s">
        <v>154</v>
      </c>
    </row>
    <row r="1189" spans="1:17" ht="60" x14ac:dyDescent="0.25">
      <c r="A1189" s="23">
        <v>38111</v>
      </c>
      <c r="B1189" s="23">
        <v>38111</v>
      </c>
      <c r="C1189" s="24">
        <v>2004</v>
      </c>
      <c r="D1189" s="35" t="s">
        <v>28</v>
      </c>
      <c r="E1189" s="6" t="s">
        <v>149</v>
      </c>
      <c r="F1189" s="7" t="s">
        <v>68</v>
      </c>
      <c r="G1189" s="25" t="s">
        <v>1121</v>
      </c>
      <c r="H1189" s="44" t="s">
        <v>1860</v>
      </c>
      <c r="I1189" s="27">
        <v>0</v>
      </c>
      <c r="J1189" s="20">
        <v>0</v>
      </c>
      <c r="K1189" s="20">
        <v>0</v>
      </c>
      <c r="L1189" s="20">
        <v>0</v>
      </c>
      <c r="M1189" s="20">
        <v>0</v>
      </c>
      <c r="N1189" s="20">
        <v>0</v>
      </c>
      <c r="O1189" s="20">
        <v>0</v>
      </c>
      <c r="P1189" s="26">
        <v>0</v>
      </c>
      <c r="Q1189" s="35" t="s">
        <v>154</v>
      </c>
    </row>
    <row r="1190" spans="1:17" ht="36" x14ac:dyDescent="0.25">
      <c r="A1190" s="23">
        <v>38112</v>
      </c>
      <c r="B1190" s="23">
        <v>38112</v>
      </c>
      <c r="C1190" s="24">
        <v>2004</v>
      </c>
      <c r="D1190" s="35" t="s">
        <v>28</v>
      </c>
      <c r="E1190" s="6" t="s">
        <v>149</v>
      </c>
      <c r="F1190" s="7" t="s">
        <v>49</v>
      </c>
      <c r="G1190" s="25" t="s">
        <v>49</v>
      </c>
      <c r="H1190" s="44" t="s">
        <v>1861</v>
      </c>
      <c r="I1190" s="27">
        <v>0</v>
      </c>
      <c r="J1190" s="20">
        <v>0</v>
      </c>
      <c r="K1190" s="20">
        <v>0</v>
      </c>
      <c r="L1190" s="20">
        <v>0</v>
      </c>
      <c r="M1190" s="20">
        <v>0</v>
      </c>
      <c r="N1190" s="20">
        <v>0</v>
      </c>
      <c r="O1190" s="20">
        <v>0</v>
      </c>
      <c r="P1190" s="26">
        <v>0</v>
      </c>
      <c r="Q1190" s="35" t="s">
        <v>154</v>
      </c>
    </row>
    <row r="1191" spans="1:17" ht="48" x14ac:dyDescent="0.25">
      <c r="A1191" s="23">
        <v>38129</v>
      </c>
      <c r="B1191" s="23">
        <v>38129</v>
      </c>
      <c r="C1191" s="24">
        <v>2004</v>
      </c>
      <c r="D1191" s="35" t="s">
        <v>28</v>
      </c>
      <c r="E1191" s="6" t="s">
        <v>149</v>
      </c>
      <c r="F1191" s="7" t="s">
        <v>60</v>
      </c>
      <c r="G1191" s="25" t="s">
        <v>110</v>
      </c>
      <c r="H1191" s="44" t="s">
        <v>1862</v>
      </c>
      <c r="I1191" s="27">
        <v>0</v>
      </c>
      <c r="J1191" s="20">
        <v>205</v>
      </c>
      <c r="K1191" s="20">
        <v>0</v>
      </c>
      <c r="L1191" s="20">
        <v>0</v>
      </c>
      <c r="M1191" s="20">
        <v>0</v>
      </c>
      <c r="N1191" s="20">
        <v>0</v>
      </c>
      <c r="O1191" s="20">
        <v>0</v>
      </c>
      <c r="P1191" s="26">
        <v>0</v>
      </c>
      <c r="Q1191" s="35" t="s">
        <v>154</v>
      </c>
    </row>
    <row r="1192" spans="1:17" ht="24" x14ac:dyDescent="0.25">
      <c r="A1192" s="23">
        <v>38041</v>
      </c>
      <c r="B1192" s="23">
        <v>38041</v>
      </c>
      <c r="C1192" s="24">
        <v>2004</v>
      </c>
      <c r="D1192" s="35" t="s">
        <v>28</v>
      </c>
      <c r="E1192" s="6" t="s">
        <v>149</v>
      </c>
      <c r="F1192" s="7" t="s">
        <v>25</v>
      </c>
      <c r="G1192" s="25" t="s">
        <v>110</v>
      </c>
      <c r="H1192" s="44" t="s">
        <v>1863</v>
      </c>
      <c r="I1192" s="27">
        <v>0</v>
      </c>
      <c r="J1192" s="20">
        <v>0</v>
      </c>
      <c r="K1192" s="20">
        <v>1</v>
      </c>
      <c r="L1192" s="20">
        <v>0</v>
      </c>
      <c r="M1192" s="20">
        <v>0</v>
      </c>
      <c r="N1192" s="20">
        <v>0</v>
      </c>
      <c r="O1192" s="20">
        <v>0</v>
      </c>
      <c r="P1192" s="26">
        <v>3.5999999999999997E-2</v>
      </c>
      <c r="Q1192" s="35" t="s">
        <v>154</v>
      </c>
    </row>
    <row r="1193" spans="1:17" ht="48" x14ac:dyDescent="0.25">
      <c r="A1193" s="23">
        <v>38150</v>
      </c>
      <c r="B1193" s="23">
        <v>38150</v>
      </c>
      <c r="C1193" s="24">
        <v>2004</v>
      </c>
      <c r="D1193" s="35" t="s">
        <v>28</v>
      </c>
      <c r="E1193" s="6" t="s">
        <v>149</v>
      </c>
      <c r="F1193" s="7" t="s">
        <v>45</v>
      </c>
      <c r="G1193" s="25" t="s">
        <v>110</v>
      </c>
      <c r="H1193" s="44" t="s">
        <v>1864</v>
      </c>
      <c r="I1193" s="27">
        <v>0</v>
      </c>
      <c r="J1193" s="20">
        <v>0</v>
      </c>
      <c r="K1193" s="20">
        <v>0</v>
      </c>
      <c r="L1193" s="20">
        <v>0</v>
      </c>
      <c r="M1193" s="20">
        <v>0</v>
      </c>
      <c r="N1193" s="20">
        <v>0</v>
      </c>
      <c r="O1193" s="20">
        <v>0</v>
      </c>
      <c r="P1193" s="26">
        <v>0</v>
      </c>
      <c r="Q1193" s="35" t="s">
        <v>154</v>
      </c>
    </row>
    <row r="1194" spans="1:17" ht="36" x14ac:dyDescent="0.25">
      <c r="A1194" s="23">
        <v>38163</v>
      </c>
      <c r="B1194" s="23">
        <v>38163</v>
      </c>
      <c r="C1194" s="24">
        <v>2004</v>
      </c>
      <c r="D1194" s="35" t="s">
        <v>28</v>
      </c>
      <c r="E1194" s="6" t="s">
        <v>149</v>
      </c>
      <c r="F1194" s="7" t="s">
        <v>60</v>
      </c>
      <c r="G1194" s="25" t="s">
        <v>908</v>
      </c>
      <c r="H1194" s="44" t="s">
        <v>1865</v>
      </c>
      <c r="I1194" s="27">
        <v>0</v>
      </c>
      <c r="J1194" s="20">
        <v>2</v>
      </c>
      <c r="K1194" s="20">
        <v>0</v>
      </c>
      <c r="L1194" s="20">
        <v>0</v>
      </c>
      <c r="M1194" s="20">
        <v>0</v>
      </c>
      <c r="N1194" s="20">
        <v>0</v>
      </c>
      <c r="O1194" s="20">
        <v>0</v>
      </c>
      <c r="P1194" s="26">
        <v>0</v>
      </c>
      <c r="Q1194" s="35" t="s">
        <v>154</v>
      </c>
    </row>
    <row r="1195" spans="1:17" ht="48" x14ac:dyDescent="0.25">
      <c r="A1195" s="23">
        <v>38197</v>
      </c>
      <c r="B1195" s="23">
        <v>38197</v>
      </c>
      <c r="C1195" s="24">
        <v>2004</v>
      </c>
      <c r="D1195" s="35" t="s">
        <v>28</v>
      </c>
      <c r="E1195" s="6" t="s">
        <v>149</v>
      </c>
      <c r="F1195" s="28" t="s">
        <v>157</v>
      </c>
      <c r="G1195" s="25" t="s">
        <v>1190</v>
      </c>
      <c r="H1195" s="44" t="s">
        <v>1866</v>
      </c>
      <c r="I1195" s="27">
        <v>0</v>
      </c>
      <c r="J1195" s="20">
        <v>0</v>
      </c>
      <c r="K1195" s="20">
        <v>0</v>
      </c>
      <c r="L1195" s="20">
        <v>0</v>
      </c>
      <c r="M1195" s="20">
        <v>0</v>
      </c>
      <c r="N1195" s="20">
        <v>0</v>
      </c>
      <c r="O1195" s="20">
        <v>0</v>
      </c>
      <c r="P1195" s="26">
        <v>0</v>
      </c>
      <c r="Q1195" s="35" t="s">
        <v>154</v>
      </c>
    </row>
    <row r="1196" spans="1:17" ht="48" x14ac:dyDescent="0.25">
      <c r="A1196" s="23">
        <v>38083</v>
      </c>
      <c r="B1196" s="23">
        <v>38083</v>
      </c>
      <c r="C1196" s="24">
        <v>2004</v>
      </c>
      <c r="D1196" s="35" t="s">
        <v>28</v>
      </c>
      <c r="E1196" s="6" t="s">
        <v>149</v>
      </c>
      <c r="F1196" s="28" t="s">
        <v>157</v>
      </c>
      <c r="G1196" s="25" t="s">
        <v>1089</v>
      </c>
      <c r="H1196" s="44" t="s">
        <v>1867</v>
      </c>
      <c r="I1196" s="27">
        <v>0</v>
      </c>
      <c r="J1196" s="20">
        <v>5</v>
      </c>
      <c r="K1196" s="20">
        <v>1</v>
      </c>
      <c r="L1196" s="20">
        <v>0</v>
      </c>
      <c r="M1196" s="20">
        <v>0</v>
      </c>
      <c r="N1196" s="20">
        <v>0</v>
      </c>
      <c r="O1196" s="20">
        <v>0</v>
      </c>
      <c r="P1196" s="26">
        <v>3.5999999999999997E-2</v>
      </c>
      <c r="Q1196" s="35" t="s">
        <v>154</v>
      </c>
    </row>
    <row r="1197" spans="1:17" ht="72" x14ac:dyDescent="0.25">
      <c r="A1197" s="23">
        <v>38222</v>
      </c>
      <c r="B1197" s="23">
        <v>38222</v>
      </c>
      <c r="C1197" s="24">
        <v>2004</v>
      </c>
      <c r="D1197" s="35" t="s">
        <v>28</v>
      </c>
      <c r="E1197" s="6" t="s">
        <v>149</v>
      </c>
      <c r="F1197" s="7" t="s">
        <v>65</v>
      </c>
      <c r="G1197" s="25" t="s">
        <v>1868</v>
      </c>
      <c r="H1197" s="44" t="s">
        <v>1869</v>
      </c>
      <c r="I1197" s="27">
        <v>0</v>
      </c>
      <c r="J1197" s="20">
        <v>0</v>
      </c>
      <c r="K1197" s="20">
        <v>0</v>
      </c>
      <c r="L1197" s="20">
        <v>0</v>
      </c>
      <c r="M1197" s="20">
        <v>0</v>
      </c>
      <c r="N1197" s="20">
        <v>0</v>
      </c>
      <c r="O1197" s="20">
        <v>0</v>
      </c>
      <c r="P1197" s="26">
        <v>0</v>
      </c>
      <c r="Q1197" s="35" t="s">
        <v>154</v>
      </c>
    </row>
    <row r="1198" spans="1:17" ht="36" x14ac:dyDescent="0.25">
      <c r="A1198" s="23">
        <v>38237</v>
      </c>
      <c r="B1198" s="23">
        <v>38237</v>
      </c>
      <c r="C1198" s="24">
        <v>2004</v>
      </c>
      <c r="D1198" s="35" t="s">
        <v>28</v>
      </c>
      <c r="E1198" s="6" t="s">
        <v>149</v>
      </c>
      <c r="F1198" s="7" t="s">
        <v>91</v>
      </c>
      <c r="G1198" s="25" t="s">
        <v>803</v>
      </c>
      <c r="H1198" s="44" t="s">
        <v>1870</v>
      </c>
      <c r="I1198" s="27">
        <v>2</v>
      </c>
      <c r="J1198" s="20">
        <v>2</v>
      </c>
      <c r="K1198" s="20">
        <v>0</v>
      </c>
      <c r="L1198" s="20">
        <v>0</v>
      </c>
      <c r="M1198" s="20">
        <v>0</v>
      </c>
      <c r="N1198" s="20">
        <v>0</v>
      </c>
      <c r="O1198" s="20">
        <v>0</v>
      </c>
      <c r="P1198" s="26">
        <v>0</v>
      </c>
      <c r="Q1198" s="35" t="s">
        <v>154</v>
      </c>
    </row>
    <row r="1199" spans="1:17" ht="36" x14ac:dyDescent="0.25">
      <c r="A1199" s="23">
        <v>38299</v>
      </c>
      <c r="B1199" s="23">
        <v>38299</v>
      </c>
      <c r="C1199" s="24">
        <v>2004</v>
      </c>
      <c r="D1199" s="35" t="s">
        <v>28</v>
      </c>
      <c r="E1199" s="6" t="s">
        <v>149</v>
      </c>
      <c r="F1199" s="7" t="s">
        <v>68</v>
      </c>
      <c r="G1199" s="25" t="s">
        <v>752</v>
      </c>
      <c r="H1199" s="44" t="s">
        <v>1871</v>
      </c>
      <c r="I1199" s="27">
        <v>0</v>
      </c>
      <c r="J1199" s="20">
        <v>16</v>
      </c>
      <c r="K1199" s="20">
        <v>0</v>
      </c>
      <c r="L1199" s="20">
        <v>0</v>
      </c>
      <c r="M1199" s="20">
        <v>0</v>
      </c>
      <c r="N1199" s="20">
        <v>0</v>
      </c>
      <c r="O1199" s="20">
        <v>0</v>
      </c>
      <c r="P1199" s="26">
        <v>0</v>
      </c>
      <c r="Q1199" s="35" t="s">
        <v>154</v>
      </c>
    </row>
    <row r="1200" spans="1:17" ht="36" x14ac:dyDescent="0.25">
      <c r="A1200" s="23">
        <v>38133</v>
      </c>
      <c r="B1200" s="23">
        <v>38133</v>
      </c>
      <c r="C1200" s="24">
        <v>2004</v>
      </c>
      <c r="D1200" s="35" t="s">
        <v>28</v>
      </c>
      <c r="E1200" s="6" t="s">
        <v>149</v>
      </c>
      <c r="F1200" s="28" t="s">
        <v>157</v>
      </c>
      <c r="G1200" s="25" t="s">
        <v>1872</v>
      </c>
      <c r="H1200" s="44" t="s">
        <v>1873</v>
      </c>
      <c r="I1200" s="27">
        <v>1</v>
      </c>
      <c r="J1200" s="20">
        <v>1</v>
      </c>
      <c r="K1200" s="20">
        <v>1</v>
      </c>
      <c r="L1200" s="20">
        <v>0</v>
      </c>
      <c r="M1200" s="20">
        <v>0</v>
      </c>
      <c r="N1200" s="20">
        <v>0</v>
      </c>
      <c r="O1200" s="20">
        <v>0</v>
      </c>
      <c r="P1200" s="26">
        <v>3.5999999999999997E-2</v>
      </c>
      <c r="Q1200" s="35" t="s">
        <v>154</v>
      </c>
    </row>
    <row r="1201" spans="1:17" ht="48" x14ac:dyDescent="0.25">
      <c r="A1201" s="23">
        <v>38304</v>
      </c>
      <c r="B1201" s="23">
        <v>38304</v>
      </c>
      <c r="C1201" s="24">
        <v>2004</v>
      </c>
      <c r="D1201" s="35" t="s">
        <v>28</v>
      </c>
      <c r="E1201" s="6" t="s">
        <v>149</v>
      </c>
      <c r="F1201" s="7" t="s">
        <v>91</v>
      </c>
      <c r="G1201" s="25" t="s">
        <v>1874</v>
      </c>
      <c r="H1201" s="44" t="s">
        <v>1875</v>
      </c>
      <c r="I1201" s="27">
        <v>5</v>
      </c>
      <c r="J1201" s="20">
        <v>6</v>
      </c>
      <c r="K1201" s="20">
        <v>1</v>
      </c>
      <c r="L1201" s="20">
        <v>0</v>
      </c>
      <c r="M1201" s="20">
        <v>0</v>
      </c>
      <c r="N1201" s="20">
        <v>0</v>
      </c>
      <c r="O1201" s="20">
        <v>0</v>
      </c>
      <c r="P1201" s="26">
        <v>3.5999999999999997E-2</v>
      </c>
      <c r="Q1201" s="35" t="s">
        <v>154</v>
      </c>
    </row>
    <row r="1202" spans="1:17" ht="60" x14ac:dyDescent="0.25">
      <c r="A1202" s="23">
        <v>38307</v>
      </c>
      <c r="B1202" s="23">
        <v>38307</v>
      </c>
      <c r="C1202" s="24">
        <v>2004</v>
      </c>
      <c r="D1202" s="35" t="s">
        <v>28</v>
      </c>
      <c r="E1202" s="6" t="s">
        <v>149</v>
      </c>
      <c r="F1202" s="7" t="s">
        <v>36</v>
      </c>
      <c r="G1202" s="25" t="s">
        <v>1876</v>
      </c>
      <c r="H1202" s="44" t="s">
        <v>1877</v>
      </c>
      <c r="I1202" s="27">
        <v>0</v>
      </c>
      <c r="J1202" s="20">
        <v>5</v>
      </c>
      <c r="K1202" s="20">
        <v>1</v>
      </c>
      <c r="L1202" s="20">
        <v>0</v>
      </c>
      <c r="M1202" s="20">
        <v>0</v>
      </c>
      <c r="N1202" s="20">
        <v>0</v>
      </c>
      <c r="O1202" s="20">
        <v>0</v>
      </c>
      <c r="P1202" s="26">
        <v>3.5999999999999997E-2</v>
      </c>
      <c r="Q1202" s="35" t="s">
        <v>154</v>
      </c>
    </row>
    <row r="1203" spans="1:17" ht="72" x14ac:dyDescent="0.25">
      <c r="A1203" s="23">
        <v>38341</v>
      </c>
      <c r="B1203" s="23">
        <v>38341</v>
      </c>
      <c r="C1203" s="24">
        <v>2004</v>
      </c>
      <c r="D1203" s="35" t="s">
        <v>28</v>
      </c>
      <c r="E1203" s="6" t="s">
        <v>149</v>
      </c>
      <c r="F1203" s="7" t="s">
        <v>40</v>
      </c>
      <c r="G1203" s="25" t="s">
        <v>1878</v>
      </c>
      <c r="H1203" s="44" t="s">
        <v>1879</v>
      </c>
      <c r="I1203" s="27">
        <v>0</v>
      </c>
      <c r="J1203" s="20">
        <v>152</v>
      </c>
      <c r="K1203" s="20">
        <v>0</v>
      </c>
      <c r="L1203" s="20">
        <v>0</v>
      </c>
      <c r="M1203" s="20">
        <v>0</v>
      </c>
      <c r="N1203" s="20">
        <v>0</v>
      </c>
      <c r="O1203" s="20">
        <v>0</v>
      </c>
      <c r="P1203" s="26">
        <v>0</v>
      </c>
      <c r="Q1203" s="35" t="s">
        <v>154</v>
      </c>
    </row>
    <row r="1204" spans="1:17" ht="60" x14ac:dyDescent="0.25">
      <c r="A1204" s="23">
        <v>38352</v>
      </c>
      <c r="B1204" s="23">
        <v>38352</v>
      </c>
      <c r="C1204" s="24">
        <v>2004</v>
      </c>
      <c r="D1204" s="35" t="s">
        <v>28</v>
      </c>
      <c r="E1204" s="6" t="s">
        <v>149</v>
      </c>
      <c r="F1204" s="7" t="s">
        <v>36</v>
      </c>
      <c r="G1204" s="25" t="s">
        <v>522</v>
      </c>
      <c r="H1204" s="44" t="s">
        <v>1880</v>
      </c>
      <c r="I1204" s="27">
        <v>0</v>
      </c>
      <c r="J1204" s="20">
        <v>0</v>
      </c>
      <c r="K1204" s="20">
        <v>0</v>
      </c>
      <c r="L1204" s="20">
        <v>0</v>
      </c>
      <c r="M1204" s="20">
        <v>0</v>
      </c>
      <c r="N1204" s="20">
        <v>0</v>
      </c>
      <c r="O1204" s="20">
        <v>0</v>
      </c>
      <c r="P1204" s="26">
        <v>0</v>
      </c>
      <c r="Q1204" s="35" t="s">
        <v>154</v>
      </c>
    </row>
    <row r="1205" spans="1:17" ht="36" x14ac:dyDescent="0.25">
      <c r="A1205" s="23">
        <v>38047</v>
      </c>
      <c r="B1205" s="23">
        <v>38047</v>
      </c>
      <c r="C1205" s="24">
        <v>2004</v>
      </c>
      <c r="D1205" s="24" t="s">
        <v>141</v>
      </c>
      <c r="E1205" s="6" t="s">
        <v>333</v>
      </c>
      <c r="F1205" s="7" t="s">
        <v>82</v>
      </c>
      <c r="G1205" s="44" t="s">
        <v>1881</v>
      </c>
      <c r="H1205" s="44" t="s">
        <v>1882</v>
      </c>
      <c r="I1205" s="27">
        <v>3</v>
      </c>
      <c r="J1205" s="20">
        <v>3</v>
      </c>
      <c r="K1205" s="20">
        <v>0</v>
      </c>
      <c r="L1205" s="20">
        <v>0</v>
      </c>
      <c r="M1205" s="20">
        <v>0</v>
      </c>
      <c r="N1205" s="20">
        <v>0</v>
      </c>
      <c r="O1205" s="20">
        <v>0</v>
      </c>
      <c r="P1205" s="26">
        <v>0</v>
      </c>
      <c r="Q1205" s="35" t="s">
        <v>154</v>
      </c>
    </row>
    <row r="1206" spans="1:17" ht="36" x14ac:dyDescent="0.25">
      <c r="A1206" s="23">
        <v>38292</v>
      </c>
      <c r="B1206" s="23">
        <v>38292</v>
      </c>
      <c r="C1206" s="24">
        <v>2004</v>
      </c>
      <c r="D1206" s="24" t="s">
        <v>141</v>
      </c>
      <c r="E1206" s="6" t="s">
        <v>333</v>
      </c>
      <c r="F1206" s="7" t="s">
        <v>36</v>
      </c>
      <c r="G1206" s="44" t="s">
        <v>1883</v>
      </c>
      <c r="H1206" s="44" t="s">
        <v>1884</v>
      </c>
      <c r="I1206" s="27">
        <v>2</v>
      </c>
      <c r="J1206" s="20">
        <v>2</v>
      </c>
      <c r="K1206" s="20">
        <v>0</v>
      </c>
      <c r="L1206" s="20">
        <v>0</v>
      </c>
      <c r="M1206" s="20">
        <v>0</v>
      </c>
      <c r="N1206" s="20">
        <v>0</v>
      </c>
      <c r="O1206" s="20">
        <v>0</v>
      </c>
      <c r="P1206" s="26">
        <v>0</v>
      </c>
      <c r="Q1206" s="35" t="s">
        <v>154</v>
      </c>
    </row>
    <row r="1207" spans="1:17" ht="48" x14ac:dyDescent="0.25">
      <c r="A1207" s="23">
        <v>38124</v>
      </c>
      <c r="B1207" s="23">
        <v>38124</v>
      </c>
      <c r="C1207" s="24">
        <v>2004</v>
      </c>
      <c r="D1207" s="24" t="s">
        <v>141</v>
      </c>
      <c r="E1207" s="30" t="s">
        <v>142</v>
      </c>
      <c r="F1207" s="7" t="s">
        <v>53</v>
      </c>
      <c r="G1207" s="44" t="s">
        <v>1885</v>
      </c>
      <c r="H1207" s="44" t="s">
        <v>1886</v>
      </c>
      <c r="I1207" s="27">
        <v>11</v>
      </c>
      <c r="J1207" s="20">
        <v>33</v>
      </c>
      <c r="K1207" s="20">
        <v>0</v>
      </c>
      <c r="L1207" s="20">
        <v>0</v>
      </c>
      <c r="M1207" s="20">
        <v>0</v>
      </c>
      <c r="N1207" s="20">
        <v>0</v>
      </c>
      <c r="O1207" s="20">
        <v>0</v>
      </c>
      <c r="P1207" s="26">
        <v>0.11</v>
      </c>
      <c r="Q1207" s="35" t="s">
        <v>154</v>
      </c>
    </row>
    <row r="1208" spans="1:17" ht="36" x14ac:dyDescent="0.25">
      <c r="A1208" s="23">
        <v>38065</v>
      </c>
      <c r="B1208" s="23">
        <v>38065</v>
      </c>
      <c r="C1208" s="24">
        <v>2004</v>
      </c>
      <c r="D1208" s="24" t="s">
        <v>141</v>
      </c>
      <c r="E1208" s="6" t="s">
        <v>333</v>
      </c>
      <c r="F1208" s="7" t="s">
        <v>36</v>
      </c>
      <c r="G1208" s="44" t="s">
        <v>1887</v>
      </c>
      <c r="H1208" s="44" t="s">
        <v>1888</v>
      </c>
      <c r="I1208" s="27">
        <v>1</v>
      </c>
      <c r="J1208" s="20">
        <v>1</v>
      </c>
      <c r="K1208" s="20">
        <v>0</v>
      </c>
      <c r="L1208" s="20">
        <v>0</v>
      </c>
      <c r="M1208" s="20">
        <v>0</v>
      </c>
      <c r="N1208" s="20">
        <v>0</v>
      </c>
      <c r="O1208" s="20">
        <v>0</v>
      </c>
      <c r="P1208" s="26">
        <v>0</v>
      </c>
      <c r="Q1208" s="35" t="s">
        <v>154</v>
      </c>
    </row>
    <row r="1209" spans="1:17" ht="36" x14ac:dyDescent="0.25">
      <c r="A1209" s="23">
        <v>38150</v>
      </c>
      <c r="B1209" s="23">
        <v>38150</v>
      </c>
      <c r="C1209" s="24">
        <v>2004</v>
      </c>
      <c r="D1209" s="24" t="s">
        <v>141</v>
      </c>
      <c r="E1209" s="6" t="s">
        <v>333</v>
      </c>
      <c r="F1209" s="28" t="s">
        <v>210</v>
      </c>
      <c r="G1209" s="44" t="s">
        <v>1412</v>
      </c>
      <c r="H1209" s="44" t="s">
        <v>1889</v>
      </c>
      <c r="I1209" s="27">
        <v>1</v>
      </c>
      <c r="J1209" s="20">
        <v>1</v>
      </c>
      <c r="K1209" s="20">
        <v>0</v>
      </c>
      <c r="L1209" s="20">
        <v>0</v>
      </c>
      <c r="M1209" s="20">
        <v>0</v>
      </c>
      <c r="N1209" s="20">
        <v>0</v>
      </c>
      <c r="O1209" s="20">
        <v>0</v>
      </c>
      <c r="P1209" s="26">
        <v>0</v>
      </c>
      <c r="Q1209" s="35" t="s">
        <v>154</v>
      </c>
    </row>
    <row r="1210" spans="1:17" ht="60" x14ac:dyDescent="0.25">
      <c r="A1210" s="23">
        <v>37989</v>
      </c>
      <c r="B1210" s="23">
        <v>37989</v>
      </c>
      <c r="C1210" s="24">
        <v>2004</v>
      </c>
      <c r="D1210" s="24" t="s">
        <v>141</v>
      </c>
      <c r="E1210" s="30" t="s">
        <v>142</v>
      </c>
      <c r="F1210" s="7" t="s">
        <v>87</v>
      </c>
      <c r="G1210" s="44" t="s">
        <v>1890</v>
      </c>
      <c r="H1210" s="44" t="s">
        <v>1891</v>
      </c>
      <c r="I1210" s="27">
        <v>0</v>
      </c>
      <c r="J1210" s="20">
        <v>1</v>
      </c>
      <c r="K1210" s="20">
        <v>0</v>
      </c>
      <c r="L1210" s="20">
        <v>0</v>
      </c>
      <c r="M1210" s="20">
        <v>0</v>
      </c>
      <c r="N1210" s="20">
        <v>0</v>
      </c>
      <c r="O1210" s="20">
        <v>0</v>
      </c>
      <c r="P1210" s="26">
        <f>0.15+0.27</f>
        <v>0.42000000000000004</v>
      </c>
      <c r="Q1210" s="35" t="s">
        <v>154</v>
      </c>
    </row>
    <row r="1211" spans="1:17" ht="48" x14ac:dyDescent="0.25">
      <c r="A1211" s="23">
        <v>37991</v>
      </c>
      <c r="B1211" s="23">
        <v>37991</v>
      </c>
      <c r="C1211" s="24">
        <v>2004</v>
      </c>
      <c r="D1211" s="24" t="s">
        <v>141</v>
      </c>
      <c r="E1211" s="30" t="s">
        <v>142</v>
      </c>
      <c r="F1211" s="28" t="s">
        <v>157</v>
      </c>
      <c r="G1211" s="44" t="s">
        <v>1832</v>
      </c>
      <c r="H1211" s="44" t="s">
        <v>1892</v>
      </c>
      <c r="I1211" s="27">
        <v>0</v>
      </c>
      <c r="J1211" s="20">
        <v>1</v>
      </c>
      <c r="K1211" s="20">
        <v>0</v>
      </c>
      <c r="L1211" s="20">
        <v>0</v>
      </c>
      <c r="M1211" s="20">
        <v>0</v>
      </c>
      <c r="N1211" s="20">
        <v>0</v>
      </c>
      <c r="O1211" s="20">
        <v>0</v>
      </c>
      <c r="P1211" s="26">
        <v>0.27</v>
      </c>
      <c r="Q1211" s="35" t="s">
        <v>154</v>
      </c>
    </row>
    <row r="1212" spans="1:17" ht="48" x14ac:dyDescent="0.25">
      <c r="A1212" s="23">
        <v>38316</v>
      </c>
      <c r="B1212" s="23">
        <v>38316</v>
      </c>
      <c r="C1212" s="24">
        <v>2004</v>
      </c>
      <c r="D1212" s="24" t="s">
        <v>141</v>
      </c>
      <c r="E1212" s="30" t="s">
        <v>142</v>
      </c>
      <c r="F1212" s="7" t="s">
        <v>91</v>
      </c>
      <c r="G1212" s="44" t="s">
        <v>1893</v>
      </c>
      <c r="H1212" s="44" t="s">
        <v>1894</v>
      </c>
      <c r="I1212" s="27">
        <v>16</v>
      </c>
      <c r="J1212" s="20">
        <v>30</v>
      </c>
      <c r="K1212" s="20">
        <v>0</v>
      </c>
      <c r="L1212" s="20">
        <v>0</v>
      </c>
      <c r="M1212" s="20">
        <v>0</v>
      </c>
      <c r="N1212" s="20">
        <v>0</v>
      </c>
      <c r="O1212" s="20">
        <v>0</v>
      </c>
      <c r="P1212" s="26">
        <v>1</v>
      </c>
      <c r="Q1212" s="35" t="s">
        <v>154</v>
      </c>
    </row>
    <row r="1213" spans="1:17" ht="36" x14ac:dyDescent="0.25">
      <c r="A1213" s="23">
        <v>38291</v>
      </c>
      <c r="B1213" s="23">
        <v>38291</v>
      </c>
      <c r="C1213" s="24">
        <v>2004</v>
      </c>
      <c r="D1213" s="24" t="s">
        <v>141</v>
      </c>
      <c r="E1213" s="30" t="s">
        <v>142</v>
      </c>
      <c r="F1213" s="7" t="s">
        <v>62</v>
      </c>
      <c r="G1213" s="44" t="s">
        <v>1320</v>
      </c>
      <c r="H1213" s="44" t="s">
        <v>1895</v>
      </c>
      <c r="I1213" s="27">
        <v>0</v>
      </c>
      <c r="J1213" s="20">
        <v>15</v>
      </c>
      <c r="K1213" s="20">
        <v>0</v>
      </c>
      <c r="L1213" s="20">
        <v>0</v>
      </c>
      <c r="M1213" s="20">
        <v>0</v>
      </c>
      <c r="N1213" s="20">
        <v>0</v>
      </c>
      <c r="O1213" s="20">
        <v>0</v>
      </c>
      <c r="P1213" s="26">
        <v>0.06</v>
      </c>
      <c r="Q1213" s="35" t="s">
        <v>154</v>
      </c>
    </row>
    <row r="1214" spans="1:17" ht="48" x14ac:dyDescent="0.25">
      <c r="A1214" s="23">
        <v>38286</v>
      </c>
      <c r="B1214" s="23">
        <v>38286</v>
      </c>
      <c r="C1214" s="24">
        <v>2004</v>
      </c>
      <c r="D1214" s="24" t="s">
        <v>141</v>
      </c>
      <c r="E1214" s="30" t="s">
        <v>142</v>
      </c>
      <c r="F1214" s="7" t="s">
        <v>53</v>
      </c>
      <c r="G1214" s="44" t="s">
        <v>1896</v>
      </c>
      <c r="H1214" s="44" t="s">
        <v>1897</v>
      </c>
      <c r="I1214" s="27">
        <v>0</v>
      </c>
      <c r="J1214" s="20">
        <v>20</v>
      </c>
      <c r="K1214" s="20">
        <v>0</v>
      </c>
      <c r="L1214" s="20">
        <v>0</v>
      </c>
      <c r="M1214" s="20">
        <v>0</v>
      </c>
      <c r="N1214" s="20">
        <v>0</v>
      </c>
      <c r="O1214" s="20">
        <v>0</v>
      </c>
      <c r="P1214" s="26">
        <v>0.6</v>
      </c>
      <c r="Q1214" s="35" t="s">
        <v>154</v>
      </c>
    </row>
    <row r="1215" spans="1:17" ht="60" x14ac:dyDescent="0.25">
      <c r="A1215" s="23">
        <v>38326</v>
      </c>
      <c r="B1215" s="23">
        <v>38326</v>
      </c>
      <c r="C1215" s="24">
        <v>2004</v>
      </c>
      <c r="D1215" s="24" t="s">
        <v>141</v>
      </c>
      <c r="E1215" s="30" t="s">
        <v>142</v>
      </c>
      <c r="F1215" s="7" t="s">
        <v>40</v>
      </c>
      <c r="G1215" s="44" t="s">
        <v>1479</v>
      </c>
      <c r="H1215" s="44" t="s">
        <v>1898</v>
      </c>
      <c r="I1215" s="27">
        <v>10</v>
      </c>
      <c r="J1215" s="20">
        <v>30</v>
      </c>
      <c r="K1215" s="20">
        <v>0</v>
      </c>
      <c r="L1215" s="20">
        <v>0</v>
      </c>
      <c r="M1215" s="20">
        <v>0</v>
      </c>
      <c r="N1215" s="20">
        <v>0</v>
      </c>
      <c r="O1215" s="20">
        <v>0</v>
      </c>
      <c r="P1215" s="26">
        <v>0.87</v>
      </c>
      <c r="Q1215" s="35" t="s">
        <v>154</v>
      </c>
    </row>
    <row r="1216" spans="1:17" ht="72" x14ac:dyDescent="0.25">
      <c r="A1216" s="23">
        <v>38333</v>
      </c>
      <c r="B1216" s="23">
        <v>38333</v>
      </c>
      <c r="C1216" s="24">
        <v>2004</v>
      </c>
      <c r="D1216" s="24" t="s">
        <v>141</v>
      </c>
      <c r="E1216" s="30" t="s">
        <v>142</v>
      </c>
      <c r="F1216" s="7" t="s">
        <v>67</v>
      </c>
      <c r="G1216" s="44" t="s">
        <v>110</v>
      </c>
      <c r="H1216" s="44" t="s">
        <v>1899</v>
      </c>
      <c r="I1216" s="27">
        <v>9</v>
      </c>
      <c r="J1216" s="20">
        <v>17</v>
      </c>
      <c r="K1216" s="20">
        <v>0</v>
      </c>
      <c r="L1216" s="20">
        <v>0</v>
      </c>
      <c r="M1216" s="20">
        <v>0</v>
      </c>
      <c r="N1216" s="20">
        <v>0</v>
      </c>
      <c r="O1216" s="20">
        <v>0</v>
      </c>
      <c r="P1216" s="26">
        <v>1.1000000000000001</v>
      </c>
      <c r="Q1216" s="35" t="s">
        <v>154</v>
      </c>
    </row>
    <row r="1217" spans="1:17" ht="48" x14ac:dyDescent="0.25">
      <c r="A1217" s="23">
        <v>38087</v>
      </c>
      <c r="B1217" s="23">
        <v>38087</v>
      </c>
      <c r="C1217" s="24">
        <v>2004</v>
      </c>
      <c r="D1217" s="24" t="s">
        <v>141</v>
      </c>
      <c r="E1217" s="30" t="s">
        <v>142</v>
      </c>
      <c r="F1217" s="7" t="s">
        <v>53</v>
      </c>
      <c r="G1217" s="44" t="s">
        <v>1900</v>
      </c>
      <c r="H1217" s="44" t="s">
        <v>1901</v>
      </c>
      <c r="I1217" s="27">
        <v>1</v>
      </c>
      <c r="J1217" s="20">
        <v>15</v>
      </c>
      <c r="K1217" s="20">
        <v>0</v>
      </c>
      <c r="L1217" s="20">
        <v>0</v>
      </c>
      <c r="M1217" s="20">
        <v>0</v>
      </c>
      <c r="N1217" s="20">
        <v>0</v>
      </c>
      <c r="O1217" s="20">
        <v>0</v>
      </c>
      <c r="P1217" s="26">
        <v>0.06</v>
      </c>
      <c r="Q1217" s="35" t="s">
        <v>154</v>
      </c>
    </row>
    <row r="1218" spans="1:17" ht="36" x14ac:dyDescent="0.25">
      <c r="A1218" s="23">
        <v>38193</v>
      </c>
      <c r="B1218" s="23">
        <v>38193</v>
      </c>
      <c r="C1218" s="24">
        <v>2004</v>
      </c>
      <c r="D1218" s="24" t="s">
        <v>141</v>
      </c>
      <c r="E1218" s="30" t="s">
        <v>142</v>
      </c>
      <c r="F1218" s="7" t="s">
        <v>87</v>
      </c>
      <c r="G1218" s="44" t="s">
        <v>1902</v>
      </c>
      <c r="H1218" s="44" t="s">
        <v>1903</v>
      </c>
      <c r="I1218" s="27">
        <v>8</v>
      </c>
      <c r="J1218" s="20">
        <v>8</v>
      </c>
      <c r="K1218" s="20">
        <v>0</v>
      </c>
      <c r="L1218" s="20">
        <v>0</v>
      </c>
      <c r="M1218" s="20">
        <v>0</v>
      </c>
      <c r="N1218" s="20">
        <v>0</v>
      </c>
      <c r="O1218" s="20">
        <v>0</v>
      </c>
      <c r="P1218" s="26">
        <v>0</v>
      </c>
      <c r="Q1218" s="35" t="s">
        <v>154</v>
      </c>
    </row>
    <row r="1219" spans="1:17" ht="48" x14ac:dyDescent="0.25">
      <c r="A1219" s="23">
        <v>38254</v>
      </c>
      <c r="B1219" s="23">
        <v>38254</v>
      </c>
      <c r="C1219" s="24">
        <v>2004</v>
      </c>
      <c r="D1219" s="24" t="s">
        <v>141</v>
      </c>
      <c r="E1219" s="30" t="s">
        <v>142</v>
      </c>
      <c r="F1219" s="7" t="s">
        <v>91</v>
      </c>
      <c r="G1219" s="44" t="s">
        <v>110</v>
      </c>
      <c r="H1219" s="44" t="s">
        <v>1904</v>
      </c>
      <c r="I1219" s="27">
        <v>6</v>
      </c>
      <c r="J1219" s="20">
        <v>75</v>
      </c>
      <c r="K1219" s="20">
        <v>0</v>
      </c>
      <c r="L1219" s="20">
        <v>0</v>
      </c>
      <c r="M1219" s="20">
        <v>0</v>
      </c>
      <c r="N1219" s="20">
        <v>0</v>
      </c>
      <c r="O1219" s="20">
        <v>0</v>
      </c>
      <c r="P1219" s="26">
        <v>0.54</v>
      </c>
      <c r="Q1219" s="35" t="s">
        <v>154</v>
      </c>
    </row>
    <row r="1220" spans="1:17" ht="84" x14ac:dyDescent="0.25">
      <c r="A1220" s="23">
        <v>38135</v>
      </c>
      <c r="B1220" s="23">
        <v>38135</v>
      </c>
      <c r="C1220" s="24">
        <v>2004</v>
      </c>
      <c r="D1220" s="24" t="s">
        <v>141</v>
      </c>
      <c r="E1220" s="42" t="s">
        <v>447</v>
      </c>
      <c r="F1220" s="7" t="s">
        <v>60</v>
      </c>
      <c r="G1220" s="44" t="s">
        <v>110</v>
      </c>
      <c r="H1220" s="44" t="s">
        <v>1905</v>
      </c>
      <c r="I1220" s="27">
        <v>0</v>
      </c>
      <c r="J1220" s="20">
        <v>49</v>
      </c>
      <c r="K1220" s="20">
        <v>0</v>
      </c>
      <c r="L1220" s="20">
        <v>0</v>
      </c>
      <c r="M1220" s="20">
        <v>0</v>
      </c>
      <c r="N1220" s="20">
        <v>0</v>
      </c>
      <c r="O1220" s="20">
        <v>0</v>
      </c>
      <c r="P1220" s="26">
        <v>0</v>
      </c>
      <c r="Q1220" s="35" t="s">
        <v>154</v>
      </c>
    </row>
    <row r="1221" spans="1:17" ht="72" x14ac:dyDescent="0.25">
      <c r="A1221" s="23">
        <v>38079</v>
      </c>
      <c r="B1221" s="23">
        <v>38079</v>
      </c>
      <c r="C1221" s="24">
        <v>2004</v>
      </c>
      <c r="D1221" s="24" t="s">
        <v>141</v>
      </c>
      <c r="E1221" s="30" t="s">
        <v>142</v>
      </c>
      <c r="F1221" s="7" t="s">
        <v>60</v>
      </c>
      <c r="G1221" s="44" t="s">
        <v>1906</v>
      </c>
      <c r="H1221" s="44" t="s">
        <v>1907</v>
      </c>
      <c r="I1221" s="27">
        <v>2</v>
      </c>
      <c r="J1221" s="20">
        <v>33</v>
      </c>
      <c r="K1221" s="20">
        <v>0</v>
      </c>
      <c r="L1221" s="20">
        <v>0</v>
      </c>
      <c r="M1221" s="20">
        <v>0</v>
      </c>
      <c r="N1221" s="20">
        <v>0</v>
      </c>
      <c r="O1221" s="20">
        <v>0</v>
      </c>
      <c r="P1221" s="26">
        <v>0.93</v>
      </c>
      <c r="Q1221" s="35" t="s">
        <v>154</v>
      </c>
    </row>
    <row r="1222" spans="1:17" ht="24" x14ac:dyDescent="0.25">
      <c r="A1222" s="23">
        <v>38107</v>
      </c>
      <c r="B1222" s="23">
        <v>38107</v>
      </c>
      <c r="C1222" s="24">
        <v>2004</v>
      </c>
      <c r="D1222" s="24" t="s">
        <v>141</v>
      </c>
      <c r="E1222" s="6" t="s">
        <v>333</v>
      </c>
      <c r="F1222" s="7" t="s">
        <v>62</v>
      </c>
      <c r="G1222" s="44" t="s">
        <v>110</v>
      </c>
      <c r="H1222" s="44" t="s">
        <v>1908</v>
      </c>
      <c r="I1222" s="27">
        <v>0</v>
      </c>
      <c r="J1222" s="20">
        <v>10</v>
      </c>
      <c r="K1222" s="20">
        <v>0</v>
      </c>
      <c r="L1222" s="20">
        <v>0</v>
      </c>
      <c r="M1222" s="20">
        <v>0</v>
      </c>
      <c r="N1222" s="20">
        <v>0</v>
      </c>
      <c r="O1222" s="20">
        <v>0</v>
      </c>
      <c r="P1222" s="26">
        <v>0</v>
      </c>
      <c r="Q1222" s="35" t="s">
        <v>154</v>
      </c>
    </row>
    <row r="1223" spans="1:17" ht="48" x14ac:dyDescent="0.25">
      <c r="A1223" s="23">
        <v>38024</v>
      </c>
      <c r="B1223" s="23">
        <v>38024</v>
      </c>
      <c r="C1223" s="24">
        <v>2004</v>
      </c>
      <c r="D1223" s="24" t="s">
        <v>141</v>
      </c>
      <c r="E1223" s="30" t="s">
        <v>142</v>
      </c>
      <c r="F1223" s="7" t="s">
        <v>56</v>
      </c>
      <c r="G1223" s="44" t="s">
        <v>1666</v>
      </c>
      <c r="H1223" s="44" t="s">
        <v>1909</v>
      </c>
      <c r="I1223" s="27">
        <v>0</v>
      </c>
      <c r="J1223" s="20">
        <v>20</v>
      </c>
      <c r="K1223" s="20">
        <v>0</v>
      </c>
      <c r="L1223" s="20">
        <v>0</v>
      </c>
      <c r="M1223" s="20">
        <v>0</v>
      </c>
      <c r="N1223" s="20">
        <v>0</v>
      </c>
      <c r="O1223" s="20">
        <v>0</v>
      </c>
      <c r="P1223" s="26">
        <v>0.87</v>
      </c>
      <c r="Q1223" s="35" t="s">
        <v>154</v>
      </c>
    </row>
    <row r="1224" spans="1:17" ht="60" x14ac:dyDescent="0.25">
      <c r="A1224" s="23">
        <v>38024</v>
      </c>
      <c r="B1224" s="23">
        <v>38024</v>
      </c>
      <c r="C1224" s="24">
        <v>2004</v>
      </c>
      <c r="D1224" s="24" t="s">
        <v>141</v>
      </c>
      <c r="E1224" s="30" t="s">
        <v>142</v>
      </c>
      <c r="F1224" s="28" t="s">
        <v>163</v>
      </c>
      <c r="G1224" s="44" t="s">
        <v>110</v>
      </c>
      <c r="H1224" s="44" t="s">
        <v>1910</v>
      </c>
      <c r="I1224" s="27">
        <v>5</v>
      </c>
      <c r="J1224" s="20">
        <v>15</v>
      </c>
      <c r="K1224" s="20">
        <v>0</v>
      </c>
      <c r="L1224" s="20">
        <v>0</v>
      </c>
      <c r="M1224" s="20">
        <v>0</v>
      </c>
      <c r="N1224" s="20">
        <v>0</v>
      </c>
      <c r="O1224" s="20">
        <v>0</v>
      </c>
      <c r="P1224" s="26">
        <v>0.1</v>
      </c>
      <c r="Q1224" s="35" t="s">
        <v>154</v>
      </c>
    </row>
    <row r="1225" spans="1:17" ht="84" x14ac:dyDescent="0.25">
      <c r="A1225" s="23">
        <v>38029</v>
      </c>
      <c r="B1225" s="23">
        <v>38029</v>
      </c>
      <c r="C1225" s="24">
        <v>2004</v>
      </c>
      <c r="D1225" s="24" t="s">
        <v>141</v>
      </c>
      <c r="E1225" s="30" t="s">
        <v>142</v>
      </c>
      <c r="F1225" s="7" t="s">
        <v>77</v>
      </c>
      <c r="G1225" s="44" t="s">
        <v>1911</v>
      </c>
      <c r="H1225" s="44" t="s">
        <v>1912</v>
      </c>
      <c r="I1225" s="27">
        <v>0</v>
      </c>
      <c r="J1225" s="20">
        <v>1</v>
      </c>
      <c r="K1225" s="20">
        <v>0</v>
      </c>
      <c r="L1225" s="20">
        <v>0</v>
      </c>
      <c r="M1225" s="20">
        <v>0</v>
      </c>
      <c r="N1225" s="20">
        <v>0</v>
      </c>
      <c r="O1225" s="20">
        <v>0</v>
      </c>
      <c r="P1225" s="26">
        <v>0.28000000000000003</v>
      </c>
      <c r="Q1225" s="35" t="s">
        <v>154</v>
      </c>
    </row>
    <row r="1226" spans="1:17" ht="36" x14ac:dyDescent="0.25">
      <c r="A1226" s="23">
        <v>38041</v>
      </c>
      <c r="B1226" s="23">
        <v>38041</v>
      </c>
      <c r="C1226" s="24">
        <v>2004</v>
      </c>
      <c r="D1226" s="24" t="s">
        <v>141</v>
      </c>
      <c r="E1226" s="42" t="s">
        <v>447</v>
      </c>
      <c r="F1226" s="7" t="s">
        <v>56</v>
      </c>
      <c r="G1226" s="44" t="s">
        <v>646</v>
      </c>
      <c r="H1226" s="44" t="s">
        <v>1913</v>
      </c>
      <c r="I1226" s="27">
        <v>0</v>
      </c>
      <c r="J1226" s="20">
        <v>13</v>
      </c>
      <c r="K1226" s="20">
        <v>0</v>
      </c>
      <c r="L1226" s="20">
        <v>0</v>
      </c>
      <c r="M1226" s="20">
        <v>0</v>
      </c>
      <c r="N1226" s="20">
        <v>0</v>
      </c>
      <c r="O1226" s="20">
        <v>0</v>
      </c>
      <c r="P1226" s="26">
        <v>0</v>
      </c>
      <c r="Q1226" s="35" t="s">
        <v>154</v>
      </c>
    </row>
    <row r="1227" spans="1:17" ht="24" x14ac:dyDescent="0.25">
      <c r="A1227" s="23">
        <v>38046</v>
      </c>
      <c r="B1227" s="23">
        <v>38046</v>
      </c>
      <c r="C1227" s="24">
        <v>2004</v>
      </c>
      <c r="D1227" s="24" t="s">
        <v>141</v>
      </c>
      <c r="E1227" s="30" t="s">
        <v>142</v>
      </c>
      <c r="F1227" s="7" t="s">
        <v>56</v>
      </c>
      <c r="G1227" s="44" t="s">
        <v>110</v>
      </c>
      <c r="H1227" s="44" t="s">
        <v>1914</v>
      </c>
      <c r="I1227" s="27">
        <v>0</v>
      </c>
      <c r="J1227" s="20">
        <v>1</v>
      </c>
      <c r="K1227" s="20">
        <v>0</v>
      </c>
      <c r="L1227" s="20">
        <v>0</v>
      </c>
      <c r="M1227" s="20">
        <v>0</v>
      </c>
      <c r="N1227" s="20">
        <v>0</v>
      </c>
      <c r="O1227" s="20">
        <v>0</v>
      </c>
      <c r="P1227" s="26">
        <v>0.02</v>
      </c>
      <c r="Q1227" s="35" t="s">
        <v>154</v>
      </c>
    </row>
    <row r="1228" spans="1:17" ht="36" x14ac:dyDescent="0.25">
      <c r="A1228" s="23">
        <v>38335</v>
      </c>
      <c r="B1228" s="23">
        <v>38335</v>
      </c>
      <c r="C1228" s="24">
        <v>2004</v>
      </c>
      <c r="D1228" s="24" t="s">
        <v>141</v>
      </c>
      <c r="E1228" s="30" t="s">
        <v>142</v>
      </c>
      <c r="F1228" s="7" t="s">
        <v>68</v>
      </c>
      <c r="G1228" s="44" t="s">
        <v>1915</v>
      </c>
      <c r="H1228" s="44" t="s">
        <v>1916</v>
      </c>
      <c r="I1228" s="27">
        <v>5</v>
      </c>
      <c r="J1228" s="20">
        <v>5</v>
      </c>
      <c r="K1228" s="20">
        <v>0</v>
      </c>
      <c r="L1228" s="20">
        <v>0</v>
      </c>
      <c r="M1228" s="20">
        <v>0</v>
      </c>
      <c r="N1228" s="20">
        <v>0</v>
      </c>
      <c r="O1228" s="20">
        <v>0</v>
      </c>
      <c r="P1228" s="26">
        <v>1</v>
      </c>
      <c r="Q1228" s="35" t="s">
        <v>154</v>
      </c>
    </row>
    <row r="1229" spans="1:17" ht="48" x14ac:dyDescent="0.25">
      <c r="A1229" s="23">
        <v>38166</v>
      </c>
      <c r="B1229" s="23">
        <v>38166</v>
      </c>
      <c r="C1229" s="24">
        <v>2004</v>
      </c>
      <c r="D1229" s="24" t="s">
        <v>141</v>
      </c>
      <c r="E1229" s="30" t="s">
        <v>142</v>
      </c>
      <c r="F1229" s="7" t="s">
        <v>53</v>
      </c>
      <c r="G1229" s="44" t="s">
        <v>847</v>
      </c>
      <c r="H1229" s="44" t="s">
        <v>1917</v>
      </c>
      <c r="I1229" s="27">
        <v>0</v>
      </c>
      <c r="J1229" s="20">
        <v>7</v>
      </c>
      <c r="K1229" s="20">
        <v>0</v>
      </c>
      <c r="L1229" s="20">
        <v>0</v>
      </c>
      <c r="M1229" s="20">
        <v>0</v>
      </c>
      <c r="N1229" s="20">
        <v>0</v>
      </c>
      <c r="O1229" s="20">
        <v>0</v>
      </c>
      <c r="P1229" s="26">
        <v>0.11</v>
      </c>
      <c r="Q1229" s="35" t="s">
        <v>154</v>
      </c>
    </row>
    <row r="1230" spans="1:17" ht="84" x14ac:dyDescent="0.25">
      <c r="A1230" s="23">
        <v>37993</v>
      </c>
      <c r="B1230" s="23">
        <v>37993</v>
      </c>
      <c r="C1230" s="24">
        <v>2004</v>
      </c>
      <c r="D1230" s="24" t="s">
        <v>141</v>
      </c>
      <c r="E1230" s="30" t="s">
        <v>142</v>
      </c>
      <c r="F1230" s="7" t="s">
        <v>91</v>
      </c>
      <c r="G1230" s="44" t="s">
        <v>1918</v>
      </c>
      <c r="H1230" s="44" t="s">
        <v>1919</v>
      </c>
      <c r="I1230" s="27">
        <v>4</v>
      </c>
      <c r="J1230" s="20">
        <v>4</v>
      </c>
      <c r="K1230" s="20">
        <v>0</v>
      </c>
      <c r="L1230" s="20">
        <v>0</v>
      </c>
      <c r="M1230" s="20">
        <v>0</v>
      </c>
      <c r="N1230" s="20">
        <v>0</v>
      </c>
      <c r="O1230" s="20">
        <v>0</v>
      </c>
      <c r="P1230" s="26">
        <v>0.76</v>
      </c>
      <c r="Q1230" s="35" t="s">
        <v>154</v>
      </c>
    </row>
    <row r="1231" spans="1:17" ht="60" x14ac:dyDescent="0.25">
      <c r="A1231" s="23">
        <v>37998</v>
      </c>
      <c r="B1231" s="23">
        <v>37998</v>
      </c>
      <c r="C1231" s="24">
        <v>2004</v>
      </c>
      <c r="D1231" s="24" t="s">
        <v>141</v>
      </c>
      <c r="E1231" s="30" t="s">
        <v>142</v>
      </c>
      <c r="F1231" s="7" t="s">
        <v>45</v>
      </c>
      <c r="G1231" s="44" t="s">
        <v>1920</v>
      </c>
      <c r="H1231" s="44" t="s">
        <v>1921</v>
      </c>
      <c r="I1231" s="27">
        <v>4</v>
      </c>
      <c r="J1231" s="20">
        <v>22</v>
      </c>
      <c r="K1231" s="20">
        <v>0</v>
      </c>
      <c r="L1231" s="20">
        <v>0</v>
      </c>
      <c r="M1231" s="20">
        <v>0</v>
      </c>
      <c r="N1231" s="20">
        <v>0</v>
      </c>
      <c r="O1231" s="20">
        <v>0</v>
      </c>
      <c r="P1231" s="26">
        <v>0.6</v>
      </c>
      <c r="Q1231" s="35" t="s">
        <v>154</v>
      </c>
    </row>
    <row r="1232" spans="1:17" ht="60" x14ac:dyDescent="0.25">
      <c r="A1232" s="23">
        <v>38164</v>
      </c>
      <c r="B1232" s="23">
        <v>38164</v>
      </c>
      <c r="C1232" s="24">
        <v>2004</v>
      </c>
      <c r="D1232" s="24" t="s">
        <v>141</v>
      </c>
      <c r="E1232" s="42" t="s">
        <v>447</v>
      </c>
      <c r="F1232" s="7" t="s">
        <v>62</v>
      </c>
      <c r="G1232" s="44" t="s">
        <v>1320</v>
      </c>
      <c r="H1232" s="44" t="s">
        <v>1922</v>
      </c>
      <c r="I1232" s="27">
        <v>0</v>
      </c>
      <c r="J1232" s="20">
        <v>8</v>
      </c>
      <c r="K1232" s="20">
        <v>0</v>
      </c>
      <c r="L1232" s="20">
        <v>0</v>
      </c>
      <c r="M1232" s="20">
        <v>0</v>
      </c>
      <c r="N1232" s="20">
        <v>0</v>
      </c>
      <c r="O1232" s="20">
        <v>0</v>
      </c>
      <c r="P1232" s="26">
        <v>0</v>
      </c>
      <c r="Q1232" s="35" t="s">
        <v>154</v>
      </c>
    </row>
    <row r="1233" spans="1:17" ht="72" x14ac:dyDescent="0.25">
      <c r="A1233" s="23">
        <v>38048</v>
      </c>
      <c r="B1233" s="23">
        <v>38048</v>
      </c>
      <c r="C1233" s="24">
        <v>2004</v>
      </c>
      <c r="D1233" s="24" t="s">
        <v>141</v>
      </c>
      <c r="E1233" s="30" t="s">
        <v>142</v>
      </c>
      <c r="F1233" s="7" t="s">
        <v>53</v>
      </c>
      <c r="G1233" s="44" t="s">
        <v>1923</v>
      </c>
      <c r="H1233" s="44" t="s">
        <v>1924</v>
      </c>
      <c r="I1233" s="27">
        <v>0</v>
      </c>
      <c r="J1233" s="20">
        <v>5</v>
      </c>
      <c r="K1233" s="20">
        <v>0</v>
      </c>
      <c r="L1233" s="20">
        <v>0</v>
      </c>
      <c r="M1233" s="20">
        <v>0</v>
      </c>
      <c r="N1233" s="20">
        <v>0</v>
      </c>
      <c r="O1233" s="20">
        <v>0</v>
      </c>
      <c r="P1233" s="26">
        <v>1.1000000000000001</v>
      </c>
      <c r="Q1233" s="35" t="s">
        <v>154</v>
      </c>
    </row>
    <row r="1234" spans="1:17" ht="48" x14ac:dyDescent="0.25">
      <c r="A1234" s="23">
        <v>38060</v>
      </c>
      <c r="B1234" s="23">
        <v>38060</v>
      </c>
      <c r="C1234" s="24">
        <v>2004</v>
      </c>
      <c r="D1234" s="24" t="s">
        <v>141</v>
      </c>
      <c r="E1234" s="42" t="s">
        <v>447</v>
      </c>
      <c r="F1234" s="28" t="s">
        <v>157</v>
      </c>
      <c r="G1234" s="44" t="s">
        <v>110</v>
      </c>
      <c r="H1234" s="44" t="s">
        <v>1925</v>
      </c>
      <c r="I1234" s="27">
        <v>0</v>
      </c>
      <c r="J1234" s="20">
        <v>0</v>
      </c>
      <c r="K1234" s="20">
        <v>0</v>
      </c>
      <c r="L1234" s="20">
        <v>0</v>
      </c>
      <c r="M1234" s="20">
        <v>0</v>
      </c>
      <c r="N1234" s="20">
        <v>0</v>
      </c>
      <c r="O1234" s="20">
        <v>0</v>
      </c>
      <c r="P1234" s="26">
        <v>0</v>
      </c>
      <c r="Q1234" s="35" t="s">
        <v>154</v>
      </c>
    </row>
    <row r="1235" spans="1:17" ht="48" x14ac:dyDescent="0.25">
      <c r="A1235" s="23">
        <v>38052</v>
      </c>
      <c r="B1235" s="23">
        <v>38052</v>
      </c>
      <c r="C1235" s="24">
        <v>2004</v>
      </c>
      <c r="D1235" s="24" t="s">
        <v>141</v>
      </c>
      <c r="E1235" s="30" t="s">
        <v>142</v>
      </c>
      <c r="F1235" s="7" t="s">
        <v>82</v>
      </c>
      <c r="G1235" s="44" t="s">
        <v>1926</v>
      </c>
      <c r="H1235" s="44" t="s">
        <v>1927</v>
      </c>
      <c r="I1235" s="27">
        <v>4</v>
      </c>
      <c r="J1235" s="20">
        <v>4</v>
      </c>
      <c r="K1235" s="20">
        <v>0</v>
      </c>
      <c r="L1235" s="20">
        <v>0</v>
      </c>
      <c r="M1235" s="20">
        <v>0</v>
      </c>
      <c r="N1235" s="20">
        <v>0</v>
      </c>
      <c r="O1235" s="20">
        <v>0</v>
      </c>
      <c r="P1235" s="26">
        <v>1</v>
      </c>
      <c r="Q1235" s="35" t="s">
        <v>154</v>
      </c>
    </row>
    <row r="1236" spans="1:17" ht="36" x14ac:dyDescent="0.25">
      <c r="A1236" s="23">
        <v>38068</v>
      </c>
      <c r="B1236" s="23">
        <v>38068</v>
      </c>
      <c r="C1236" s="24">
        <v>2004</v>
      </c>
      <c r="D1236" s="24" t="s">
        <v>141</v>
      </c>
      <c r="E1236" s="42" t="s">
        <v>447</v>
      </c>
      <c r="F1236" s="28" t="s">
        <v>157</v>
      </c>
      <c r="G1236" s="44" t="s">
        <v>110</v>
      </c>
      <c r="H1236" s="44" t="s">
        <v>1928</v>
      </c>
      <c r="I1236" s="27">
        <v>0</v>
      </c>
      <c r="J1236" s="20">
        <v>0</v>
      </c>
      <c r="K1236" s="20">
        <v>0</v>
      </c>
      <c r="L1236" s="20">
        <v>0</v>
      </c>
      <c r="M1236" s="20">
        <v>0</v>
      </c>
      <c r="N1236" s="20">
        <v>0</v>
      </c>
      <c r="O1236" s="20">
        <v>0</v>
      </c>
      <c r="P1236" s="26">
        <v>0</v>
      </c>
      <c r="Q1236" s="35" t="s">
        <v>154</v>
      </c>
    </row>
    <row r="1237" spans="1:17" ht="24" x14ac:dyDescent="0.25">
      <c r="A1237" s="23">
        <v>38068</v>
      </c>
      <c r="B1237" s="23">
        <v>38068</v>
      </c>
      <c r="C1237" s="24">
        <v>2004</v>
      </c>
      <c r="D1237" s="24" t="s">
        <v>141</v>
      </c>
      <c r="E1237" s="6" t="s">
        <v>333</v>
      </c>
      <c r="F1237" s="7" t="s">
        <v>75</v>
      </c>
      <c r="G1237" s="44" t="s">
        <v>1929</v>
      </c>
      <c r="H1237" s="44" t="s">
        <v>1930</v>
      </c>
      <c r="I1237" s="27">
        <v>0</v>
      </c>
      <c r="J1237" s="20">
        <v>6</v>
      </c>
      <c r="K1237" s="20">
        <v>0</v>
      </c>
      <c r="L1237" s="20">
        <v>0</v>
      </c>
      <c r="M1237" s="20">
        <v>0</v>
      </c>
      <c r="N1237" s="20">
        <v>0</v>
      </c>
      <c r="O1237" s="20">
        <v>0</v>
      </c>
      <c r="P1237" s="26">
        <v>0</v>
      </c>
      <c r="Q1237" s="35" t="s">
        <v>154</v>
      </c>
    </row>
    <row r="1238" spans="1:17" ht="36" x14ac:dyDescent="0.25">
      <c r="A1238" s="23">
        <v>38080</v>
      </c>
      <c r="B1238" s="23">
        <v>38080</v>
      </c>
      <c r="C1238" s="24">
        <v>2004</v>
      </c>
      <c r="D1238" s="24" t="s">
        <v>141</v>
      </c>
      <c r="E1238" s="30" t="s">
        <v>142</v>
      </c>
      <c r="F1238" s="7" t="s">
        <v>82</v>
      </c>
      <c r="G1238" s="44" t="s">
        <v>110</v>
      </c>
      <c r="H1238" s="44" t="s">
        <v>1931</v>
      </c>
      <c r="I1238" s="27">
        <v>4</v>
      </c>
      <c r="J1238" s="20">
        <v>26</v>
      </c>
      <c r="K1238" s="20">
        <v>0</v>
      </c>
      <c r="L1238" s="20">
        <v>0</v>
      </c>
      <c r="M1238" s="20">
        <v>0</v>
      </c>
      <c r="N1238" s="20">
        <v>0</v>
      </c>
      <c r="O1238" s="20">
        <v>0</v>
      </c>
      <c r="P1238" s="26">
        <v>0.6</v>
      </c>
      <c r="Q1238" s="35" t="s">
        <v>154</v>
      </c>
    </row>
    <row r="1239" spans="1:17" ht="48" x14ac:dyDescent="0.25">
      <c r="A1239" s="23">
        <v>38080</v>
      </c>
      <c r="B1239" s="23">
        <v>38080</v>
      </c>
      <c r="C1239" s="24">
        <v>2004</v>
      </c>
      <c r="D1239" s="24" t="s">
        <v>141</v>
      </c>
      <c r="E1239" s="30" t="s">
        <v>142</v>
      </c>
      <c r="F1239" s="7" t="s">
        <v>58</v>
      </c>
      <c r="G1239" s="44" t="s">
        <v>110</v>
      </c>
      <c r="H1239" s="44" t="s">
        <v>1932</v>
      </c>
      <c r="I1239" s="27">
        <v>4</v>
      </c>
      <c r="J1239" s="20">
        <v>16</v>
      </c>
      <c r="K1239" s="20">
        <v>0</v>
      </c>
      <c r="L1239" s="20">
        <v>0</v>
      </c>
      <c r="M1239" s="20">
        <v>0</v>
      </c>
      <c r="N1239" s="20">
        <v>0</v>
      </c>
      <c r="O1239" s="20">
        <v>0</v>
      </c>
      <c r="P1239" s="26">
        <v>0.6</v>
      </c>
      <c r="Q1239" s="35" t="s">
        <v>154</v>
      </c>
    </row>
    <row r="1240" spans="1:17" ht="48" x14ac:dyDescent="0.25">
      <c r="A1240" s="23">
        <v>38088</v>
      </c>
      <c r="B1240" s="23">
        <v>38088</v>
      </c>
      <c r="C1240" s="24">
        <v>2004</v>
      </c>
      <c r="D1240" s="24" t="s">
        <v>141</v>
      </c>
      <c r="E1240" s="30" t="s">
        <v>142</v>
      </c>
      <c r="F1240" s="7" t="s">
        <v>56</v>
      </c>
      <c r="G1240" s="44" t="s">
        <v>1933</v>
      </c>
      <c r="H1240" s="44" t="s">
        <v>1934</v>
      </c>
      <c r="I1240" s="27">
        <v>4</v>
      </c>
      <c r="J1240" s="20">
        <v>11</v>
      </c>
      <c r="K1240" s="20">
        <v>0</v>
      </c>
      <c r="L1240" s="20">
        <v>0</v>
      </c>
      <c r="M1240" s="20">
        <v>0</v>
      </c>
      <c r="N1240" s="20">
        <v>0</v>
      </c>
      <c r="O1240" s="20">
        <v>0</v>
      </c>
      <c r="P1240" s="26">
        <v>0.12</v>
      </c>
      <c r="Q1240" s="35" t="s">
        <v>154</v>
      </c>
    </row>
    <row r="1241" spans="1:17" ht="60" x14ac:dyDescent="0.25">
      <c r="A1241" s="23">
        <v>38325</v>
      </c>
      <c r="B1241" s="23">
        <v>38325</v>
      </c>
      <c r="C1241" s="24">
        <v>2004</v>
      </c>
      <c r="D1241" s="24" t="s">
        <v>141</v>
      </c>
      <c r="E1241" s="30" t="s">
        <v>142</v>
      </c>
      <c r="F1241" s="28" t="s">
        <v>210</v>
      </c>
      <c r="G1241" s="44" t="s">
        <v>1935</v>
      </c>
      <c r="H1241" s="44" t="s">
        <v>1936</v>
      </c>
      <c r="I1241" s="27">
        <v>4</v>
      </c>
      <c r="J1241" s="20">
        <v>42</v>
      </c>
      <c r="K1241" s="20">
        <v>0</v>
      </c>
      <c r="L1241" s="20">
        <v>0</v>
      </c>
      <c r="M1241" s="20">
        <v>0</v>
      </c>
      <c r="N1241" s="20">
        <v>0</v>
      </c>
      <c r="O1241" s="20">
        <v>0</v>
      </c>
      <c r="P1241" s="26">
        <v>0.7</v>
      </c>
      <c r="Q1241" s="35" t="s">
        <v>154</v>
      </c>
    </row>
    <row r="1242" spans="1:17" ht="36" x14ac:dyDescent="0.25">
      <c r="A1242" s="23">
        <v>38186</v>
      </c>
      <c r="B1242" s="23">
        <v>38186</v>
      </c>
      <c r="C1242" s="24">
        <v>2004</v>
      </c>
      <c r="D1242" s="24" t="s">
        <v>141</v>
      </c>
      <c r="E1242" s="30" t="s">
        <v>142</v>
      </c>
      <c r="F1242" s="7" t="s">
        <v>60</v>
      </c>
      <c r="G1242" s="44" t="s">
        <v>110</v>
      </c>
      <c r="H1242" s="44" t="s">
        <v>1937</v>
      </c>
      <c r="I1242" s="27">
        <v>0</v>
      </c>
      <c r="J1242" s="20">
        <v>19</v>
      </c>
      <c r="K1242" s="20">
        <v>0</v>
      </c>
      <c r="L1242" s="20">
        <v>0</v>
      </c>
      <c r="M1242" s="20">
        <v>0</v>
      </c>
      <c r="N1242" s="20">
        <v>0</v>
      </c>
      <c r="O1242" s="20">
        <v>0</v>
      </c>
      <c r="P1242" s="26">
        <v>0.6</v>
      </c>
      <c r="Q1242" s="35" t="s">
        <v>154</v>
      </c>
    </row>
    <row r="1243" spans="1:17" ht="36" x14ac:dyDescent="0.25">
      <c r="A1243" s="23">
        <v>38057</v>
      </c>
      <c r="B1243" s="23">
        <v>38057</v>
      </c>
      <c r="C1243" s="24">
        <v>2004</v>
      </c>
      <c r="D1243" s="24" t="s">
        <v>141</v>
      </c>
      <c r="E1243" s="30" t="s">
        <v>142</v>
      </c>
      <c r="F1243" s="7" t="s">
        <v>62</v>
      </c>
      <c r="G1243" s="44" t="s">
        <v>110</v>
      </c>
      <c r="H1243" s="44" t="s">
        <v>1938</v>
      </c>
      <c r="I1243" s="27">
        <v>0</v>
      </c>
      <c r="J1243" s="20">
        <v>2</v>
      </c>
      <c r="K1243" s="20">
        <v>0</v>
      </c>
      <c r="L1243" s="20">
        <v>0</v>
      </c>
      <c r="M1243" s="20">
        <v>0</v>
      </c>
      <c r="N1243" s="20">
        <v>0</v>
      </c>
      <c r="O1243" s="20">
        <v>0</v>
      </c>
      <c r="P1243" s="26">
        <v>2</v>
      </c>
      <c r="Q1243" s="35" t="s">
        <v>154</v>
      </c>
    </row>
    <row r="1244" spans="1:17" ht="60" x14ac:dyDescent="0.25">
      <c r="A1244" s="23">
        <v>38086</v>
      </c>
      <c r="B1244" s="23">
        <v>38086</v>
      </c>
      <c r="C1244" s="24">
        <v>2004</v>
      </c>
      <c r="D1244" s="24" t="s">
        <v>141</v>
      </c>
      <c r="E1244" s="42" t="s">
        <v>447</v>
      </c>
      <c r="F1244" s="28" t="s">
        <v>157</v>
      </c>
      <c r="G1244" s="44" t="s">
        <v>206</v>
      </c>
      <c r="H1244" s="44" t="s">
        <v>1939</v>
      </c>
      <c r="I1244" s="27">
        <v>0</v>
      </c>
      <c r="J1244" s="20">
        <v>672</v>
      </c>
      <c r="K1244" s="20">
        <v>0</v>
      </c>
      <c r="L1244" s="20">
        <v>0</v>
      </c>
      <c r="M1244" s="20">
        <v>0</v>
      </c>
      <c r="N1244" s="20">
        <v>0</v>
      </c>
      <c r="O1244" s="20">
        <v>0</v>
      </c>
      <c r="P1244" s="26">
        <v>0</v>
      </c>
      <c r="Q1244" s="35" t="s">
        <v>154</v>
      </c>
    </row>
    <row r="1245" spans="1:17" ht="60" x14ac:dyDescent="0.25">
      <c r="A1245" s="23">
        <v>38070</v>
      </c>
      <c r="B1245" s="23">
        <v>38070</v>
      </c>
      <c r="C1245" s="24">
        <v>2004</v>
      </c>
      <c r="D1245" s="24" t="s">
        <v>141</v>
      </c>
      <c r="E1245" s="30" t="s">
        <v>142</v>
      </c>
      <c r="F1245" s="7" t="s">
        <v>75</v>
      </c>
      <c r="G1245" s="44" t="s">
        <v>1940</v>
      </c>
      <c r="H1245" s="44" t="s">
        <v>1941</v>
      </c>
      <c r="I1245" s="27">
        <v>3</v>
      </c>
      <c r="J1245" s="20">
        <v>38</v>
      </c>
      <c r="K1245" s="20">
        <v>0</v>
      </c>
      <c r="L1245" s="20">
        <v>0</v>
      </c>
      <c r="M1245" s="20">
        <v>0</v>
      </c>
      <c r="N1245" s="20">
        <v>0</v>
      </c>
      <c r="O1245" s="20">
        <v>0</v>
      </c>
      <c r="P1245" s="26">
        <v>0.6</v>
      </c>
      <c r="Q1245" s="35" t="s">
        <v>154</v>
      </c>
    </row>
    <row r="1246" spans="1:17" ht="48" x14ac:dyDescent="0.25">
      <c r="A1246" s="23">
        <v>38198</v>
      </c>
      <c r="B1246" s="23">
        <v>38198</v>
      </c>
      <c r="C1246" s="24">
        <v>2004</v>
      </c>
      <c r="D1246" s="24" t="s">
        <v>141</v>
      </c>
      <c r="E1246" s="30" t="s">
        <v>142</v>
      </c>
      <c r="F1246" s="7" t="s">
        <v>56</v>
      </c>
      <c r="G1246" s="44" t="s">
        <v>110</v>
      </c>
      <c r="H1246" s="44" t="s">
        <v>1942</v>
      </c>
      <c r="I1246" s="27">
        <v>3</v>
      </c>
      <c r="J1246" s="20">
        <v>21</v>
      </c>
      <c r="K1246" s="20">
        <v>0</v>
      </c>
      <c r="L1246" s="20">
        <v>0</v>
      </c>
      <c r="M1246" s="20">
        <v>0</v>
      </c>
      <c r="N1246" s="20">
        <v>0</v>
      </c>
      <c r="O1246" s="20">
        <v>0</v>
      </c>
      <c r="P1246" s="26">
        <v>0.54</v>
      </c>
      <c r="Q1246" s="35" t="s">
        <v>154</v>
      </c>
    </row>
    <row r="1247" spans="1:17" ht="60" x14ac:dyDescent="0.25">
      <c r="A1247" s="23">
        <v>38228</v>
      </c>
      <c r="B1247" s="23">
        <v>38228</v>
      </c>
      <c r="C1247" s="24">
        <v>2004</v>
      </c>
      <c r="D1247" s="24" t="s">
        <v>141</v>
      </c>
      <c r="E1247" s="30" t="s">
        <v>142</v>
      </c>
      <c r="F1247" s="7" t="s">
        <v>40</v>
      </c>
      <c r="G1247" s="44" t="s">
        <v>1943</v>
      </c>
      <c r="H1247" s="44" t="s">
        <v>1944</v>
      </c>
      <c r="I1247" s="27">
        <v>3</v>
      </c>
      <c r="J1247" s="20">
        <v>3</v>
      </c>
      <c r="K1247" s="20">
        <v>0</v>
      </c>
      <c r="L1247" s="20">
        <v>0</v>
      </c>
      <c r="M1247" s="20">
        <v>0</v>
      </c>
      <c r="N1247" s="20">
        <v>0</v>
      </c>
      <c r="O1247" s="20">
        <v>0</v>
      </c>
      <c r="P1247" s="26">
        <v>1</v>
      </c>
      <c r="Q1247" s="35" t="s">
        <v>154</v>
      </c>
    </row>
    <row r="1248" spans="1:17" ht="36" x14ac:dyDescent="0.25">
      <c r="A1248" s="23">
        <v>38089</v>
      </c>
      <c r="B1248" s="23">
        <v>38089</v>
      </c>
      <c r="C1248" s="24">
        <v>2004</v>
      </c>
      <c r="D1248" s="24" t="s">
        <v>141</v>
      </c>
      <c r="E1248" s="30" t="s">
        <v>142</v>
      </c>
      <c r="F1248" s="7" t="s">
        <v>56</v>
      </c>
      <c r="G1248" s="44" t="s">
        <v>1638</v>
      </c>
      <c r="H1248" s="44" t="s">
        <v>1945</v>
      </c>
      <c r="I1248" s="27">
        <v>0</v>
      </c>
      <c r="J1248" s="20">
        <v>36</v>
      </c>
      <c r="K1248" s="20">
        <v>0</v>
      </c>
      <c r="L1248" s="20">
        <v>0</v>
      </c>
      <c r="M1248" s="20">
        <v>0</v>
      </c>
      <c r="N1248" s="20">
        <v>0</v>
      </c>
      <c r="O1248" s="20">
        <v>0</v>
      </c>
      <c r="P1248" s="26">
        <v>0.6</v>
      </c>
      <c r="Q1248" s="35" t="s">
        <v>154</v>
      </c>
    </row>
    <row r="1249" spans="1:17" ht="36" x14ac:dyDescent="0.25">
      <c r="A1249" s="23">
        <v>38234</v>
      </c>
      <c r="B1249" s="23">
        <v>38234</v>
      </c>
      <c r="C1249" s="24">
        <v>2004</v>
      </c>
      <c r="D1249" s="24" t="s">
        <v>141</v>
      </c>
      <c r="E1249" s="30" t="s">
        <v>142</v>
      </c>
      <c r="F1249" s="7" t="s">
        <v>72</v>
      </c>
      <c r="G1249" s="44" t="s">
        <v>1946</v>
      </c>
      <c r="H1249" s="44" t="s">
        <v>1947</v>
      </c>
      <c r="I1249" s="27">
        <v>3</v>
      </c>
      <c r="J1249" s="20">
        <v>3</v>
      </c>
      <c r="K1249" s="20">
        <v>0</v>
      </c>
      <c r="L1249" s="20">
        <v>0</v>
      </c>
      <c r="M1249" s="20">
        <v>0</v>
      </c>
      <c r="N1249" s="20">
        <v>0</v>
      </c>
      <c r="O1249" s="20">
        <v>0</v>
      </c>
      <c r="P1249" s="26">
        <v>1</v>
      </c>
      <c r="Q1249" s="35" t="s">
        <v>154</v>
      </c>
    </row>
    <row r="1250" spans="1:17" ht="36" x14ac:dyDescent="0.25">
      <c r="A1250" s="23">
        <v>38095</v>
      </c>
      <c r="B1250" s="23">
        <v>38095</v>
      </c>
      <c r="C1250" s="24">
        <v>2004</v>
      </c>
      <c r="D1250" s="24" t="s">
        <v>141</v>
      </c>
      <c r="E1250" s="30" t="s">
        <v>142</v>
      </c>
      <c r="F1250" s="7" t="s">
        <v>56</v>
      </c>
      <c r="G1250" s="44" t="s">
        <v>110</v>
      </c>
      <c r="H1250" s="44" t="s">
        <v>1948</v>
      </c>
      <c r="I1250" s="27">
        <v>0</v>
      </c>
      <c r="J1250" s="20">
        <v>21</v>
      </c>
      <c r="K1250" s="20">
        <v>0</v>
      </c>
      <c r="L1250" s="20">
        <v>0</v>
      </c>
      <c r="M1250" s="20">
        <v>0</v>
      </c>
      <c r="N1250" s="20">
        <v>0</v>
      </c>
      <c r="O1250" s="20">
        <v>0</v>
      </c>
      <c r="P1250" s="26">
        <v>0.6</v>
      </c>
      <c r="Q1250" s="35" t="s">
        <v>154</v>
      </c>
    </row>
    <row r="1251" spans="1:17" ht="60" x14ac:dyDescent="0.25">
      <c r="A1251" s="23">
        <v>38100</v>
      </c>
      <c r="B1251" s="23">
        <v>38100</v>
      </c>
      <c r="C1251" s="24">
        <v>2004</v>
      </c>
      <c r="D1251" s="24" t="s">
        <v>141</v>
      </c>
      <c r="E1251" s="30" t="s">
        <v>142</v>
      </c>
      <c r="F1251" s="7" t="s">
        <v>36</v>
      </c>
      <c r="G1251" s="44" t="s">
        <v>1949</v>
      </c>
      <c r="H1251" s="44" t="s">
        <v>1950</v>
      </c>
      <c r="I1251" s="27">
        <v>0</v>
      </c>
      <c r="J1251" s="20">
        <v>0</v>
      </c>
      <c r="K1251" s="20">
        <v>0</v>
      </c>
      <c r="L1251" s="20">
        <v>0</v>
      </c>
      <c r="M1251" s="20">
        <v>0</v>
      </c>
      <c r="N1251" s="20">
        <v>0</v>
      </c>
      <c r="O1251" s="20">
        <v>0</v>
      </c>
      <c r="P1251" s="26">
        <v>0</v>
      </c>
      <c r="Q1251" s="35" t="s">
        <v>154</v>
      </c>
    </row>
    <row r="1252" spans="1:17" ht="60" x14ac:dyDescent="0.25">
      <c r="A1252" s="23">
        <v>38150</v>
      </c>
      <c r="B1252" s="23">
        <v>38150</v>
      </c>
      <c r="C1252" s="24">
        <v>2004</v>
      </c>
      <c r="D1252" s="24" t="s">
        <v>141</v>
      </c>
      <c r="E1252" s="6" t="s">
        <v>333</v>
      </c>
      <c r="F1252" s="7" t="s">
        <v>62</v>
      </c>
      <c r="G1252" s="44" t="s">
        <v>1011</v>
      </c>
      <c r="H1252" s="44" t="s">
        <v>1951</v>
      </c>
      <c r="I1252" s="27">
        <v>0</v>
      </c>
      <c r="J1252" s="20">
        <v>2</v>
      </c>
      <c r="K1252" s="20">
        <v>0</v>
      </c>
      <c r="L1252" s="20">
        <v>0</v>
      </c>
      <c r="M1252" s="20">
        <v>0</v>
      </c>
      <c r="N1252" s="20">
        <v>0</v>
      </c>
      <c r="O1252" s="20">
        <v>0</v>
      </c>
      <c r="P1252" s="26">
        <v>0</v>
      </c>
      <c r="Q1252" s="35" t="s">
        <v>154</v>
      </c>
    </row>
    <row r="1253" spans="1:17" ht="48" x14ac:dyDescent="0.25">
      <c r="A1253" s="23">
        <v>38235</v>
      </c>
      <c r="B1253" s="23">
        <v>38235</v>
      </c>
      <c r="C1253" s="24">
        <v>2004</v>
      </c>
      <c r="D1253" s="24" t="s">
        <v>141</v>
      </c>
      <c r="E1253" s="30" t="s">
        <v>142</v>
      </c>
      <c r="F1253" s="7" t="s">
        <v>56</v>
      </c>
      <c r="G1253" s="44" t="s">
        <v>110</v>
      </c>
      <c r="H1253" s="44" t="s">
        <v>1952</v>
      </c>
      <c r="I1253" s="27">
        <v>3</v>
      </c>
      <c r="J1253" s="20">
        <v>25</v>
      </c>
      <c r="K1253" s="20">
        <v>0</v>
      </c>
      <c r="L1253" s="20">
        <v>0</v>
      </c>
      <c r="M1253" s="20">
        <v>0</v>
      </c>
      <c r="N1253" s="20">
        <v>0</v>
      </c>
      <c r="O1253" s="20">
        <v>0</v>
      </c>
      <c r="P1253" s="26">
        <v>0.6</v>
      </c>
      <c r="Q1253" s="35" t="s">
        <v>154</v>
      </c>
    </row>
    <row r="1254" spans="1:17" ht="60" x14ac:dyDescent="0.25">
      <c r="A1254" s="23">
        <v>38154</v>
      </c>
      <c r="B1254" s="23">
        <v>38154</v>
      </c>
      <c r="C1254" s="24">
        <v>2004</v>
      </c>
      <c r="D1254" s="24" t="s">
        <v>141</v>
      </c>
      <c r="E1254" s="30" t="s">
        <v>142</v>
      </c>
      <c r="F1254" s="7" t="s">
        <v>53</v>
      </c>
      <c r="G1254" s="44" t="s">
        <v>460</v>
      </c>
      <c r="H1254" s="44" t="s">
        <v>1953</v>
      </c>
      <c r="I1254" s="27">
        <v>2</v>
      </c>
      <c r="J1254" s="20">
        <v>4</v>
      </c>
      <c r="K1254" s="20">
        <v>0</v>
      </c>
      <c r="L1254" s="20">
        <v>0</v>
      </c>
      <c r="M1254" s="20">
        <v>0</v>
      </c>
      <c r="N1254" s="20">
        <v>0</v>
      </c>
      <c r="O1254" s="20">
        <v>0</v>
      </c>
      <c r="P1254" s="26">
        <v>0.27</v>
      </c>
      <c r="Q1254" s="35" t="s">
        <v>154</v>
      </c>
    </row>
    <row r="1255" spans="1:17" ht="36" x14ac:dyDescent="0.25">
      <c r="A1255" s="23">
        <v>38115</v>
      </c>
      <c r="B1255" s="23">
        <v>38115</v>
      </c>
      <c r="C1255" s="24">
        <v>2004</v>
      </c>
      <c r="D1255" s="24" t="s">
        <v>141</v>
      </c>
      <c r="E1255" s="30" t="s">
        <v>142</v>
      </c>
      <c r="F1255" s="7" t="s">
        <v>72</v>
      </c>
      <c r="G1255" s="44" t="s">
        <v>1954</v>
      </c>
      <c r="H1255" s="44" t="s">
        <v>1955</v>
      </c>
      <c r="I1255" s="27">
        <v>0</v>
      </c>
      <c r="J1255" s="20">
        <v>13</v>
      </c>
      <c r="K1255" s="20">
        <v>0</v>
      </c>
      <c r="L1255" s="20">
        <v>0</v>
      </c>
      <c r="M1255" s="20">
        <v>0</v>
      </c>
      <c r="N1255" s="20">
        <v>0</v>
      </c>
      <c r="O1255" s="20">
        <v>0</v>
      </c>
      <c r="P1255" s="26">
        <v>0</v>
      </c>
      <c r="Q1255" s="35" t="s">
        <v>154</v>
      </c>
    </row>
    <row r="1256" spans="1:17" ht="60" x14ac:dyDescent="0.25">
      <c r="A1256" s="23">
        <v>38120</v>
      </c>
      <c r="B1256" s="23">
        <v>38120</v>
      </c>
      <c r="C1256" s="24">
        <v>2004</v>
      </c>
      <c r="D1256" s="24" t="s">
        <v>141</v>
      </c>
      <c r="E1256" s="30" t="s">
        <v>142</v>
      </c>
      <c r="F1256" s="7" t="s">
        <v>56</v>
      </c>
      <c r="G1256" s="44" t="s">
        <v>110</v>
      </c>
      <c r="H1256" s="44" t="s">
        <v>1956</v>
      </c>
      <c r="I1256" s="27">
        <v>0</v>
      </c>
      <c r="J1256" s="20">
        <v>7</v>
      </c>
      <c r="K1256" s="20">
        <v>0</v>
      </c>
      <c r="L1256" s="20">
        <v>0</v>
      </c>
      <c r="M1256" s="20">
        <v>0</v>
      </c>
      <c r="N1256" s="20">
        <v>0</v>
      </c>
      <c r="O1256" s="20">
        <v>0</v>
      </c>
      <c r="P1256" s="26">
        <v>0.87</v>
      </c>
      <c r="Q1256" s="35" t="s">
        <v>154</v>
      </c>
    </row>
    <row r="1257" spans="1:17" ht="36" x14ac:dyDescent="0.25">
      <c r="A1257" s="23">
        <v>38005</v>
      </c>
      <c r="B1257" s="23">
        <v>38005</v>
      </c>
      <c r="C1257" s="24">
        <v>2004</v>
      </c>
      <c r="D1257" s="24" t="s">
        <v>141</v>
      </c>
      <c r="E1257" s="30" t="s">
        <v>142</v>
      </c>
      <c r="F1257" s="7" t="s">
        <v>60</v>
      </c>
      <c r="G1257" s="44" t="s">
        <v>110</v>
      </c>
      <c r="H1257" s="44" t="s">
        <v>1957</v>
      </c>
      <c r="I1257" s="27">
        <v>3</v>
      </c>
      <c r="J1257" s="20">
        <v>13</v>
      </c>
      <c r="K1257" s="20">
        <v>0</v>
      </c>
      <c r="L1257" s="20">
        <v>0</v>
      </c>
      <c r="M1257" s="20">
        <v>0</v>
      </c>
      <c r="N1257" s="20">
        <v>0</v>
      </c>
      <c r="O1257" s="20">
        <v>0</v>
      </c>
      <c r="P1257" s="26">
        <v>6</v>
      </c>
      <c r="Q1257" s="35" t="s">
        <v>154</v>
      </c>
    </row>
    <row r="1258" spans="1:17" ht="72" x14ac:dyDescent="0.25">
      <c r="A1258" s="23">
        <v>38130</v>
      </c>
      <c r="B1258" s="23">
        <v>38130</v>
      </c>
      <c r="C1258" s="24">
        <v>2004</v>
      </c>
      <c r="D1258" s="24" t="s">
        <v>141</v>
      </c>
      <c r="E1258" s="41" t="s">
        <v>1958</v>
      </c>
      <c r="F1258" s="7" t="s">
        <v>65</v>
      </c>
      <c r="G1258" s="44" t="s">
        <v>1346</v>
      </c>
      <c r="H1258" s="44" t="s">
        <v>1959</v>
      </c>
      <c r="I1258" s="27">
        <v>0</v>
      </c>
      <c r="J1258" s="20">
        <v>0</v>
      </c>
      <c r="K1258" s="20">
        <v>0</v>
      </c>
      <c r="L1258" s="20">
        <v>0</v>
      </c>
      <c r="M1258" s="20">
        <v>0</v>
      </c>
      <c r="N1258" s="20">
        <v>0</v>
      </c>
      <c r="O1258" s="20">
        <v>0</v>
      </c>
      <c r="P1258" s="26">
        <v>0</v>
      </c>
      <c r="Q1258" s="35" t="s">
        <v>154</v>
      </c>
    </row>
    <row r="1259" spans="1:17" ht="36" x14ac:dyDescent="0.25">
      <c r="A1259" s="23">
        <v>38132</v>
      </c>
      <c r="B1259" s="23">
        <v>38132</v>
      </c>
      <c r="C1259" s="24">
        <v>2004</v>
      </c>
      <c r="D1259" s="24" t="s">
        <v>141</v>
      </c>
      <c r="E1259" s="30" t="s">
        <v>142</v>
      </c>
      <c r="F1259" s="7" t="s">
        <v>56</v>
      </c>
      <c r="G1259" s="44" t="s">
        <v>110</v>
      </c>
      <c r="H1259" s="44" t="s">
        <v>1960</v>
      </c>
      <c r="I1259" s="27">
        <v>0</v>
      </c>
      <c r="J1259" s="20">
        <v>10</v>
      </c>
      <c r="K1259" s="20">
        <v>0</v>
      </c>
      <c r="L1259" s="20">
        <v>0</v>
      </c>
      <c r="M1259" s="20">
        <v>0</v>
      </c>
      <c r="N1259" s="20">
        <v>0</v>
      </c>
      <c r="O1259" s="20">
        <v>0</v>
      </c>
      <c r="P1259" s="26">
        <v>0.06</v>
      </c>
      <c r="Q1259" s="35" t="s">
        <v>154</v>
      </c>
    </row>
    <row r="1260" spans="1:17" ht="36" x14ac:dyDescent="0.25">
      <c r="A1260" s="23">
        <v>38087</v>
      </c>
      <c r="B1260" s="23">
        <v>38087</v>
      </c>
      <c r="C1260" s="24">
        <v>2004</v>
      </c>
      <c r="D1260" s="24" t="s">
        <v>141</v>
      </c>
      <c r="E1260" s="6" t="s">
        <v>333</v>
      </c>
      <c r="F1260" s="7" t="s">
        <v>101</v>
      </c>
      <c r="G1260" s="44" t="s">
        <v>1961</v>
      </c>
      <c r="H1260" s="44" t="s">
        <v>1962</v>
      </c>
      <c r="I1260" s="27">
        <v>2</v>
      </c>
      <c r="J1260" s="20">
        <v>2</v>
      </c>
      <c r="K1260" s="20">
        <v>0</v>
      </c>
      <c r="L1260" s="20">
        <v>0</v>
      </c>
      <c r="M1260" s="20">
        <v>0</v>
      </c>
      <c r="N1260" s="20">
        <v>0</v>
      </c>
      <c r="O1260" s="20">
        <v>0</v>
      </c>
      <c r="P1260" s="26">
        <v>0</v>
      </c>
      <c r="Q1260" s="35" t="s">
        <v>154</v>
      </c>
    </row>
    <row r="1261" spans="1:17" ht="36" x14ac:dyDescent="0.25">
      <c r="A1261" s="23">
        <v>38291</v>
      </c>
      <c r="B1261" s="23">
        <v>38291</v>
      </c>
      <c r="C1261" s="24">
        <v>2004</v>
      </c>
      <c r="D1261" s="24" t="s">
        <v>141</v>
      </c>
      <c r="E1261" s="30" t="s">
        <v>142</v>
      </c>
      <c r="F1261" s="7" t="s">
        <v>60</v>
      </c>
      <c r="G1261" s="44" t="s">
        <v>1963</v>
      </c>
      <c r="H1261" s="44" t="s">
        <v>1964</v>
      </c>
      <c r="I1261" s="27">
        <v>0</v>
      </c>
      <c r="J1261" s="20">
        <v>9</v>
      </c>
      <c r="K1261" s="20">
        <v>0</v>
      </c>
      <c r="L1261" s="20">
        <v>0</v>
      </c>
      <c r="M1261" s="20">
        <v>0</v>
      </c>
      <c r="N1261" s="20">
        <v>0</v>
      </c>
      <c r="O1261" s="20">
        <v>0</v>
      </c>
      <c r="P1261" s="26">
        <v>0.6</v>
      </c>
      <c r="Q1261" s="35" t="s">
        <v>154</v>
      </c>
    </row>
    <row r="1262" spans="1:17" ht="36" x14ac:dyDescent="0.25">
      <c r="A1262" s="23">
        <v>38093</v>
      </c>
      <c r="B1262" s="23">
        <v>38093</v>
      </c>
      <c r="C1262" s="24">
        <v>2004</v>
      </c>
      <c r="D1262" s="24" t="s">
        <v>141</v>
      </c>
      <c r="E1262" s="41" t="s">
        <v>1965</v>
      </c>
      <c r="F1262" s="7" t="s">
        <v>77</v>
      </c>
      <c r="G1262" s="44" t="s">
        <v>1966</v>
      </c>
      <c r="H1262" s="44" t="s">
        <v>1967</v>
      </c>
      <c r="I1262" s="27">
        <v>2</v>
      </c>
      <c r="J1262" s="20">
        <v>2</v>
      </c>
      <c r="K1262" s="20">
        <v>0</v>
      </c>
      <c r="L1262" s="20">
        <v>0</v>
      </c>
      <c r="M1262" s="20">
        <v>0</v>
      </c>
      <c r="N1262" s="20">
        <v>0</v>
      </c>
      <c r="O1262" s="20">
        <v>0</v>
      </c>
      <c r="P1262" s="26">
        <v>0</v>
      </c>
      <c r="Q1262" s="35" t="s">
        <v>154</v>
      </c>
    </row>
    <row r="1263" spans="1:17" ht="36" x14ac:dyDescent="0.25">
      <c r="A1263" s="23">
        <v>38140</v>
      </c>
      <c r="B1263" s="23">
        <v>38140</v>
      </c>
      <c r="C1263" s="24">
        <v>2004</v>
      </c>
      <c r="D1263" s="24" t="s">
        <v>141</v>
      </c>
      <c r="E1263" s="30" t="s">
        <v>142</v>
      </c>
      <c r="F1263" s="7" t="s">
        <v>58</v>
      </c>
      <c r="G1263" s="44" t="s">
        <v>110</v>
      </c>
      <c r="H1263" s="44" t="s">
        <v>1968</v>
      </c>
      <c r="I1263" s="27">
        <v>0</v>
      </c>
      <c r="J1263" s="20">
        <v>1</v>
      </c>
      <c r="K1263" s="20">
        <v>0</v>
      </c>
      <c r="L1263" s="20">
        <v>0</v>
      </c>
      <c r="M1263" s="20">
        <v>0</v>
      </c>
      <c r="N1263" s="20">
        <v>0</v>
      </c>
      <c r="O1263" s="20">
        <v>0</v>
      </c>
      <c r="P1263" s="26">
        <v>0.27</v>
      </c>
      <c r="Q1263" s="35" t="s">
        <v>154</v>
      </c>
    </row>
    <row r="1264" spans="1:17" ht="36" x14ac:dyDescent="0.25">
      <c r="A1264" s="23">
        <v>38111</v>
      </c>
      <c r="B1264" s="23">
        <v>38111</v>
      </c>
      <c r="C1264" s="24">
        <v>2004</v>
      </c>
      <c r="D1264" s="24" t="s">
        <v>141</v>
      </c>
      <c r="E1264" s="30" t="s">
        <v>142</v>
      </c>
      <c r="F1264" s="7" t="s">
        <v>75</v>
      </c>
      <c r="G1264" s="44" t="s">
        <v>110</v>
      </c>
      <c r="H1264" s="44" t="s">
        <v>1969</v>
      </c>
      <c r="I1264" s="27">
        <v>2</v>
      </c>
      <c r="J1264" s="20">
        <v>27</v>
      </c>
      <c r="K1264" s="20">
        <v>0</v>
      </c>
      <c r="L1264" s="20">
        <v>0</v>
      </c>
      <c r="M1264" s="20">
        <v>0</v>
      </c>
      <c r="N1264" s="20">
        <v>0</v>
      </c>
      <c r="O1264" s="20">
        <v>0</v>
      </c>
      <c r="P1264" s="26">
        <v>0.6</v>
      </c>
      <c r="Q1264" s="35" t="s">
        <v>154</v>
      </c>
    </row>
    <row r="1265" spans="1:17" ht="36" x14ac:dyDescent="0.25">
      <c r="A1265" s="23">
        <v>38142</v>
      </c>
      <c r="B1265" s="23">
        <v>38142</v>
      </c>
      <c r="C1265" s="24">
        <v>2004</v>
      </c>
      <c r="D1265" s="24" t="s">
        <v>141</v>
      </c>
      <c r="E1265" s="30" t="s">
        <v>142</v>
      </c>
      <c r="F1265" s="7" t="s">
        <v>56</v>
      </c>
      <c r="G1265" s="44" t="s">
        <v>1426</v>
      </c>
      <c r="H1265" s="44" t="s">
        <v>1970</v>
      </c>
      <c r="I1265" s="27">
        <v>0</v>
      </c>
      <c r="J1265" s="20">
        <v>1</v>
      </c>
      <c r="K1265" s="20">
        <v>0</v>
      </c>
      <c r="L1265" s="20">
        <v>0</v>
      </c>
      <c r="M1265" s="20">
        <v>0</v>
      </c>
      <c r="N1265" s="20">
        <v>0</v>
      </c>
      <c r="O1265" s="20">
        <v>0</v>
      </c>
      <c r="P1265" s="26">
        <v>1</v>
      </c>
      <c r="Q1265" s="35" t="s">
        <v>154</v>
      </c>
    </row>
    <row r="1266" spans="1:17" ht="48" x14ac:dyDescent="0.25">
      <c r="A1266" s="23">
        <v>38133</v>
      </c>
      <c r="B1266" s="23">
        <v>38133</v>
      </c>
      <c r="C1266" s="24">
        <v>2004</v>
      </c>
      <c r="D1266" s="24" t="s">
        <v>141</v>
      </c>
      <c r="E1266" s="30" t="s">
        <v>142</v>
      </c>
      <c r="F1266" s="7" t="s">
        <v>36</v>
      </c>
      <c r="G1266" s="44" t="s">
        <v>834</v>
      </c>
      <c r="H1266" s="44" t="s">
        <v>1971</v>
      </c>
      <c r="I1266" s="27">
        <v>2</v>
      </c>
      <c r="J1266" s="20">
        <v>42</v>
      </c>
      <c r="K1266" s="20">
        <v>0</v>
      </c>
      <c r="L1266" s="20">
        <v>0</v>
      </c>
      <c r="M1266" s="20">
        <v>0</v>
      </c>
      <c r="N1266" s="20">
        <v>0</v>
      </c>
      <c r="O1266" s="20">
        <v>0</v>
      </c>
      <c r="P1266" s="26">
        <v>0.27</v>
      </c>
      <c r="Q1266" s="35" t="s">
        <v>154</v>
      </c>
    </row>
    <row r="1267" spans="1:17" ht="72" x14ac:dyDescent="0.25">
      <c r="A1267" s="23">
        <v>37998</v>
      </c>
      <c r="B1267" s="23">
        <v>37998</v>
      </c>
      <c r="C1267" s="24">
        <v>2004</v>
      </c>
      <c r="D1267" s="24" t="s">
        <v>141</v>
      </c>
      <c r="E1267" s="30" t="s">
        <v>142</v>
      </c>
      <c r="F1267" s="7" t="s">
        <v>62</v>
      </c>
      <c r="G1267" s="44" t="s">
        <v>1972</v>
      </c>
      <c r="H1267" s="44" t="s">
        <v>1973</v>
      </c>
      <c r="I1267" s="27">
        <v>0</v>
      </c>
      <c r="J1267" s="20">
        <v>1</v>
      </c>
      <c r="K1267" s="20">
        <v>0</v>
      </c>
      <c r="L1267" s="20">
        <v>0</v>
      </c>
      <c r="M1267" s="20">
        <v>0</v>
      </c>
      <c r="N1267" s="20">
        <v>0</v>
      </c>
      <c r="O1267" s="20">
        <v>0</v>
      </c>
      <c r="P1267" s="26">
        <v>0.42</v>
      </c>
      <c r="Q1267" s="35" t="s">
        <v>154</v>
      </c>
    </row>
    <row r="1268" spans="1:17" ht="60" x14ac:dyDescent="0.25">
      <c r="A1268" s="23">
        <v>38137</v>
      </c>
      <c r="B1268" s="23">
        <v>38137</v>
      </c>
      <c r="C1268" s="24">
        <v>2004</v>
      </c>
      <c r="D1268" s="24" t="s">
        <v>141</v>
      </c>
      <c r="E1268" s="30" t="s">
        <v>142</v>
      </c>
      <c r="F1268" s="28" t="s">
        <v>157</v>
      </c>
      <c r="G1268" s="44" t="s">
        <v>110</v>
      </c>
      <c r="H1268" s="44" t="s">
        <v>1974</v>
      </c>
      <c r="I1268" s="27">
        <v>2</v>
      </c>
      <c r="J1268" s="20">
        <v>27</v>
      </c>
      <c r="K1268" s="20">
        <v>0</v>
      </c>
      <c r="L1268" s="20">
        <v>0</v>
      </c>
      <c r="M1268" s="20">
        <v>0</v>
      </c>
      <c r="N1268" s="20">
        <v>0</v>
      </c>
      <c r="O1268" s="20">
        <v>0</v>
      </c>
      <c r="P1268" s="26">
        <v>0.6</v>
      </c>
      <c r="Q1268" s="35" t="s">
        <v>154</v>
      </c>
    </row>
    <row r="1269" spans="1:17" ht="48" x14ac:dyDescent="0.25">
      <c r="A1269" s="23">
        <v>38141</v>
      </c>
      <c r="B1269" s="23">
        <v>38141</v>
      </c>
      <c r="C1269" s="24">
        <v>2004</v>
      </c>
      <c r="D1269" s="24" t="s">
        <v>141</v>
      </c>
      <c r="E1269" s="41" t="s">
        <v>1965</v>
      </c>
      <c r="F1269" s="7" t="s">
        <v>56</v>
      </c>
      <c r="G1269" s="44" t="s">
        <v>358</v>
      </c>
      <c r="H1269" s="44" t="s">
        <v>1975</v>
      </c>
      <c r="I1269" s="27">
        <v>2</v>
      </c>
      <c r="J1269" s="20">
        <v>2</v>
      </c>
      <c r="K1269" s="20">
        <v>0</v>
      </c>
      <c r="L1269" s="20">
        <v>0</v>
      </c>
      <c r="M1269" s="20">
        <v>0</v>
      </c>
      <c r="N1269" s="20">
        <v>0</v>
      </c>
      <c r="O1269" s="20">
        <v>0</v>
      </c>
      <c r="P1269" s="26">
        <v>0</v>
      </c>
      <c r="Q1269" s="35" t="s">
        <v>154</v>
      </c>
    </row>
    <row r="1270" spans="1:17" ht="48" x14ac:dyDescent="0.25">
      <c r="A1270" s="23">
        <v>38160</v>
      </c>
      <c r="B1270" s="23">
        <v>38160</v>
      </c>
      <c r="C1270" s="24">
        <v>2004</v>
      </c>
      <c r="D1270" s="24" t="s">
        <v>141</v>
      </c>
      <c r="E1270" s="30" t="s">
        <v>142</v>
      </c>
      <c r="F1270" s="7" t="s">
        <v>91</v>
      </c>
      <c r="G1270" s="44" t="s">
        <v>1682</v>
      </c>
      <c r="H1270" s="44" t="s">
        <v>1976</v>
      </c>
      <c r="I1270" s="27">
        <v>0</v>
      </c>
      <c r="J1270" s="20">
        <v>0</v>
      </c>
      <c r="K1270" s="20">
        <v>0</v>
      </c>
      <c r="L1270" s="20">
        <v>0</v>
      </c>
      <c r="M1270" s="20">
        <v>0</v>
      </c>
      <c r="N1270" s="20">
        <v>0</v>
      </c>
      <c r="O1270" s="20">
        <v>0</v>
      </c>
      <c r="P1270" s="26">
        <v>0</v>
      </c>
      <c r="Q1270" s="35" t="s">
        <v>154</v>
      </c>
    </row>
    <row r="1271" spans="1:17" ht="60" x14ac:dyDescent="0.25">
      <c r="A1271" s="23">
        <v>38162</v>
      </c>
      <c r="B1271" s="23">
        <v>38162</v>
      </c>
      <c r="C1271" s="24">
        <v>2004</v>
      </c>
      <c r="D1271" s="24" t="s">
        <v>141</v>
      </c>
      <c r="E1271" s="30" t="s">
        <v>142</v>
      </c>
      <c r="F1271" s="7" t="s">
        <v>65</v>
      </c>
      <c r="G1271" s="44" t="s">
        <v>418</v>
      </c>
      <c r="H1271" s="44" t="s">
        <v>1977</v>
      </c>
      <c r="I1271" s="27">
        <v>0</v>
      </c>
      <c r="J1271" s="20">
        <v>29</v>
      </c>
      <c r="K1271" s="20">
        <v>0</v>
      </c>
      <c r="L1271" s="20">
        <v>0</v>
      </c>
      <c r="M1271" s="20">
        <v>0</v>
      </c>
      <c r="N1271" s="20">
        <v>0</v>
      </c>
      <c r="O1271" s="20">
        <v>0</v>
      </c>
      <c r="P1271" s="26">
        <v>0.6</v>
      </c>
      <c r="Q1271" s="35" t="s">
        <v>154</v>
      </c>
    </row>
    <row r="1272" spans="1:17" ht="60" x14ac:dyDescent="0.25">
      <c r="A1272" s="23">
        <v>38020</v>
      </c>
      <c r="B1272" s="23">
        <v>38020</v>
      </c>
      <c r="C1272" s="24">
        <v>2004</v>
      </c>
      <c r="D1272" s="24" t="s">
        <v>141</v>
      </c>
      <c r="E1272" s="30" t="s">
        <v>142</v>
      </c>
      <c r="F1272" s="7" t="s">
        <v>62</v>
      </c>
      <c r="G1272" s="44" t="s">
        <v>622</v>
      </c>
      <c r="H1272" s="44" t="s">
        <v>1978</v>
      </c>
      <c r="I1272" s="27">
        <v>0</v>
      </c>
      <c r="J1272" s="20">
        <v>0</v>
      </c>
      <c r="K1272" s="20">
        <v>0</v>
      </c>
      <c r="L1272" s="20">
        <v>0</v>
      </c>
      <c r="M1272" s="20">
        <v>0</v>
      </c>
      <c r="N1272" s="20">
        <v>0</v>
      </c>
      <c r="O1272" s="20">
        <v>0</v>
      </c>
      <c r="P1272" s="26">
        <v>0.27</v>
      </c>
      <c r="Q1272" s="35" t="s">
        <v>154</v>
      </c>
    </row>
    <row r="1273" spans="1:17" ht="60" x14ac:dyDescent="0.25">
      <c r="A1273" s="23">
        <v>38164</v>
      </c>
      <c r="B1273" s="23">
        <v>38164</v>
      </c>
      <c r="C1273" s="24">
        <v>2004</v>
      </c>
      <c r="D1273" s="24" t="s">
        <v>141</v>
      </c>
      <c r="E1273" s="30" t="s">
        <v>142</v>
      </c>
      <c r="F1273" s="28" t="s">
        <v>160</v>
      </c>
      <c r="G1273" s="44" t="s">
        <v>1979</v>
      </c>
      <c r="H1273" s="44" t="s">
        <v>1980</v>
      </c>
      <c r="I1273" s="27">
        <v>0</v>
      </c>
      <c r="J1273" s="20">
        <v>10</v>
      </c>
      <c r="K1273" s="20">
        <v>0</v>
      </c>
      <c r="L1273" s="20">
        <v>0</v>
      </c>
      <c r="M1273" s="20">
        <v>0</v>
      </c>
      <c r="N1273" s="20">
        <v>0</v>
      </c>
      <c r="O1273" s="20">
        <v>0</v>
      </c>
      <c r="P1273" s="26">
        <v>0</v>
      </c>
      <c r="Q1273" s="35" t="s">
        <v>154</v>
      </c>
    </row>
    <row r="1274" spans="1:17" ht="48" x14ac:dyDescent="0.25">
      <c r="A1274" s="23">
        <v>38060</v>
      </c>
      <c r="B1274" s="23">
        <v>38060</v>
      </c>
      <c r="C1274" s="24">
        <v>2004</v>
      </c>
      <c r="D1274" s="24" t="s">
        <v>141</v>
      </c>
      <c r="E1274" s="30" t="s">
        <v>142</v>
      </c>
      <c r="F1274" s="7" t="s">
        <v>53</v>
      </c>
      <c r="G1274" s="44" t="s">
        <v>110</v>
      </c>
      <c r="H1274" s="44" t="s">
        <v>1981</v>
      </c>
      <c r="I1274" s="27">
        <v>0</v>
      </c>
      <c r="J1274" s="20">
        <v>3</v>
      </c>
      <c r="K1274" s="20">
        <v>0</v>
      </c>
      <c r="L1274" s="20">
        <v>0</v>
      </c>
      <c r="M1274" s="20">
        <v>0</v>
      </c>
      <c r="N1274" s="20">
        <v>0</v>
      </c>
      <c r="O1274" s="20">
        <v>0</v>
      </c>
      <c r="P1274" s="26">
        <v>0.27</v>
      </c>
      <c r="Q1274" s="35" t="s">
        <v>154</v>
      </c>
    </row>
    <row r="1275" spans="1:17" ht="48" x14ac:dyDescent="0.25">
      <c r="A1275" s="23">
        <v>38168</v>
      </c>
      <c r="B1275" s="23">
        <v>38168</v>
      </c>
      <c r="C1275" s="24">
        <v>2004</v>
      </c>
      <c r="D1275" s="24" t="s">
        <v>141</v>
      </c>
      <c r="E1275" s="42" t="s">
        <v>447</v>
      </c>
      <c r="F1275" s="7" t="s">
        <v>60</v>
      </c>
      <c r="G1275" s="44" t="s">
        <v>1982</v>
      </c>
      <c r="H1275" s="44" t="s">
        <v>1983</v>
      </c>
      <c r="I1275" s="27">
        <v>0</v>
      </c>
      <c r="J1275" s="20">
        <v>8</v>
      </c>
      <c r="K1275" s="20">
        <v>0</v>
      </c>
      <c r="L1275" s="20">
        <v>0</v>
      </c>
      <c r="M1275" s="20">
        <v>0</v>
      </c>
      <c r="N1275" s="20">
        <v>0</v>
      </c>
      <c r="O1275" s="20">
        <v>0</v>
      </c>
      <c r="P1275" s="26">
        <v>0</v>
      </c>
      <c r="Q1275" s="35" t="s">
        <v>154</v>
      </c>
    </row>
    <row r="1276" spans="1:17" ht="48" x14ac:dyDescent="0.25">
      <c r="A1276" s="23">
        <v>38174</v>
      </c>
      <c r="B1276" s="23">
        <v>38174</v>
      </c>
      <c r="C1276" s="24">
        <v>2004</v>
      </c>
      <c r="D1276" s="24" t="s">
        <v>141</v>
      </c>
      <c r="E1276" s="30" t="s">
        <v>142</v>
      </c>
      <c r="F1276" s="7" t="s">
        <v>68</v>
      </c>
      <c r="G1276" s="44" t="s">
        <v>1984</v>
      </c>
      <c r="H1276" s="44" t="s">
        <v>1985</v>
      </c>
      <c r="I1276" s="27">
        <v>0</v>
      </c>
      <c r="J1276" s="20">
        <v>17</v>
      </c>
      <c r="K1276" s="20">
        <v>0</v>
      </c>
      <c r="L1276" s="20">
        <v>0</v>
      </c>
      <c r="M1276" s="20">
        <v>0</v>
      </c>
      <c r="N1276" s="20">
        <v>0</v>
      </c>
      <c r="O1276" s="20">
        <v>0</v>
      </c>
      <c r="P1276" s="26">
        <v>0.87</v>
      </c>
      <c r="Q1276" s="35" t="s">
        <v>154</v>
      </c>
    </row>
    <row r="1277" spans="1:17" ht="60" x14ac:dyDescent="0.25">
      <c r="A1277" s="23">
        <v>38177</v>
      </c>
      <c r="B1277" s="23">
        <v>38177</v>
      </c>
      <c r="C1277" s="24">
        <v>2004</v>
      </c>
      <c r="D1277" s="24" t="s">
        <v>141</v>
      </c>
      <c r="E1277" s="30" t="s">
        <v>142</v>
      </c>
      <c r="F1277" s="7" t="s">
        <v>68</v>
      </c>
      <c r="G1277" s="44" t="s">
        <v>110</v>
      </c>
      <c r="H1277" s="44" t="s">
        <v>1986</v>
      </c>
      <c r="I1277" s="27">
        <v>0</v>
      </c>
      <c r="J1277" s="20">
        <v>2</v>
      </c>
      <c r="K1277" s="20">
        <v>0</v>
      </c>
      <c r="L1277" s="20">
        <v>0</v>
      </c>
      <c r="M1277" s="20">
        <v>0</v>
      </c>
      <c r="N1277" s="20">
        <v>0</v>
      </c>
      <c r="O1277" s="20">
        <v>0</v>
      </c>
      <c r="P1277" s="26">
        <v>0.37</v>
      </c>
      <c r="Q1277" s="35" t="s">
        <v>154</v>
      </c>
    </row>
    <row r="1278" spans="1:17" ht="36" x14ac:dyDescent="0.25">
      <c r="A1278" s="23">
        <v>38178</v>
      </c>
      <c r="B1278" s="23">
        <v>38178</v>
      </c>
      <c r="C1278" s="24">
        <v>2004</v>
      </c>
      <c r="D1278" s="24" t="s">
        <v>141</v>
      </c>
      <c r="E1278" s="30" t="s">
        <v>142</v>
      </c>
      <c r="F1278" s="7" t="s">
        <v>36</v>
      </c>
      <c r="G1278" s="44" t="s">
        <v>110</v>
      </c>
      <c r="H1278" s="44" t="s">
        <v>1987</v>
      </c>
      <c r="I1278" s="27">
        <v>0</v>
      </c>
      <c r="J1278" s="20">
        <v>1</v>
      </c>
      <c r="K1278" s="20">
        <v>0</v>
      </c>
      <c r="L1278" s="20">
        <v>0</v>
      </c>
      <c r="M1278" s="20">
        <v>0</v>
      </c>
      <c r="N1278" s="20">
        <v>0</v>
      </c>
      <c r="O1278" s="20">
        <v>0</v>
      </c>
      <c r="P1278" s="26">
        <v>0</v>
      </c>
      <c r="Q1278" s="35" t="s">
        <v>154</v>
      </c>
    </row>
    <row r="1279" spans="1:17" ht="36" x14ac:dyDescent="0.25">
      <c r="A1279" s="23">
        <v>38006</v>
      </c>
      <c r="B1279" s="23">
        <v>38006</v>
      </c>
      <c r="C1279" s="24">
        <v>2004</v>
      </c>
      <c r="D1279" s="24" t="s">
        <v>141</v>
      </c>
      <c r="E1279" s="30" t="s">
        <v>142</v>
      </c>
      <c r="F1279" s="7" t="s">
        <v>60</v>
      </c>
      <c r="G1279" s="44" t="s">
        <v>110</v>
      </c>
      <c r="H1279" s="44" t="s">
        <v>1988</v>
      </c>
      <c r="I1279" s="27">
        <v>0</v>
      </c>
      <c r="J1279" s="20">
        <v>7</v>
      </c>
      <c r="K1279" s="20">
        <v>0</v>
      </c>
      <c r="L1279" s="20">
        <v>0</v>
      </c>
      <c r="M1279" s="20">
        <v>0</v>
      </c>
      <c r="N1279" s="20">
        <v>0</v>
      </c>
      <c r="O1279" s="20">
        <v>0</v>
      </c>
      <c r="P1279" s="26">
        <v>0.06</v>
      </c>
      <c r="Q1279" s="35" t="s">
        <v>154</v>
      </c>
    </row>
    <row r="1280" spans="1:17" ht="36" x14ac:dyDescent="0.25">
      <c r="A1280" s="23">
        <v>38197</v>
      </c>
      <c r="B1280" s="23">
        <v>38197</v>
      </c>
      <c r="C1280" s="24">
        <v>2004</v>
      </c>
      <c r="D1280" s="24" t="s">
        <v>141</v>
      </c>
      <c r="E1280" s="30" t="s">
        <v>142</v>
      </c>
      <c r="F1280" s="7" t="s">
        <v>60</v>
      </c>
      <c r="G1280" s="44" t="s">
        <v>1989</v>
      </c>
      <c r="H1280" s="44" t="s">
        <v>1990</v>
      </c>
      <c r="I1280" s="27">
        <v>0</v>
      </c>
      <c r="J1280" s="20">
        <v>6</v>
      </c>
      <c r="K1280" s="20">
        <v>0</v>
      </c>
      <c r="L1280" s="20">
        <v>0</v>
      </c>
      <c r="M1280" s="20">
        <v>0</v>
      </c>
      <c r="N1280" s="20">
        <v>0</v>
      </c>
      <c r="O1280" s="20">
        <v>0</v>
      </c>
      <c r="P1280" s="26">
        <v>0.33</v>
      </c>
      <c r="Q1280" s="35" t="s">
        <v>154</v>
      </c>
    </row>
    <row r="1281" spans="1:17" ht="48" x14ac:dyDescent="0.25">
      <c r="A1281" s="23">
        <v>38275</v>
      </c>
      <c r="B1281" s="23">
        <v>38275</v>
      </c>
      <c r="C1281" s="24">
        <v>2004</v>
      </c>
      <c r="D1281" s="24" t="s">
        <v>141</v>
      </c>
      <c r="E1281" s="30" t="s">
        <v>142</v>
      </c>
      <c r="F1281" s="7" t="s">
        <v>53</v>
      </c>
      <c r="G1281" s="44" t="s">
        <v>1991</v>
      </c>
      <c r="H1281" s="44" t="s">
        <v>1992</v>
      </c>
      <c r="I1281" s="27">
        <v>3</v>
      </c>
      <c r="J1281" s="20">
        <v>3</v>
      </c>
      <c r="K1281" s="20">
        <v>0</v>
      </c>
      <c r="L1281" s="20">
        <v>0</v>
      </c>
      <c r="M1281" s="20">
        <v>0</v>
      </c>
      <c r="N1281" s="20">
        <v>0</v>
      </c>
      <c r="O1281" s="20">
        <v>0</v>
      </c>
      <c r="P1281" s="26">
        <v>2</v>
      </c>
      <c r="Q1281" s="35" t="s">
        <v>154</v>
      </c>
    </row>
    <row r="1282" spans="1:17" ht="60" x14ac:dyDescent="0.25">
      <c r="A1282" s="23">
        <v>38011</v>
      </c>
      <c r="B1282" s="23">
        <v>38011</v>
      </c>
      <c r="C1282" s="24">
        <v>2004</v>
      </c>
      <c r="D1282" s="24" t="s">
        <v>141</v>
      </c>
      <c r="E1282" s="30" t="s">
        <v>142</v>
      </c>
      <c r="F1282" s="7" t="s">
        <v>60</v>
      </c>
      <c r="G1282" s="44" t="s">
        <v>1993</v>
      </c>
      <c r="H1282" s="44" t="s">
        <v>1994</v>
      </c>
      <c r="I1282" s="27">
        <v>0</v>
      </c>
      <c r="J1282" s="20">
        <v>5</v>
      </c>
      <c r="K1282" s="20">
        <v>0</v>
      </c>
      <c r="L1282" s="20">
        <v>0</v>
      </c>
      <c r="M1282" s="20">
        <v>0</v>
      </c>
      <c r="N1282" s="20">
        <v>0</v>
      </c>
      <c r="O1282" s="20">
        <v>0</v>
      </c>
      <c r="P1282" s="26">
        <v>2</v>
      </c>
      <c r="Q1282" s="35" t="s">
        <v>154</v>
      </c>
    </row>
    <row r="1283" spans="1:17" ht="48" x14ac:dyDescent="0.25">
      <c r="A1283" s="23">
        <v>38239</v>
      </c>
      <c r="B1283" s="23">
        <v>38239</v>
      </c>
      <c r="C1283" s="24">
        <v>2004</v>
      </c>
      <c r="D1283" s="24" t="s">
        <v>141</v>
      </c>
      <c r="E1283" s="30" t="s">
        <v>142</v>
      </c>
      <c r="F1283" s="25" t="s">
        <v>781</v>
      </c>
      <c r="G1283" s="44" t="s">
        <v>1995</v>
      </c>
      <c r="H1283" s="44" t="s">
        <v>1996</v>
      </c>
      <c r="I1283" s="27">
        <v>2</v>
      </c>
      <c r="J1283" s="20">
        <v>2</v>
      </c>
      <c r="K1283" s="20">
        <v>0</v>
      </c>
      <c r="L1283" s="20">
        <v>0</v>
      </c>
      <c r="M1283" s="20">
        <v>0</v>
      </c>
      <c r="N1283" s="20">
        <v>0</v>
      </c>
      <c r="O1283" s="20">
        <v>0</v>
      </c>
      <c r="P1283" s="26">
        <v>1</v>
      </c>
      <c r="Q1283" s="35" t="s">
        <v>154</v>
      </c>
    </row>
    <row r="1284" spans="1:17" ht="84" x14ac:dyDescent="0.25">
      <c r="A1284" s="23">
        <v>38001</v>
      </c>
      <c r="B1284" s="23">
        <v>38001</v>
      </c>
      <c r="C1284" s="24">
        <v>2004</v>
      </c>
      <c r="D1284" s="24" t="s">
        <v>141</v>
      </c>
      <c r="E1284" s="30" t="s">
        <v>142</v>
      </c>
      <c r="F1284" s="28" t="s">
        <v>157</v>
      </c>
      <c r="G1284" s="44" t="s">
        <v>660</v>
      </c>
      <c r="H1284" s="44" t="s">
        <v>1997</v>
      </c>
      <c r="I1284" s="27">
        <v>1</v>
      </c>
      <c r="J1284" s="20">
        <v>66</v>
      </c>
      <c r="K1284" s="20">
        <v>0</v>
      </c>
      <c r="L1284" s="20">
        <v>0</v>
      </c>
      <c r="M1284" s="20">
        <v>0</v>
      </c>
      <c r="N1284" s="20">
        <v>0</v>
      </c>
      <c r="O1284" s="20">
        <v>0</v>
      </c>
      <c r="P1284" s="26">
        <v>0.27</v>
      </c>
      <c r="Q1284" s="35" t="s">
        <v>154</v>
      </c>
    </row>
    <row r="1285" spans="1:17" ht="48" x14ac:dyDescent="0.25">
      <c r="A1285" s="23">
        <v>38001</v>
      </c>
      <c r="B1285" s="23">
        <v>38001</v>
      </c>
      <c r="C1285" s="24">
        <v>2004</v>
      </c>
      <c r="D1285" s="24" t="s">
        <v>141</v>
      </c>
      <c r="E1285" s="30" t="s">
        <v>142</v>
      </c>
      <c r="F1285" s="7" t="s">
        <v>68</v>
      </c>
      <c r="G1285" s="44" t="s">
        <v>110</v>
      </c>
      <c r="H1285" s="44" t="s">
        <v>1998</v>
      </c>
      <c r="I1285" s="27">
        <v>1</v>
      </c>
      <c r="J1285" s="20">
        <v>1</v>
      </c>
      <c r="K1285" s="20">
        <v>0</v>
      </c>
      <c r="L1285" s="20">
        <v>0</v>
      </c>
      <c r="M1285" s="20">
        <v>0</v>
      </c>
      <c r="N1285" s="20">
        <v>0</v>
      </c>
      <c r="O1285" s="20">
        <v>0</v>
      </c>
      <c r="P1285" s="26">
        <v>1</v>
      </c>
      <c r="Q1285" s="35" t="s">
        <v>154</v>
      </c>
    </row>
    <row r="1286" spans="1:17" ht="48" x14ac:dyDescent="0.25">
      <c r="A1286" s="23">
        <v>38232</v>
      </c>
      <c r="B1286" s="23">
        <v>38232</v>
      </c>
      <c r="C1286" s="24">
        <v>2004</v>
      </c>
      <c r="D1286" s="24" t="s">
        <v>141</v>
      </c>
      <c r="E1286" s="30" t="s">
        <v>142</v>
      </c>
      <c r="F1286" s="7" t="s">
        <v>56</v>
      </c>
      <c r="G1286" s="44" t="s">
        <v>110</v>
      </c>
      <c r="H1286" s="44" t="s">
        <v>1999</v>
      </c>
      <c r="I1286" s="27">
        <v>0</v>
      </c>
      <c r="J1286" s="20">
        <v>1</v>
      </c>
      <c r="K1286" s="20">
        <v>0</v>
      </c>
      <c r="L1286" s="20">
        <v>0</v>
      </c>
      <c r="M1286" s="20">
        <v>0</v>
      </c>
      <c r="N1286" s="20">
        <v>0</v>
      </c>
      <c r="O1286" s="20">
        <v>0</v>
      </c>
      <c r="P1286" s="26">
        <v>0.27</v>
      </c>
      <c r="Q1286" s="35" t="s">
        <v>154</v>
      </c>
    </row>
    <row r="1287" spans="1:17" ht="36" x14ac:dyDescent="0.25">
      <c r="A1287" s="23">
        <v>38050</v>
      </c>
      <c r="B1287" s="23">
        <v>38050</v>
      </c>
      <c r="C1287" s="24">
        <v>2004</v>
      </c>
      <c r="D1287" s="24" t="s">
        <v>141</v>
      </c>
      <c r="E1287" s="30" t="s">
        <v>142</v>
      </c>
      <c r="F1287" s="7" t="s">
        <v>72</v>
      </c>
      <c r="G1287" s="44" t="s">
        <v>2000</v>
      </c>
      <c r="H1287" s="44" t="s">
        <v>2001</v>
      </c>
      <c r="I1287" s="27">
        <v>1</v>
      </c>
      <c r="J1287" s="20">
        <v>2</v>
      </c>
      <c r="K1287" s="20">
        <v>0</v>
      </c>
      <c r="L1287" s="20">
        <v>0</v>
      </c>
      <c r="M1287" s="20">
        <v>0</v>
      </c>
      <c r="N1287" s="20">
        <v>0</v>
      </c>
      <c r="O1287" s="20">
        <v>0</v>
      </c>
      <c r="P1287" s="26">
        <v>1</v>
      </c>
      <c r="Q1287" s="35" t="s">
        <v>154</v>
      </c>
    </row>
    <row r="1288" spans="1:17" ht="60" x14ac:dyDescent="0.25">
      <c r="A1288" s="23">
        <v>38237</v>
      </c>
      <c r="B1288" s="23">
        <v>38237</v>
      </c>
      <c r="C1288" s="24">
        <v>2004</v>
      </c>
      <c r="D1288" s="24" t="s">
        <v>141</v>
      </c>
      <c r="E1288" s="30" t="s">
        <v>142</v>
      </c>
      <c r="F1288" s="7" t="s">
        <v>87</v>
      </c>
      <c r="G1288" s="44" t="s">
        <v>2002</v>
      </c>
      <c r="H1288" s="44" t="s">
        <v>2003</v>
      </c>
      <c r="I1288" s="27">
        <v>0</v>
      </c>
      <c r="J1288" s="20">
        <v>2</v>
      </c>
      <c r="K1288" s="20">
        <v>0</v>
      </c>
      <c r="L1288" s="20">
        <v>0</v>
      </c>
      <c r="M1288" s="20">
        <v>0</v>
      </c>
      <c r="N1288" s="20">
        <v>0</v>
      </c>
      <c r="O1288" s="20">
        <v>0</v>
      </c>
      <c r="P1288" s="26">
        <v>0.27</v>
      </c>
      <c r="Q1288" s="35" t="s">
        <v>154</v>
      </c>
    </row>
    <row r="1289" spans="1:17" ht="36" x14ac:dyDescent="0.25">
      <c r="A1289" s="23">
        <v>38247</v>
      </c>
      <c r="B1289" s="23">
        <v>38247</v>
      </c>
      <c r="C1289" s="24">
        <v>2004</v>
      </c>
      <c r="D1289" s="24" t="s">
        <v>141</v>
      </c>
      <c r="E1289" s="30" t="s">
        <v>142</v>
      </c>
      <c r="F1289" s="7" t="s">
        <v>87</v>
      </c>
      <c r="G1289" s="44" t="s">
        <v>2004</v>
      </c>
      <c r="H1289" s="44" t="s">
        <v>2005</v>
      </c>
      <c r="I1289" s="27">
        <v>0</v>
      </c>
      <c r="J1289" s="20">
        <v>1</v>
      </c>
      <c r="K1289" s="20">
        <v>0</v>
      </c>
      <c r="L1289" s="20">
        <v>0</v>
      </c>
      <c r="M1289" s="20">
        <v>0</v>
      </c>
      <c r="N1289" s="20">
        <v>0</v>
      </c>
      <c r="O1289" s="20">
        <v>0</v>
      </c>
      <c r="P1289" s="26">
        <v>0</v>
      </c>
      <c r="Q1289" s="35" t="s">
        <v>154</v>
      </c>
    </row>
    <row r="1290" spans="1:17" ht="48" x14ac:dyDescent="0.25">
      <c r="A1290" s="23">
        <v>38006</v>
      </c>
      <c r="B1290" s="23">
        <v>38006</v>
      </c>
      <c r="C1290" s="24">
        <v>2004</v>
      </c>
      <c r="D1290" s="24" t="s">
        <v>141</v>
      </c>
      <c r="E1290" s="6" t="s">
        <v>333</v>
      </c>
      <c r="F1290" s="7" t="s">
        <v>53</v>
      </c>
      <c r="G1290" s="44" t="s">
        <v>2006</v>
      </c>
      <c r="H1290" s="44" t="s">
        <v>2007</v>
      </c>
      <c r="I1290" s="27">
        <v>1</v>
      </c>
      <c r="J1290" s="20">
        <v>2</v>
      </c>
      <c r="K1290" s="20">
        <v>0</v>
      </c>
      <c r="L1290" s="20">
        <v>0</v>
      </c>
      <c r="M1290" s="20">
        <v>0</v>
      </c>
      <c r="N1290" s="20">
        <v>0</v>
      </c>
      <c r="O1290" s="20">
        <v>0</v>
      </c>
      <c r="P1290" s="26">
        <v>0</v>
      </c>
      <c r="Q1290" s="35" t="s">
        <v>154</v>
      </c>
    </row>
    <row r="1291" spans="1:17" ht="60" x14ac:dyDescent="0.25">
      <c r="A1291" s="23">
        <v>38072</v>
      </c>
      <c r="B1291" s="23">
        <v>38072</v>
      </c>
      <c r="C1291" s="24">
        <v>2004</v>
      </c>
      <c r="D1291" s="24" t="s">
        <v>141</v>
      </c>
      <c r="E1291" s="30" t="s">
        <v>142</v>
      </c>
      <c r="F1291" s="7" t="s">
        <v>56</v>
      </c>
      <c r="G1291" s="44" t="s">
        <v>2008</v>
      </c>
      <c r="H1291" s="44" t="s">
        <v>2009</v>
      </c>
      <c r="I1291" s="27">
        <v>1</v>
      </c>
      <c r="J1291" s="20">
        <v>1</v>
      </c>
      <c r="K1291" s="20">
        <v>0</v>
      </c>
      <c r="L1291" s="20">
        <v>0</v>
      </c>
      <c r="M1291" s="20">
        <v>0</v>
      </c>
      <c r="N1291" s="20">
        <v>0</v>
      </c>
      <c r="O1291" s="20">
        <v>0</v>
      </c>
      <c r="P1291" s="26">
        <v>0.27</v>
      </c>
      <c r="Q1291" s="35" t="s">
        <v>154</v>
      </c>
    </row>
    <row r="1292" spans="1:17" ht="48" x14ac:dyDescent="0.25">
      <c r="A1292" s="23">
        <v>38087</v>
      </c>
      <c r="B1292" s="23">
        <v>38087</v>
      </c>
      <c r="C1292" s="24">
        <v>2004</v>
      </c>
      <c r="D1292" s="24" t="s">
        <v>141</v>
      </c>
      <c r="E1292" s="30" t="s">
        <v>142</v>
      </c>
      <c r="F1292" s="7" t="s">
        <v>67</v>
      </c>
      <c r="G1292" s="44" t="s">
        <v>2010</v>
      </c>
      <c r="H1292" s="44" t="s">
        <v>2011</v>
      </c>
      <c r="I1292" s="27">
        <v>1</v>
      </c>
      <c r="J1292" s="20">
        <v>10</v>
      </c>
      <c r="K1292" s="20">
        <v>0</v>
      </c>
      <c r="L1292" s="20">
        <v>0</v>
      </c>
      <c r="M1292" s="20">
        <v>0</v>
      </c>
      <c r="N1292" s="20">
        <v>0</v>
      </c>
      <c r="O1292" s="20">
        <v>0</v>
      </c>
      <c r="P1292" s="26">
        <v>0.33</v>
      </c>
      <c r="Q1292" s="35" t="s">
        <v>154</v>
      </c>
    </row>
    <row r="1293" spans="1:17" ht="36" x14ac:dyDescent="0.25">
      <c r="A1293" s="23">
        <v>38275</v>
      </c>
      <c r="B1293" s="23">
        <v>38275</v>
      </c>
      <c r="C1293" s="24">
        <v>2004</v>
      </c>
      <c r="D1293" s="24" t="s">
        <v>141</v>
      </c>
      <c r="E1293" s="30" t="s">
        <v>142</v>
      </c>
      <c r="F1293" s="28" t="s">
        <v>160</v>
      </c>
      <c r="G1293" s="44" t="s">
        <v>110</v>
      </c>
      <c r="H1293" s="44" t="s">
        <v>2012</v>
      </c>
      <c r="I1293" s="27">
        <v>0</v>
      </c>
      <c r="J1293" s="20">
        <v>3</v>
      </c>
      <c r="K1293" s="20">
        <v>0</v>
      </c>
      <c r="L1293" s="20">
        <v>0</v>
      </c>
      <c r="M1293" s="20">
        <v>0</v>
      </c>
      <c r="N1293" s="20">
        <v>0</v>
      </c>
      <c r="O1293" s="20">
        <v>0</v>
      </c>
      <c r="P1293" s="26">
        <v>0</v>
      </c>
      <c r="Q1293" s="35" t="s">
        <v>154</v>
      </c>
    </row>
    <row r="1294" spans="1:17" ht="48" x14ac:dyDescent="0.25">
      <c r="A1294" s="23">
        <v>38250</v>
      </c>
      <c r="B1294" s="23">
        <v>38250</v>
      </c>
      <c r="C1294" s="24">
        <v>2004</v>
      </c>
      <c r="D1294" s="24" t="s">
        <v>141</v>
      </c>
      <c r="E1294" s="30" t="s">
        <v>142</v>
      </c>
      <c r="F1294" s="7" t="s">
        <v>53</v>
      </c>
      <c r="G1294" s="44" t="s">
        <v>110</v>
      </c>
      <c r="H1294" s="44" t="s">
        <v>2013</v>
      </c>
      <c r="I1294" s="27">
        <v>0</v>
      </c>
      <c r="J1294" s="20">
        <v>2</v>
      </c>
      <c r="K1294" s="20">
        <v>0</v>
      </c>
      <c r="L1294" s="20">
        <v>0</v>
      </c>
      <c r="M1294" s="20">
        <v>0</v>
      </c>
      <c r="N1294" s="20">
        <v>0</v>
      </c>
      <c r="O1294" s="20">
        <v>0</v>
      </c>
      <c r="P1294" s="26">
        <v>0.27</v>
      </c>
      <c r="Q1294" s="35" t="s">
        <v>154</v>
      </c>
    </row>
    <row r="1295" spans="1:17" ht="48" x14ac:dyDescent="0.25">
      <c r="A1295" s="23">
        <v>38275</v>
      </c>
      <c r="B1295" s="23">
        <v>38275</v>
      </c>
      <c r="C1295" s="24">
        <v>2004</v>
      </c>
      <c r="D1295" s="24" t="s">
        <v>141</v>
      </c>
      <c r="E1295" s="30" t="s">
        <v>142</v>
      </c>
      <c r="F1295" s="7" t="s">
        <v>65</v>
      </c>
      <c r="G1295" s="44" t="s">
        <v>1690</v>
      </c>
      <c r="H1295" s="44" t="s">
        <v>2014</v>
      </c>
      <c r="I1295" s="27">
        <v>0</v>
      </c>
      <c r="J1295" s="20">
        <v>2</v>
      </c>
      <c r="K1295" s="20">
        <v>0</v>
      </c>
      <c r="L1295" s="20">
        <v>0</v>
      </c>
      <c r="M1295" s="20">
        <v>0</v>
      </c>
      <c r="N1295" s="20">
        <v>0</v>
      </c>
      <c r="O1295" s="20">
        <v>0</v>
      </c>
      <c r="P1295" s="26">
        <v>2</v>
      </c>
      <c r="Q1295" s="35" t="s">
        <v>154</v>
      </c>
    </row>
    <row r="1296" spans="1:17" ht="36" x14ac:dyDescent="0.25">
      <c r="A1296" s="23">
        <v>38281</v>
      </c>
      <c r="B1296" s="23">
        <v>38281</v>
      </c>
      <c r="C1296" s="24">
        <v>2004</v>
      </c>
      <c r="D1296" s="24" t="s">
        <v>141</v>
      </c>
      <c r="E1296" s="30" t="s">
        <v>142</v>
      </c>
      <c r="F1296" s="7" t="s">
        <v>56</v>
      </c>
      <c r="G1296" s="44" t="s">
        <v>646</v>
      </c>
      <c r="H1296" s="44" t="s">
        <v>2015</v>
      </c>
      <c r="I1296" s="27">
        <v>0</v>
      </c>
      <c r="J1296" s="20">
        <v>0</v>
      </c>
      <c r="K1296" s="20">
        <v>0</v>
      </c>
      <c r="L1296" s="20">
        <v>0</v>
      </c>
      <c r="M1296" s="20">
        <v>0</v>
      </c>
      <c r="N1296" s="20">
        <v>0</v>
      </c>
      <c r="O1296" s="20">
        <v>0</v>
      </c>
      <c r="P1296" s="26">
        <v>0.34</v>
      </c>
      <c r="Q1296" s="35" t="s">
        <v>154</v>
      </c>
    </row>
    <row r="1297" spans="1:17" ht="36" x14ac:dyDescent="0.25">
      <c r="A1297" s="23">
        <v>38284</v>
      </c>
      <c r="B1297" s="23">
        <v>38284</v>
      </c>
      <c r="C1297" s="24">
        <v>2004</v>
      </c>
      <c r="D1297" s="24" t="s">
        <v>141</v>
      </c>
      <c r="E1297" s="30" t="s">
        <v>142</v>
      </c>
      <c r="F1297" s="7" t="s">
        <v>36</v>
      </c>
      <c r="G1297" s="44" t="s">
        <v>2016</v>
      </c>
      <c r="H1297" s="44" t="s">
        <v>2017</v>
      </c>
      <c r="I1297" s="27">
        <v>0</v>
      </c>
      <c r="J1297" s="20">
        <v>0</v>
      </c>
      <c r="K1297" s="20">
        <v>0</v>
      </c>
      <c r="L1297" s="20">
        <v>0</v>
      </c>
      <c r="M1297" s="20">
        <v>0</v>
      </c>
      <c r="N1297" s="20">
        <v>0</v>
      </c>
      <c r="O1297" s="20">
        <v>0</v>
      </c>
      <c r="P1297" s="26">
        <v>3.3</v>
      </c>
      <c r="Q1297" s="35" t="s">
        <v>154</v>
      </c>
    </row>
    <row r="1298" spans="1:17" ht="36" x14ac:dyDescent="0.25">
      <c r="A1298" s="23">
        <v>38285</v>
      </c>
      <c r="B1298" s="23">
        <v>38285</v>
      </c>
      <c r="C1298" s="24">
        <v>2004</v>
      </c>
      <c r="D1298" s="24" t="s">
        <v>141</v>
      </c>
      <c r="E1298" s="30" t="s">
        <v>142</v>
      </c>
      <c r="F1298" s="7" t="s">
        <v>56</v>
      </c>
      <c r="G1298" s="44" t="s">
        <v>2018</v>
      </c>
      <c r="H1298" s="44" t="s">
        <v>2019</v>
      </c>
      <c r="I1298" s="27">
        <v>0</v>
      </c>
      <c r="J1298" s="20">
        <v>25</v>
      </c>
      <c r="K1298" s="20">
        <v>0</v>
      </c>
      <c r="L1298" s="20">
        <v>0</v>
      </c>
      <c r="M1298" s="20">
        <v>0</v>
      </c>
      <c r="N1298" s="20">
        <v>0</v>
      </c>
      <c r="O1298" s="20">
        <v>0</v>
      </c>
      <c r="P1298" s="26">
        <v>0.6</v>
      </c>
      <c r="Q1298" s="35" t="s">
        <v>154</v>
      </c>
    </row>
    <row r="1299" spans="1:17" ht="48" x14ac:dyDescent="0.25">
      <c r="A1299" s="23">
        <v>38262</v>
      </c>
      <c r="B1299" s="23">
        <v>38262</v>
      </c>
      <c r="C1299" s="24">
        <v>2004</v>
      </c>
      <c r="D1299" s="24" t="s">
        <v>141</v>
      </c>
      <c r="E1299" s="30" t="s">
        <v>142</v>
      </c>
      <c r="F1299" s="7" t="s">
        <v>53</v>
      </c>
      <c r="G1299" s="44" t="s">
        <v>110</v>
      </c>
      <c r="H1299" s="44" t="s">
        <v>2020</v>
      </c>
      <c r="I1299" s="27">
        <v>1</v>
      </c>
      <c r="J1299" s="20">
        <v>2</v>
      </c>
      <c r="K1299" s="20">
        <v>0</v>
      </c>
      <c r="L1299" s="20">
        <v>0</v>
      </c>
      <c r="M1299" s="20">
        <v>0</v>
      </c>
      <c r="N1299" s="20">
        <v>0</v>
      </c>
      <c r="O1299" s="20">
        <v>0</v>
      </c>
      <c r="P1299" s="26">
        <v>0.27</v>
      </c>
      <c r="Q1299" s="35" t="s">
        <v>154</v>
      </c>
    </row>
    <row r="1300" spans="1:17" ht="48" x14ac:dyDescent="0.25">
      <c r="A1300" s="23">
        <v>38288</v>
      </c>
      <c r="B1300" s="23">
        <v>38288</v>
      </c>
      <c r="C1300" s="24">
        <v>2004</v>
      </c>
      <c r="D1300" s="24" t="s">
        <v>141</v>
      </c>
      <c r="E1300" s="30" t="s">
        <v>142</v>
      </c>
      <c r="F1300" s="7" t="s">
        <v>56</v>
      </c>
      <c r="G1300" s="44" t="s">
        <v>110</v>
      </c>
      <c r="H1300" s="44" t="s">
        <v>2021</v>
      </c>
      <c r="I1300" s="27">
        <v>0</v>
      </c>
      <c r="J1300" s="20">
        <v>0</v>
      </c>
      <c r="K1300" s="20">
        <v>0</v>
      </c>
      <c r="L1300" s="20">
        <v>0</v>
      </c>
      <c r="M1300" s="20">
        <v>0</v>
      </c>
      <c r="N1300" s="20">
        <v>0</v>
      </c>
      <c r="O1300" s="20">
        <v>0</v>
      </c>
      <c r="P1300" s="26">
        <v>0.37</v>
      </c>
      <c r="Q1300" s="35" t="s">
        <v>154</v>
      </c>
    </row>
    <row r="1301" spans="1:17" ht="36" x14ac:dyDescent="0.25">
      <c r="A1301" s="23">
        <v>38114</v>
      </c>
      <c r="B1301" s="23">
        <v>38114</v>
      </c>
      <c r="C1301" s="24">
        <v>2004</v>
      </c>
      <c r="D1301" s="24" t="s">
        <v>141</v>
      </c>
      <c r="E1301" s="6" t="s">
        <v>333</v>
      </c>
      <c r="F1301" s="7" t="s">
        <v>91</v>
      </c>
      <c r="G1301" s="44" t="s">
        <v>2022</v>
      </c>
      <c r="H1301" s="44" t="s">
        <v>2023</v>
      </c>
      <c r="I1301" s="27">
        <v>1</v>
      </c>
      <c r="J1301" s="20">
        <v>2</v>
      </c>
      <c r="K1301" s="20">
        <v>0</v>
      </c>
      <c r="L1301" s="20">
        <v>0</v>
      </c>
      <c r="M1301" s="20">
        <v>0</v>
      </c>
      <c r="N1301" s="20">
        <v>0</v>
      </c>
      <c r="O1301" s="20">
        <v>0</v>
      </c>
      <c r="P1301" s="26">
        <v>0</v>
      </c>
      <c r="Q1301" s="35" t="s">
        <v>154</v>
      </c>
    </row>
    <row r="1302" spans="1:17" ht="24" x14ac:dyDescent="0.25">
      <c r="A1302" s="23">
        <v>38290</v>
      </c>
      <c r="B1302" s="23">
        <v>38290</v>
      </c>
      <c r="C1302" s="24">
        <v>2004</v>
      </c>
      <c r="D1302" s="24" t="s">
        <v>141</v>
      </c>
      <c r="E1302" s="30" t="s">
        <v>142</v>
      </c>
      <c r="F1302" s="7" t="s">
        <v>87</v>
      </c>
      <c r="G1302" s="44" t="s">
        <v>110</v>
      </c>
      <c r="H1302" s="44" t="s">
        <v>2024</v>
      </c>
      <c r="I1302" s="27">
        <v>0</v>
      </c>
      <c r="J1302" s="20">
        <v>0</v>
      </c>
      <c r="K1302" s="20">
        <v>0</v>
      </c>
      <c r="L1302" s="20">
        <v>0</v>
      </c>
      <c r="M1302" s="20">
        <v>0</v>
      </c>
      <c r="N1302" s="20">
        <v>0</v>
      </c>
      <c r="O1302" s="20">
        <v>0</v>
      </c>
      <c r="P1302" s="26">
        <v>0.27</v>
      </c>
      <c r="Q1302" s="35" t="s">
        <v>154</v>
      </c>
    </row>
    <row r="1303" spans="1:17" ht="48" x14ac:dyDescent="0.25">
      <c r="A1303" s="23">
        <v>38083</v>
      </c>
      <c r="B1303" s="23">
        <v>38083</v>
      </c>
      <c r="C1303" s="24">
        <v>2004</v>
      </c>
      <c r="D1303" s="24" t="s">
        <v>141</v>
      </c>
      <c r="E1303" s="41" t="s">
        <v>1958</v>
      </c>
      <c r="F1303" s="7" t="s">
        <v>62</v>
      </c>
      <c r="G1303" s="44" t="s">
        <v>924</v>
      </c>
      <c r="H1303" s="44" t="s">
        <v>2025</v>
      </c>
      <c r="I1303" s="27">
        <v>0</v>
      </c>
      <c r="J1303" s="20">
        <v>0</v>
      </c>
      <c r="K1303" s="20">
        <v>0</v>
      </c>
      <c r="L1303" s="20">
        <v>0</v>
      </c>
      <c r="M1303" s="20">
        <v>0</v>
      </c>
      <c r="N1303" s="20">
        <v>0</v>
      </c>
      <c r="O1303" s="20">
        <v>0</v>
      </c>
      <c r="P1303" s="26">
        <v>0</v>
      </c>
      <c r="Q1303" s="35" t="s">
        <v>154</v>
      </c>
    </row>
    <row r="1304" spans="1:17" ht="72" x14ac:dyDescent="0.25">
      <c r="A1304" s="23">
        <v>38181</v>
      </c>
      <c r="B1304" s="23">
        <v>38181</v>
      </c>
      <c r="C1304" s="24">
        <v>2004</v>
      </c>
      <c r="D1304" s="24" t="s">
        <v>141</v>
      </c>
      <c r="E1304" s="30" t="s">
        <v>142</v>
      </c>
      <c r="F1304" s="7" t="s">
        <v>60</v>
      </c>
      <c r="G1304" s="44" t="s">
        <v>2026</v>
      </c>
      <c r="H1304" s="44" t="s">
        <v>2027</v>
      </c>
      <c r="I1304" s="27">
        <v>0</v>
      </c>
      <c r="J1304" s="20">
        <v>4</v>
      </c>
      <c r="K1304" s="20">
        <v>0</v>
      </c>
      <c r="L1304" s="20">
        <v>0</v>
      </c>
      <c r="M1304" s="20">
        <v>0</v>
      </c>
      <c r="N1304" s="20">
        <v>0</v>
      </c>
      <c r="O1304" s="20">
        <v>0</v>
      </c>
      <c r="P1304" s="26">
        <v>0.33</v>
      </c>
      <c r="Q1304" s="35" t="s">
        <v>154</v>
      </c>
    </row>
    <row r="1305" spans="1:17" ht="72" x14ac:dyDescent="0.25">
      <c r="A1305" s="23">
        <v>38147</v>
      </c>
      <c r="B1305" s="23">
        <v>38147</v>
      </c>
      <c r="C1305" s="24">
        <v>2004</v>
      </c>
      <c r="D1305" s="24" t="s">
        <v>141</v>
      </c>
      <c r="E1305" s="30" t="s">
        <v>142</v>
      </c>
      <c r="F1305" s="28" t="s">
        <v>157</v>
      </c>
      <c r="G1305" s="44" t="s">
        <v>1190</v>
      </c>
      <c r="H1305" s="44" t="s">
        <v>2028</v>
      </c>
      <c r="I1305" s="27">
        <v>1</v>
      </c>
      <c r="J1305" s="20">
        <v>0</v>
      </c>
      <c r="K1305" s="20">
        <v>0</v>
      </c>
      <c r="L1305" s="20">
        <v>0</v>
      </c>
      <c r="M1305" s="20">
        <v>0</v>
      </c>
      <c r="N1305" s="20">
        <v>0</v>
      </c>
      <c r="O1305" s="20">
        <v>0</v>
      </c>
      <c r="P1305" s="26">
        <v>0</v>
      </c>
      <c r="Q1305" s="35" t="s">
        <v>154</v>
      </c>
    </row>
    <row r="1306" spans="1:17" ht="36" x14ac:dyDescent="0.25">
      <c r="A1306" s="23">
        <v>38292</v>
      </c>
      <c r="B1306" s="23">
        <v>38292</v>
      </c>
      <c r="C1306" s="24">
        <v>2004</v>
      </c>
      <c r="D1306" s="24" t="s">
        <v>141</v>
      </c>
      <c r="E1306" s="30" t="s">
        <v>142</v>
      </c>
      <c r="F1306" s="7" t="s">
        <v>49</v>
      </c>
      <c r="G1306" s="44" t="s">
        <v>2029</v>
      </c>
      <c r="H1306" s="44" t="s">
        <v>2030</v>
      </c>
      <c r="I1306" s="27">
        <v>0</v>
      </c>
      <c r="J1306" s="20">
        <v>0</v>
      </c>
      <c r="K1306" s="20">
        <v>0</v>
      </c>
      <c r="L1306" s="20">
        <v>0</v>
      </c>
      <c r="M1306" s="20">
        <v>0</v>
      </c>
      <c r="N1306" s="20">
        <v>0</v>
      </c>
      <c r="O1306" s="20">
        <v>0</v>
      </c>
      <c r="P1306" s="26">
        <v>0.82</v>
      </c>
      <c r="Q1306" s="35" t="s">
        <v>154</v>
      </c>
    </row>
    <row r="1307" spans="1:17" ht="48" x14ac:dyDescent="0.25">
      <c r="A1307" s="23">
        <v>38303</v>
      </c>
      <c r="B1307" s="23">
        <v>38303</v>
      </c>
      <c r="C1307" s="24">
        <v>2004</v>
      </c>
      <c r="D1307" s="24" t="s">
        <v>141</v>
      </c>
      <c r="E1307" s="30" t="s">
        <v>142</v>
      </c>
      <c r="F1307" s="7" t="s">
        <v>30</v>
      </c>
      <c r="G1307" s="44" t="s">
        <v>1078</v>
      </c>
      <c r="H1307" s="44" t="s">
        <v>2031</v>
      </c>
      <c r="I1307" s="27">
        <v>0</v>
      </c>
      <c r="J1307" s="20">
        <v>40</v>
      </c>
      <c r="K1307" s="20">
        <v>0</v>
      </c>
      <c r="L1307" s="20">
        <v>0</v>
      </c>
      <c r="M1307" s="20">
        <v>0</v>
      </c>
      <c r="N1307" s="20">
        <v>0</v>
      </c>
      <c r="O1307" s="20">
        <v>0</v>
      </c>
      <c r="P1307" s="26">
        <v>0.6</v>
      </c>
      <c r="Q1307" s="35" t="s">
        <v>154</v>
      </c>
    </row>
    <row r="1308" spans="1:17" ht="60" x14ac:dyDescent="0.25">
      <c r="A1308" s="23">
        <v>38220</v>
      </c>
      <c r="B1308" s="23">
        <v>38220</v>
      </c>
      <c r="C1308" s="24">
        <v>2004</v>
      </c>
      <c r="D1308" s="24" t="s">
        <v>141</v>
      </c>
      <c r="E1308" s="30" t="s">
        <v>142</v>
      </c>
      <c r="F1308" s="7" t="s">
        <v>82</v>
      </c>
      <c r="G1308" s="44" t="s">
        <v>82</v>
      </c>
      <c r="H1308" s="44" t="s">
        <v>2032</v>
      </c>
      <c r="I1308" s="27">
        <v>1</v>
      </c>
      <c r="J1308" s="20">
        <v>4</v>
      </c>
      <c r="K1308" s="20">
        <v>0</v>
      </c>
      <c r="L1308" s="20">
        <v>0</v>
      </c>
      <c r="M1308" s="20">
        <v>0</v>
      </c>
      <c r="N1308" s="20">
        <v>0</v>
      </c>
      <c r="O1308" s="20">
        <v>0</v>
      </c>
      <c r="P1308" s="26">
        <v>0.06</v>
      </c>
      <c r="Q1308" s="35" t="s">
        <v>154</v>
      </c>
    </row>
    <row r="1309" spans="1:17" ht="48" x14ac:dyDescent="0.25">
      <c r="A1309" s="23">
        <v>38323</v>
      </c>
      <c r="B1309" s="23">
        <v>38323</v>
      </c>
      <c r="C1309" s="24">
        <v>2004</v>
      </c>
      <c r="D1309" s="24" t="s">
        <v>141</v>
      </c>
      <c r="E1309" s="30" t="s">
        <v>142</v>
      </c>
      <c r="F1309" s="7" t="s">
        <v>36</v>
      </c>
      <c r="G1309" s="44" t="s">
        <v>834</v>
      </c>
      <c r="H1309" s="44" t="s">
        <v>2033</v>
      </c>
      <c r="I1309" s="27">
        <v>0</v>
      </c>
      <c r="J1309" s="20">
        <v>1</v>
      </c>
      <c r="K1309" s="20">
        <v>0</v>
      </c>
      <c r="L1309" s="20">
        <v>0</v>
      </c>
      <c r="M1309" s="20">
        <v>0</v>
      </c>
      <c r="N1309" s="20">
        <v>0</v>
      </c>
      <c r="O1309" s="20">
        <v>0</v>
      </c>
      <c r="P1309" s="26">
        <v>0.27</v>
      </c>
      <c r="Q1309" s="35" t="s">
        <v>154</v>
      </c>
    </row>
    <row r="1310" spans="1:17" ht="48" x14ac:dyDescent="0.25">
      <c r="A1310" s="23">
        <v>38221</v>
      </c>
      <c r="B1310" s="23">
        <v>38221</v>
      </c>
      <c r="C1310" s="24">
        <v>2004</v>
      </c>
      <c r="D1310" s="24" t="s">
        <v>141</v>
      </c>
      <c r="E1310" s="30" t="s">
        <v>142</v>
      </c>
      <c r="F1310" s="7" t="s">
        <v>68</v>
      </c>
      <c r="G1310" s="44" t="s">
        <v>2034</v>
      </c>
      <c r="H1310" s="44" t="s">
        <v>2035</v>
      </c>
      <c r="I1310" s="27">
        <v>1</v>
      </c>
      <c r="J1310" s="20">
        <v>4</v>
      </c>
      <c r="K1310" s="20">
        <v>0</v>
      </c>
      <c r="L1310" s="20">
        <v>0</v>
      </c>
      <c r="M1310" s="20">
        <v>0</v>
      </c>
      <c r="N1310" s="20">
        <v>0</v>
      </c>
      <c r="O1310" s="20">
        <v>0</v>
      </c>
      <c r="P1310" s="26">
        <v>0</v>
      </c>
      <c r="Q1310" s="35" t="s">
        <v>154</v>
      </c>
    </row>
    <row r="1311" spans="1:17" ht="60" x14ac:dyDescent="0.25">
      <c r="A1311" s="23">
        <v>38002</v>
      </c>
      <c r="B1311" s="23">
        <v>38002</v>
      </c>
      <c r="C1311" s="24">
        <v>2004</v>
      </c>
      <c r="D1311" s="24" t="s">
        <v>141</v>
      </c>
      <c r="E1311" s="30" t="s">
        <v>142</v>
      </c>
      <c r="F1311" s="7" t="s">
        <v>53</v>
      </c>
      <c r="G1311" s="44" t="s">
        <v>110</v>
      </c>
      <c r="H1311" s="44" t="s">
        <v>2036</v>
      </c>
      <c r="I1311" s="27">
        <v>0</v>
      </c>
      <c r="J1311" s="20">
        <v>1</v>
      </c>
      <c r="K1311" s="20">
        <v>0</v>
      </c>
      <c r="L1311" s="20">
        <v>0</v>
      </c>
      <c r="M1311" s="20">
        <v>0</v>
      </c>
      <c r="N1311" s="20">
        <v>0</v>
      </c>
      <c r="O1311" s="20">
        <v>0</v>
      </c>
      <c r="P1311" s="26">
        <v>0.27</v>
      </c>
      <c r="Q1311" s="35" t="s">
        <v>154</v>
      </c>
    </row>
    <row r="1312" spans="1:17" ht="72" x14ac:dyDescent="0.25">
      <c r="A1312" s="23">
        <v>38289</v>
      </c>
      <c r="B1312" s="23">
        <v>38289</v>
      </c>
      <c r="C1312" s="24">
        <v>2004</v>
      </c>
      <c r="D1312" s="24" t="s">
        <v>141</v>
      </c>
      <c r="E1312" s="30" t="s">
        <v>142</v>
      </c>
      <c r="F1312" s="28" t="s">
        <v>157</v>
      </c>
      <c r="G1312" s="44" t="s">
        <v>433</v>
      </c>
      <c r="H1312" s="44" t="s">
        <v>2037</v>
      </c>
      <c r="I1312" s="27">
        <v>1</v>
      </c>
      <c r="J1312" s="20">
        <v>16</v>
      </c>
      <c r="K1312" s="20">
        <v>0</v>
      </c>
      <c r="L1312" s="20">
        <v>0</v>
      </c>
      <c r="M1312" s="20">
        <v>0</v>
      </c>
      <c r="N1312" s="20">
        <v>0</v>
      </c>
      <c r="O1312" s="20">
        <v>0</v>
      </c>
      <c r="P1312" s="26">
        <v>0</v>
      </c>
      <c r="Q1312" s="35" t="s">
        <v>154</v>
      </c>
    </row>
    <row r="1313" spans="1:17" ht="84" x14ac:dyDescent="0.25">
      <c r="A1313" s="23">
        <v>38295</v>
      </c>
      <c r="B1313" s="23">
        <v>38295</v>
      </c>
      <c r="C1313" s="24">
        <v>2004</v>
      </c>
      <c r="D1313" s="24" t="s">
        <v>141</v>
      </c>
      <c r="E1313" s="6" t="s">
        <v>333</v>
      </c>
      <c r="F1313" s="7" t="s">
        <v>60</v>
      </c>
      <c r="G1313" s="44" t="s">
        <v>2038</v>
      </c>
      <c r="H1313" s="44" t="s">
        <v>2039</v>
      </c>
      <c r="I1313" s="27">
        <v>1</v>
      </c>
      <c r="J1313" s="20">
        <v>2</v>
      </c>
      <c r="K1313" s="20">
        <v>0</v>
      </c>
      <c r="L1313" s="20">
        <v>0</v>
      </c>
      <c r="M1313" s="20">
        <v>0</v>
      </c>
      <c r="N1313" s="20">
        <v>0</v>
      </c>
      <c r="O1313" s="20">
        <v>0</v>
      </c>
      <c r="P1313" s="26">
        <v>0</v>
      </c>
      <c r="Q1313" s="35" t="s">
        <v>154</v>
      </c>
    </row>
    <row r="1314" spans="1:17" ht="36" x14ac:dyDescent="0.25">
      <c r="A1314" s="23">
        <v>38342</v>
      </c>
      <c r="B1314" s="23">
        <v>38342</v>
      </c>
      <c r="C1314" s="24">
        <v>2004</v>
      </c>
      <c r="D1314" s="24" t="s">
        <v>141</v>
      </c>
      <c r="E1314" s="30" t="s">
        <v>142</v>
      </c>
      <c r="F1314" s="7" t="s">
        <v>56</v>
      </c>
      <c r="G1314" s="44" t="s">
        <v>646</v>
      </c>
      <c r="H1314" s="44" t="s">
        <v>2040</v>
      </c>
      <c r="I1314" s="27">
        <v>0</v>
      </c>
      <c r="J1314" s="20">
        <v>6</v>
      </c>
      <c r="K1314" s="20">
        <v>0</v>
      </c>
      <c r="L1314" s="20">
        <v>0</v>
      </c>
      <c r="M1314" s="20">
        <v>0</v>
      </c>
      <c r="N1314" s="20">
        <v>0</v>
      </c>
      <c r="O1314" s="20">
        <v>0</v>
      </c>
      <c r="P1314" s="26">
        <v>1.2</v>
      </c>
      <c r="Q1314" s="35" t="s">
        <v>154</v>
      </c>
    </row>
    <row r="1315" spans="1:17" ht="60" x14ac:dyDescent="0.25">
      <c r="A1315" s="23">
        <v>38343</v>
      </c>
      <c r="B1315" s="23">
        <v>38343</v>
      </c>
      <c r="C1315" s="24">
        <v>2004</v>
      </c>
      <c r="D1315" s="24" t="s">
        <v>141</v>
      </c>
      <c r="E1315" s="30" t="s">
        <v>142</v>
      </c>
      <c r="F1315" s="7" t="s">
        <v>91</v>
      </c>
      <c r="G1315" s="44" t="s">
        <v>1682</v>
      </c>
      <c r="H1315" s="44" t="s">
        <v>2041</v>
      </c>
      <c r="I1315" s="27">
        <v>1</v>
      </c>
      <c r="J1315" s="20">
        <v>0</v>
      </c>
      <c r="K1315" s="20">
        <v>0</v>
      </c>
      <c r="L1315" s="20">
        <v>0</v>
      </c>
      <c r="M1315" s="20">
        <v>0</v>
      </c>
      <c r="N1315" s="20">
        <v>0</v>
      </c>
      <c r="O1315" s="20">
        <v>0</v>
      </c>
      <c r="P1315" s="26">
        <v>0</v>
      </c>
      <c r="Q1315" s="35" t="s">
        <v>154</v>
      </c>
    </row>
    <row r="1316" spans="1:17" ht="96" x14ac:dyDescent="0.25">
      <c r="A1316" s="62">
        <v>38355</v>
      </c>
      <c r="B1316" s="62">
        <v>38355</v>
      </c>
      <c r="C1316" s="63">
        <v>2005</v>
      </c>
      <c r="D1316" s="351" t="s">
        <v>23</v>
      </c>
      <c r="E1316" s="22" t="s">
        <v>86</v>
      </c>
      <c r="F1316" s="7" t="s">
        <v>30</v>
      </c>
      <c r="G1316" s="64" t="s">
        <v>1078</v>
      </c>
      <c r="H1316" s="65" t="s">
        <v>2042</v>
      </c>
      <c r="I1316" s="66">
        <v>4</v>
      </c>
      <c r="J1316" s="66">
        <v>430</v>
      </c>
      <c r="K1316" s="66">
        <v>0</v>
      </c>
      <c r="L1316" s="66">
        <v>0</v>
      </c>
      <c r="M1316" s="67">
        <v>0</v>
      </c>
      <c r="N1316" s="67">
        <v>0</v>
      </c>
      <c r="O1316" s="66">
        <v>0</v>
      </c>
      <c r="P1316" s="68">
        <v>0</v>
      </c>
      <c r="Q1316" s="35" t="s">
        <v>154</v>
      </c>
    </row>
    <row r="1317" spans="1:17" ht="108" x14ac:dyDescent="0.25">
      <c r="A1317" s="62">
        <v>38355</v>
      </c>
      <c r="B1317" s="62">
        <v>38355</v>
      </c>
      <c r="C1317" s="63">
        <v>2005</v>
      </c>
      <c r="D1317" s="351" t="s">
        <v>23</v>
      </c>
      <c r="E1317" s="22" t="s">
        <v>86</v>
      </c>
      <c r="F1317" s="7" t="s">
        <v>40</v>
      </c>
      <c r="G1317" s="64" t="s">
        <v>2043</v>
      </c>
      <c r="H1317" s="65" t="s">
        <v>2044</v>
      </c>
      <c r="I1317" s="66">
        <v>0</v>
      </c>
      <c r="J1317" s="66">
        <v>85</v>
      </c>
      <c r="K1317" s="66">
        <v>39</v>
      </c>
      <c r="L1317" s="66">
        <v>0</v>
      </c>
      <c r="M1317" s="67">
        <v>0</v>
      </c>
      <c r="N1317" s="67">
        <v>0</v>
      </c>
      <c r="O1317" s="66">
        <v>0</v>
      </c>
      <c r="P1317" s="68">
        <v>3.0150000000000001</v>
      </c>
      <c r="Q1317" s="35" t="s">
        <v>154</v>
      </c>
    </row>
    <row r="1318" spans="1:17" ht="48" x14ac:dyDescent="0.25">
      <c r="A1318" s="62">
        <v>38387</v>
      </c>
      <c r="B1318" s="62">
        <v>38388</v>
      </c>
      <c r="C1318" s="63">
        <v>2005</v>
      </c>
      <c r="D1318" s="351" t="s">
        <v>23</v>
      </c>
      <c r="E1318" s="22" t="s">
        <v>86</v>
      </c>
      <c r="F1318" s="7" t="s">
        <v>40</v>
      </c>
      <c r="G1318" s="64" t="s">
        <v>2045</v>
      </c>
      <c r="H1318" s="65" t="s">
        <v>2046</v>
      </c>
      <c r="I1318" s="66">
        <v>0</v>
      </c>
      <c r="J1318" s="66">
        <v>7400</v>
      </c>
      <c r="K1318" s="66">
        <v>0</v>
      </c>
      <c r="L1318" s="66">
        <v>0</v>
      </c>
      <c r="M1318" s="67">
        <v>0</v>
      </c>
      <c r="N1318" s="67">
        <v>0</v>
      </c>
      <c r="O1318" s="66">
        <v>0</v>
      </c>
      <c r="P1318" s="68">
        <v>0</v>
      </c>
      <c r="Q1318" s="35" t="s">
        <v>154</v>
      </c>
    </row>
    <row r="1319" spans="1:17" ht="60" x14ac:dyDescent="0.25">
      <c r="A1319" s="62">
        <v>38405</v>
      </c>
      <c r="B1319" s="62">
        <v>38405</v>
      </c>
      <c r="C1319" s="63">
        <v>2005</v>
      </c>
      <c r="D1319" s="351" t="s">
        <v>23</v>
      </c>
      <c r="E1319" s="22" t="s">
        <v>86</v>
      </c>
      <c r="F1319" s="7" t="s">
        <v>30</v>
      </c>
      <c r="G1319" s="64" t="s">
        <v>1078</v>
      </c>
      <c r="H1319" s="65" t="s">
        <v>2047</v>
      </c>
      <c r="I1319" s="66">
        <v>0</v>
      </c>
      <c r="J1319" s="66">
        <v>190</v>
      </c>
      <c r="K1319" s="66">
        <v>0</v>
      </c>
      <c r="L1319" s="66">
        <v>0</v>
      </c>
      <c r="M1319" s="67">
        <v>0</v>
      </c>
      <c r="N1319" s="67">
        <v>0</v>
      </c>
      <c r="O1319" s="66">
        <v>0</v>
      </c>
      <c r="P1319" s="68">
        <v>0</v>
      </c>
      <c r="Q1319" s="35" t="s">
        <v>154</v>
      </c>
    </row>
    <row r="1320" spans="1:17" ht="72" x14ac:dyDescent="0.25">
      <c r="A1320" s="62">
        <v>38463</v>
      </c>
      <c r="B1320" s="62">
        <v>38463</v>
      </c>
      <c r="C1320" s="63">
        <v>2005</v>
      </c>
      <c r="D1320" s="351" t="s">
        <v>23</v>
      </c>
      <c r="E1320" s="22" t="s">
        <v>86</v>
      </c>
      <c r="F1320" s="7" t="s">
        <v>36</v>
      </c>
      <c r="G1320" s="64" t="s">
        <v>2048</v>
      </c>
      <c r="H1320" s="69" t="s">
        <v>2049</v>
      </c>
      <c r="I1320" s="66">
        <v>0</v>
      </c>
      <c r="J1320" s="66">
        <v>17</v>
      </c>
      <c r="K1320" s="66">
        <v>68</v>
      </c>
      <c r="L1320" s="66">
        <v>0</v>
      </c>
      <c r="M1320" s="67">
        <v>0</v>
      </c>
      <c r="N1320" s="67">
        <v>0</v>
      </c>
      <c r="O1320" s="66">
        <v>0</v>
      </c>
      <c r="P1320" s="68">
        <v>0.73899999999999999</v>
      </c>
      <c r="Q1320" s="35" t="s">
        <v>154</v>
      </c>
    </row>
    <row r="1321" spans="1:17" ht="60" x14ac:dyDescent="0.25">
      <c r="A1321" s="62">
        <v>38466</v>
      </c>
      <c r="B1321" s="62">
        <v>38466</v>
      </c>
      <c r="C1321" s="63">
        <v>2005</v>
      </c>
      <c r="D1321" s="351" t="s">
        <v>23</v>
      </c>
      <c r="E1321" s="22" t="s">
        <v>86</v>
      </c>
      <c r="F1321" s="7" t="s">
        <v>97</v>
      </c>
      <c r="G1321" s="64" t="s">
        <v>2050</v>
      </c>
      <c r="H1321" s="69" t="s">
        <v>2051</v>
      </c>
      <c r="I1321" s="66">
        <v>0</v>
      </c>
      <c r="J1321" s="66">
        <v>72</v>
      </c>
      <c r="K1321" s="66">
        <v>14</v>
      </c>
      <c r="L1321" s="66">
        <v>0</v>
      </c>
      <c r="M1321" s="67">
        <v>0</v>
      </c>
      <c r="N1321" s="67">
        <v>0</v>
      </c>
      <c r="O1321" s="66">
        <v>0</v>
      </c>
      <c r="P1321" s="68">
        <v>5.6000000000000001E-2</v>
      </c>
      <c r="Q1321" s="35" t="s">
        <v>154</v>
      </c>
    </row>
    <row r="1322" spans="1:17" ht="96" x14ac:dyDescent="0.25">
      <c r="A1322" s="62">
        <v>38466</v>
      </c>
      <c r="B1322" s="62">
        <v>38466</v>
      </c>
      <c r="C1322" s="63">
        <v>2005</v>
      </c>
      <c r="D1322" s="351" t="s">
        <v>23</v>
      </c>
      <c r="E1322" s="22" t="s">
        <v>86</v>
      </c>
      <c r="F1322" s="7" t="s">
        <v>82</v>
      </c>
      <c r="G1322" s="64" t="s">
        <v>2052</v>
      </c>
      <c r="H1322" s="65" t="s">
        <v>2053</v>
      </c>
      <c r="I1322" s="66">
        <v>1</v>
      </c>
      <c r="J1322" s="66">
        <v>126</v>
      </c>
      <c r="K1322" s="66">
        <v>25</v>
      </c>
      <c r="L1322" s="66">
        <v>0</v>
      </c>
      <c r="M1322" s="67">
        <v>0</v>
      </c>
      <c r="N1322" s="67">
        <v>0</v>
      </c>
      <c r="O1322" s="66">
        <v>0</v>
      </c>
      <c r="P1322" s="68">
        <v>0.82699999999999996</v>
      </c>
      <c r="Q1322" s="35" t="s">
        <v>154</v>
      </c>
    </row>
    <row r="1323" spans="1:17" ht="48" x14ac:dyDescent="0.25">
      <c r="A1323" s="62">
        <v>38472</v>
      </c>
      <c r="B1323" s="62">
        <v>38472</v>
      </c>
      <c r="C1323" s="63">
        <v>2005</v>
      </c>
      <c r="D1323" s="351" t="s">
        <v>23</v>
      </c>
      <c r="E1323" s="22" t="s">
        <v>86</v>
      </c>
      <c r="F1323" s="7" t="s">
        <v>72</v>
      </c>
      <c r="G1323" s="64" t="s">
        <v>2054</v>
      </c>
      <c r="H1323" s="65" t="s">
        <v>2055</v>
      </c>
      <c r="I1323" s="66">
        <v>0</v>
      </c>
      <c r="J1323" s="66">
        <v>600</v>
      </c>
      <c r="K1323" s="66">
        <v>120</v>
      </c>
      <c r="L1323" s="66">
        <v>0</v>
      </c>
      <c r="M1323" s="67">
        <v>0</v>
      </c>
      <c r="N1323" s="67">
        <v>0</v>
      </c>
      <c r="O1323" s="66">
        <v>0</v>
      </c>
      <c r="P1323" s="68">
        <v>0.48599999999999999</v>
      </c>
      <c r="Q1323" s="35" t="s">
        <v>154</v>
      </c>
    </row>
    <row r="1324" spans="1:17" ht="72" x14ac:dyDescent="0.25">
      <c r="A1324" s="62">
        <v>38477</v>
      </c>
      <c r="B1324" s="62">
        <v>38477</v>
      </c>
      <c r="C1324" s="63">
        <v>2005</v>
      </c>
      <c r="D1324" s="351" t="s">
        <v>23</v>
      </c>
      <c r="E1324" s="22" t="s">
        <v>86</v>
      </c>
      <c r="F1324" s="7" t="s">
        <v>53</v>
      </c>
      <c r="G1324" s="64" t="s">
        <v>847</v>
      </c>
      <c r="H1324" s="65" t="s">
        <v>2056</v>
      </c>
      <c r="I1324" s="66">
        <v>0</v>
      </c>
      <c r="J1324" s="66">
        <v>550</v>
      </c>
      <c r="K1324" s="66">
        <v>110</v>
      </c>
      <c r="L1324" s="66">
        <v>0</v>
      </c>
      <c r="M1324" s="67">
        <v>0</v>
      </c>
      <c r="N1324" s="67">
        <v>0</v>
      </c>
      <c r="O1324" s="66">
        <v>0</v>
      </c>
      <c r="P1324" s="68">
        <v>0.93</v>
      </c>
      <c r="Q1324" s="35" t="s">
        <v>154</v>
      </c>
    </row>
    <row r="1325" spans="1:17" ht="24" x14ac:dyDescent="0.25">
      <c r="A1325" s="62">
        <v>38484</v>
      </c>
      <c r="B1325" s="62">
        <v>38484</v>
      </c>
      <c r="C1325" s="63">
        <v>2005</v>
      </c>
      <c r="D1325" s="351" t="s">
        <v>23</v>
      </c>
      <c r="E1325" s="22" t="s">
        <v>86</v>
      </c>
      <c r="F1325" s="7" t="s">
        <v>36</v>
      </c>
      <c r="G1325" s="64" t="s">
        <v>2057</v>
      </c>
      <c r="H1325" s="65" t="s">
        <v>2058</v>
      </c>
      <c r="I1325" s="66">
        <v>0</v>
      </c>
      <c r="J1325" s="66">
        <v>10</v>
      </c>
      <c r="K1325" s="66">
        <v>2</v>
      </c>
      <c r="L1325" s="66">
        <v>0</v>
      </c>
      <c r="M1325" s="67">
        <v>0</v>
      </c>
      <c r="N1325" s="67">
        <v>0</v>
      </c>
      <c r="O1325" s="66">
        <v>0</v>
      </c>
      <c r="P1325" s="68">
        <v>8.0000000000000002E-3</v>
      </c>
      <c r="Q1325" s="35" t="s">
        <v>154</v>
      </c>
    </row>
    <row r="1326" spans="1:17" ht="60" x14ac:dyDescent="0.25">
      <c r="A1326" s="62">
        <v>38486</v>
      </c>
      <c r="B1326" s="62">
        <v>38486</v>
      </c>
      <c r="C1326" s="63">
        <v>2005</v>
      </c>
      <c r="D1326" s="351" t="s">
        <v>23</v>
      </c>
      <c r="E1326" s="22" t="s">
        <v>86</v>
      </c>
      <c r="F1326" s="7" t="s">
        <v>91</v>
      </c>
      <c r="G1326" s="64" t="s">
        <v>2059</v>
      </c>
      <c r="H1326" s="69" t="s">
        <v>2060</v>
      </c>
      <c r="I1326" s="66">
        <v>0</v>
      </c>
      <c r="J1326" s="66">
        <v>110</v>
      </c>
      <c r="K1326" s="66">
        <v>22</v>
      </c>
      <c r="L1326" s="66">
        <v>0</v>
      </c>
      <c r="M1326" s="67">
        <v>0</v>
      </c>
      <c r="N1326" s="67">
        <v>0</v>
      </c>
      <c r="O1326" s="66">
        <v>0</v>
      </c>
      <c r="P1326" s="68">
        <v>8.8999999999999996E-2</v>
      </c>
      <c r="Q1326" s="35" t="s">
        <v>154</v>
      </c>
    </row>
    <row r="1327" spans="1:17" ht="36" x14ac:dyDescent="0.25">
      <c r="A1327" s="62">
        <v>38488</v>
      </c>
      <c r="B1327" s="62">
        <v>38488</v>
      </c>
      <c r="C1327" s="63">
        <v>2005</v>
      </c>
      <c r="D1327" s="351" t="s">
        <v>23</v>
      </c>
      <c r="E1327" s="22" t="s">
        <v>86</v>
      </c>
      <c r="F1327" s="28" t="s">
        <v>210</v>
      </c>
      <c r="G1327" s="64" t="s">
        <v>2061</v>
      </c>
      <c r="H1327" s="65" t="s">
        <v>2062</v>
      </c>
      <c r="I1327" s="66">
        <v>0</v>
      </c>
      <c r="J1327" s="66">
        <v>885</v>
      </c>
      <c r="K1327" s="66">
        <v>177</v>
      </c>
      <c r="L1327" s="66">
        <v>0</v>
      </c>
      <c r="M1327" s="67">
        <v>0</v>
      </c>
      <c r="N1327" s="67">
        <v>0</v>
      </c>
      <c r="O1327" s="66">
        <v>0</v>
      </c>
      <c r="P1327" s="68">
        <v>0.47399999999999998</v>
      </c>
      <c r="Q1327" s="35" t="s">
        <v>154</v>
      </c>
    </row>
    <row r="1328" spans="1:17" ht="60" x14ac:dyDescent="0.25">
      <c r="A1328" s="62">
        <v>38488</v>
      </c>
      <c r="B1328" s="62">
        <v>38488</v>
      </c>
      <c r="C1328" s="63">
        <v>2005</v>
      </c>
      <c r="D1328" s="351" t="s">
        <v>23</v>
      </c>
      <c r="E1328" s="22" t="s">
        <v>86</v>
      </c>
      <c r="F1328" s="7" t="s">
        <v>72</v>
      </c>
      <c r="G1328" s="64" t="s">
        <v>2063</v>
      </c>
      <c r="H1328" s="65" t="s">
        <v>2064</v>
      </c>
      <c r="I1328" s="66">
        <v>0</v>
      </c>
      <c r="J1328" s="66">
        <v>50</v>
      </c>
      <c r="K1328" s="66">
        <v>10</v>
      </c>
      <c r="L1328" s="66">
        <v>0</v>
      </c>
      <c r="M1328" s="67">
        <v>0</v>
      </c>
      <c r="N1328" s="67">
        <v>0</v>
      </c>
      <c r="O1328" s="66">
        <v>0</v>
      </c>
      <c r="P1328" s="68">
        <v>0.113</v>
      </c>
      <c r="Q1328" s="35" t="s">
        <v>154</v>
      </c>
    </row>
    <row r="1329" spans="1:17" ht="60" x14ac:dyDescent="0.25">
      <c r="A1329" s="62">
        <v>38489</v>
      </c>
      <c r="B1329" s="62">
        <v>38489</v>
      </c>
      <c r="C1329" s="63">
        <v>2005</v>
      </c>
      <c r="D1329" s="351" t="s">
        <v>23</v>
      </c>
      <c r="E1329" s="22" t="s">
        <v>86</v>
      </c>
      <c r="F1329" s="7" t="s">
        <v>72</v>
      </c>
      <c r="G1329" s="64" t="s">
        <v>2065</v>
      </c>
      <c r="H1329" s="65" t="s">
        <v>2066</v>
      </c>
      <c r="I1329" s="66">
        <v>0</v>
      </c>
      <c r="J1329" s="66">
        <v>500</v>
      </c>
      <c r="K1329" s="66">
        <v>120</v>
      </c>
      <c r="L1329" s="66">
        <v>0</v>
      </c>
      <c r="M1329" s="67">
        <v>0</v>
      </c>
      <c r="N1329" s="67">
        <v>0</v>
      </c>
      <c r="O1329" s="66">
        <v>0</v>
      </c>
      <c r="P1329" s="68">
        <v>0.48699999999999999</v>
      </c>
      <c r="Q1329" s="35" t="s">
        <v>154</v>
      </c>
    </row>
    <row r="1330" spans="1:17" ht="60" x14ac:dyDescent="0.25">
      <c r="A1330" s="62">
        <v>38495</v>
      </c>
      <c r="B1330" s="62">
        <v>38495</v>
      </c>
      <c r="C1330" s="63">
        <v>2005</v>
      </c>
      <c r="D1330" s="351" t="s">
        <v>23</v>
      </c>
      <c r="E1330" s="22" t="s">
        <v>86</v>
      </c>
      <c r="F1330" s="7" t="s">
        <v>53</v>
      </c>
      <c r="G1330" s="64" t="s">
        <v>2067</v>
      </c>
      <c r="H1330" s="69" t="s">
        <v>2068</v>
      </c>
      <c r="I1330" s="66">
        <v>0</v>
      </c>
      <c r="J1330" s="66">
        <v>60</v>
      </c>
      <c r="K1330" s="66">
        <v>12</v>
      </c>
      <c r="L1330" s="66">
        <v>0</v>
      </c>
      <c r="M1330" s="67">
        <v>0</v>
      </c>
      <c r="N1330" s="67">
        <v>0</v>
      </c>
      <c r="O1330" s="66">
        <v>0</v>
      </c>
      <c r="P1330" s="68">
        <v>4.9000000000000002E-2</v>
      </c>
      <c r="Q1330" s="35" t="s">
        <v>154</v>
      </c>
    </row>
    <row r="1331" spans="1:17" ht="48" x14ac:dyDescent="0.25">
      <c r="A1331" s="62">
        <v>38498</v>
      </c>
      <c r="B1331" s="62">
        <v>38498</v>
      </c>
      <c r="C1331" s="63">
        <v>2005</v>
      </c>
      <c r="D1331" s="351" t="s">
        <v>23</v>
      </c>
      <c r="E1331" s="22" t="s">
        <v>86</v>
      </c>
      <c r="F1331" s="7" t="s">
        <v>40</v>
      </c>
      <c r="G1331" s="64" t="s">
        <v>40</v>
      </c>
      <c r="H1331" s="69" t="s">
        <v>2069</v>
      </c>
      <c r="I1331" s="66">
        <v>1</v>
      </c>
      <c r="J1331" s="66">
        <v>15</v>
      </c>
      <c r="K1331" s="66">
        <v>0</v>
      </c>
      <c r="L1331" s="66">
        <v>0</v>
      </c>
      <c r="M1331" s="67">
        <v>0</v>
      </c>
      <c r="N1331" s="67">
        <v>0</v>
      </c>
      <c r="O1331" s="66">
        <v>0</v>
      </c>
      <c r="P1331" s="68">
        <v>0</v>
      </c>
      <c r="Q1331" s="35" t="s">
        <v>154</v>
      </c>
    </row>
    <row r="1332" spans="1:17" ht="36" x14ac:dyDescent="0.25">
      <c r="A1332" s="62">
        <v>38500</v>
      </c>
      <c r="B1332" s="62">
        <v>38500</v>
      </c>
      <c r="C1332" s="63">
        <v>2005</v>
      </c>
      <c r="D1332" s="351" t="s">
        <v>23</v>
      </c>
      <c r="E1332" s="70" t="s">
        <v>2070</v>
      </c>
      <c r="F1332" s="7" t="s">
        <v>68</v>
      </c>
      <c r="G1332" s="64" t="s">
        <v>2071</v>
      </c>
      <c r="H1332" s="65" t="s">
        <v>2072</v>
      </c>
      <c r="I1332" s="66">
        <v>1</v>
      </c>
      <c r="J1332" s="66">
        <v>1</v>
      </c>
      <c r="K1332" s="66">
        <v>0</v>
      </c>
      <c r="L1332" s="66">
        <v>0</v>
      </c>
      <c r="M1332" s="67">
        <v>0</v>
      </c>
      <c r="N1332" s="67">
        <v>0</v>
      </c>
      <c r="O1332" s="66">
        <v>0</v>
      </c>
      <c r="P1332" s="68">
        <v>0</v>
      </c>
      <c r="Q1332" s="35" t="s">
        <v>154</v>
      </c>
    </row>
    <row r="1333" spans="1:17" ht="36" x14ac:dyDescent="0.25">
      <c r="A1333" s="62">
        <v>38510</v>
      </c>
      <c r="B1333" s="62">
        <v>38510</v>
      </c>
      <c r="C1333" s="63">
        <v>2005</v>
      </c>
      <c r="D1333" s="351" t="s">
        <v>23</v>
      </c>
      <c r="E1333" s="22" t="s">
        <v>86</v>
      </c>
      <c r="F1333" s="7" t="s">
        <v>82</v>
      </c>
      <c r="G1333" s="64" t="s">
        <v>1092</v>
      </c>
      <c r="H1333" s="65" t="s">
        <v>2073</v>
      </c>
      <c r="I1333" s="66">
        <v>0</v>
      </c>
      <c r="J1333" s="66">
        <v>25</v>
      </c>
      <c r="K1333" s="66">
        <v>5</v>
      </c>
      <c r="L1333" s="66">
        <v>0</v>
      </c>
      <c r="M1333" s="67">
        <v>0</v>
      </c>
      <c r="N1333" s="67">
        <v>0</v>
      </c>
      <c r="O1333" s="66">
        <v>0</v>
      </c>
      <c r="P1333" s="68">
        <v>0.02</v>
      </c>
      <c r="Q1333" s="35" t="s">
        <v>154</v>
      </c>
    </row>
    <row r="1334" spans="1:17" ht="24" x14ac:dyDescent="0.25">
      <c r="A1334" s="62">
        <v>38514</v>
      </c>
      <c r="B1334" s="62">
        <v>38514</v>
      </c>
      <c r="C1334" s="63">
        <v>2005</v>
      </c>
      <c r="D1334" s="351" t="s">
        <v>23</v>
      </c>
      <c r="E1334" s="22" t="s">
        <v>86</v>
      </c>
      <c r="F1334" s="7" t="s">
        <v>75</v>
      </c>
      <c r="G1334" s="64" t="s">
        <v>2074</v>
      </c>
      <c r="H1334" s="65" t="s">
        <v>2075</v>
      </c>
      <c r="I1334" s="66">
        <v>0</v>
      </c>
      <c r="J1334" s="66">
        <v>75</v>
      </c>
      <c r="K1334" s="66">
        <v>15</v>
      </c>
      <c r="L1334" s="66">
        <v>0</v>
      </c>
      <c r="M1334" s="67">
        <v>0</v>
      </c>
      <c r="N1334" s="67">
        <v>0</v>
      </c>
      <c r="O1334" s="66">
        <v>0</v>
      </c>
      <c r="P1334" s="68">
        <v>0</v>
      </c>
      <c r="Q1334" s="35" t="s">
        <v>154</v>
      </c>
    </row>
    <row r="1335" spans="1:17" ht="36" x14ac:dyDescent="0.25">
      <c r="A1335" s="62">
        <v>38519</v>
      </c>
      <c r="B1335" s="62">
        <v>38519</v>
      </c>
      <c r="C1335" s="63">
        <v>2005</v>
      </c>
      <c r="D1335" s="351" t="s">
        <v>23</v>
      </c>
      <c r="E1335" s="14" t="s">
        <v>52</v>
      </c>
      <c r="F1335" s="28" t="s">
        <v>210</v>
      </c>
      <c r="G1335" s="71" t="s">
        <v>2076</v>
      </c>
      <c r="H1335" s="65" t="s">
        <v>2077</v>
      </c>
      <c r="I1335" s="66">
        <v>0</v>
      </c>
      <c r="J1335" s="66">
        <v>41</v>
      </c>
      <c r="K1335" s="66">
        <v>0</v>
      </c>
      <c r="L1335" s="66">
        <v>0</v>
      </c>
      <c r="M1335" s="67">
        <v>0</v>
      </c>
      <c r="N1335" s="67">
        <v>0</v>
      </c>
      <c r="O1335" s="66">
        <v>0</v>
      </c>
      <c r="P1335" s="68">
        <v>0</v>
      </c>
      <c r="Q1335" s="35" t="s">
        <v>154</v>
      </c>
    </row>
    <row r="1336" spans="1:17" ht="36" x14ac:dyDescent="0.25">
      <c r="A1336" s="62">
        <v>38523</v>
      </c>
      <c r="B1336" s="62">
        <v>38523</v>
      </c>
      <c r="C1336" s="63">
        <v>2005</v>
      </c>
      <c r="D1336" s="351" t="s">
        <v>23</v>
      </c>
      <c r="E1336" s="14" t="s">
        <v>52</v>
      </c>
      <c r="F1336" s="7" t="s">
        <v>36</v>
      </c>
      <c r="G1336" s="71" t="s">
        <v>2078</v>
      </c>
      <c r="H1336" s="65" t="s">
        <v>2079</v>
      </c>
      <c r="I1336" s="66">
        <v>0</v>
      </c>
      <c r="J1336" s="66">
        <v>100</v>
      </c>
      <c r="K1336" s="66">
        <v>0</v>
      </c>
      <c r="L1336" s="66">
        <v>0</v>
      </c>
      <c r="M1336" s="67">
        <v>0</v>
      </c>
      <c r="N1336" s="67">
        <v>0</v>
      </c>
      <c r="O1336" s="66">
        <v>0</v>
      </c>
      <c r="P1336" s="68">
        <v>0</v>
      </c>
      <c r="Q1336" s="35" t="s">
        <v>154</v>
      </c>
    </row>
    <row r="1337" spans="1:17" ht="48" x14ac:dyDescent="0.25">
      <c r="A1337" s="62">
        <v>38523</v>
      </c>
      <c r="B1337" s="62">
        <v>38523</v>
      </c>
      <c r="C1337" s="63">
        <v>2005</v>
      </c>
      <c r="D1337" s="351" t="s">
        <v>23</v>
      </c>
      <c r="E1337" s="22" t="s">
        <v>86</v>
      </c>
      <c r="F1337" s="28" t="s">
        <v>151</v>
      </c>
      <c r="G1337" s="64" t="s">
        <v>1477</v>
      </c>
      <c r="H1337" s="65" t="s">
        <v>2080</v>
      </c>
      <c r="I1337" s="66">
        <v>0</v>
      </c>
      <c r="J1337" s="66">
        <v>1200</v>
      </c>
      <c r="K1337" s="66">
        <v>0</v>
      </c>
      <c r="L1337" s="66">
        <v>0</v>
      </c>
      <c r="M1337" s="67">
        <v>0</v>
      </c>
      <c r="N1337" s="67">
        <v>0</v>
      </c>
      <c r="O1337" s="66">
        <v>0</v>
      </c>
      <c r="P1337" s="68">
        <v>0</v>
      </c>
      <c r="Q1337" s="35" t="s">
        <v>154</v>
      </c>
    </row>
    <row r="1338" spans="1:17" ht="36" x14ac:dyDescent="0.25">
      <c r="A1338" s="62">
        <v>38524</v>
      </c>
      <c r="B1338" s="62">
        <v>38524</v>
      </c>
      <c r="C1338" s="63">
        <v>2005</v>
      </c>
      <c r="D1338" s="351" t="s">
        <v>23</v>
      </c>
      <c r="E1338" s="14" t="s">
        <v>52</v>
      </c>
      <c r="F1338" s="7" t="s">
        <v>72</v>
      </c>
      <c r="G1338" s="64" t="s">
        <v>809</v>
      </c>
      <c r="H1338" s="65" t="s">
        <v>2081</v>
      </c>
      <c r="I1338" s="66">
        <v>0</v>
      </c>
      <c r="J1338" s="66">
        <v>15</v>
      </c>
      <c r="K1338" s="66">
        <v>0</v>
      </c>
      <c r="L1338" s="66">
        <v>0</v>
      </c>
      <c r="M1338" s="67">
        <v>0</v>
      </c>
      <c r="N1338" s="67">
        <v>0</v>
      </c>
      <c r="O1338" s="66">
        <v>0</v>
      </c>
      <c r="P1338" s="68">
        <v>0</v>
      </c>
      <c r="Q1338" s="35" t="s">
        <v>154</v>
      </c>
    </row>
    <row r="1339" spans="1:17" ht="60" x14ac:dyDescent="0.25">
      <c r="A1339" s="62">
        <v>38525</v>
      </c>
      <c r="B1339" s="62">
        <v>38525</v>
      </c>
      <c r="C1339" s="63">
        <v>2005</v>
      </c>
      <c r="D1339" s="351" t="s">
        <v>23</v>
      </c>
      <c r="E1339" s="22" t="s">
        <v>86</v>
      </c>
      <c r="F1339" s="28" t="s">
        <v>210</v>
      </c>
      <c r="G1339" s="64" t="s">
        <v>2082</v>
      </c>
      <c r="H1339" s="65" t="s">
        <v>2083</v>
      </c>
      <c r="I1339" s="66">
        <v>0</v>
      </c>
      <c r="J1339" s="66">
        <v>865</v>
      </c>
      <c r="K1339" s="66">
        <v>173</v>
      </c>
      <c r="L1339" s="66">
        <v>0</v>
      </c>
      <c r="M1339" s="67">
        <v>0</v>
      </c>
      <c r="N1339" s="67">
        <v>0</v>
      </c>
      <c r="O1339" s="66">
        <v>0</v>
      </c>
      <c r="P1339" s="68">
        <v>1.7390000000000001</v>
      </c>
      <c r="Q1339" s="35" t="s">
        <v>154</v>
      </c>
    </row>
    <row r="1340" spans="1:17" ht="96" x14ac:dyDescent="0.25">
      <c r="A1340" s="62">
        <v>38529</v>
      </c>
      <c r="B1340" s="62">
        <v>38529</v>
      </c>
      <c r="C1340" s="63">
        <v>2005</v>
      </c>
      <c r="D1340" s="351" t="s">
        <v>23</v>
      </c>
      <c r="E1340" s="22" t="s">
        <v>86</v>
      </c>
      <c r="F1340" s="25" t="s">
        <v>781</v>
      </c>
      <c r="G1340" s="64" t="s">
        <v>2084</v>
      </c>
      <c r="H1340" s="65" t="s">
        <v>2085</v>
      </c>
      <c r="I1340" s="66">
        <v>1</v>
      </c>
      <c r="J1340" s="66">
        <v>600</v>
      </c>
      <c r="K1340" s="66">
        <v>120</v>
      </c>
      <c r="L1340" s="66">
        <v>0</v>
      </c>
      <c r="M1340" s="67">
        <v>0</v>
      </c>
      <c r="N1340" s="67">
        <v>0</v>
      </c>
      <c r="O1340" s="66">
        <v>0</v>
      </c>
      <c r="P1340" s="68">
        <v>0.48599999999999999</v>
      </c>
      <c r="Q1340" s="35" t="s">
        <v>154</v>
      </c>
    </row>
    <row r="1341" spans="1:17" ht="60" x14ac:dyDescent="0.25">
      <c r="A1341" s="62">
        <v>38529</v>
      </c>
      <c r="B1341" s="62">
        <v>38529</v>
      </c>
      <c r="C1341" s="63">
        <v>2005</v>
      </c>
      <c r="D1341" s="351" t="s">
        <v>23</v>
      </c>
      <c r="E1341" s="22" t="s">
        <v>86</v>
      </c>
      <c r="F1341" s="28" t="s">
        <v>210</v>
      </c>
      <c r="G1341" s="64" t="s">
        <v>210</v>
      </c>
      <c r="H1341" s="65" t="s">
        <v>2086</v>
      </c>
      <c r="I1341" s="66">
        <v>0</v>
      </c>
      <c r="J1341" s="66">
        <v>25</v>
      </c>
      <c r="K1341" s="66">
        <v>1</v>
      </c>
      <c r="L1341" s="66">
        <v>0</v>
      </c>
      <c r="M1341" s="67">
        <v>0</v>
      </c>
      <c r="N1341" s="67">
        <v>0</v>
      </c>
      <c r="O1341" s="66">
        <v>0</v>
      </c>
      <c r="P1341" s="68">
        <v>4.2000000000000003E-2</v>
      </c>
      <c r="Q1341" s="35" t="s">
        <v>154</v>
      </c>
    </row>
    <row r="1342" spans="1:17" ht="132" x14ac:dyDescent="0.25">
      <c r="A1342" s="62">
        <v>38531</v>
      </c>
      <c r="B1342" s="62">
        <v>38533</v>
      </c>
      <c r="C1342" s="63">
        <v>2005</v>
      </c>
      <c r="D1342" s="351" t="s">
        <v>23</v>
      </c>
      <c r="E1342" s="70" t="s">
        <v>2087</v>
      </c>
      <c r="F1342" s="28" t="s">
        <v>210</v>
      </c>
      <c r="G1342" s="64" t="s">
        <v>2088</v>
      </c>
      <c r="H1342" s="69" t="s">
        <v>2089</v>
      </c>
      <c r="I1342" s="66">
        <v>0</v>
      </c>
      <c r="J1342" s="66">
        <v>9400</v>
      </c>
      <c r="K1342" s="66">
        <v>2445</v>
      </c>
      <c r="L1342" s="66">
        <v>0</v>
      </c>
      <c r="M1342" s="67">
        <v>0</v>
      </c>
      <c r="N1342" s="67">
        <v>0</v>
      </c>
      <c r="O1342" s="66">
        <v>2</v>
      </c>
      <c r="P1342" s="68">
        <v>10.02</v>
      </c>
      <c r="Q1342" s="35" t="s">
        <v>154</v>
      </c>
    </row>
    <row r="1343" spans="1:17" ht="72" x14ac:dyDescent="0.25">
      <c r="A1343" s="62">
        <v>38536</v>
      </c>
      <c r="B1343" s="62">
        <v>38536</v>
      </c>
      <c r="C1343" s="63">
        <v>2005</v>
      </c>
      <c r="D1343" s="351" t="s">
        <v>23</v>
      </c>
      <c r="E1343" s="22" t="s">
        <v>86</v>
      </c>
      <c r="F1343" s="7" t="s">
        <v>60</v>
      </c>
      <c r="G1343" s="64" t="s">
        <v>2090</v>
      </c>
      <c r="H1343" s="65" t="s">
        <v>2091</v>
      </c>
      <c r="I1343" s="66">
        <v>0</v>
      </c>
      <c r="J1343" s="66">
        <v>500</v>
      </c>
      <c r="K1343" s="66">
        <v>100</v>
      </c>
      <c r="L1343" s="66">
        <v>0</v>
      </c>
      <c r="M1343" s="67">
        <v>0</v>
      </c>
      <c r="N1343" s="67">
        <v>0</v>
      </c>
      <c r="O1343" s="66">
        <v>0</v>
      </c>
      <c r="P1343" s="68">
        <v>0.6</v>
      </c>
      <c r="Q1343" s="35" t="s">
        <v>154</v>
      </c>
    </row>
    <row r="1344" spans="1:17" ht="36" x14ac:dyDescent="0.25">
      <c r="A1344" s="62">
        <v>38538</v>
      </c>
      <c r="B1344" s="62">
        <v>38538</v>
      </c>
      <c r="C1344" s="63">
        <v>2005</v>
      </c>
      <c r="D1344" s="351" t="s">
        <v>23</v>
      </c>
      <c r="E1344" s="22" t="s">
        <v>86</v>
      </c>
      <c r="F1344" s="7" t="s">
        <v>65</v>
      </c>
      <c r="G1344" s="64" t="s">
        <v>2092</v>
      </c>
      <c r="H1344" s="65" t="s">
        <v>2093</v>
      </c>
      <c r="I1344" s="66">
        <v>3</v>
      </c>
      <c r="J1344" s="66">
        <v>3</v>
      </c>
      <c r="K1344" s="66">
        <v>0</v>
      </c>
      <c r="L1344" s="66">
        <v>0</v>
      </c>
      <c r="M1344" s="67">
        <v>0</v>
      </c>
      <c r="N1344" s="67">
        <v>0</v>
      </c>
      <c r="O1344" s="66">
        <v>0</v>
      </c>
      <c r="P1344" s="68">
        <v>0</v>
      </c>
      <c r="Q1344" s="35" t="s">
        <v>154</v>
      </c>
    </row>
    <row r="1345" spans="1:17" ht="48" x14ac:dyDescent="0.25">
      <c r="A1345" s="62">
        <v>38538</v>
      </c>
      <c r="B1345" s="62">
        <v>38538</v>
      </c>
      <c r="C1345" s="63">
        <v>2005</v>
      </c>
      <c r="D1345" s="351" t="s">
        <v>23</v>
      </c>
      <c r="E1345" s="22" t="s">
        <v>86</v>
      </c>
      <c r="F1345" s="7" t="s">
        <v>72</v>
      </c>
      <c r="G1345" s="64" t="s">
        <v>2094</v>
      </c>
      <c r="H1345" s="65" t="s">
        <v>2095</v>
      </c>
      <c r="I1345" s="66">
        <v>0</v>
      </c>
      <c r="J1345" s="66">
        <v>5</v>
      </c>
      <c r="K1345" s="66">
        <v>1</v>
      </c>
      <c r="L1345" s="66">
        <v>0</v>
      </c>
      <c r="M1345" s="67">
        <v>0</v>
      </c>
      <c r="N1345" s="67">
        <v>0</v>
      </c>
      <c r="O1345" s="66">
        <v>0</v>
      </c>
      <c r="P1345" s="68">
        <v>4.2000000000000003E-2</v>
      </c>
      <c r="Q1345" s="35" t="s">
        <v>154</v>
      </c>
    </row>
    <row r="1346" spans="1:17" ht="24" x14ac:dyDescent="0.25">
      <c r="A1346" s="62">
        <v>38539</v>
      </c>
      <c r="B1346" s="62">
        <v>38539</v>
      </c>
      <c r="C1346" s="63">
        <v>2005</v>
      </c>
      <c r="D1346" s="351" t="s">
        <v>23</v>
      </c>
      <c r="E1346" s="22" t="s">
        <v>86</v>
      </c>
      <c r="F1346" s="7" t="s">
        <v>72</v>
      </c>
      <c r="G1346" s="64" t="s">
        <v>72</v>
      </c>
      <c r="H1346" s="65" t="s">
        <v>2096</v>
      </c>
      <c r="I1346" s="66">
        <v>0</v>
      </c>
      <c r="J1346" s="66">
        <v>75</v>
      </c>
      <c r="K1346" s="66">
        <v>15</v>
      </c>
      <c r="L1346" s="66">
        <v>0</v>
      </c>
      <c r="M1346" s="67">
        <v>0</v>
      </c>
      <c r="N1346" s="67">
        <v>0</v>
      </c>
      <c r="O1346" s="66">
        <v>0</v>
      </c>
      <c r="P1346" s="68">
        <v>0.06</v>
      </c>
      <c r="Q1346" s="35" t="s">
        <v>154</v>
      </c>
    </row>
    <row r="1347" spans="1:17" ht="36" x14ac:dyDescent="0.25">
      <c r="A1347" s="62">
        <v>38539</v>
      </c>
      <c r="B1347" s="62">
        <v>38539</v>
      </c>
      <c r="C1347" s="63">
        <v>2005</v>
      </c>
      <c r="D1347" s="351" t="s">
        <v>23</v>
      </c>
      <c r="E1347" s="22" t="s">
        <v>86</v>
      </c>
      <c r="F1347" s="7" t="s">
        <v>68</v>
      </c>
      <c r="G1347" s="64" t="s">
        <v>2097</v>
      </c>
      <c r="H1347" s="65" t="s">
        <v>2098</v>
      </c>
      <c r="I1347" s="66">
        <v>0</v>
      </c>
      <c r="J1347" s="66">
        <v>200</v>
      </c>
      <c r="K1347" s="66">
        <v>40</v>
      </c>
      <c r="L1347" s="66">
        <v>0</v>
      </c>
      <c r="M1347" s="67">
        <v>0</v>
      </c>
      <c r="N1347" s="67">
        <v>0</v>
      </c>
      <c r="O1347" s="66">
        <v>0</v>
      </c>
      <c r="P1347" s="68">
        <v>0.16200000000000001</v>
      </c>
      <c r="Q1347" s="35" t="s">
        <v>154</v>
      </c>
    </row>
    <row r="1348" spans="1:17" ht="48" x14ac:dyDescent="0.25">
      <c r="A1348" s="62">
        <v>38541</v>
      </c>
      <c r="B1348" s="62">
        <v>38541</v>
      </c>
      <c r="C1348" s="63">
        <v>2005</v>
      </c>
      <c r="D1348" s="351" t="s">
        <v>23</v>
      </c>
      <c r="E1348" s="22" t="s">
        <v>86</v>
      </c>
      <c r="F1348" s="7" t="s">
        <v>56</v>
      </c>
      <c r="G1348" s="64" t="s">
        <v>2099</v>
      </c>
      <c r="H1348" s="65" t="s">
        <v>2100</v>
      </c>
      <c r="I1348" s="66">
        <v>3</v>
      </c>
      <c r="J1348" s="66">
        <v>3</v>
      </c>
      <c r="K1348" s="66">
        <v>0</v>
      </c>
      <c r="L1348" s="66">
        <v>0</v>
      </c>
      <c r="M1348" s="67">
        <v>0</v>
      </c>
      <c r="N1348" s="67">
        <v>0</v>
      </c>
      <c r="O1348" s="66">
        <v>0</v>
      </c>
      <c r="P1348" s="68">
        <v>0</v>
      </c>
      <c r="Q1348" s="35" t="s">
        <v>154</v>
      </c>
    </row>
    <row r="1349" spans="1:17" ht="36" x14ac:dyDescent="0.25">
      <c r="A1349" s="62">
        <v>38544</v>
      </c>
      <c r="B1349" s="62">
        <v>38544</v>
      </c>
      <c r="C1349" s="63">
        <v>2005</v>
      </c>
      <c r="D1349" s="351" t="s">
        <v>23</v>
      </c>
      <c r="E1349" s="22" t="s">
        <v>86</v>
      </c>
      <c r="F1349" s="7" t="s">
        <v>65</v>
      </c>
      <c r="G1349" s="64" t="s">
        <v>2101</v>
      </c>
      <c r="H1349" s="65" t="s">
        <v>2102</v>
      </c>
      <c r="I1349" s="66">
        <v>0</v>
      </c>
      <c r="J1349" s="66">
        <v>18</v>
      </c>
      <c r="K1349" s="66">
        <v>0</v>
      </c>
      <c r="L1349" s="66">
        <v>0</v>
      </c>
      <c r="M1349" s="67">
        <v>0</v>
      </c>
      <c r="N1349" s="67">
        <v>0</v>
      </c>
      <c r="O1349" s="66">
        <v>0</v>
      </c>
      <c r="P1349" s="68">
        <v>0</v>
      </c>
      <c r="Q1349" s="35" t="s">
        <v>154</v>
      </c>
    </row>
    <row r="1350" spans="1:17" ht="84" x14ac:dyDescent="0.25">
      <c r="A1350" s="62">
        <v>38550</v>
      </c>
      <c r="B1350" s="62">
        <v>38550</v>
      </c>
      <c r="C1350" s="63">
        <v>2005</v>
      </c>
      <c r="D1350" s="351" t="s">
        <v>23</v>
      </c>
      <c r="E1350" s="14" t="s">
        <v>32</v>
      </c>
      <c r="F1350" s="7" t="s">
        <v>80</v>
      </c>
      <c r="G1350" s="64" t="s">
        <v>2103</v>
      </c>
      <c r="H1350" s="69" t="s">
        <v>2104</v>
      </c>
      <c r="I1350" s="66">
        <v>0</v>
      </c>
      <c r="J1350" s="66">
        <v>10112</v>
      </c>
      <c r="K1350" s="66">
        <v>851</v>
      </c>
      <c r="L1350" s="66">
        <v>76</v>
      </c>
      <c r="M1350" s="67">
        <v>24</v>
      </c>
      <c r="N1350" s="67">
        <v>0</v>
      </c>
      <c r="O1350" s="66">
        <v>8612</v>
      </c>
      <c r="P1350" s="68">
        <v>1111</v>
      </c>
      <c r="Q1350" s="35" t="s">
        <v>154</v>
      </c>
    </row>
    <row r="1351" spans="1:17" ht="36" x14ac:dyDescent="0.25">
      <c r="A1351" s="62">
        <v>38550</v>
      </c>
      <c r="B1351" s="62">
        <v>38550</v>
      </c>
      <c r="C1351" s="63">
        <v>2005</v>
      </c>
      <c r="D1351" s="351" t="s">
        <v>23</v>
      </c>
      <c r="E1351" s="22" t="s">
        <v>86</v>
      </c>
      <c r="F1351" s="7" t="s">
        <v>58</v>
      </c>
      <c r="G1351" s="64" t="s">
        <v>2105</v>
      </c>
      <c r="H1351" s="65" t="s">
        <v>2106</v>
      </c>
      <c r="I1351" s="66">
        <v>1</v>
      </c>
      <c r="J1351" s="66">
        <v>75</v>
      </c>
      <c r="K1351" s="66">
        <v>15</v>
      </c>
      <c r="L1351" s="66">
        <v>0</v>
      </c>
      <c r="M1351" s="67">
        <v>0</v>
      </c>
      <c r="N1351" s="67">
        <v>0</v>
      </c>
      <c r="O1351" s="66">
        <v>0</v>
      </c>
      <c r="P1351" s="68">
        <v>6.0999999999999999E-2</v>
      </c>
      <c r="Q1351" s="35" t="s">
        <v>154</v>
      </c>
    </row>
    <row r="1352" spans="1:17" ht="60" x14ac:dyDescent="0.25">
      <c r="A1352" s="62">
        <v>38551</v>
      </c>
      <c r="B1352" s="62">
        <v>38551</v>
      </c>
      <c r="C1352" s="63">
        <v>2005</v>
      </c>
      <c r="D1352" s="351" t="s">
        <v>23</v>
      </c>
      <c r="E1352" s="14" t="s">
        <v>32</v>
      </c>
      <c r="F1352" s="28" t="s">
        <v>163</v>
      </c>
      <c r="G1352" s="64" t="s">
        <v>2107</v>
      </c>
      <c r="H1352" s="65" t="s">
        <v>2108</v>
      </c>
      <c r="I1352" s="66">
        <v>0</v>
      </c>
      <c r="J1352" s="66">
        <f>K1352*5</f>
        <v>77670</v>
      </c>
      <c r="K1352" s="66">
        <v>15534</v>
      </c>
      <c r="L1352" s="66">
        <v>209</v>
      </c>
      <c r="M1352" s="67">
        <v>0</v>
      </c>
      <c r="N1352" s="67">
        <v>0</v>
      </c>
      <c r="O1352" s="66">
        <v>34956</v>
      </c>
      <c r="P1352" s="68">
        <v>1020.4</v>
      </c>
      <c r="Q1352" s="35" t="s">
        <v>154</v>
      </c>
    </row>
    <row r="1353" spans="1:17" ht="36" x14ac:dyDescent="0.25">
      <c r="A1353" s="62">
        <v>38551</v>
      </c>
      <c r="B1353" s="62">
        <v>38551</v>
      </c>
      <c r="C1353" s="63">
        <v>2005</v>
      </c>
      <c r="D1353" s="351" t="s">
        <v>23</v>
      </c>
      <c r="E1353" s="22" t="s">
        <v>86</v>
      </c>
      <c r="F1353" s="28" t="s">
        <v>151</v>
      </c>
      <c r="G1353" s="64" t="s">
        <v>2109</v>
      </c>
      <c r="H1353" s="65" t="s">
        <v>2110</v>
      </c>
      <c r="I1353" s="66">
        <v>0</v>
      </c>
      <c r="J1353" s="66">
        <v>1350</v>
      </c>
      <c r="K1353" s="66">
        <v>0</v>
      </c>
      <c r="L1353" s="66">
        <v>0</v>
      </c>
      <c r="M1353" s="67">
        <v>0</v>
      </c>
      <c r="N1353" s="67">
        <v>0</v>
      </c>
      <c r="O1353" s="66">
        <v>0</v>
      </c>
      <c r="P1353" s="68">
        <v>0</v>
      </c>
      <c r="Q1353" s="35" t="s">
        <v>154</v>
      </c>
    </row>
    <row r="1354" spans="1:17" ht="48" x14ac:dyDescent="0.25">
      <c r="A1354" s="62">
        <v>38551</v>
      </c>
      <c r="B1354" s="62">
        <v>38551</v>
      </c>
      <c r="C1354" s="63">
        <v>2005</v>
      </c>
      <c r="D1354" s="351" t="s">
        <v>23</v>
      </c>
      <c r="E1354" s="22" t="s">
        <v>86</v>
      </c>
      <c r="F1354" s="7" t="s">
        <v>65</v>
      </c>
      <c r="G1354" s="71" t="s">
        <v>2111</v>
      </c>
      <c r="H1354" s="65" t="s">
        <v>2112</v>
      </c>
      <c r="I1354" s="66">
        <v>1</v>
      </c>
      <c r="J1354" s="66">
        <v>1</v>
      </c>
      <c r="K1354" s="66">
        <v>0</v>
      </c>
      <c r="L1354" s="66">
        <v>0</v>
      </c>
      <c r="M1354" s="67">
        <v>0</v>
      </c>
      <c r="N1354" s="67">
        <v>0</v>
      </c>
      <c r="O1354" s="66">
        <v>0</v>
      </c>
      <c r="P1354" s="68">
        <v>0</v>
      </c>
      <c r="Q1354" s="35" t="s">
        <v>154</v>
      </c>
    </row>
    <row r="1355" spans="1:17" ht="36" x14ac:dyDescent="0.25">
      <c r="A1355" s="62">
        <v>38551</v>
      </c>
      <c r="B1355" s="62">
        <v>38551</v>
      </c>
      <c r="C1355" s="63">
        <v>2005</v>
      </c>
      <c r="D1355" s="351" t="s">
        <v>23</v>
      </c>
      <c r="E1355" s="14" t="s">
        <v>32</v>
      </c>
      <c r="F1355" s="7" t="s">
        <v>91</v>
      </c>
      <c r="G1355" s="64" t="s">
        <v>2109</v>
      </c>
      <c r="H1355" s="65" t="s">
        <v>2113</v>
      </c>
      <c r="I1355" s="66">
        <v>0</v>
      </c>
      <c r="J1355" s="66">
        <f>K1355*5</f>
        <v>50515</v>
      </c>
      <c r="K1355" s="66">
        <v>10103</v>
      </c>
      <c r="L1355" s="66">
        <v>145</v>
      </c>
      <c r="M1355" s="67">
        <v>34</v>
      </c>
      <c r="N1355" s="67">
        <v>0</v>
      </c>
      <c r="O1355" s="66">
        <v>3061</v>
      </c>
      <c r="P1355" s="68">
        <v>1530.3</v>
      </c>
      <c r="Q1355" s="35" t="s">
        <v>154</v>
      </c>
    </row>
    <row r="1356" spans="1:17" ht="36" x14ac:dyDescent="0.25">
      <c r="A1356" s="62">
        <v>38551</v>
      </c>
      <c r="B1356" s="62">
        <v>38551</v>
      </c>
      <c r="C1356" s="63">
        <v>2005</v>
      </c>
      <c r="D1356" s="351" t="s">
        <v>23</v>
      </c>
      <c r="E1356" s="14" t="s">
        <v>32</v>
      </c>
      <c r="F1356" s="7" t="s">
        <v>68</v>
      </c>
      <c r="G1356" s="64" t="s">
        <v>2109</v>
      </c>
      <c r="H1356" s="65" t="s">
        <v>2113</v>
      </c>
      <c r="I1356" s="66">
        <v>0</v>
      </c>
      <c r="J1356" s="66">
        <f>K1356*5</f>
        <v>40385</v>
      </c>
      <c r="K1356" s="66">
        <v>8077</v>
      </c>
      <c r="L1356" s="66">
        <v>64</v>
      </c>
      <c r="M1356" s="67">
        <v>89</v>
      </c>
      <c r="N1356" s="67">
        <v>0</v>
      </c>
      <c r="O1356" s="66">
        <v>0</v>
      </c>
      <c r="P1356" s="68">
        <v>726.5</v>
      </c>
      <c r="Q1356" s="35" t="s">
        <v>154</v>
      </c>
    </row>
    <row r="1357" spans="1:17" ht="48" x14ac:dyDescent="0.25">
      <c r="A1357" s="62">
        <v>38553</v>
      </c>
      <c r="B1357" s="62">
        <v>38553</v>
      </c>
      <c r="C1357" s="63">
        <v>2005</v>
      </c>
      <c r="D1357" s="351" t="s">
        <v>23</v>
      </c>
      <c r="E1357" s="22" t="s">
        <v>86</v>
      </c>
      <c r="F1357" s="7" t="s">
        <v>97</v>
      </c>
      <c r="G1357" s="64" t="s">
        <v>2114</v>
      </c>
      <c r="H1357" s="65" t="s">
        <v>2115</v>
      </c>
      <c r="I1357" s="66">
        <v>0</v>
      </c>
      <c r="J1357" s="66">
        <v>2</v>
      </c>
      <c r="K1357" s="66">
        <v>0</v>
      </c>
      <c r="L1357" s="66">
        <v>0</v>
      </c>
      <c r="M1357" s="67">
        <v>0</v>
      </c>
      <c r="N1357" s="67">
        <v>0</v>
      </c>
      <c r="O1357" s="66">
        <v>0</v>
      </c>
      <c r="P1357" s="68">
        <v>0</v>
      </c>
      <c r="Q1357" s="35" t="s">
        <v>154</v>
      </c>
    </row>
    <row r="1358" spans="1:17" ht="36" x14ac:dyDescent="0.25">
      <c r="A1358" s="62">
        <v>38554</v>
      </c>
      <c r="B1358" s="62">
        <v>38554</v>
      </c>
      <c r="C1358" s="63">
        <v>2005</v>
      </c>
      <c r="D1358" s="351" t="s">
        <v>23</v>
      </c>
      <c r="E1358" s="14" t="s">
        <v>52</v>
      </c>
      <c r="F1358" s="7" t="s">
        <v>91</v>
      </c>
      <c r="G1358" s="64" t="s">
        <v>2116</v>
      </c>
      <c r="H1358" s="65" t="s">
        <v>2117</v>
      </c>
      <c r="I1358" s="66">
        <v>0</v>
      </c>
      <c r="J1358" s="66">
        <v>519</v>
      </c>
      <c r="K1358" s="66">
        <v>0</v>
      </c>
      <c r="L1358" s="66">
        <v>0</v>
      </c>
      <c r="M1358" s="67">
        <v>0</v>
      </c>
      <c r="N1358" s="67">
        <v>0</v>
      </c>
      <c r="O1358" s="66">
        <v>0</v>
      </c>
      <c r="P1358" s="68">
        <v>0</v>
      </c>
      <c r="Q1358" s="35" t="s">
        <v>154</v>
      </c>
    </row>
    <row r="1359" spans="1:17" ht="48" x14ac:dyDescent="0.25">
      <c r="A1359" s="62">
        <v>38558</v>
      </c>
      <c r="B1359" s="62">
        <v>38558</v>
      </c>
      <c r="C1359" s="63">
        <v>2005</v>
      </c>
      <c r="D1359" s="351" t="s">
        <v>23</v>
      </c>
      <c r="E1359" s="22" t="s">
        <v>86</v>
      </c>
      <c r="F1359" s="7" t="s">
        <v>60</v>
      </c>
      <c r="G1359" s="64" t="s">
        <v>2118</v>
      </c>
      <c r="H1359" s="65" t="s">
        <v>2119</v>
      </c>
      <c r="I1359" s="66">
        <v>0</v>
      </c>
      <c r="J1359" s="66">
        <v>55</v>
      </c>
      <c r="K1359" s="66">
        <v>11</v>
      </c>
      <c r="L1359" s="66">
        <v>0</v>
      </c>
      <c r="M1359" s="67">
        <v>0</v>
      </c>
      <c r="N1359" s="67">
        <v>0</v>
      </c>
      <c r="O1359" s="66">
        <v>0</v>
      </c>
      <c r="P1359" s="68">
        <v>4.4999999999999998E-2</v>
      </c>
      <c r="Q1359" s="35" t="s">
        <v>154</v>
      </c>
    </row>
    <row r="1360" spans="1:17" ht="48" x14ac:dyDescent="0.25">
      <c r="A1360" s="62">
        <v>38559</v>
      </c>
      <c r="B1360" s="62">
        <v>38559</v>
      </c>
      <c r="C1360" s="63">
        <v>2005</v>
      </c>
      <c r="D1360" s="351" t="s">
        <v>23</v>
      </c>
      <c r="E1360" s="22" t="s">
        <v>86</v>
      </c>
      <c r="F1360" s="7" t="s">
        <v>97</v>
      </c>
      <c r="G1360" s="64" t="s">
        <v>2120</v>
      </c>
      <c r="H1360" s="65" t="s">
        <v>2121</v>
      </c>
      <c r="I1360" s="66">
        <v>0</v>
      </c>
      <c r="J1360" s="66">
        <v>48</v>
      </c>
      <c r="K1360" s="66">
        <v>0</v>
      </c>
      <c r="L1360" s="66">
        <v>0</v>
      </c>
      <c r="M1360" s="67">
        <v>0</v>
      </c>
      <c r="N1360" s="67">
        <v>0</v>
      </c>
      <c r="O1360" s="66">
        <v>0</v>
      </c>
      <c r="P1360" s="68">
        <v>0</v>
      </c>
      <c r="Q1360" s="35" t="s">
        <v>154</v>
      </c>
    </row>
    <row r="1361" spans="1:17" ht="36" x14ac:dyDescent="0.25">
      <c r="A1361" s="62">
        <v>38560</v>
      </c>
      <c r="B1361" s="62">
        <v>38560</v>
      </c>
      <c r="C1361" s="63">
        <v>2005</v>
      </c>
      <c r="D1361" s="351" t="s">
        <v>23</v>
      </c>
      <c r="E1361" s="22" t="s">
        <v>86</v>
      </c>
      <c r="F1361" s="7" t="s">
        <v>25</v>
      </c>
      <c r="G1361" s="64" t="s">
        <v>2122</v>
      </c>
      <c r="H1361" s="65" t="s">
        <v>2123</v>
      </c>
      <c r="I1361" s="66">
        <v>0</v>
      </c>
      <c r="J1361" s="66">
        <v>390</v>
      </c>
      <c r="K1361" s="66">
        <v>78</v>
      </c>
      <c r="L1361" s="66">
        <v>0</v>
      </c>
      <c r="M1361" s="67">
        <v>0</v>
      </c>
      <c r="N1361" s="67">
        <v>0</v>
      </c>
      <c r="O1361" s="66">
        <v>0</v>
      </c>
      <c r="P1361" s="68">
        <v>0.316</v>
      </c>
      <c r="Q1361" s="35" t="s">
        <v>154</v>
      </c>
    </row>
    <row r="1362" spans="1:17" ht="36" x14ac:dyDescent="0.25">
      <c r="A1362" s="62">
        <v>38561</v>
      </c>
      <c r="B1362" s="62">
        <v>38561</v>
      </c>
      <c r="C1362" s="63">
        <v>2005</v>
      </c>
      <c r="D1362" s="351" t="s">
        <v>23</v>
      </c>
      <c r="E1362" s="70" t="s">
        <v>2070</v>
      </c>
      <c r="F1362" s="7" t="s">
        <v>56</v>
      </c>
      <c r="G1362" s="64" t="s">
        <v>2124</v>
      </c>
      <c r="H1362" s="65" t="s">
        <v>2125</v>
      </c>
      <c r="I1362" s="66">
        <v>3</v>
      </c>
      <c r="J1362" s="66">
        <v>4</v>
      </c>
      <c r="K1362" s="66">
        <v>0</v>
      </c>
      <c r="L1362" s="66">
        <v>0</v>
      </c>
      <c r="M1362" s="67">
        <v>0</v>
      </c>
      <c r="N1362" s="67">
        <v>0</v>
      </c>
      <c r="O1362" s="66">
        <v>0</v>
      </c>
      <c r="P1362" s="68">
        <v>0</v>
      </c>
      <c r="Q1362" s="35" t="s">
        <v>154</v>
      </c>
    </row>
    <row r="1363" spans="1:17" ht="96" x14ac:dyDescent="0.25">
      <c r="A1363" s="62">
        <v>38562</v>
      </c>
      <c r="B1363" s="62">
        <v>38562</v>
      </c>
      <c r="C1363" s="63">
        <v>2005</v>
      </c>
      <c r="D1363" s="351" t="s">
        <v>23</v>
      </c>
      <c r="E1363" s="22" t="s">
        <v>86</v>
      </c>
      <c r="F1363" s="7" t="s">
        <v>58</v>
      </c>
      <c r="G1363" s="64" t="s">
        <v>2126</v>
      </c>
      <c r="H1363" s="69" t="s">
        <v>2127</v>
      </c>
      <c r="I1363" s="66">
        <v>0</v>
      </c>
      <c r="J1363" s="66">
        <v>50</v>
      </c>
      <c r="K1363" s="66">
        <v>16</v>
      </c>
      <c r="L1363" s="66">
        <v>0</v>
      </c>
      <c r="M1363" s="67">
        <v>0</v>
      </c>
      <c r="N1363" s="67">
        <v>0</v>
      </c>
      <c r="O1363" s="66">
        <v>2</v>
      </c>
      <c r="P1363" s="68">
        <f>0.076896+0.00576</f>
        <v>8.2656000000000007E-2</v>
      </c>
      <c r="Q1363" s="35" t="s">
        <v>154</v>
      </c>
    </row>
    <row r="1364" spans="1:17" ht="36" x14ac:dyDescent="0.25">
      <c r="A1364" s="62">
        <v>38566</v>
      </c>
      <c r="B1364" s="62">
        <v>38566</v>
      </c>
      <c r="C1364" s="63">
        <v>2005</v>
      </c>
      <c r="D1364" s="351" t="s">
        <v>23</v>
      </c>
      <c r="E1364" s="22" t="s">
        <v>86</v>
      </c>
      <c r="F1364" s="7" t="s">
        <v>62</v>
      </c>
      <c r="G1364" s="64" t="s">
        <v>1011</v>
      </c>
      <c r="H1364" s="65" t="s">
        <v>2128</v>
      </c>
      <c r="I1364" s="66">
        <v>0</v>
      </c>
      <c r="J1364" s="66">
        <v>55</v>
      </c>
      <c r="K1364" s="66">
        <v>11</v>
      </c>
      <c r="L1364" s="66">
        <v>0</v>
      </c>
      <c r="M1364" s="67">
        <v>0</v>
      </c>
      <c r="N1364" s="67">
        <v>0</v>
      </c>
      <c r="O1364" s="66">
        <v>0</v>
      </c>
      <c r="P1364" s="68">
        <v>0.11600000000000001</v>
      </c>
      <c r="Q1364" s="35" t="s">
        <v>154</v>
      </c>
    </row>
    <row r="1365" spans="1:17" ht="36" x14ac:dyDescent="0.25">
      <c r="A1365" s="62">
        <v>38566</v>
      </c>
      <c r="B1365" s="62">
        <v>38566</v>
      </c>
      <c r="C1365" s="63">
        <v>2005</v>
      </c>
      <c r="D1365" s="351" t="s">
        <v>23</v>
      </c>
      <c r="E1365" s="22" t="s">
        <v>86</v>
      </c>
      <c r="F1365" s="7" t="s">
        <v>62</v>
      </c>
      <c r="G1365" s="64" t="s">
        <v>2129</v>
      </c>
      <c r="H1365" s="65" t="s">
        <v>2130</v>
      </c>
      <c r="I1365" s="66">
        <v>0</v>
      </c>
      <c r="J1365" s="66">
        <v>30</v>
      </c>
      <c r="K1365" s="66">
        <v>6</v>
      </c>
      <c r="L1365" s="66">
        <v>0</v>
      </c>
      <c r="M1365" s="67">
        <v>0</v>
      </c>
      <c r="N1365" s="67">
        <v>0</v>
      </c>
      <c r="O1365" s="66">
        <v>0</v>
      </c>
      <c r="P1365" s="68">
        <v>2.4E-2</v>
      </c>
      <c r="Q1365" s="35" t="s">
        <v>154</v>
      </c>
    </row>
    <row r="1366" spans="1:17" ht="36" x14ac:dyDescent="0.25">
      <c r="A1366" s="62">
        <v>38566</v>
      </c>
      <c r="B1366" s="62">
        <v>38566</v>
      </c>
      <c r="C1366" s="63">
        <v>2005</v>
      </c>
      <c r="D1366" s="351" t="s">
        <v>23</v>
      </c>
      <c r="E1366" s="22" t="s">
        <v>86</v>
      </c>
      <c r="F1366" s="7" t="s">
        <v>87</v>
      </c>
      <c r="G1366" s="64" t="s">
        <v>2131</v>
      </c>
      <c r="H1366" s="65" t="s">
        <v>2132</v>
      </c>
      <c r="I1366" s="66">
        <v>0</v>
      </c>
      <c r="J1366" s="66">
        <v>40</v>
      </c>
      <c r="K1366" s="66">
        <v>8</v>
      </c>
      <c r="L1366" s="66">
        <v>0</v>
      </c>
      <c r="M1366" s="67">
        <v>0</v>
      </c>
      <c r="N1366" s="67">
        <v>0</v>
      </c>
      <c r="O1366" s="66">
        <v>0</v>
      </c>
      <c r="P1366" s="68">
        <v>3.2000000000000001E-2</v>
      </c>
      <c r="Q1366" s="35" t="s">
        <v>154</v>
      </c>
    </row>
    <row r="1367" spans="1:17" ht="72" x14ac:dyDescent="0.25">
      <c r="A1367" s="62">
        <v>38566</v>
      </c>
      <c r="B1367" s="62">
        <v>38566</v>
      </c>
      <c r="C1367" s="63">
        <v>2005</v>
      </c>
      <c r="D1367" s="351" t="s">
        <v>23</v>
      </c>
      <c r="E1367" s="22" t="s">
        <v>86</v>
      </c>
      <c r="F1367" s="7" t="s">
        <v>87</v>
      </c>
      <c r="G1367" s="64" t="s">
        <v>567</v>
      </c>
      <c r="H1367" s="72" t="s">
        <v>2133</v>
      </c>
      <c r="I1367" s="66">
        <v>0</v>
      </c>
      <c r="J1367" s="66">
        <v>0</v>
      </c>
      <c r="K1367" s="66">
        <v>0</v>
      </c>
      <c r="L1367" s="66">
        <v>0</v>
      </c>
      <c r="M1367" s="67">
        <v>0</v>
      </c>
      <c r="N1367" s="67">
        <v>0</v>
      </c>
      <c r="O1367" s="66">
        <v>0</v>
      </c>
      <c r="P1367" s="68">
        <v>0</v>
      </c>
      <c r="Q1367" s="35" t="s">
        <v>154</v>
      </c>
    </row>
    <row r="1368" spans="1:17" ht="36" x14ac:dyDescent="0.25">
      <c r="A1368" s="62">
        <v>38567</v>
      </c>
      <c r="B1368" s="62">
        <v>38567</v>
      </c>
      <c r="C1368" s="63">
        <v>2005</v>
      </c>
      <c r="D1368" s="351" t="s">
        <v>23</v>
      </c>
      <c r="E1368" s="70" t="s">
        <v>2070</v>
      </c>
      <c r="F1368" s="7" t="s">
        <v>56</v>
      </c>
      <c r="G1368" s="64" t="s">
        <v>2134</v>
      </c>
      <c r="H1368" s="65" t="s">
        <v>2135</v>
      </c>
      <c r="I1368" s="66">
        <v>0</v>
      </c>
      <c r="J1368" s="66">
        <v>2</v>
      </c>
      <c r="K1368" s="66">
        <v>0</v>
      </c>
      <c r="L1368" s="66">
        <v>0</v>
      </c>
      <c r="M1368" s="67">
        <v>0</v>
      </c>
      <c r="N1368" s="67">
        <v>0</v>
      </c>
      <c r="O1368" s="66">
        <v>0</v>
      </c>
      <c r="P1368" s="68">
        <v>0</v>
      </c>
      <c r="Q1368" s="35" t="s">
        <v>154</v>
      </c>
    </row>
    <row r="1369" spans="1:17" ht="60" x14ac:dyDescent="0.25">
      <c r="A1369" s="62">
        <v>38568</v>
      </c>
      <c r="B1369" s="62">
        <v>38568</v>
      </c>
      <c r="C1369" s="63">
        <v>2005</v>
      </c>
      <c r="D1369" s="351" t="s">
        <v>23</v>
      </c>
      <c r="E1369" s="22" t="s">
        <v>86</v>
      </c>
      <c r="F1369" s="7" t="s">
        <v>53</v>
      </c>
      <c r="G1369" s="64" t="s">
        <v>891</v>
      </c>
      <c r="H1369" s="69" t="s">
        <v>2136</v>
      </c>
      <c r="I1369" s="66">
        <v>0</v>
      </c>
      <c r="J1369" s="66">
        <v>130</v>
      </c>
      <c r="K1369" s="66">
        <v>26</v>
      </c>
      <c r="L1369" s="66">
        <v>0</v>
      </c>
      <c r="M1369" s="67">
        <v>0</v>
      </c>
      <c r="N1369" s="67">
        <v>0</v>
      </c>
      <c r="O1369" s="66">
        <v>0</v>
      </c>
      <c r="P1369" s="68">
        <v>0.112</v>
      </c>
      <c r="Q1369" s="35" t="s">
        <v>154</v>
      </c>
    </row>
    <row r="1370" spans="1:17" ht="48" x14ac:dyDescent="0.25">
      <c r="A1370" s="62">
        <v>38568</v>
      </c>
      <c r="B1370" s="62">
        <v>38568</v>
      </c>
      <c r="C1370" s="63">
        <v>2005</v>
      </c>
      <c r="D1370" s="351" t="s">
        <v>23</v>
      </c>
      <c r="E1370" s="22" t="s">
        <v>86</v>
      </c>
      <c r="F1370" s="28" t="s">
        <v>157</v>
      </c>
      <c r="G1370" s="64" t="s">
        <v>1443</v>
      </c>
      <c r="H1370" s="65" t="s">
        <v>2137</v>
      </c>
      <c r="I1370" s="66">
        <v>0</v>
      </c>
      <c r="J1370" s="66">
        <v>100</v>
      </c>
      <c r="K1370" s="66">
        <v>20</v>
      </c>
      <c r="L1370" s="66">
        <v>0</v>
      </c>
      <c r="M1370" s="67">
        <v>0</v>
      </c>
      <c r="N1370" s="67">
        <v>0</v>
      </c>
      <c r="O1370" s="66">
        <v>0</v>
      </c>
      <c r="P1370" s="68">
        <v>8.1000000000000003E-2</v>
      </c>
      <c r="Q1370" s="35" t="s">
        <v>154</v>
      </c>
    </row>
    <row r="1371" spans="1:17" ht="24" x14ac:dyDescent="0.25">
      <c r="A1371" s="62">
        <v>38569</v>
      </c>
      <c r="B1371" s="62">
        <v>38569</v>
      </c>
      <c r="C1371" s="63">
        <v>2005</v>
      </c>
      <c r="D1371" s="351" t="s">
        <v>23</v>
      </c>
      <c r="E1371" s="22" t="s">
        <v>86</v>
      </c>
      <c r="F1371" s="7" t="s">
        <v>47</v>
      </c>
      <c r="G1371" s="64" t="s">
        <v>2063</v>
      </c>
      <c r="H1371" s="65" t="s">
        <v>2138</v>
      </c>
      <c r="I1371" s="66">
        <v>0</v>
      </c>
      <c r="J1371" s="66">
        <v>3</v>
      </c>
      <c r="K1371" s="66">
        <v>0</v>
      </c>
      <c r="L1371" s="66">
        <v>0</v>
      </c>
      <c r="M1371" s="67">
        <v>0</v>
      </c>
      <c r="N1371" s="67">
        <v>0</v>
      </c>
      <c r="O1371" s="66">
        <v>0</v>
      </c>
      <c r="P1371" s="68">
        <v>0</v>
      </c>
      <c r="Q1371" s="35" t="s">
        <v>154</v>
      </c>
    </row>
    <row r="1372" spans="1:17" ht="60" x14ac:dyDescent="0.25">
      <c r="A1372" s="62">
        <v>38569</v>
      </c>
      <c r="B1372" s="62">
        <v>38570</v>
      </c>
      <c r="C1372" s="63">
        <v>2005</v>
      </c>
      <c r="D1372" s="351" t="s">
        <v>23</v>
      </c>
      <c r="E1372" s="22" t="s">
        <v>86</v>
      </c>
      <c r="F1372" s="28" t="s">
        <v>210</v>
      </c>
      <c r="G1372" s="64" t="s">
        <v>2139</v>
      </c>
      <c r="H1372" s="65" t="s">
        <v>2140</v>
      </c>
      <c r="I1372" s="66">
        <v>0</v>
      </c>
      <c r="J1372" s="66">
        <v>99</v>
      </c>
      <c r="K1372" s="66">
        <v>19</v>
      </c>
      <c r="L1372" s="66">
        <v>1</v>
      </c>
      <c r="M1372" s="67">
        <v>0</v>
      </c>
      <c r="N1372" s="67">
        <v>0</v>
      </c>
      <c r="O1372" s="66">
        <v>0</v>
      </c>
      <c r="P1372" s="68">
        <v>0.128</v>
      </c>
      <c r="Q1372" s="35" t="s">
        <v>154</v>
      </c>
    </row>
    <row r="1373" spans="1:17" ht="36" x14ac:dyDescent="0.25">
      <c r="A1373" s="62">
        <v>38572</v>
      </c>
      <c r="B1373" s="62">
        <v>38572</v>
      </c>
      <c r="C1373" s="63">
        <v>2005</v>
      </c>
      <c r="D1373" s="351" t="s">
        <v>23</v>
      </c>
      <c r="E1373" s="22" t="s">
        <v>86</v>
      </c>
      <c r="F1373" s="7" t="s">
        <v>87</v>
      </c>
      <c r="G1373" s="64" t="s">
        <v>2141</v>
      </c>
      <c r="H1373" s="65" t="s">
        <v>2142</v>
      </c>
      <c r="I1373" s="66">
        <v>0</v>
      </c>
      <c r="J1373" s="66">
        <v>0</v>
      </c>
      <c r="K1373" s="66">
        <v>0</v>
      </c>
      <c r="L1373" s="66">
        <v>0</v>
      </c>
      <c r="M1373" s="67">
        <v>0</v>
      </c>
      <c r="N1373" s="67">
        <v>0</v>
      </c>
      <c r="O1373" s="66">
        <v>0</v>
      </c>
      <c r="P1373" s="68">
        <v>0</v>
      </c>
      <c r="Q1373" s="35" t="s">
        <v>154</v>
      </c>
    </row>
    <row r="1374" spans="1:17" ht="48" x14ac:dyDescent="0.25">
      <c r="A1374" s="62">
        <v>38579</v>
      </c>
      <c r="B1374" s="62">
        <v>38579</v>
      </c>
      <c r="C1374" s="63">
        <v>2005</v>
      </c>
      <c r="D1374" s="351" t="s">
        <v>23</v>
      </c>
      <c r="E1374" s="22" t="s">
        <v>86</v>
      </c>
      <c r="F1374" s="7" t="s">
        <v>84</v>
      </c>
      <c r="G1374" s="64" t="s">
        <v>2143</v>
      </c>
      <c r="H1374" s="65" t="s">
        <v>2144</v>
      </c>
      <c r="I1374" s="66">
        <v>0</v>
      </c>
      <c r="J1374" s="66">
        <v>51</v>
      </c>
      <c r="K1374" s="66">
        <v>10</v>
      </c>
      <c r="L1374" s="66">
        <v>0</v>
      </c>
      <c r="M1374" s="67">
        <v>0</v>
      </c>
      <c r="N1374" s="67">
        <v>0</v>
      </c>
      <c r="O1374" s="66">
        <v>0</v>
      </c>
      <c r="P1374" s="68">
        <v>0.04</v>
      </c>
      <c r="Q1374" s="35" t="s">
        <v>154</v>
      </c>
    </row>
    <row r="1375" spans="1:17" ht="60" x14ac:dyDescent="0.25">
      <c r="A1375" s="62">
        <v>38583</v>
      </c>
      <c r="B1375" s="62">
        <v>38583</v>
      </c>
      <c r="C1375" s="63">
        <v>2005</v>
      </c>
      <c r="D1375" s="351" t="s">
        <v>23</v>
      </c>
      <c r="E1375" s="22" t="s">
        <v>86</v>
      </c>
      <c r="F1375" s="7" t="s">
        <v>36</v>
      </c>
      <c r="G1375" s="64" t="s">
        <v>2145</v>
      </c>
      <c r="H1375" s="65" t="s">
        <v>2146</v>
      </c>
      <c r="I1375" s="66">
        <v>0</v>
      </c>
      <c r="J1375" s="66">
        <v>75</v>
      </c>
      <c r="K1375" s="66">
        <v>15</v>
      </c>
      <c r="L1375" s="66">
        <v>0</v>
      </c>
      <c r="M1375" s="67">
        <v>0</v>
      </c>
      <c r="N1375" s="67">
        <v>0</v>
      </c>
      <c r="O1375" s="66">
        <v>0</v>
      </c>
      <c r="P1375" s="68">
        <v>0.06</v>
      </c>
      <c r="Q1375" s="35" t="s">
        <v>154</v>
      </c>
    </row>
    <row r="1376" spans="1:17" ht="96" x14ac:dyDescent="0.25">
      <c r="A1376" s="62">
        <v>38583</v>
      </c>
      <c r="B1376" s="62">
        <v>38583</v>
      </c>
      <c r="C1376" s="63">
        <v>2005</v>
      </c>
      <c r="D1376" s="351" t="s">
        <v>23</v>
      </c>
      <c r="E1376" s="22" t="s">
        <v>86</v>
      </c>
      <c r="F1376" s="28" t="s">
        <v>210</v>
      </c>
      <c r="G1376" s="64" t="s">
        <v>2147</v>
      </c>
      <c r="H1376" s="69" t="s">
        <v>2148</v>
      </c>
      <c r="I1376" s="66">
        <v>3</v>
      </c>
      <c r="J1376" s="66">
        <v>428</v>
      </c>
      <c r="K1376" s="66">
        <v>85</v>
      </c>
      <c r="L1376" s="66">
        <v>0</v>
      </c>
      <c r="M1376" s="67">
        <v>0</v>
      </c>
      <c r="N1376" s="67">
        <v>0</v>
      </c>
      <c r="O1376" s="66">
        <v>0</v>
      </c>
      <c r="P1376" s="68">
        <v>6.9249999999999998</v>
      </c>
      <c r="Q1376" s="35" t="s">
        <v>154</v>
      </c>
    </row>
    <row r="1377" spans="1:17" ht="48" x14ac:dyDescent="0.25">
      <c r="A1377" s="62">
        <v>38584</v>
      </c>
      <c r="B1377" s="62">
        <v>38584</v>
      </c>
      <c r="C1377" s="63">
        <v>2005</v>
      </c>
      <c r="D1377" s="351" t="s">
        <v>23</v>
      </c>
      <c r="E1377" s="14" t="s">
        <v>52</v>
      </c>
      <c r="F1377" s="7" t="s">
        <v>36</v>
      </c>
      <c r="G1377" s="64" t="s">
        <v>1168</v>
      </c>
      <c r="H1377" s="65" t="s">
        <v>2149</v>
      </c>
      <c r="I1377" s="66">
        <v>0</v>
      </c>
      <c r="J1377" s="66">
        <v>1750</v>
      </c>
      <c r="K1377" s="66">
        <v>350</v>
      </c>
      <c r="L1377" s="66">
        <v>0</v>
      </c>
      <c r="M1377" s="67">
        <v>0</v>
      </c>
      <c r="N1377" s="67">
        <v>0</v>
      </c>
      <c r="O1377" s="66">
        <v>0</v>
      </c>
      <c r="P1377" s="68">
        <v>1.42</v>
      </c>
      <c r="Q1377" s="35" t="s">
        <v>154</v>
      </c>
    </row>
    <row r="1378" spans="1:17" ht="48" x14ac:dyDescent="0.25">
      <c r="A1378" s="62">
        <v>38585</v>
      </c>
      <c r="B1378" s="62">
        <v>38585</v>
      </c>
      <c r="C1378" s="63">
        <v>2005</v>
      </c>
      <c r="D1378" s="351" t="s">
        <v>23</v>
      </c>
      <c r="E1378" s="22" t="s">
        <v>86</v>
      </c>
      <c r="F1378" s="7" t="s">
        <v>72</v>
      </c>
      <c r="G1378" s="64" t="s">
        <v>2150</v>
      </c>
      <c r="H1378" s="69" t="s">
        <v>2151</v>
      </c>
      <c r="I1378" s="66">
        <v>13</v>
      </c>
      <c r="J1378" s="66">
        <v>141</v>
      </c>
      <c r="K1378" s="66">
        <v>25</v>
      </c>
      <c r="L1378" s="66">
        <v>0</v>
      </c>
      <c r="M1378" s="67">
        <v>0</v>
      </c>
      <c r="N1378" s="67">
        <v>0</v>
      </c>
      <c r="O1378" s="66">
        <v>0</v>
      </c>
      <c r="P1378" s="68">
        <v>0.10100000000000001</v>
      </c>
      <c r="Q1378" s="35" t="s">
        <v>154</v>
      </c>
    </row>
    <row r="1379" spans="1:17" ht="36" x14ac:dyDescent="0.25">
      <c r="A1379" s="62">
        <v>38585</v>
      </c>
      <c r="B1379" s="62">
        <v>38585</v>
      </c>
      <c r="C1379" s="63">
        <v>2005</v>
      </c>
      <c r="D1379" s="351" t="s">
        <v>23</v>
      </c>
      <c r="E1379" s="70" t="s">
        <v>2070</v>
      </c>
      <c r="F1379" s="7" t="s">
        <v>84</v>
      </c>
      <c r="G1379" s="64" t="s">
        <v>2152</v>
      </c>
      <c r="H1379" s="65" t="s">
        <v>2153</v>
      </c>
      <c r="I1379" s="66">
        <v>3</v>
      </c>
      <c r="J1379" s="66">
        <v>3</v>
      </c>
      <c r="K1379" s="66">
        <v>0</v>
      </c>
      <c r="L1379" s="66">
        <v>0</v>
      </c>
      <c r="M1379" s="67">
        <v>0</v>
      </c>
      <c r="N1379" s="67">
        <v>0</v>
      </c>
      <c r="O1379" s="66">
        <v>0</v>
      </c>
      <c r="P1379" s="68">
        <v>0</v>
      </c>
      <c r="Q1379" s="35" t="s">
        <v>154</v>
      </c>
    </row>
    <row r="1380" spans="1:17" ht="36" x14ac:dyDescent="0.25">
      <c r="A1380" s="62">
        <v>38586</v>
      </c>
      <c r="B1380" s="62">
        <v>38586</v>
      </c>
      <c r="C1380" s="63">
        <v>2005</v>
      </c>
      <c r="D1380" s="351" t="s">
        <v>23</v>
      </c>
      <c r="E1380" s="22" t="s">
        <v>86</v>
      </c>
      <c r="F1380" s="7" t="s">
        <v>36</v>
      </c>
      <c r="G1380" s="64" t="s">
        <v>2154</v>
      </c>
      <c r="H1380" s="65" t="s">
        <v>2155</v>
      </c>
      <c r="I1380" s="66">
        <v>0</v>
      </c>
      <c r="J1380" s="66">
        <v>35</v>
      </c>
      <c r="K1380" s="66">
        <v>7</v>
      </c>
      <c r="L1380" s="66">
        <v>0</v>
      </c>
      <c r="M1380" s="67">
        <v>0</v>
      </c>
      <c r="N1380" s="67">
        <v>0</v>
      </c>
      <c r="O1380" s="66">
        <v>0</v>
      </c>
      <c r="P1380" s="68">
        <v>6.0999999999999999E-2</v>
      </c>
      <c r="Q1380" s="35" t="s">
        <v>154</v>
      </c>
    </row>
    <row r="1381" spans="1:17" ht="132" x14ac:dyDescent="0.25">
      <c r="A1381" s="62">
        <v>38586</v>
      </c>
      <c r="B1381" s="62">
        <v>38587</v>
      </c>
      <c r="C1381" s="63">
        <v>2005</v>
      </c>
      <c r="D1381" s="351" t="s">
        <v>23</v>
      </c>
      <c r="E1381" s="70" t="s">
        <v>2087</v>
      </c>
      <c r="F1381" s="28" t="s">
        <v>210</v>
      </c>
      <c r="G1381" s="64" t="s">
        <v>2156</v>
      </c>
      <c r="H1381" s="69" t="s">
        <v>2157</v>
      </c>
      <c r="I1381" s="66">
        <v>0</v>
      </c>
      <c r="J1381" s="66">
        <v>1635</v>
      </c>
      <c r="K1381" s="66">
        <v>676</v>
      </c>
      <c r="L1381" s="66">
        <v>0</v>
      </c>
      <c r="M1381" s="67">
        <v>0</v>
      </c>
      <c r="N1381" s="67">
        <v>0</v>
      </c>
      <c r="O1381" s="66">
        <v>0</v>
      </c>
      <c r="P1381" s="68">
        <v>2.742</v>
      </c>
      <c r="Q1381" s="35" t="s">
        <v>154</v>
      </c>
    </row>
    <row r="1382" spans="1:17" ht="36" x14ac:dyDescent="0.25">
      <c r="A1382" s="62">
        <v>38587</v>
      </c>
      <c r="B1382" s="62">
        <v>38587</v>
      </c>
      <c r="C1382" s="63">
        <v>2005</v>
      </c>
      <c r="D1382" s="351" t="s">
        <v>23</v>
      </c>
      <c r="E1382" s="14" t="s">
        <v>52</v>
      </c>
      <c r="F1382" s="7" t="s">
        <v>60</v>
      </c>
      <c r="G1382" s="64" t="s">
        <v>307</v>
      </c>
      <c r="H1382" s="65" t="s">
        <v>2158</v>
      </c>
      <c r="I1382" s="66">
        <v>0</v>
      </c>
      <c r="J1382" s="66">
        <v>250</v>
      </c>
      <c r="K1382" s="66">
        <v>50</v>
      </c>
      <c r="L1382" s="66">
        <v>0</v>
      </c>
      <c r="M1382" s="67">
        <v>0</v>
      </c>
      <c r="N1382" s="67">
        <v>0</v>
      </c>
      <c r="O1382" s="66">
        <v>0</v>
      </c>
      <c r="P1382" s="68">
        <v>0</v>
      </c>
      <c r="Q1382" s="35" t="s">
        <v>154</v>
      </c>
    </row>
    <row r="1383" spans="1:17" ht="36" x14ac:dyDescent="0.25">
      <c r="A1383" s="62">
        <v>38588</v>
      </c>
      <c r="B1383" s="62">
        <v>38588</v>
      </c>
      <c r="C1383" s="63">
        <v>2005</v>
      </c>
      <c r="D1383" s="351" t="s">
        <v>23</v>
      </c>
      <c r="E1383" s="14" t="s">
        <v>52</v>
      </c>
      <c r="F1383" s="7" t="s">
        <v>36</v>
      </c>
      <c r="G1383" s="64" t="s">
        <v>2159</v>
      </c>
      <c r="H1383" s="65" t="s">
        <v>2160</v>
      </c>
      <c r="I1383" s="66">
        <v>0</v>
      </c>
      <c r="J1383" s="66">
        <v>34</v>
      </c>
      <c r="K1383" s="66">
        <v>18</v>
      </c>
      <c r="L1383" s="66">
        <v>0</v>
      </c>
      <c r="M1383" s="67">
        <v>0</v>
      </c>
      <c r="N1383" s="67">
        <v>0</v>
      </c>
      <c r="O1383" s="66">
        <v>0</v>
      </c>
      <c r="P1383" s="68">
        <v>0.18099999999999999</v>
      </c>
      <c r="Q1383" s="35" t="s">
        <v>154</v>
      </c>
    </row>
    <row r="1384" spans="1:17" ht="48" x14ac:dyDescent="0.25">
      <c r="A1384" s="62">
        <v>38588</v>
      </c>
      <c r="B1384" s="62">
        <v>38588</v>
      </c>
      <c r="C1384" s="63">
        <v>2005</v>
      </c>
      <c r="D1384" s="351" t="s">
        <v>23</v>
      </c>
      <c r="E1384" s="22" t="s">
        <v>86</v>
      </c>
      <c r="F1384" s="7" t="s">
        <v>36</v>
      </c>
      <c r="G1384" s="64" t="s">
        <v>2161</v>
      </c>
      <c r="H1384" s="65" t="s">
        <v>2162</v>
      </c>
      <c r="I1384" s="66">
        <v>0</v>
      </c>
      <c r="J1384" s="66">
        <v>580</v>
      </c>
      <c r="K1384" s="66">
        <v>116</v>
      </c>
      <c r="L1384" s="66">
        <v>1</v>
      </c>
      <c r="M1384" s="67">
        <v>0</v>
      </c>
      <c r="N1384" s="67">
        <v>0</v>
      </c>
      <c r="O1384" s="66">
        <v>0</v>
      </c>
      <c r="P1384" s="68">
        <v>0.51</v>
      </c>
      <c r="Q1384" s="35" t="s">
        <v>154</v>
      </c>
    </row>
    <row r="1385" spans="1:17" ht="72" x14ac:dyDescent="0.25">
      <c r="A1385" s="62">
        <v>38588</v>
      </c>
      <c r="B1385" s="62">
        <v>38588</v>
      </c>
      <c r="C1385" s="63">
        <v>2005</v>
      </c>
      <c r="D1385" s="351" t="s">
        <v>23</v>
      </c>
      <c r="E1385" s="14" t="s">
        <v>52</v>
      </c>
      <c r="F1385" s="7" t="s">
        <v>62</v>
      </c>
      <c r="G1385" s="64" t="s">
        <v>2163</v>
      </c>
      <c r="H1385" s="73" t="s">
        <v>2164</v>
      </c>
      <c r="I1385" s="66">
        <v>6</v>
      </c>
      <c r="J1385" s="66">
        <v>1039</v>
      </c>
      <c r="K1385" s="66">
        <v>200</v>
      </c>
      <c r="L1385" s="66">
        <v>0</v>
      </c>
      <c r="M1385" s="67">
        <v>0</v>
      </c>
      <c r="N1385" s="67">
        <v>0</v>
      </c>
      <c r="O1385" s="66">
        <v>0</v>
      </c>
      <c r="P1385" s="68">
        <v>0.81100000000000005</v>
      </c>
      <c r="Q1385" s="35" t="s">
        <v>154</v>
      </c>
    </row>
    <row r="1386" spans="1:17" ht="24" x14ac:dyDescent="0.25">
      <c r="A1386" s="62">
        <v>38592</v>
      </c>
      <c r="B1386" s="62">
        <v>38592</v>
      </c>
      <c r="C1386" s="63">
        <v>2005</v>
      </c>
      <c r="D1386" s="351" t="s">
        <v>23</v>
      </c>
      <c r="E1386" s="14" t="s">
        <v>52</v>
      </c>
      <c r="F1386" s="7" t="s">
        <v>36</v>
      </c>
      <c r="G1386" s="64" t="s">
        <v>2165</v>
      </c>
      <c r="H1386" s="72" t="s">
        <v>2166</v>
      </c>
      <c r="I1386" s="66">
        <v>0</v>
      </c>
      <c r="J1386" s="66">
        <v>100</v>
      </c>
      <c r="K1386" s="66">
        <v>20</v>
      </c>
      <c r="L1386" s="66">
        <v>0</v>
      </c>
      <c r="M1386" s="67">
        <v>0</v>
      </c>
      <c r="N1386" s="67">
        <v>0</v>
      </c>
      <c r="O1386" s="66">
        <v>0</v>
      </c>
      <c r="P1386" s="68">
        <v>8.1000000000000003E-2</v>
      </c>
      <c r="Q1386" s="35" t="s">
        <v>154</v>
      </c>
    </row>
    <row r="1387" spans="1:17" ht="36" x14ac:dyDescent="0.25">
      <c r="A1387" s="62">
        <v>38593</v>
      </c>
      <c r="B1387" s="62">
        <v>38593</v>
      </c>
      <c r="C1387" s="63">
        <v>2005</v>
      </c>
      <c r="D1387" s="351" t="s">
        <v>23</v>
      </c>
      <c r="E1387" s="70" t="s">
        <v>2070</v>
      </c>
      <c r="F1387" s="7" t="s">
        <v>101</v>
      </c>
      <c r="G1387" s="64" t="s">
        <v>174</v>
      </c>
      <c r="H1387" s="72" t="s">
        <v>2167</v>
      </c>
      <c r="I1387" s="66">
        <v>1</v>
      </c>
      <c r="J1387" s="66">
        <v>1</v>
      </c>
      <c r="K1387" s="66">
        <v>0</v>
      </c>
      <c r="L1387" s="66">
        <v>0</v>
      </c>
      <c r="M1387" s="67">
        <v>0</v>
      </c>
      <c r="N1387" s="67">
        <v>0</v>
      </c>
      <c r="O1387" s="66">
        <v>0</v>
      </c>
      <c r="P1387" s="68">
        <v>0</v>
      </c>
      <c r="Q1387" s="35" t="s">
        <v>154</v>
      </c>
    </row>
    <row r="1388" spans="1:17" ht="24" x14ac:dyDescent="0.25">
      <c r="A1388" s="62">
        <v>38596</v>
      </c>
      <c r="B1388" s="62">
        <v>38596</v>
      </c>
      <c r="C1388" s="63">
        <v>2005</v>
      </c>
      <c r="D1388" s="351" t="s">
        <v>23</v>
      </c>
      <c r="E1388" s="22" t="s">
        <v>86</v>
      </c>
      <c r="F1388" s="7" t="s">
        <v>87</v>
      </c>
      <c r="G1388" s="64" t="s">
        <v>2168</v>
      </c>
      <c r="H1388" s="72" t="s">
        <v>2169</v>
      </c>
      <c r="I1388" s="66">
        <v>0</v>
      </c>
      <c r="J1388" s="66">
        <v>575</v>
      </c>
      <c r="K1388" s="66">
        <v>115</v>
      </c>
      <c r="L1388" s="66">
        <v>0</v>
      </c>
      <c r="M1388" s="67">
        <v>0</v>
      </c>
      <c r="N1388" s="67">
        <v>0</v>
      </c>
      <c r="O1388" s="66">
        <v>0</v>
      </c>
      <c r="P1388" s="68">
        <v>0.46600000000000003</v>
      </c>
      <c r="Q1388" s="35" t="s">
        <v>154</v>
      </c>
    </row>
    <row r="1389" spans="1:17" ht="60" x14ac:dyDescent="0.25">
      <c r="A1389" s="62">
        <v>38596</v>
      </c>
      <c r="B1389" s="62">
        <v>38596</v>
      </c>
      <c r="C1389" s="63">
        <v>2005</v>
      </c>
      <c r="D1389" s="351" t="s">
        <v>23</v>
      </c>
      <c r="E1389" s="14" t="s">
        <v>52</v>
      </c>
      <c r="F1389" s="7" t="s">
        <v>77</v>
      </c>
      <c r="G1389" s="74" t="s">
        <v>681</v>
      </c>
      <c r="H1389" s="71" t="s">
        <v>2170</v>
      </c>
      <c r="I1389" s="66">
        <v>0</v>
      </c>
      <c r="J1389" s="66">
        <v>2250</v>
      </c>
      <c r="K1389" s="66">
        <v>450</v>
      </c>
      <c r="L1389" s="66">
        <v>0</v>
      </c>
      <c r="M1389" s="67">
        <v>0</v>
      </c>
      <c r="N1389" s="67">
        <v>0</v>
      </c>
      <c r="O1389" s="66">
        <v>0</v>
      </c>
      <c r="P1389" s="68">
        <v>1.825</v>
      </c>
      <c r="Q1389" s="35" t="s">
        <v>154</v>
      </c>
    </row>
    <row r="1390" spans="1:17" ht="48" x14ac:dyDescent="0.25">
      <c r="A1390" s="62">
        <v>38597</v>
      </c>
      <c r="B1390" s="62">
        <v>38597</v>
      </c>
      <c r="C1390" s="63">
        <v>2005</v>
      </c>
      <c r="D1390" s="351" t="s">
        <v>23</v>
      </c>
      <c r="E1390" s="14" t="s">
        <v>52</v>
      </c>
      <c r="F1390" s="28" t="s">
        <v>151</v>
      </c>
      <c r="G1390" s="64" t="s">
        <v>2171</v>
      </c>
      <c r="H1390" s="72" t="s">
        <v>2172</v>
      </c>
      <c r="I1390" s="66">
        <v>0</v>
      </c>
      <c r="J1390" s="66">
        <v>200</v>
      </c>
      <c r="K1390" s="66">
        <v>40</v>
      </c>
      <c r="L1390" s="66">
        <v>0</v>
      </c>
      <c r="M1390" s="67">
        <v>0</v>
      </c>
      <c r="N1390" s="67">
        <v>0</v>
      </c>
      <c r="O1390" s="66">
        <v>40</v>
      </c>
      <c r="P1390" s="68">
        <v>0.40200000000000002</v>
      </c>
      <c r="Q1390" s="35" t="s">
        <v>154</v>
      </c>
    </row>
    <row r="1391" spans="1:17" ht="48" x14ac:dyDescent="0.25">
      <c r="A1391" s="62">
        <v>38598</v>
      </c>
      <c r="B1391" s="62">
        <v>38598</v>
      </c>
      <c r="C1391" s="63">
        <v>2005</v>
      </c>
      <c r="D1391" s="351" t="s">
        <v>23</v>
      </c>
      <c r="E1391" s="22" t="s">
        <v>86</v>
      </c>
      <c r="F1391" s="7" t="s">
        <v>62</v>
      </c>
      <c r="G1391" s="64" t="s">
        <v>165</v>
      </c>
      <c r="H1391" s="72" t="s">
        <v>2173</v>
      </c>
      <c r="I1391" s="66">
        <v>0</v>
      </c>
      <c r="J1391" s="66">
        <v>0</v>
      </c>
      <c r="K1391" s="66">
        <v>0</v>
      </c>
      <c r="L1391" s="66">
        <v>0</v>
      </c>
      <c r="M1391" s="67">
        <v>0</v>
      </c>
      <c r="N1391" s="67">
        <v>0</v>
      </c>
      <c r="O1391" s="66">
        <v>0</v>
      </c>
      <c r="P1391" s="68">
        <v>0</v>
      </c>
      <c r="Q1391" s="35" t="s">
        <v>154</v>
      </c>
    </row>
    <row r="1392" spans="1:17" ht="36" x14ac:dyDescent="0.25">
      <c r="A1392" s="62">
        <v>38607</v>
      </c>
      <c r="B1392" s="62">
        <v>38607</v>
      </c>
      <c r="C1392" s="63">
        <v>2005</v>
      </c>
      <c r="D1392" s="351" t="s">
        <v>23</v>
      </c>
      <c r="E1392" s="14" t="s">
        <v>52</v>
      </c>
      <c r="F1392" s="7" t="s">
        <v>56</v>
      </c>
      <c r="G1392" s="64" t="s">
        <v>640</v>
      </c>
      <c r="H1392" s="72" t="s">
        <v>2174</v>
      </c>
      <c r="I1392" s="66">
        <v>0</v>
      </c>
      <c r="J1392" s="66">
        <v>305</v>
      </c>
      <c r="K1392" s="66">
        <v>61</v>
      </c>
      <c r="L1392" s="66">
        <v>0</v>
      </c>
      <c r="M1392" s="67">
        <v>0</v>
      </c>
      <c r="N1392" s="67">
        <v>0</v>
      </c>
      <c r="O1392" s="66">
        <v>0</v>
      </c>
      <c r="P1392" s="68">
        <v>0.247</v>
      </c>
      <c r="Q1392" s="35" t="s">
        <v>154</v>
      </c>
    </row>
    <row r="1393" spans="1:17" ht="48" x14ac:dyDescent="0.25">
      <c r="A1393" s="62">
        <v>38608</v>
      </c>
      <c r="B1393" s="62">
        <v>38608</v>
      </c>
      <c r="C1393" s="63">
        <v>2005</v>
      </c>
      <c r="D1393" s="351" t="s">
        <v>23</v>
      </c>
      <c r="E1393" s="14" t="s">
        <v>52</v>
      </c>
      <c r="F1393" s="7" t="s">
        <v>97</v>
      </c>
      <c r="G1393" s="64" t="s">
        <v>2175</v>
      </c>
      <c r="H1393" s="72" t="s">
        <v>2176</v>
      </c>
      <c r="I1393" s="66">
        <v>0</v>
      </c>
      <c r="J1393" s="66">
        <v>40</v>
      </c>
      <c r="K1393" s="66">
        <v>8</v>
      </c>
      <c r="L1393" s="66">
        <v>1</v>
      </c>
      <c r="M1393" s="67">
        <v>0</v>
      </c>
      <c r="N1393" s="67">
        <v>0</v>
      </c>
      <c r="O1393" s="66">
        <v>0</v>
      </c>
      <c r="P1393" s="68">
        <v>9.5000000000000001E-2</v>
      </c>
      <c r="Q1393" s="35" t="s">
        <v>154</v>
      </c>
    </row>
    <row r="1394" spans="1:17" ht="36" x14ac:dyDescent="0.25">
      <c r="A1394" s="62">
        <v>38617</v>
      </c>
      <c r="B1394" s="62">
        <v>38617</v>
      </c>
      <c r="C1394" s="63">
        <v>2005</v>
      </c>
      <c r="D1394" s="351" t="s">
        <v>23</v>
      </c>
      <c r="E1394" s="22" t="s">
        <v>86</v>
      </c>
      <c r="F1394" s="7" t="s">
        <v>36</v>
      </c>
      <c r="G1394" s="64" t="s">
        <v>2177</v>
      </c>
      <c r="H1394" s="72" t="s">
        <v>2178</v>
      </c>
      <c r="I1394" s="66">
        <v>0</v>
      </c>
      <c r="J1394" s="66">
        <v>445</v>
      </c>
      <c r="K1394" s="66">
        <v>89</v>
      </c>
      <c r="L1394" s="66">
        <v>0</v>
      </c>
      <c r="M1394" s="67">
        <v>0</v>
      </c>
      <c r="N1394" s="67">
        <v>0</v>
      </c>
      <c r="O1394" s="66">
        <v>0</v>
      </c>
      <c r="P1394" s="68">
        <v>0.36099999999999999</v>
      </c>
      <c r="Q1394" s="35" t="s">
        <v>154</v>
      </c>
    </row>
    <row r="1395" spans="1:17" ht="60" x14ac:dyDescent="0.25">
      <c r="A1395" s="62">
        <v>38619</v>
      </c>
      <c r="B1395" s="62">
        <v>38619</v>
      </c>
      <c r="C1395" s="63">
        <v>2005</v>
      </c>
      <c r="D1395" s="351" t="s">
        <v>23</v>
      </c>
      <c r="E1395" s="22" t="s">
        <v>86</v>
      </c>
      <c r="F1395" s="7" t="s">
        <v>58</v>
      </c>
      <c r="G1395" s="64" t="s">
        <v>1412</v>
      </c>
      <c r="H1395" s="72" t="s">
        <v>2179</v>
      </c>
      <c r="I1395" s="66">
        <v>0</v>
      </c>
      <c r="J1395" s="66">
        <v>200</v>
      </c>
      <c r="K1395" s="66">
        <v>40</v>
      </c>
      <c r="L1395" s="66">
        <v>0</v>
      </c>
      <c r="M1395" s="67">
        <v>0</v>
      </c>
      <c r="N1395" s="67">
        <v>0</v>
      </c>
      <c r="O1395" s="66">
        <v>0</v>
      </c>
      <c r="P1395" s="68">
        <v>0.16200000000000001</v>
      </c>
      <c r="Q1395" s="35" t="s">
        <v>154</v>
      </c>
    </row>
    <row r="1396" spans="1:17" ht="36" x14ac:dyDescent="0.25">
      <c r="A1396" s="62">
        <v>38619</v>
      </c>
      <c r="B1396" s="62">
        <v>38619</v>
      </c>
      <c r="C1396" s="63">
        <v>2005</v>
      </c>
      <c r="D1396" s="351" t="s">
        <v>23</v>
      </c>
      <c r="E1396" s="22" t="s">
        <v>86</v>
      </c>
      <c r="F1396" s="7" t="s">
        <v>72</v>
      </c>
      <c r="G1396" s="64" t="s">
        <v>2180</v>
      </c>
      <c r="H1396" s="72" t="s">
        <v>2181</v>
      </c>
      <c r="I1396" s="66">
        <v>0</v>
      </c>
      <c r="J1396" s="66">
        <v>45</v>
      </c>
      <c r="K1396" s="66">
        <v>9</v>
      </c>
      <c r="L1396" s="66">
        <v>0</v>
      </c>
      <c r="M1396" s="67">
        <v>0</v>
      </c>
      <c r="N1396" s="67">
        <v>0</v>
      </c>
      <c r="O1396" s="66">
        <v>0</v>
      </c>
      <c r="P1396" s="68">
        <v>3.6999999999999998E-2</v>
      </c>
      <c r="Q1396" s="35" t="s">
        <v>154</v>
      </c>
    </row>
    <row r="1397" spans="1:17" ht="72" x14ac:dyDescent="0.25">
      <c r="A1397" s="62">
        <v>38619</v>
      </c>
      <c r="B1397" s="62">
        <v>38619</v>
      </c>
      <c r="C1397" s="63">
        <v>2005</v>
      </c>
      <c r="D1397" s="351" t="s">
        <v>23</v>
      </c>
      <c r="E1397" s="22" t="s">
        <v>86</v>
      </c>
      <c r="F1397" s="7" t="s">
        <v>36</v>
      </c>
      <c r="G1397" s="64" t="s">
        <v>2182</v>
      </c>
      <c r="H1397" s="72" t="s">
        <v>2183</v>
      </c>
      <c r="I1397" s="66">
        <v>0</v>
      </c>
      <c r="J1397" s="66">
        <v>617</v>
      </c>
      <c r="K1397" s="66">
        <v>0</v>
      </c>
      <c r="L1397" s="66">
        <v>0</v>
      </c>
      <c r="M1397" s="67">
        <v>0</v>
      </c>
      <c r="N1397" s="67">
        <v>0</v>
      </c>
      <c r="O1397" s="66">
        <v>0</v>
      </c>
      <c r="P1397" s="68">
        <v>3.29</v>
      </c>
      <c r="Q1397" s="35" t="s">
        <v>154</v>
      </c>
    </row>
    <row r="1398" spans="1:17" ht="48" x14ac:dyDescent="0.25">
      <c r="A1398" s="62">
        <v>38620</v>
      </c>
      <c r="B1398" s="62">
        <v>38620</v>
      </c>
      <c r="C1398" s="63">
        <v>2005</v>
      </c>
      <c r="D1398" s="351" t="s">
        <v>23</v>
      </c>
      <c r="E1398" s="22" t="s">
        <v>86</v>
      </c>
      <c r="F1398" s="7" t="s">
        <v>58</v>
      </c>
      <c r="G1398" s="71" t="s">
        <v>2184</v>
      </c>
      <c r="H1398" s="72" t="s">
        <v>2185</v>
      </c>
      <c r="I1398" s="66">
        <v>0</v>
      </c>
      <c r="J1398" s="66">
        <v>50</v>
      </c>
      <c r="K1398" s="66">
        <v>10</v>
      </c>
      <c r="L1398" s="66">
        <v>0</v>
      </c>
      <c r="M1398" s="67">
        <v>0</v>
      </c>
      <c r="N1398" s="67">
        <v>0</v>
      </c>
      <c r="O1398" s="66">
        <v>0</v>
      </c>
      <c r="P1398" s="68">
        <v>0.1</v>
      </c>
      <c r="Q1398" s="35" t="s">
        <v>154</v>
      </c>
    </row>
    <row r="1399" spans="1:17" ht="48" x14ac:dyDescent="0.25">
      <c r="A1399" s="62">
        <v>38620</v>
      </c>
      <c r="B1399" s="62">
        <v>38620</v>
      </c>
      <c r="C1399" s="63">
        <v>2005</v>
      </c>
      <c r="D1399" s="351" t="s">
        <v>23</v>
      </c>
      <c r="E1399" s="22" t="s">
        <v>86</v>
      </c>
      <c r="F1399" s="7" t="s">
        <v>58</v>
      </c>
      <c r="G1399" s="64" t="s">
        <v>2186</v>
      </c>
      <c r="H1399" s="73" t="s">
        <v>2187</v>
      </c>
      <c r="I1399" s="66">
        <v>1</v>
      </c>
      <c r="J1399" s="66">
        <v>315</v>
      </c>
      <c r="K1399" s="66">
        <v>63</v>
      </c>
      <c r="L1399" s="66">
        <v>0</v>
      </c>
      <c r="M1399" s="67">
        <v>0</v>
      </c>
      <c r="N1399" s="67">
        <v>0</v>
      </c>
      <c r="O1399" s="66">
        <v>0</v>
      </c>
      <c r="P1399" s="68">
        <v>3.55</v>
      </c>
      <c r="Q1399" s="35" t="s">
        <v>154</v>
      </c>
    </row>
    <row r="1400" spans="1:17" ht="60" x14ac:dyDescent="0.25">
      <c r="A1400" s="62">
        <v>38623</v>
      </c>
      <c r="B1400" s="62">
        <v>38623</v>
      </c>
      <c r="C1400" s="63">
        <v>2005</v>
      </c>
      <c r="D1400" s="351" t="s">
        <v>23</v>
      </c>
      <c r="E1400" s="22" t="s">
        <v>86</v>
      </c>
      <c r="F1400" s="7" t="s">
        <v>72</v>
      </c>
      <c r="G1400" s="64" t="s">
        <v>2188</v>
      </c>
      <c r="H1400" s="73" t="s">
        <v>2189</v>
      </c>
      <c r="I1400" s="66">
        <v>0</v>
      </c>
      <c r="J1400" s="66">
        <v>4200</v>
      </c>
      <c r="K1400" s="66">
        <v>800</v>
      </c>
      <c r="L1400" s="66">
        <v>0</v>
      </c>
      <c r="M1400" s="67">
        <v>0</v>
      </c>
      <c r="N1400" s="67">
        <v>0</v>
      </c>
      <c r="O1400" s="66">
        <v>0</v>
      </c>
      <c r="P1400" s="68">
        <v>9.8249999999999993</v>
      </c>
      <c r="Q1400" s="35" t="s">
        <v>154</v>
      </c>
    </row>
    <row r="1401" spans="1:17" ht="60" x14ac:dyDescent="0.25">
      <c r="A1401" s="62">
        <v>38629</v>
      </c>
      <c r="B1401" s="62">
        <v>38629</v>
      </c>
      <c r="C1401" s="63">
        <v>2005</v>
      </c>
      <c r="D1401" s="351" t="s">
        <v>23</v>
      </c>
      <c r="E1401" s="14" t="s">
        <v>32</v>
      </c>
      <c r="F1401" s="7" t="s">
        <v>36</v>
      </c>
      <c r="G1401" s="64" t="s">
        <v>2190</v>
      </c>
      <c r="H1401" s="73" t="s">
        <v>2191</v>
      </c>
      <c r="I1401" s="66">
        <v>86</v>
      </c>
      <c r="J1401" s="66">
        <f>K1401*5</f>
        <v>162570</v>
      </c>
      <c r="K1401" s="66">
        <v>32514</v>
      </c>
      <c r="L1401" s="66">
        <v>305</v>
      </c>
      <c r="M1401" s="67">
        <v>114</v>
      </c>
      <c r="N1401" s="67">
        <v>2260</v>
      </c>
      <c r="O1401" s="66">
        <v>208064.6</v>
      </c>
      <c r="P1401" s="68">
        <v>15031.5</v>
      </c>
      <c r="Q1401" s="35" t="s">
        <v>22</v>
      </c>
    </row>
    <row r="1402" spans="1:17" ht="108" x14ac:dyDescent="0.25">
      <c r="A1402" s="62">
        <v>38629</v>
      </c>
      <c r="B1402" s="62">
        <v>38629</v>
      </c>
      <c r="C1402" s="63">
        <v>2005</v>
      </c>
      <c r="D1402" s="351" t="s">
        <v>23</v>
      </c>
      <c r="E1402" s="14" t="s">
        <v>32</v>
      </c>
      <c r="F1402" s="7" t="s">
        <v>72</v>
      </c>
      <c r="G1402" s="64" t="s">
        <v>2109</v>
      </c>
      <c r="H1402" s="73" t="s">
        <v>2192</v>
      </c>
      <c r="I1402" s="66">
        <v>5</v>
      </c>
      <c r="J1402" s="66">
        <f>K1402*5</f>
        <v>37405</v>
      </c>
      <c r="K1402" s="66">
        <v>7481</v>
      </c>
      <c r="L1402" s="66">
        <v>441</v>
      </c>
      <c r="M1402" s="67">
        <v>157</v>
      </c>
      <c r="N1402" s="67">
        <v>0</v>
      </c>
      <c r="O1402" s="66">
        <v>32155.1</v>
      </c>
      <c r="P1402" s="68">
        <v>1757</v>
      </c>
      <c r="Q1402" s="35" t="s">
        <v>154</v>
      </c>
    </row>
    <row r="1403" spans="1:17" ht="60" x14ac:dyDescent="0.25">
      <c r="A1403" s="62">
        <v>38629</v>
      </c>
      <c r="B1403" s="62">
        <v>38629</v>
      </c>
      <c r="C1403" s="63">
        <v>2005</v>
      </c>
      <c r="D1403" s="351" t="s">
        <v>23</v>
      </c>
      <c r="E1403" s="14" t="s">
        <v>32</v>
      </c>
      <c r="F1403" s="28" t="s">
        <v>210</v>
      </c>
      <c r="G1403" s="64" t="s">
        <v>2109</v>
      </c>
      <c r="H1403" s="73" t="s">
        <v>2193</v>
      </c>
      <c r="I1403" s="66">
        <v>0</v>
      </c>
      <c r="J1403" s="66">
        <f>K1403*5</f>
        <v>13490</v>
      </c>
      <c r="K1403" s="66">
        <v>2698</v>
      </c>
      <c r="L1403" s="66">
        <v>407</v>
      </c>
      <c r="M1403" s="67">
        <v>31</v>
      </c>
      <c r="N1403" s="67">
        <v>0</v>
      </c>
      <c r="O1403" s="66">
        <v>61480.5</v>
      </c>
      <c r="P1403" s="68">
        <v>2535.6999999999998</v>
      </c>
      <c r="Q1403" s="35" t="s">
        <v>154</v>
      </c>
    </row>
    <row r="1404" spans="1:17" ht="48" x14ac:dyDescent="0.25">
      <c r="A1404" s="62">
        <v>38629</v>
      </c>
      <c r="B1404" s="62">
        <v>38629</v>
      </c>
      <c r="C1404" s="63">
        <v>2005</v>
      </c>
      <c r="D1404" s="351" t="s">
        <v>23</v>
      </c>
      <c r="E1404" s="14" t="s">
        <v>32</v>
      </c>
      <c r="F1404" s="7" t="s">
        <v>75</v>
      </c>
      <c r="G1404" s="64" t="s">
        <v>2109</v>
      </c>
      <c r="H1404" s="72" t="s">
        <v>2194</v>
      </c>
      <c r="I1404" s="66">
        <v>3</v>
      </c>
      <c r="J1404" s="66">
        <f>K1404*5</f>
        <v>50725</v>
      </c>
      <c r="K1404" s="66">
        <v>10145</v>
      </c>
      <c r="L1404" s="66">
        <v>337</v>
      </c>
      <c r="M1404" s="67">
        <v>67</v>
      </c>
      <c r="N1404" s="67">
        <v>0</v>
      </c>
      <c r="O1404" s="66">
        <v>20045</v>
      </c>
      <c r="P1404" s="68">
        <v>917.34</v>
      </c>
      <c r="Q1404" s="35" t="s">
        <v>154</v>
      </c>
    </row>
    <row r="1405" spans="1:17" ht="72" x14ac:dyDescent="0.25">
      <c r="A1405" s="62">
        <v>38630</v>
      </c>
      <c r="B1405" s="62">
        <v>38630</v>
      </c>
      <c r="C1405" s="63">
        <v>2005</v>
      </c>
      <c r="D1405" s="351" t="s">
        <v>23</v>
      </c>
      <c r="E1405" s="14" t="s">
        <v>32</v>
      </c>
      <c r="F1405" s="28" t="s">
        <v>160</v>
      </c>
      <c r="G1405" s="64" t="s">
        <v>2109</v>
      </c>
      <c r="H1405" s="73" t="s">
        <v>2195</v>
      </c>
      <c r="I1405" s="66">
        <v>4</v>
      </c>
      <c r="J1405" s="66">
        <f>K1405*5</f>
        <v>11000</v>
      </c>
      <c r="K1405" s="66">
        <v>2200</v>
      </c>
      <c r="L1405" s="66">
        <v>62</v>
      </c>
      <c r="M1405" s="67">
        <v>15</v>
      </c>
      <c r="N1405" s="67">
        <v>0</v>
      </c>
      <c r="O1405" s="66">
        <v>4876</v>
      </c>
      <c r="P1405" s="68">
        <v>819.82</v>
      </c>
      <c r="Q1405" s="35" t="s">
        <v>154</v>
      </c>
    </row>
    <row r="1406" spans="1:17" ht="36" x14ac:dyDescent="0.25">
      <c r="A1406" s="62">
        <v>38630</v>
      </c>
      <c r="B1406" s="62">
        <v>38630</v>
      </c>
      <c r="C1406" s="63">
        <v>2005</v>
      </c>
      <c r="D1406" s="351" t="s">
        <v>23</v>
      </c>
      <c r="E1406" s="22" t="s">
        <v>86</v>
      </c>
      <c r="F1406" s="7" t="s">
        <v>58</v>
      </c>
      <c r="G1406" s="64" t="s">
        <v>2186</v>
      </c>
      <c r="H1406" s="72" t="s">
        <v>2196</v>
      </c>
      <c r="I1406" s="66">
        <v>1</v>
      </c>
      <c r="J1406" s="66">
        <v>1</v>
      </c>
      <c r="K1406" s="66">
        <v>0</v>
      </c>
      <c r="L1406" s="66">
        <v>0</v>
      </c>
      <c r="M1406" s="67">
        <v>0</v>
      </c>
      <c r="N1406" s="67">
        <v>0</v>
      </c>
      <c r="O1406" s="66">
        <v>0</v>
      </c>
      <c r="P1406" s="68">
        <v>0</v>
      </c>
      <c r="Q1406" s="35" t="s">
        <v>154</v>
      </c>
    </row>
    <row r="1407" spans="1:17" ht="48" x14ac:dyDescent="0.25">
      <c r="A1407" s="62">
        <v>38633</v>
      </c>
      <c r="B1407" s="62">
        <v>38633</v>
      </c>
      <c r="C1407" s="63">
        <v>2005</v>
      </c>
      <c r="D1407" s="351" t="s">
        <v>23</v>
      </c>
      <c r="E1407" s="22" t="s">
        <v>86</v>
      </c>
      <c r="F1407" s="7" t="s">
        <v>84</v>
      </c>
      <c r="G1407" s="64" t="s">
        <v>2197</v>
      </c>
      <c r="H1407" s="72" t="s">
        <v>2198</v>
      </c>
      <c r="I1407" s="66">
        <v>0</v>
      </c>
      <c r="J1407" s="66">
        <v>0</v>
      </c>
      <c r="K1407" s="66">
        <v>0</v>
      </c>
      <c r="L1407" s="66">
        <v>0</v>
      </c>
      <c r="M1407" s="67">
        <v>0</v>
      </c>
      <c r="N1407" s="67">
        <v>0</v>
      </c>
      <c r="O1407" s="66">
        <v>0</v>
      </c>
      <c r="P1407" s="68">
        <v>0</v>
      </c>
      <c r="Q1407" s="35" t="s">
        <v>154</v>
      </c>
    </row>
    <row r="1408" spans="1:17" ht="60" x14ac:dyDescent="0.25">
      <c r="A1408" s="62">
        <v>38636</v>
      </c>
      <c r="B1408" s="62">
        <v>38636</v>
      </c>
      <c r="C1408" s="63">
        <v>2005</v>
      </c>
      <c r="D1408" s="351" t="s">
        <v>23</v>
      </c>
      <c r="E1408" s="22" t="s">
        <v>86</v>
      </c>
      <c r="F1408" s="7" t="s">
        <v>53</v>
      </c>
      <c r="G1408" s="64" t="s">
        <v>2199</v>
      </c>
      <c r="H1408" s="72" t="s">
        <v>2200</v>
      </c>
      <c r="I1408" s="66">
        <v>0</v>
      </c>
      <c r="J1408" s="66">
        <v>570</v>
      </c>
      <c r="K1408" s="66">
        <v>114</v>
      </c>
      <c r="L1408" s="66">
        <v>0</v>
      </c>
      <c r="M1408" s="67">
        <v>0</v>
      </c>
      <c r="N1408" s="67">
        <v>0</v>
      </c>
      <c r="O1408" s="66">
        <v>0</v>
      </c>
      <c r="P1408" s="68">
        <v>1.1459999999999999</v>
      </c>
      <c r="Q1408" s="35" t="s">
        <v>154</v>
      </c>
    </row>
    <row r="1409" spans="1:17" ht="60" x14ac:dyDescent="0.25">
      <c r="A1409" s="62">
        <v>38638</v>
      </c>
      <c r="B1409" s="62">
        <v>38638</v>
      </c>
      <c r="C1409" s="63">
        <v>2005</v>
      </c>
      <c r="D1409" s="351" t="s">
        <v>23</v>
      </c>
      <c r="E1409" s="22" t="s">
        <v>86</v>
      </c>
      <c r="F1409" s="7" t="s">
        <v>45</v>
      </c>
      <c r="G1409" s="64" t="s">
        <v>2201</v>
      </c>
      <c r="H1409" s="72" t="s">
        <v>2202</v>
      </c>
      <c r="I1409" s="66">
        <v>0</v>
      </c>
      <c r="J1409" s="66">
        <v>384</v>
      </c>
      <c r="K1409" s="66">
        <v>105</v>
      </c>
      <c r="L1409" s="66">
        <v>0</v>
      </c>
      <c r="M1409" s="67">
        <v>0</v>
      </c>
      <c r="N1409" s="67">
        <v>0</v>
      </c>
      <c r="O1409" s="66">
        <v>0</v>
      </c>
      <c r="P1409" s="68">
        <v>0.42599999999999999</v>
      </c>
      <c r="Q1409" s="35" t="s">
        <v>154</v>
      </c>
    </row>
    <row r="1410" spans="1:17" ht="60" x14ac:dyDescent="0.25">
      <c r="A1410" s="62">
        <v>38639</v>
      </c>
      <c r="B1410" s="62">
        <v>38639</v>
      </c>
      <c r="C1410" s="63">
        <v>2005</v>
      </c>
      <c r="D1410" s="351" t="s">
        <v>23</v>
      </c>
      <c r="E1410" s="22" t="s">
        <v>86</v>
      </c>
      <c r="F1410" s="7" t="s">
        <v>91</v>
      </c>
      <c r="G1410" s="64" t="s">
        <v>2203</v>
      </c>
      <c r="H1410" s="72" t="s">
        <v>2204</v>
      </c>
      <c r="I1410" s="66">
        <v>0</v>
      </c>
      <c r="J1410" s="66">
        <v>567</v>
      </c>
      <c r="K1410" s="66">
        <v>0</v>
      </c>
      <c r="L1410" s="66">
        <v>0</v>
      </c>
      <c r="M1410" s="67">
        <v>0</v>
      </c>
      <c r="N1410" s="67">
        <v>0</v>
      </c>
      <c r="O1410" s="66">
        <v>0</v>
      </c>
      <c r="P1410" s="68">
        <v>0</v>
      </c>
      <c r="Q1410" s="35" t="s">
        <v>154</v>
      </c>
    </row>
    <row r="1411" spans="1:17" ht="93.75" customHeight="1" x14ac:dyDescent="0.25">
      <c r="A1411" s="23">
        <v>39379</v>
      </c>
      <c r="B1411" s="23">
        <v>39385</v>
      </c>
      <c r="C1411" s="27">
        <v>2007</v>
      </c>
      <c r="D1411" s="351" t="s">
        <v>23</v>
      </c>
      <c r="E1411" s="22" t="s">
        <v>86</v>
      </c>
      <c r="F1411" s="25" t="s">
        <v>781</v>
      </c>
      <c r="G1411" s="25" t="s">
        <v>2205</v>
      </c>
      <c r="H1411" s="29" t="s">
        <v>2206</v>
      </c>
      <c r="I1411" s="20">
        <v>0</v>
      </c>
      <c r="J1411" s="20">
        <v>1500000</v>
      </c>
      <c r="K1411" s="20">
        <v>123386</v>
      </c>
      <c r="L1411" s="20">
        <v>3876</v>
      </c>
      <c r="M1411" s="20">
        <v>252</v>
      </c>
      <c r="N1411" s="20">
        <v>0</v>
      </c>
      <c r="O1411" s="75">
        <v>93319</v>
      </c>
      <c r="P1411" s="76">
        <v>31871.26</v>
      </c>
      <c r="Q1411" s="27" t="s">
        <v>2207</v>
      </c>
    </row>
    <row r="1412" spans="1:17" ht="36" x14ac:dyDescent="0.25">
      <c r="A1412" s="62">
        <v>38646</v>
      </c>
      <c r="B1412" s="62">
        <v>38649</v>
      </c>
      <c r="C1412" s="63">
        <v>2005</v>
      </c>
      <c r="D1412" s="351" t="s">
        <v>23</v>
      </c>
      <c r="E1412" s="14" t="s">
        <v>32</v>
      </c>
      <c r="F1412" s="28" t="s">
        <v>163</v>
      </c>
      <c r="G1412" s="64" t="s">
        <v>2208</v>
      </c>
      <c r="H1412" s="72" t="s">
        <v>2209</v>
      </c>
      <c r="I1412" s="66">
        <v>0</v>
      </c>
      <c r="J1412" s="66">
        <f>K1412*5</f>
        <v>31150</v>
      </c>
      <c r="K1412" s="66">
        <v>6230</v>
      </c>
      <c r="L1412" s="66">
        <v>115</v>
      </c>
      <c r="M1412" s="67">
        <v>4</v>
      </c>
      <c r="N1412" s="67">
        <v>0</v>
      </c>
      <c r="O1412" s="66">
        <v>39786.800000000003</v>
      </c>
      <c r="P1412" s="68">
        <v>514.9</v>
      </c>
      <c r="Q1412" s="35" t="s">
        <v>22</v>
      </c>
    </row>
    <row r="1413" spans="1:17" ht="36" x14ac:dyDescent="0.25">
      <c r="A1413" s="62">
        <v>38665</v>
      </c>
      <c r="B1413" s="62">
        <v>38665</v>
      </c>
      <c r="C1413" s="63">
        <v>2005</v>
      </c>
      <c r="D1413" s="351" t="s">
        <v>23</v>
      </c>
      <c r="E1413" s="70" t="s">
        <v>2070</v>
      </c>
      <c r="F1413" s="7" t="s">
        <v>53</v>
      </c>
      <c r="G1413" s="64" t="s">
        <v>460</v>
      </c>
      <c r="H1413" s="72" t="s">
        <v>2210</v>
      </c>
      <c r="I1413" s="66">
        <v>3</v>
      </c>
      <c r="J1413" s="66">
        <v>5</v>
      </c>
      <c r="K1413" s="66">
        <v>0</v>
      </c>
      <c r="L1413" s="66">
        <v>0</v>
      </c>
      <c r="M1413" s="67">
        <v>0</v>
      </c>
      <c r="N1413" s="67">
        <v>0</v>
      </c>
      <c r="O1413" s="66">
        <v>0</v>
      </c>
      <c r="P1413" s="68">
        <v>0</v>
      </c>
      <c r="Q1413" s="35" t="s">
        <v>154</v>
      </c>
    </row>
    <row r="1414" spans="1:17" ht="36" x14ac:dyDescent="0.25">
      <c r="A1414" s="62">
        <v>38671</v>
      </c>
      <c r="B1414" s="62">
        <v>38671</v>
      </c>
      <c r="C1414" s="63">
        <v>2005</v>
      </c>
      <c r="D1414" s="351" t="s">
        <v>23</v>
      </c>
      <c r="E1414" s="22" t="s">
        <v>86</v>
      </c>
      <c r="F1414" s="7" t="s">
        <v>68</v>
      </c>
      <c r="G1414" s="64" t="s">
        <v>752</v>
      </c>
      <c r="H1414" s="72" t="s">
        <v>2211</v>
      </c>
      <c r="I1414" s="66">
        <v>1</v>
      </c>
      <c r="J1414" s="66">
        <v>1</v>
      </c>
      <c r="K1414" s="66">
        <v>0</v>
      </c>
      <c r="L1414" s="66">
        <v>0</v>
      </c>
      <c r="M1414" s="67">
        <v>0</v>
      </c>
      <c r="N1414" s="67">
        <v>0</v>
      </c>
      <c r="O1414" s="66">
        <v>0</v>
      </c>
      <c r="P1414" s="68">
        <v>0</v>
      </c>
      <c r="Q1414" s="35" t="s">
        <v>154</v>
      </c>
    </row>
    <row r="1415" spans="1:17" ht="24" x14ac:dyDescent="0.25">
      <c r="A1415" s="62">
        <v>38675</v>
      </c>
      <c r="B1415" s="62">
        <v>38675</v>
      </c>
      <c r="C1415" s="63">
        <v>2005</v>
      </c>
      <c r="D1415" s="351" t="s">
        <v>23</v>
      </c>
      <c r="E1415" s="22" t="s">
        <v>86</v>
      </c>
      <c r="F1415" s="25" t="s">
        <v>781</v>
      </c>
      <c r="G1415" s="64" t="s">
        <v>1995</v>
      </c>
      <c r="H1415" s="72" t="s">
        <v>2212</v>
      </c>
      <c r="I1415" s="66">
        <v>0</v>
      </c>
      <c r="J1415" s="66">
        <v>285</v>
      </c>
      <c r="K1415" s="66">
        <v>57</v>
      </c>
      <c r="L1415" s="66">
        <v>0</v>
      </c>
      <c r="M1415" s="67">
        <v>0</v>
      </c>
      <c r="N1415" s="67">
        <v>0</v>
      </c>
      <c r="O1415" s="66">
        <v>0</v>
      </c>
      <c r="P1415" s="68">
        <v>0.23100000000000001</v>
      </c>
      <c r="Q1415" s="35" t="s">
        <v>154</v>
      </c>
    </row>
    <row r="1416" spans="1:17" ht="36" x14ac:dyDescent="0.25">
      <c r="A1416" s="62">
        <v>38704</v>
      </c>
      <c r="B1416" s="62">
        <v>38704</v>
      </c>
      <c r="C1416" s="63">
        <v>2005</v>
      </c>
      <c r="D1416" s="351" t="s">
        <v>23</v>
      </c>
      <c r="E1416" s="22" t="s">
        <v>86</v>
      </c>
      <c r="F1416" s="7" t="s">
        <v>36</v>
      </c>
      <c r="G1416" s="64" t="s">
        <v>2213</v>
      </c>
      <c r="H1416" s="72" t="s">
        <v>2214</v>
      </c>
      <c r="I1416" s="66">
        <v>0</v>
      </c>
      <c r="J1416" s="66">
        <v>8</v>
      </c>
      <c r="K1416" s="66">
        <v>1</v>
      </c>
      <c r="L1416" s="66">
        <v>0</v>
      </c>
      <c r="M1416" s="67">
        <v>0</v>
      </c>
      <c r="N1416" s="67">
        <v>0</v>
      </c>
      <c r="O1416" s="66">
        <v>0</v>
      </c>
      <c r="P1416" s="68">
        <v>0.01</v>
      </c>
      <c r="Q1416" s="35" t="s">
        <v>154</v>
      </c>
    </row>
    <row r="1417" spans="1:17" ht="48" x14ac:dyDescent="0.25">
      <c r="A1417" s="62">
        <v>38705</v>
      </c>
      <c r="B1417" s="62">
        <v>38705</v>
      </c>
      <c r="C1417" s="63">
        <v>2005</v>
      </c>
      <c r="D1417" s="351" t="s">
        <v>23</v>
      </c>
      <c r="E1417" s="22" t="s">
        <v>86</v>
      </c>
      <c r="F1417" s="25" t="s">
        <v>781</v>
      </c>
      <c r="G1417" s="64" t="s">
        <v>2215</v>
      </c>
      <c r="H1417" s="73" t="s">
        <v>2216</v>
      </c>
      <c r="I1417" s="66">
        <v>0</v>
      </c>
      <c r="J1417" s="66">
        <v>2070</v>
      </c>
      <c r="K1417" s="66">
        <v>414</v>
      </c>
      <c r="L1417" s="66">
        <v>0</v>
      </c>
      <c r="M1417" s="67">
        <v>0</v>
      </c>
      <c r="N1417" s="67">
        <v>0</v>
      </c>
      <c r="O1417" s="66">
        <v>0</v>
      </c>
      <c r="P1417" s="68">
        <v>1.67</v>
      </c>
      <c r="Q1417" s="35" t="s">
        <v>154</v>
      </c>
    </row>
    <row r="1418" spans="1:17" ht="24" x14ac:dyDescent="0.25">
      <c r="A1418" s="62">
        <v>38626</v>
      </c>
      <c r="B1418" s="62">
        <v>38717</v>
      </c>
      <c r="C1418" s="63">
        <v>2005</v>
      </c>
      <c r="D1418" s="351" t="s">
        <v>23</v>
      </c>
      <c r="E1418" s="22" t="s">
        <v>42</v>
      </c>
      <c r="F1418" s="7" t="s">
        <v>40</v>
      </c>
      <c r="G1418" s="77" t="s">
        <v>26</v>
      </c>
      <c r="H1418" s="77" t="s">
        <v>2217</v>
      </c>
      <c r="I1418" s="78">
        <v>27</v>
      </c>
      <c r="J1418" s="66">
        <v>27</v>
      </c>
      <c r="K1418" s="66">
        <v>0</v>
      </c>
      <c r="L1418" s="66">
        <v>0</v>
      </c>
      <c r="M1418" s="67">
        <v>0</v>
      </c>
      <c r="N1418" s="67">
        <v>0</v>
      </c>
      <c r="O1418" s="66">
        <v>0</v>
      </c>
      <c r="P1418" s="68">
        <v>0</v>
      </c>
      <c r="Q1418" s="35" t="s">
        <v>2218</v>
      </c>
    </row>
    <row r="1419" spans="1:17" ht="24" x14ac:dyDescent="0.25">
      <c r="A1419" s="62">
        <v>38626</v>
      </c>
      <c r="B1419" s="62">
        <v>38717</v>
      </c>
      <c r="C1419" s="63">
        <v>2005</v>
      </c>
      <c r="D1419" s="351" t="s">
        <v>23</v>
      </c>
      <c r="E1419" s="22" t="s">
        <v>42</v>
      </c>
      <c r="F1419" s="7" t="s">
        <v>87</v>
      </c>
      <c r="G1419" s="77" t="s">
        <v>26</v>
      </c>
      <c r="H1419" s="79" t="s">
        <v>2219</v>
      </c>
      <c r="I1419" s="78">
        <v>4</v>
      </c>
      <c r="J1419" s="66">
        <v>4</v>
      </c>
      <c r="K1419" s="66">
        <v>0</v>
      </c>
      <c r="L1419" s="66">
        <v>0</v>
      </c>
      <c r="M1419" s="67">
        <v>0</v>
      </c>
      <c r="N1419" s="67">
        <v>0</v>
      </c>
      <c r="O1419" s="66">
        <v>0</v>
      </c>
      <c r="P1419" s="68">
        <v>0</v>
      </c>
      <c r="Q1419" s="35" t="s">
        <v>2218</v>
      </c>
    </row>
    <row r="1420" spans="1:17" ht="24" x14ac:dyDescent="0.25">
      <c r="A1420" s="62">
        <v>38626</v>
      </c>
      <c r="B1420" s="62">
        <v>38717</v>
      </c>
      <c r="C1420" s="63">
        <v>2005</v>
      </c>
      <c r="D1420" s="351" t="s">
        <v>23</v>
      </c>
      <c r="E1420" s="22" t="s">
        <v>42</v>
      </c>
      <c r="F1420" s="7" t="s">
        <v>75</v>
      </c>
      <c r="G1420" s="77" t="s">
        <v>26</v>
      </c>
      <c r="H1420" s="79" t="s">
        <v>2220</v>
      </c>
      <c r="I1420" s="78">
        <v>3</v>
      </c>
      <c r="J1420" s="66">
        <v>3</v>
      </c>
      <c r="K1420" s="66">
        <v>0</v>
      </c>
      <c r="L1420" s="66">
        <v>0</v>
      </c>
      <c r="M1420" s="67">
        <v>0</v>
      </c>
      <c r="N1420" s="67">
        <v>0</v>
      </c>
      <c r="O1420" s="66">
        <v>0</v>
      </c>
      <c r="P1420" s="68">
        <v>0</v>
      </c>
      <c r="Q1420" s="35" t="s">
        <v>2218</v>
      </c>
    </row>
    <row r="1421" spans="1:17" ht="24" x14ac:dyDescent="0.25">
      <c r="A1421" s="62">
        <v>38626</v>
      </c>
      <c r="B1421" s="62">
        <v>38717</v>
      </c>
      <c r="C1421" s="63">
        <v>2005</v>
      </c>
      <c r="D1421" s="351" t="s">
        <v>23</v>
      </c>
      <c r="E1421" s="22" t="s">
        <v>42</v>
      </c>
      <c r="F1421" s="7" t="s">
        <v>45</v>
      </c>
      <c r="G1421" s="77" t="s">
        <v>26</v>
      </c>
      <c r="H1421" s="79" t="s">
        <v>2220</v>
      </c>
      <c r="I1421" s="80">
        <v>3</v>
      </c>
      <c r="J1421" s="81">
        <v>3</v>
      </c>
      <c r="K1421" s="66">
        <v>0</v>
      </c>
      <c r="L1421" s="66">
        <v>0</v>
      </c>
      <c r="M1421" s="67">
        <v>0</v>
      </c>
      <c r="N1421" s="67">
        <v>0</v>
      </c>
      <c r="O1421" s="66">
        <v>0</v>
      </c>
      <c r="P1421" s="68">
        <v>0</v>
      </c>
      <c r="Q1421" s="35" t="s">
        <v>2218</v>
      </c>
    </row>
    <row r="1422" spans="1:17" ht="24" x14ac:dyDescent="0.25">
      <c r="A1422" s="62">
        <v>38626</v>
      </c>
      <c r="B1422" s="62">
        <v>38717</v>
      </c>
      <c r="C1422" s="63">
        <v>2005</v>
      </c>
      <c r="D1422" s="351" t="s">
        <v>23</v>
      </c>
      <c r="E1422" s="22" t="s">
        <v>42</v>
      </c>
      <c r="F1422" s="28" t="s">
        <v>160</v>
      </c>
      <c r="G1422" s="77" t="s">
        <v>26</v>
      </c>
      <c r="H1422" s="79" t="s">
        <v>2221</v>
      </c>
      <c r="I1422" s="80">
        <v>2</v>
      </c>
      <c r="J1422" s="81">
        <v>2</v>
      </c>
      <c r="K1422" s="66">
        <v>0</v>
      </c>
      <c r="L1422" s="66">
        <v>0</v>
      </c>
      <c r="M1422" s="67">
        <v>0</v>
      </c>
      <c r="N1422" s="67">
        <v>0</v>
      </c>
      <c r="O1422" s="66">
        <v>0</v>
      </c>
      <c r="P1422" s="68">
        <v>0</v>
      </c>
      <c r="Q1422" s="35" t="s">
        <v>2218</v>
      </c>
    </row>
    <row r="1423" spans="1:17" ht="24" x14ac:dyDescent="0.25">
      <c r="A1423" s="62">
        <v>38626</v>
      </c>
      <c r="B1423" s="62">
        <v>38717</v>
      </c>
      <c r="C1423" s="63">
        <v>2005</v>
      </c>
      <c r="D1423" s="351" t="s">
        <v>23</v>
      </c>
      <c r="E1423" s="22" t="s">
        <v>42</v>
      </c>
      <c r="F1423" s="7" t="s">
        <v>97</v>
      </c>
      <c r="G1423" s="77" t="s">
        <v>26</v>
      </c>
      <c r="H1423" s="79" t="s">
        <v>2220</v>
      </c>
      <c r="I1423" s="78">
        <v>3</v>
      </c>
      <c r="J1423" s="66">
        <v>3</v>
      </c>
      <c r="K1423" s="66">
        <v>0</v>
      </c>
      <c r="L1423" s="66">
        <v>0</v>
      </c>
      <c r="M1423" s="67">
        <v>0</v>
      </c>
      <c r="N1423" s="67">
        <v>0</v>
      </c>
      <c r="O1423" s="66">
        <v>0</v>
      </c>
      <c r="P1423" s="68">
        <v>0</v>
      </c>
      <c r="Q1423" s="35" t="s">
        <v>2218</v>
      </c>
    </row>
    <row r="1424" spans="1:17" ht="24" x14ac:dyDescent="0.25">
      <c r="A1424" s="62">
        <v>38626</v>
      </c>
      <c r="B1424" s="62">
        <v>38717</v>
      </c>
      <c r="C1424" s="63">
        <v>2005</v>
      </c>
      <c r="D1424" s="351" t="s">
        <v>23</v>
      </c>
      <c r="E1424" s="22" t="s">
        <v>42</v>
      </c>
      <c r="F1424" s="7" t="s">
        <v>77</v>
      </c>
      <c r="G1424" s="77" t="s">
        <v>26</v>
      </c>
      <c r="H1424" s="79" t="s">
        <v>2221</v>
      </c>
      <c r="I1424" s="78">
        <v>2</v>
      </c>
      <c r="J1424" s="66">
        <v>2</v>
      </c>
      <c r="K1424" s="66">
        <v>0</v>
      </c>
      <c r="L1424" s="66">
        <v>0</v>
      </c>
      <c r="M1424" s="67">
        <v>0</v>
      </c>
      <c r="N1424" s="67">
        <v>0</v>
      </c>
      <c r="O1424" s="66">
        <v>0</v>
      </c>
      <c r="P1424" s="68">
        <v>0</v>
      </c>
      <c r="Q1424" s="35" t="s">
        <v>2218</v>
      </c>
    </row>
    <row r="1425" spans="1:17" ht="24" x14ac:dyDescent="0.25">
      <c r="A1425" s="62">
        <v>38626</v>
      </c>
      <c r="B1425" s="62">
        <v>38717</v>
      </c>
      <c r="C1425" s="63">
        <v>2005</v>
      </c>
      <c r="D1425" s="351" t="s">
        <v>23</v>
      </c>
      <c r="E1425" s="22" t="s">
        <v>42</v>
      </c>
      <c r="F1425" s="7" t="s">
        <v>30</v>
      </c>
      <c r="G1425" s="77" t="s">
        <v>26</v>
      </c>
      <c r="H1425" s="79" t="s">
        <v>2222</v>
      </c>
      <c r="I1425" s="78">
        <v>1</v>
      </c>
      <c r="J1425" s="66">
        <v>1</v>
      </c>
      <c r="K1425" s="66">
        <v>0</v>
      </c>
      <c r="L1425" s="66">
        <v>0</v>
      </c>
      <c r="M1425" s="67">
        <v>0</v>
      </c>
      <c r="N1425" s="67">
        <v>0</v>
      </c>
      <c r="O1425" s="66">
        <v>0</v>
      </c>
      <c r="P1425" s="68">
        <v>0</v>
      </c>
      <c r="Q1425" s="35" t="s">
        <v>2218</v>
      </c>
    </row>
    <row r="1426" spans="1:17" ht="72" x14ac:dyDescent="0.25">
      <c r="A1426" s="62">
        <v>38370</v>
      </c>
      <c r="B1426" s="62">
        <v>38370</v>
      </c>
      <c r="C1426" s="63">
        <v>2005</v>
      </c>
      <c r="D1426" s="351" t="s">
        <v>23</v>
      </c>
      <c r="E1426" s="82" t="s">
        <v>2223</v>
      </c>
      <c r="F1426" s="7" t="s">
        <v>53</v>
      </c>
      <c r="G1426" s="83" t="s">
        <v>2224</v>
      </c>
      <c r="H1426" s="83" t="s">
        <v>2225</v>
      </c>
      <c r="I1426" s="78">
        <v>0</v>
      </c>
      <c r="J1426" s="66">
        <v>15</v>
      </c>
      <c r="K1426" s="66">
        <v>20</v>
      </c>
      <c r="L1426" s="66">
        <v>0</v>
      </c>
      <c r="M1426" s="67">
        <v>0</v>
      </c>
      <c r="N1426" s="67">
        <v>0</v>
      </c>
      <c r="O1426" s="66">
        <v>0</v>
      </c>
      <c r="P1426" s="68">
        <v>8.1000000000000003E-2</v>
      </c>
      <c r="Q1426" s="35" t="s">
        <v>154</v>
      </c>
    </row>
    <row r="1427" spans="1:17" ht="60" x14ac:dyDescent="0.25">
      <c r="A1427" s="62">
        <v>38468</v>
      </c>
      <c r="B1427" s="62">
        <v>38468</v>
      </c>
      <c r="C1427" s="63">
        <v>2005</v>
      </c>
      <c r="D1427" s="351" t="s">
        <v>23</v>
      </c>
      <c r="E1427" s="82" t="s">
        <v>2070</v>
      </c>
      <c r="F1427" s="28" t="s">
        <v>163</v>
      </c>
      <c r="G1427" s="83" t="s">
        <v>2226</v>
      </c>
      <c r="H1427" s="83" t="s">
        <v>2227</v>
      </c>
      <c r="I1427" s="78">
        <v>0</v>
      </c>
      <c r="J1427" s="66">
        <v>820</v>
      </c>
      <c r="K1427" s="66">
        <v>164</v>
      </c>
      <c r="L1427" s="66">
        <v>0</v>
      </c>
      <c r="M1427" s="67">
        <v>0</v>
      </c>
      <c r="N1427" s="67">
        <v>0</v>
      </c>
      <c r="O1427" s="66">
        <v>0</v>
      </c>
      <c r="P1427" s="68">
        <v>0.68500000000000005</v>
      </c>
      <c r="Q1427" s="35" t="s">
        <v>154</v>
      </c>
    </row>
    <row r="1428" spans="1:17" ht="60" x14ac:dyDescent="0.25">
      <c r="A1428" s="62">
        <v>38476</v>
      </c>
      <c r="B1428" s="62">
        <v>38476</v>
      </c>
      <c r="C1428" s="63">
        <v>2005</v>
      </c>
      <c r="D1428" s="351" t="s">
        <v>23</v>
      </c>
      <c r="E1428" s="82" t="s">
        <v>2228</v>
      </c>
      <c r="F1428" s="7" t="s">
        <v>36</v>
      </c>
      <c r="G1428" s="83" t="s">
        <v>2057</v>
      </c>
      <c r="H1428" s="83" t="s">
        <v>2229</v>
      </c>
      <c r="I1428" s="78">
        <v>1</v>
      </c>
      <c r="J1428" s="66">
        <v>41</v>
      </c>
      <c r="K1428" s="66">
        <v>12</v>
      </c>
      <c r="L1428" s="66">
        <v>0</v>
      </c>
      <c r="M1428" s="67">
        <v>0</v>
      </c>
      <c r="N1428" s="67">
        <v>0</v>
      </c>
      <c r="O1428" s="66">
        <v>0</v>
      </c>
      <c r="P1428" s="68">
        <v>0.49</v>
      </c>
      <c r="Q1428" s="35" t="s">
        <v>154</v>
      </c>
    </row>
    <row r="1429" spans="1:17" ht="72" x14ac:dyDescent="0.25">
      <c r="A1429" s="62">
        <v>38476</v>
      </c>
      <c r="B1429" s="62">
        <v>38476</v>
      </c>
      <c r="C1429" s="63">
        <v>2005</v>
      </c>
      <c r="D1429" s="351" t="s">
        <v>23</v>
      </c>
      <c r="E1429" s="82" t="s">
        <v>2070</v>
      </c>
      <c r="F1429" s="7" t="s">
        <v>72</v>
      </c>
      <c r="G1429" s="83" t="s">
        <v>2230</v>
      </c>
      <c r="H1429" s="83" t="s">
        <v>2231</v>
      </c>
      <c r="I1429" s="78">
        <v>8</v>
      </c>
      <c r="J1429" s="66">
        <v>5000</v>
      </c>
      <c r="K1429" s="66">
        <v>800</v>
      </c>
      <c r="L1429" s="66">
        <v>83</v>
      </c>
      <c r="M1429" s="67">
        <v>0</v>
      </c>
      <c r="N1429" s="67">
        <v>5</v>
      </c>
      <c r="O1429" s="66">
        <v>331.75</v>
      </c>
      <c r="P1429" s="68">
        <v>35.436</v>
      </c>
      <c r="Q1429" s="35" t="s">
        <v>154</v>
      </c>
    </row>
    <row r="1430" spans="1:17" ht="36" x14ac:dyDescent="0.25">
      <c r="A1430" s="62">
        <v>38681</v>
      </c>
      <c r="B1430" s="62">
        <v>38681</v>
      </c>
      <c r="C1430" s="63">
        <v>2005</v>
      </c>
      <c r="D1430" s="351" t="s">
        <v>23</v>
      </c>
      <c r="E1430" s="82" t="s">
        <v>86</v>
      </c>
      <c r="F1430" s="28" t="s">
        <v>157</v>
      </c>
      <c r="G1430" s="83" t="s">
        <v>1029</v>
      </c>
      <c r="H1430" s="83" t="s">
        <v>2232</v>
      </c>
      <c r="I1430" s="78">
        <v>0</v>
      </c>
      <c r="J1430" s="66">
        <v>10</v>
      </c>
      <c r="K1430" s="66">
        <v>0</v>
      </c>
      <c r="L1430" s="66">
        <v>0</v>
      </c>
      <c r="M1430" s="67">
        <v>0</v>
      </c>
      <c r="N1430" s="67">
        <v>0</v>
      </c>
      <c r="O1430" s="66">
        <v>0</v>
      </c>
      <c r="P1430" s="68">
        <v>0</v>
      </c>
      <c r="Q1430" s="35" t="s">
        <v>154</v>
      </c>
    </row>
    <row r="1431" spans="1:17" x14ac:dyDescent="0.25">
      <c r="A1431" s="3">
        <v>38353</v>
      </c>
      <c r="B1431" s="3">
        <v>38717</v>
      </c>
      <c r="C1431" s="63">
        <v>2005</v>
      </c>
      <c r="D1431" s="351" t="s">
        <v>23</v>
      </c>
      <c r="E1431" s="14" t="s">
        <v>24</v>
      </c>
      <c r="F1431" s="28" t="s">
        <v>151</v>
      </c>
      <c r="G1431" s="84" t="s">
        <v>2109</v>
      </c>
      <c r="H1431" s="85" t="s">
        <v>2233</v>
      </c>
      <c r="I1431" s="13">
        <v>0</v>
      </c>
      <c r="J1431" s="86">
        <v>11149</v>
      </c>
      <c r="K1431" s="11">
        <v>0</v>
      </c>
      <c r="L1431" s="11">
        <v>0</v>
      </c>
      <c r="M1431" s="67">
        <v>0</v>
      </c>
      <c r="N1431" s="31">
        <v>0</v>
      </c>
      <c r="O1431" s="67">
        <v>9905</v>
      </c>
      <c r="P1431" s="87">
        <v>7.4</v>
      </c>
      <c r="Q1431" s="35" t="s">
        <v>154</v>
      </c>
    </row>
    <row r="1432" spans="1:17" x14ac:dyDescent="0.25">
      <c r="A1432" s="3">
        <v>38353</v>
      </c>
      <c r="B1432" s="3">
        <v>38717</v>
      </c>
      <c r="C1432" s="63">
        <v>2005</v>
      </c>
      <c r="D1432" s="351" t="s">
        <v>23</v>
      </c>
      <c r="E1432" s="14" t="s">
        <v>24</v>
      </c>
      <c r="F1432" s="7" t="s">
        <v>36</v>
      </c>
      <c r="G1432" s="84" t="s">
        <v>2109</v>
      </c>
      <c r="H1432" s="85" t="s">
        <v>2233</v>
      </c>
      <c r="I1432" s="13">
        <v>0</v>
      </c>
      <c r="J1432" s="86">
        <v>11149</v>
      </c>
      <c r="K1432" s="11">
        <v>0</v>
      </c>
      <c r="L1432" s="11">
        <v>0</v>
      </c>
      <c r="M1432" s="67">
        <v>0</v>
      </c>
      <c r="N1432" s="31">
        <v>0</v>
      </c>
      <c r="O1432" s="67">
        <v>66094.5</v>
      </c>
      <c r="P1432" s="87">
        <v>34.6</v>
      </c>
      <c r="Q1432" s="35" t="s">
        <v>154</v>
      </c>
    </row>
    <row r="1433" spans="1:17" x14ac:dyDescent="0.25">
      <c r="A1433" s="3">
        <v>38353</v>
      </c>
      <c r="B1433" s="3">
        <v>38717</v>
      </c>
      <c r="C1433" s="63">
        <v>2005</v>
      </c>
      <c r="D1433" s="351" t="s">
        <v>23</v>
      </c>
      <c r="E1433" s="14" t="s">
        <v>24</v>
      </c>
      <c r="F1433" s="7" t="s">
        <v>40</v>
      </c>
      <c r="G1433" s="84" t="s">
        <v>2109</v>
      </c>
      <c r="H1433" s="85" t="s">
        <v>2233</v>
      </c>
      <c r="I1433" s="13">
        <v>0</v>
      </c>
      <c r="J1433" s="86">
        <v>11149</v>
      </c>
      <c r="K1433" s="11">
        <v>0</v>
      </c>
      <c r="L1433" s="11">
        <v>0</v>
      </c>
      <c r="M1433" s="67">
        <v>0</v>
      </c>
      <c r="N1433" s="31">
        <v>0</v>
      </c>
      <c r="O1433" s="67">
        <v>56252.1</v>
      </c>
      <c r="P1433" s="87">
        <v>45</v>
      </c>
      <c r="Q1433" s="35" t="s">
        <v>154</v>
      </c>
    </row>
    <row r="1434" spans="1:17" x14ac:dyDescent="0.25">
      <c r="A1434" s="3">
        <v>38353</v>
      </c>
      <c r="B1434" s="3">
        <v>38717</v>
      </c>
      <c r="C1434" s="63">
        <v>2005</v>
      </c>
      <c r="D1434" s="351" t="s">
        <v>23</v>
      </c>
      <c r="E1434" s="14" t="s">
        <v>24</v>
      </c>
      <c r="F1434" s="7" t="s">
        <v>49</v>
      </c>
      <c r="G1434" s="84" t="s">
        <v>2109</v>
      </c>
      <c r="H1434" s="85" t="s">
        <v>2233</v>
      </c>
      <c r="I1434" s="13">
        <v>0</v>
      </c>
      <c r="J1434" s="86">
        <v>11149</v>
      </c>
      <c r="K1434" s="11">
        <v>0</v>
      </c>
      <c r="L1434" s="11">
        <v>0</v>
      </c>
      <c r="M1434" s="67">
        <v>0</v>
      </c>
      <c r="N1434" s="31">
        <v>0</v>
      </c>
      <c r="O1434" s="67">
        <v>180000</v>
      </c>
      <c r="P1434" s="87">
        <v>80</v>
      </c>
      <c r="Q1434" s="35" t="s">
        <v>154</v>
      </c>
    </row>
    <row r="1435" spans="1:17" x14ac:dyDescent="0.25">
      <c r="A1435" s="3">
        <v>38353</v>
      </c>
      <c r="B1435" s="3">
        <v>38717</v>
      </c>
      <c r="C1435" s="63">
        <v>2005</v>
      </c>
      <c r="D1435" s="351" t="s">
        <v>23</v>
      </c>
      <c r="E1435" s="14" t="s">
        <v>24</v>
      </c>
      <c r="F1435" s="7" t="s">
        <v>58</v>
      </c>
      <c r="G1435" s="84" t="s">
        <v>2109</v>
      </c>
      <c r="H1435" s="85" t="s">
        <v>2233</v>
      </c>
      <c r="I1435" s="13">
        <v>0</v>
      </c>
      <c r="J1435" s="86">
        <v>11149</v>
      </c>
      <c r="K1435" s="11">
        <v>0</v>
      </c>
      <c r="L1435" s="11">
        <v>0</v>
      </c>
      <c r="M1435" s="67">
        <v>0</v>
      </c>
      <c r="N1435" s="31">
        <v>0</v>
      </c>
      <c r="O1435" s="67">
        <v>2634</v>
      </c>
      <c r="P1435" s="87">
        <v>2</v>
      </c>
      <c r="Q1435" s="35" t="s">
        <v>154</v>
      </c>
    </row>
    <row r="1436" spans="1:17" x14ac:dyDescent="0.25">
      <c r="A1436" s="3">
        <v>38353</v>
      </c>
      <c r="B1436" s="3">
        <v>38717</v>
      </c>
      <c r="C1436" s="63">
        <v>2005</v>
      </c>
      <c r="D1436" s="351" t="s">
        <v>23</v>
      </c>
      <c r="E1436" s="14" t="s">
        <v>24</v>
      </c>
      <c r="F1436" s="28" t="s">
        <v>160</v>
      </c>
      <c r="G1436" s="84" t="s">
        <v>2109</v>
      </c>
      <c r="H1436" s="85" t="s">
        <v>2233</v>
      </c>
      <c r="I1436" s="13">
        <v>0</v>
      </c>
      <c r="J1436" s="86">
        <v>11149</v>
      </c>
      <c r="K1436" s="11">
        <v>0</v>
      </c>
      <c r="L1436" s="11">
        <v>0</v>
      </c>
      <c r="M1436" s="67">
        <v>0</v>
      </c>
      <c r="N1436" s="31">
        <v>0</v>
      </c>
      <c r="O1436" s="67">
        <v>625</v>
      </c>
      <c r="P1436" s="87">
        <v>0.5</v>
      </c>
      <c r="Q1436" s="35" t="s">
        <v>154</v>
      </c>
    </row>
    <row r="1437" spans="1:17" x14ac:dyDescent="0.25">
      <c r="A1437" s="3">
        <v>38353</v>
      </c>
      <c r="B1437" s="3">
        <v>38717</v>
      </c>
      <c r="C1437" s="63">
        <v>2005</v>
      </c>
      <c r="D1437" s="351" t="s">
        <v>23</v>
      </c>
      <c r="E1437" s="14" t="s">
        <v>24</v>
      </c>
      <c r="F1437" s="7" t="s">
        <v>53</v>
      </c>
      <c r="G1437" s="84" t="s">
        <v>2109</v>
      </c>
      <c r="H1437" s="85" t="s">
        <v>2233</v>
      </c>
      <c r="I1437" s="13">
        <v>0</v>
      </c>
      <c r="J1437" s="86">
        <v>11149</v>
      </c>
      <c r="K1437" s="11">
        <v>0</v>
      </c>
      <c r="L1437" s="11">
        <v>0</v>
      </c>
      <c r="M1437" s="67">
        <v>0</v>
      </c>
      <c r="N1437" s="31">
        <v>0</v>
      </c>
      <c r="O1437" s="67">
        <v>35277.1</v>
      </c>
      <c r="P1437" s="87">
        <v>28.2</v>
      </c>
      <c r="Q1437" s="45" t="s">
        <v>2234</v>
      </c>
    </row>
    <row r="1438" spans="1:17" x14ac:dyDescent="0.25">
      <c r="A1438" s="3">
        <v>38353</v>
      </c>
      <c r="B1438" s="3">
        <v>38717</v>
      </c>
      <c r="C1438" s="63">
        <v>2005</v>
      </c>
      <c r="D1438" s="351" t="s">
        <v>23</v>
      </c>
      <c r="E1438" s="14" t="s">
        <v>24</v>
      </c>
      <c r="F1438" s="7" t="s">
        <v>62</v>
      </c>
      <c r="G1438" s="84" t="s">
        <v>2109</v>
      </c>
      <c r="H1438" s="85" t="s">
        <v>2233</v>
      </c>
      <c r="I1438" s="13">
        <v>0</v>
      </c>
      <c r="J1438" s="86">
        <v>11149</v>
      </c>
      <c r="K1438" s="11">
        <v>0</v>
      </c>
      <c r="L1438" s="11">
        <v>0</v>
      </c>
      <c r="M1438" s="67">
        <v>0</v>
      </c>
      <c r="N1438" s="31">
        <v>0</v>
      </c>
      <c r="O1438" s="67">
        <v>14723.1</v>
      </c>
      <c r="P1438" s="87">
        <v>13.3</v>
      </c>
      <c r="Q1438" s="45" t="s">
        <v>2234</v>
      </c>
    </row>
    <row r="1439" spans="1:17" x14ac:dyDescent="0.25">
      <c r="A1439" s="3">
        <v>38353</v>
      </c>
      <c r="B1439" s="3">
        <v>38717</v>
      </c>
      <c r="C1439" s="63">
        <v>2005</v>
      </c>
      <c r="D1439" s="351" t="s">
        <v>23</v>
      </c>
      <c r="E1439" s="14" t="s">
        <v>24</v>
      </c>
      <c r="F1439" s="7" t="s">
        <v>67</v>
      </c>
      <c r="G1439" s="84" t="s">
        <v>2109</v>
      </c>
      <c r="H1439" s="85" t="s">
        <v>2233</v>
      </c>
      <c r="I1439" s="13">
        <v>0</v>
      </c>
      <c r="J1439" s="86">
        <v>11149</v>
      </c>
      <c r="K1439" s="11">
        <v>0</v>
      </c>
      <c r="L1439" s="11">
        <v>0</v>
      </c>
      <c r="M1439" s="67">
        <v>0</v>
      </c>
      <c r="N1439" s="31">
        <v>0</v>
      </c>
      <c r="O1439" s="67">
        <v>5490.8</v>
      </c>
      <c r="P1439" s="87">
        <v>4.4000000000000004</v>
      </c>
      <c r="Q1439" s="45" t="s">
        <v>2234</v>
      </c>
    </row>
    <row r="1440" spans="1:17" x14ac:dyDescent="0.25">
      <c r="A1440" s="3">
        <v>38353</v>
      </c>
      <c r="B1440" s="3">
        <v>38717</v>
      </c>
      <c r="C1440" s="63">
        <v>2005</v>
      </c>
      <c r="D1440" s="351" t="s">
        <v>23</v>
      </c>
      <c r="E1440" s="14" t="s">
        <v>24</v>
      </c>
      <c r="F1440" s="7" t="s">
        <v>72</v>
      </c>
      <c r="G1440" s="84" t="s">
        <v>2109</v>
      </c>
      <c r="H1440" s="85" t="s">
        <v>2233</v>
      </c>
      <c r="I1440" s="13">
        <v>0</v>
      </c>
      <c r="J1440" s="86">
        <v>11149</v>
      </c>
      <c r="K1440" s="11">
        <v>0</v>
      </c>
      <c r="L1440" s="11">
        <v>0</v>
      </c>
      <c r="M1440" s="67">
        <v>0</v>
      </c>
      <c r="N1440" s="31">
        <v>0</v>
      </c>
      <c r="O1440" s="67">
        <v>53818</v>
      </c>
      <c r="P1440" s="87">
        <v>24.6</v>
      </c>
      <c r="Q1440" s="45" t="s">
        <v>2234</v>
      </c>
    </row>
    <row r="1441" spans="1:17" x14ac:dyDescent="0.25">
      <c r="A1441" s="3">
        <v>38353</v>
      </c>
      <c r="B1441" s="3">
        <v>38717</v>
      </c>
      <c r="C1441" s="63">
        <v>2005</v>
      </c>
      <c r="D1441" s="351" t="s">
        <v>23</v>
      </c>
      <c r="E1441" s="14" t="s">
        <v>24</v>
      </c>
      <c r="F1441" s="7" t="s">
        <v>75</v>
      </c>
      <c r="G1441" s="84" t="s">
        <v>2109</v>
      </c>
      <c r="H1441" s="85" t="s">
        <v>2233</v>
      </c>
      <c r="I1441" s="13">
        <v>0</v>
      </c>
      <c r="J1441" s="86">
        <v>11149</v>
      </c>
      <c r="K1441" s="11">
        <v>0</v>
      </c>
      <c r="L1441" s="11">
        <v>0</v>
      </c>
      <c r="M1441" s="67">
        <v>0</v>
      </c>
      <c r="N1441" s="31">
        <v>0</v>
      </c>
      <c r="O1441" s="67">
        <v>61309.3</v>
      </c>
      <c r="P1441" s="87">
        <v>65.900000000000006</v>
      </c>
      <c r="Q1441" s="45" t="s">
        <v>2234</v>
      </c>
    </row>
    <row r="1442" spans="1:17" x14ac:dyDescent="0.25">
      <c r="A1442" s="3">
        <v>38353</v>
      </c>
      <c r="B1442" s="3">
        <v>38717</v>
      </c>
      <c r="C1442" s="63">
        <v>2005</v>
      </c>
      <c r="D1442" s="351" t="s">
        <v>23</v>
      </c>
      <c r="E1442" s="14" t="s">
        <v>24</v>
      </c>
      <c r="F1442" s="25" t="s">
        <v>781</v>
      </c>
      <c r="G1442" s="84" t="s">
        <v>2109</v>
      </c>
      <c r="H1442" s="85" t="s">
        <v>2233</v>
      </c>
      <c r="I1442" s="13">
        <v>0</v>
      </c>
      <c r="J1442" s="86">
        <v>11149</v>
      </c>
      <c r="K1442" s="11">
        <v>0</v>
      </c>
      <c r="L1442" s="11">
        <v>0</v>
      </c>
      <c r="M1442" s="67">
        <v>0</v>
      </c>
      <c r="N1442" s="31">
        <v>0</v>
      </c>
      <c r="O1442" s="67">
        <v>6037.8</v>
      </c>
      <c r="P1442" s="87">
        <v>30.3</v>
      </c>
      <c r="Q1442" s="45" t="s">
        <v>2234</v>
      </c>
    </row>
    <row r="1443" spans="1:17" x14ac:dyDescent="0.25">
      <c r="A1443" s="3">
        <v>38353</v>
      </c>
      <c r="B1443" s="3">
        <v>38717</v>
      </c>
      <c r="C1443" s="63">
        <v>2005</v>
      </c>
      <c r="D1443" s="351" t="s">
        <v>23</v>
      </c>
      <c r="E1443" s="14" t="s">
        <v>24</v>
      </c>
      <c r="F1443" s="7" t="s">
        <v>97</v>
      </c>
      <c r="G1443" s="84" t="s">
        <v>2109</v>
      </c>
      <c r="H1443" s="85" t="s">
        <v>2233</v>
      </c>
      <c r="I1443" s="13">
        <v>0</v>
      </c>
      <c r="J1443" s="86">
        <v>11149</v>
      </c>
      <c r="K1443" s="11">
        <v>0</v>
      </c>
      <c r="L1443" s="11">
        <v>0</v>
      </c>
      <c r="M1443" s="67">
        <v>0</v>
      </c>
      <c r="N1443" s="31">
        <v>0</v>
      </c>
      <c r="O1443" s="67">
        <v>25336</v>
      </c>
      <c r="P1443" s="87">
        <v>30.9</v>
      </c>
      <c r="Q1443" s="45" t="s">
        <v>2234</v>
      </c>
    </row>
    <row r="1444" spans="1:17" x14ac:dyDescent="0.25">
      <c r="A1444" s="3">
        <v>38353</v>
      </c>
      <c r="B1444" s="3">
        <v>38717</v>
      </c>
      <c r="C1444" s="63">
        <v>2005</v>
      </c>
      <c r="D1444" s="351" t="s">
        <v>23</v>
      </c>
      <c r="E1444" s="14" t="s">
        <v>24</v>
      </c>
      <c r="F1444" s="28" t="s">
        <v>210</v>
      </c>
      <c r="G1444" s="84" t="s">
        <v>2109</v>
      </c>
      <c r="H1444" s="85" t="s">
        <v>2233</v>
      </c>
      <c r="I1444" s="13">
        <v>0</v>
      </c>
      <c r="J1444" s="86">
        <v>11149</v>
      </c>
      <c r="K1444" s="11">
        <v>0</v>
      </c>
      <c r="L1444" s="11">
        <v>0</v>
      </c>
      <c r="M1444" s="67">
        <v>0</v>
      </c>
      <c r="N1444" s="31">
        <v>0</v>
      </c>
      <c r="O1444" s="67">
        <v>1436.5</v>
      </c>
      <c r="P1444" s="87">
        <v>1.1000000000000001</v>
      </c>
      <c r="Q1444" s="45" t="s">
        <v>2234</v>
      </c>
    </row>
    <row r="1445" spans="1:17" x14ac:dyDescent="0.25">
      <c r="A1445" s="3">
        <v>38353</v>
      </c>
      <c r="B1445" s="3">
        <v>38717</v>
      </c>
      <c r="C1445" s="63">
        <v>2005</v>
      </c>
      <c r="D1445" s="351" t="s">
        <v>23</v>
      </c>
      <c r="E1445" s="14" t="s">
        <v>24</v>
      </c>
      <c r="F1445" s="7" t="s">
        <v>101</v>
      </c>
      <c r="G1445" s="84" t="s">
        <v>2109</v>
      </c>
      <c r="H1445" s="85" t="s">
        <v>2233</v>
      </c>
      <c r="I1445" s="13">
        <v>0</v>
      </c>
      <c r="J1445" s="86">
        <v>11149</v>
      </c>
      <c r="K1445" s="11">
        <v>0</v>
      </c>
      <c r="L1445" s="11">
        <v>0</v>
      </c>
      <c r="M1445" s="67">
        <v>0</v>
      </c>
      <c r="N1445" s="31">
        <v>0</v>
      </c>
      <c r="O1445" s="67">
        <v>150000</v>
      </c>
      <c r="P1445" s="87">
        <v>410.4</v>
      </c>
      <c r="Q1445" s="45" t="s">
        <v>2234</v>
      </c>
    </row>
    <row r="1446" spans="1:17" ht="48" x14ac:dyDescent="0.25">
      <c r="A1446" s="88">
        <v>38416</v>
      </c>
      <c r="B1446" s="88">
        <v>38416</v>
      </c>
      <c r="C1446" s="63">
        <v>2005</v>
      </c>
      <c r="D1446" s="35" t="s">
        <v>17</v>
      </c>
      <c r="E1446" s="6" t="s">
        <v>328</v>
      </c>
      <c r="F1446" s="7" t="s">
        <v>30</v>
      </c>
      <c r="G1446" s="72" t="s">
        <v>1078</v>
      </c>
      <c r="H1446" s="72" t="s">
        <v>2235</v>
      </c>
      <c r="I1446" s="89">
        <v>1</v>
      </c>
      <c r="J1446" s="90">
        <v>67</v>
      </c>
      <c r="K1446" s="90">
        <v>0</v>
      </c>
      <c r="L1446" s="90">
        <v>0</v>
      </c>
      <c r="M1446" s="67">
        <v>0</v>
      </c>
      <c r="N1446" s="31">
        <v>0</v>
      </c>
      <c r="O1446" s="90">
        <v>0</v>
      </c>
      <c r="P1446" s="91">
        <v>0.254</v>
      </c>
      <c r="Q1446" s="35" t="s">
        <v>154</v>
      </c>
    </row>
    <row r="1447" spans="1:17" ht="48" x14ac:dyDescent="0.25">
      <c r="A1447" s="88">
        <v>38514</v>
      </c>
      <c r="B1447" s="88">
        <v>38514</v>
      </c>
      <c r="C1447" s="63">
        <v>2005</v>
      </c>
      <c r="D1447" s="35" t="s">
        <v>17</v>
      </c>
      <c r="E1447" s="6" t="s">
        <v>328</v>
      </c>
      <c r="F1447" s="7" t="s">
        <v>75</v>
      </c>
      <c r="G1447" s="72" t="s">
        <v>2074</v>
      </c>
      <c r="H1447" s="72" t="s">
        <v>2236</v>
      </c>
      <c r="I1447" s="89">
        <v>0</v>
      </c>
      <c r="J1447" s="90">
        <v>74</v>
      </c>
      <c r="K1447" s="90">
        <v>17</v>
      </c>
      <c r="L1447" s="90">
        <v>0</v>
      </c>
      <c r="M1447" s="67">
        <v>0</v>
      </c>
      <c r="N1447" s="31">
        <v>0</v>
      </c>
      <c r="O1447" s="90">
        <v>0</v>
      </c>
      <c r="P1447" s="91">
        <v>0.17199999999999999</v>
      </c>
      <c r="Q1447" s="35" t="s">
        <v>154</v>
      </c>
    </row>
    <row r="1448" spans="1:17" ht="36" x14ac:dyDescent="0.25">
      <c r="A1448" s="88">
        <v>38547</v>
      </c>
      <c r="B1448" s="88">
        <v>38547</v>
      </c>
      <c r="C1448" s="63">
        <v>2005</v>
      </c>
      <c r="D1448" s="35" t="s">
        <v>17</v>
      </c>
      <c r="E1448" s="6" t="s">
        <v>328</v>
      </c>
      <c r="F1448" s="28" t="s">
        <v>157</v>
      </c>
      <c r="G1448" s="72" t="s">
        <v>1832</v>
      </c>
      <c r="H1448" s="72" t="s">
        <v>2237</v>
      </c>
      <c r="I1448" s="89">
        <v>1</v>
      </c>
      <c r="J1448" s="90">
        <v>1</v>
      </c>
      <c r="K1448" s="90">
        <v>0</v>
      </c>
      <c r="L1448" s="90">
        <v>0</v>
      </c>
      <c r="M1448" s="67">
        <v>0</v>
      </c>
      <c r="N1448" s="31">
        <v>0</v>
      </c>
      <c r="O1448" s="90">
        <v>0</v>
      </c>
      <c r="P1448" s="91">
        <v>0</v>
      </c>
      <c r="Q1448" s="35" t="s">
        <v>154</v>
      </c>
    </row>
    <row r="1449" spans="1:17" ht="36" x14ac:dyDescent="0.25">
      <c r="A1449" s="88">
        <v>38552</v>
      </c>
      <c r="B1449" s="88">
        <v>38552</v>
      </c>
      <c r="C1449" s="63">
        <v>2005</v>
      </c>
      <c r="D1449" s="35" t="s">
        <v>17</v>
      </c>
      <c r="E1449" s="6" t="s">
        <v>328</v>
      </c>
      <c r="F1449" s="7" t="s">
        <v>58</v>
      </c>
      <c r="G1449" s="72" t="s">
        <v>2238</v>
      </c>
      <c r="H1449" s="72" t="s">
        <v>2239</v>
      </c>
      <c r="I1449" s="89">
        <v>1</v>
      </c>
      <c r="J1449" s="90">
        <v>1</v>
      </c>
      <c r="K1449" s="90">
        <v>0</v>
      </c>
      <c r="L1449" s="90">
        <v>0</v>
      </c>
      <c r="M1449" s="67">
        <v>0</v>
      </c>
      <c r="N1449" s="31">
        <v>0</v>
      </c>
      <c r="O1449" s="90">
        <v>0</v>
      </c>
      <c r="P1449" s="91">
        <v>0</v>
      </c>
      <c r="Q1449" s="35" t="s">
        <v>154</v>
      </c>
    </row>
    <row r="1450" spans="1:17" ht="48" x14ac:dyDescent="0.25">
      <c r="A1450" s="88">
        <v>38554</v>
      </c>
      <c r="B1450" s="88">
        <v>38554</v>
      </c>
      <c r="C1450" s="63">
        <v>2005</v>
      </c>
      <c r="D1450" s="35" t="s">
        <v>17</v>
      </c>
      <c r="E1450" s="6" t="s">
        <v>328</v>
      </c>
      <c r="F1450" s="7" t="s">
        <v>72</v>
      </c>
      <c r="G1450" s="72" t="s">
        <v>2240</v>
      </c>
      <c r="H1450" s="72" t="s">
        <v>2241</v>
      </c>
      <c r="I1450" s="89">
        <v>6</v>
      </c>
      <c r="J1450" s="90">
        <v>6</v>
      </c>
      <c r="K1450" s="90">
        <v>1</v>
      </c>
      <c r="L1450" s="90">
        <v>0</v>
      </c>
      <c r="M1450" s="67">
        <v>0</v>
      </c>
      <c r="N1450" s="31">
        <v>0</v>
      </c>
      <c r="O1450" s="90">
        <v>0</v>
      </c>
      <c r="P1450" s="91">
        <v>4.2000000000000003E-2</v>
      </c>
      <c r="Q1450" s="35" t="s">
        <v>154</v>
      </c>
    </row>
    <row r="1451" spans="1:17" ht="36" x14ac:dyDescent="0.25">
      <c r="A1451" s="88">
        <v>38561</v>
      </c>
      <c r="B1451" s="88">
        <v>38561</v>
      </c>
      <c r="C1451" s="63">
        <v>2005</v>
      </c>
      <c r="D1451" s="35" t="s">
        <v>17</v>
      </c>
      <c r="E1451" s="6" t="s">
        <v>328</v>
      </c>
      <c r="F1451" s="28" t="s">
        <v>157</v>
      </c>
      <c r="G1451" s="72" t="s">
        <v>1832</v>
      </c>
      <c r="H1451" s="72" t="s">
        <v>2242</v>
      </c>
      <c r="I1451" s="89">
        <v>0</v>
      </c>
      <c r="J1451" s="90">
        <v>102</v>
      </c>
      <c r="K1451" s="90">
        <v>0</v>
      </c>
      <c r="L1451" s="90">
        <v>0</v>
      </c>
      <c r="M1451" s="67">
        <v>0</v>
      </c>
      <c r="N1451" s="31">
        <v>0</v>
      </c>
      <c r="O1451" s="90">
        <v>0</v>
      </c>
      <c r="P1451" s="91">
        <v>0</v>
      </c>
      <c r="Q1451" s="35" t="s">
        <v>154</v>
      </c>
    </row>
    <row r="1452" spans="1:17" ht="36" x14ac:dyDescent="0.25">
      <c r="A1452" s="88">
        <v>38589</v>
      </c>
      <c r="B1452" s="88">
        <v>38589</v>
      </c>
      <c r="C1452" s="63">
        <v>2005</v>
      </c>
      <c r="D1452" s="35" t="s">
        <v>17</v>
      </c>
      <c r="E1452" s="6" t="s">
        <v>328</v>
      </c>
      <c r="F1452" s="28" t="s">
        <v>210</v>
      </c>
      <c r="G1452" s="72" t="s">
        <v>2243</v>
      </c>
      <c r="H1452" s="72" t="s">
        <v>2244</v>
      </c>
      <c r="I1452" s="89">
        <v>6</v>
      </c>
      <c r="J1452" s="90">
        <v>6</v>
      </c>
      <c r="K1452" s="90">
        <v>1</v>
      </c>
      <c r="L1452" s="90">
        <v>0</v>
      </c>
      <c r="M1452" s="67">
        <v>0</v>
      </c>
      <c r="N1452" s="31">
        <v>0</v>
      </c>
      <c r="O1452" s="90">
        <v>0</v>
      </c>
      <c r="P1452" s="91">
        <v>4.2000000000000003E-2</v>
      </c>
      <c r="Q1452" s="35" t="s">
        <v>154</v>
      </c>
    </row>
    <row r="1453" spans="1:17" ht="48" x14ac:dyDescent="0.25">
      <c r="A1453" s="88">
        <v>38596</v>
      </c>
      <c r="B1453" s="88">
        <v>38596</v>
      </c>
      <c r="C1453" s="63">
        <v>2005</v>
      </c>
      <c r="D1453" s="35" t="s">
        <v>17</v>
      </c>
      <c r="E1453" s="6" t="s">
        <v>328</v>
      </c>
      <c r="F1453" s="7" t="s">
        <v>53</v>
      </c>
      <c r="G1453" s="72" t="s">
        <v>847</v>
      </c>
      <c r="H1453" s="73" t="s">
        <v>2245</v>
      </c>
      <c r="I1453" s="89">
        <v>0</v>
      </c>
      <c r="J1453" s="90">
        <v>30</v>
      </c>
      <c r="K1453" s="90">
        <v>3</v>
      </c>
      <c r="L1453" s="90">
        <v>0</v>
      </c>
      <c r="M1453" s="67">
        <v>0</v>
      </c>
      <c r="N1453" s="31">
        <v>0</v>
      </c>
      <c r="O1453" s="90">
        <v>0</v>
      </c>
      <c r="P1453" s="91">
        <v>0.128</v>
      </c>
      <c r="Q1453" s="35" t="s">
        <v>154</v>
      </c>
    </row>
    <row r="1454" spans="1:17" ht="48" x14ac:dyDescent="0.25">
      <c r="A1454" s="88">
        <v>38599</v>
      </c>
      <c r="B1454" s="88">
        <v>38599</v>
      </c>
      <c r="C1454" s="63">
        <v>2005</v>
      </c>
      <c r="D1454" s="35" t="s">
        <v>17</v>
      </c>
      <c r="E1454" s="6" t="s">
        <v>328</v>
      </c>
      <c r="F1454" s="7" t="s">
        <v>36</v>
      </c>
      <c r="G1454" s="72" t="s">
        <v>232</v>
      </c>
      <c r="H1454" s="72" t="s">
        <v>2246</v>
      </c>
      <c r="I1454" s="89">
        <v>1</v>
      </c>
      <c r="J1454" s="90">
        <v>2</v>
      </c>
      <c r="K1454" s="90">
        <v>1</v>
      </c>
      <c r="L1454" s="90">
        <v>0</v>
      </c>
      <c r="M1454" s="67">
        <v>0</v>
      </c>
      <c r="N1454" s="31">
        <v>0</v>
      </c>
      <c r="O1454" s="90">
        <v>0</v>
      </c>
      <c r="P1454" s="91">
        <v>0.01</v>
      </c>
      <c r="Q1454" s="35" t="s">
        <v>154</v>
      </c>
    </row>
    <row r="1455" spans="1:17" ht="72" x14ac:dyDescent="0.25">
      <c r="A1455" s="88">
        <v>38599</v>
      </c>
      <c r="B1455" s="88">
        <v>38599</v>
      </c>
      <c r="C1455" s="63">
        <v>2005</v>
      </c>
      <c r="D1455" s="35" t="s">
        <v>17</v>
      </c>
      <c r="E1455" s="6" t="s">
        <v>328</v>
      </c>
      <c r="F1455" s="7" t="s">
        <v>53</v>
      </c>
      <c r="G1455" s="72" t="s">
        <v>2247</v>
      </c>
      <c r="H1455" s="73" t="s">
        <v>2248</v>
      </c>
      <c r="I1455" s="89">
        <v>3</v>
      </c>
      <c r="J1455" s="90">
        <v>131</v>
      </c>
      <c r="K1455" s="90">
        <v>14</v>
      </c>
      <c r="L1455" s="90">
        <v>0</v>
      </c>
      <c r="M1455" s="67">
        <v>0</v>
      </c>
      <c r="N1455" s="31">
        <v>0</v>
      </c>
      <c r="O1455" s="90">
        <v>0</v>
      </c>
      <c r="P1455" s="91">
        <v>0.13100000000000001</v>
      </c>
      <c r="Q1455" s="35" t="s">
        <v>154</v>
      </c>
    </row>
    <row r="1456" spans="1:17" ht="36" x14ac:dyDescent="0.25">
      <c r="A1456" s="88">
        <v>38617</v>
      </c>
      <c r="B1456" s="88">
        <v>38617</v>
      </c>
      <c r="C1456" s="63">
        <v>2005</v>
      </c>
      <c r="D1456" s="35" t="s">
        <v>17</v>
      </c>
      <c r="E1456" s="6" t="s">
        <v>328</v>
      </c>
      <c r="F1456" s="7" t="s">
        <v>36</v>
      </c>
      <c r="G1456" s="72" t="s">
        <v>2249</v>
      </c>
      <c r="H1456" s="72" t="s">
        <v>2250</v>
      </c>
      <c r="I1456" s="89">
        <v>3</v>
      </c>
      <c r="J1456" s="90">
        <v>3</v>
      </c>
      <c r="K1456" s="90">
        <v>0</v>
      </c>
      <c r="L1456" s="90">
        <v>0</v>
      </c>
      <c r="M1456" s="67">
        <v>0</v>
      </c>
      <c r="N1456" s="31">
        <v>0</v>
      </c>
      <c r="O1456" s="90">
        <v>0</v>
      </c>
      <c r="P1456" s="91">
        <v>0</v>
      </c>
      <c r="Q1456" s="35" t="s">
        <v>154</v>
      </c>
    </row>
    <row r="1457" spans="1:17" ht="36" x14ac:dyDescent="0.25">
      <c r="A1457" s="88">
        <v>38631</v>
      </c>
      <c r="B1457" s="88">
        <v>38631</v>
      </c>
      <c r="C1457" s="63">
        <v>2005</v>
      </c>
      <c r="D1457" s="35" t="s">
        <v>17</v>
      </c>
      <c r="E1457" s="6" t="s">
        <v>328</v>
      </c>
      <c r="F1457" s="7" t="s">
        <v>75</v>
      </c>
      <c r="G1457" s="72" t="s">
        <v>2251</v>
      </c>
      <c r="H1457" s="72" t="s">
        <v>2252</v>
      </c>
      <c r="I1457" s="89">
        <v>3</v>
      </c>
      <c r="J1457" s="90">
        <v>3</v>
      </c>
      <c r="K1457" s="90">
        <v>0</v>
      </c>
      <c r="L1457" s="90">
        <v>0</v>
      </c>
      <c r="M1457" s="67">
        <v>0</v>
      </c>
      <c r="N1457" s="31">
        <v>0</v>
      </c>
      <c r="O1457" s="90">
        <v>0</v>
      </c>
      <c r="P1457" s="91">
        <v>4.2000000000000003E-2</v>
      </c>
      <c r="Q1457" s="35" t="s">
        <v>154</v>
      </c>
    </row>
    <row r="1458" spans="1:17" ht="36" x14ac:dyDescent="0.25">
      <c r="A1458" s="88">
        <v>38653</v>
      </c>
      <c r="B1458" s="88">
        <v>38653</v>
      </c>
      <c r="C1458" s="63">
        <v>2005</v>
      </c>
      <c r="D1458" s="35" t="s">
        <v>17</v>
      </c>
      <c r="E1458" s="6" t="s">
        <v>328</v>
      </c>
      <c r="F1458" s="7" t="s">
        <v>30</v>
      </c>
      <c r="G1458" s="72" t="s">
        <v>1078</v>
      </c>
      <c r="H1458" s="72" t="s">
        <v>2253</v>
      </c>
      <c r="I1458" s="89">
        <v>0</v>
      </c>
      <c r="J1458" s="90">
        <v>295</v>
      </c>
      <c r="K1458" s="90">
        <v>59</v>
      </c>
      <c r="L1458" s="90">
        <v>0</v>
      </c>
      <c r="M1458" s="67">
        <v>0</v>
      </c>
      <c r="N1458" s="31">
        <v>0</v>
      </c>
      <c r="O1458" s="90">
        <v>0</v>
      </c>
      <c r="P1458" s="91">
        <v>0.59699999999999998</v>
      </c>
      <c r="Q1458" s="35" t="s">
        <v>154</v>
      </c>
    </row>
    <row r="1459" spans="1:17" ht="48" x14ac:dyDescent="0.25">
      <c r="A1459" s="62">
        <v>38356</v>
      </c>
      <c r="B1459" s="62">
        <v>38356</v>
      </c>
      <c r="C1459" s="63">
        <v>2005</v>
      </c>
      <c r="D1459" s="35" t="s">
        <v>28</v>
      </c>
      <c r="E1459" s="30" t="s">
        <v>133</v>
      </c>
      <c r="F1459" s="7" t="s">
        <v>53</v>
      </c>
      <c r="G1459" s="77" t="s">
        <v>2224</v>
      </c>
      <c r="H1459" s="77" t="s">
        <v>2254</v>
      </c>
      <c r="I1459" s="78">
        <v>0</v>
      </c>
      <c r="J1459" s="66">
        <v>2</v>
      </c>
      <c r="K1459" s="66">
        <v>0</v>
      </c>
      <c r="L1459" s="66">
        <v>0</v>
      </c>
      <c r="M1459" s="67">
        <v>0</v>
      </c>
      <c r="N1459" s="31">
        <v>0</v>
      </c>
      <c r="O1459" s="66">
        <v>0</v>
      </c>
      <c r="P1459" s="68">
        <v>0</v>
      </c>
      <c r="Q1459" s="35" t="s">
        <v>154</v>
      </c>
    </row>
    <row r="1460" spans="1:17" ht="36" x14ac:dyDescent="0.25">
      <c r="A1460" s="62">
        <v>38357</v>
      </c>
      <c r="B1460" s="62">
        <v>38357</v>
      </c>
      <c r="C1460" s="63">
        <v>2005</v>
      </c>
      <c r="D1460" s="35" t="s">
        <v>28</v>
      </c>
      <c r="E1460" s="30" t="s">
        <v>133</v>
      </c>
      <c r="F1460" s="7" t="s">
        <v>53</v>
      </c>
      <c r="G1460" s="77" t="s">
        <v>170</v>
      </c>
      <c r="H1460" s="77" t="s">
        <v>2255</v>
      </c>
      <c r="I1460" s="78">
        <v>0</v>
      </c>
      <c r="J1460" s="66">
        <v>1</v>
      </c>
      <c r="K1460" s="66">
        <v>1</v>
      </c>
      <c r="L1460" s="66">
        <v>0</v>
      </c>
      <c r="M1460" s="67">
        <v>0</v>
      </c>
      <c r="N1460" s="31">
        <v>0</v>
      </c>
      <c r="O1460" s="66">
        <v>0</v>
      </c>
      <c r="P1460" s="68">
        <v>0.01</v>
      </c>
      <c r="Q1460" s="35" t="s">
        <v>154</v>
      </c>
    </row>
    <row r="1461" spans="1:17" ht="60" x14ac:dyDescent="0.25">
      <c r="A1461" s="62">
        <v>38359</v>
      </c>
      <c r="B1461" s="62">
        <v>38359</v>
      </c>
      <c r="C1461" s="63">
        <v>2005</v>
      </c>
      <c r="D1461" s="35" t="s">
        <v>28</v>
      </c>
      <c r="E1461" s="30" t="s">
        <v>133</v>
      </c>
      <c r="F1461" s="7" t="s">
        <v>53</v>
      </c>
      <c r="G1461" s="77" t="s">
        <v>170</v>
      </c>
      <c r="H1461" s="77" t="s">
        <v>2256</v>
      </c>
      <c r="I1461" s="78">
        <v>1</v>
      </c>
      <c r="J1461" s="66">
        <v>3</v>
      </c>
      <c r="K1461" s="66">
        <v>0</v>
      </c>
      <c r="L1461" s="66">
        <v>0</v>
      </c>
      <c r="M1461" s="67">
        <v>0</v>
      </c>
      <c r="N1461" s="31">
        <v>0</v>
      </c>
      <c r="O1461" s="66">
        <v>0</v>
      </c>
      <c r="P1461" s="68">
        <v>0</v>
      </c>
      <c r="Q1461" s="35" t="s">
        <v>154</v>
      </c>
    </row>
    <row r="1462" spans="1:17" ht="60" x14ac:dyDescent="0.25">
      <c r="A1462" s="62">
        <v>38373</v>
      </c>
      <c r="B1462" s="62">
        <v>38373</v>
      </c>
      <c r="C1462" s="63">
        <v>2005</v>
      </c>
      <c r="D1462" s="35" t="s">
        <v>28</v>
      </c>
      <c r="E1462" s="30" t="s">
        <v>133</v>
      </c>
      <c r="F1462" s="7" t="s">
        <v>65</v>
      </c>
      <c r="G1462" s="77" t="s">
        <v>1346</v>
      </c>
      <c r="H1462" s="77" t="s">
        <v>2257</v>
      </c>
      <c r="I1462" s="78">
        <v>0</v>
      </c>
      <c r="J1462" s="66">
        <v>3</v>
      </c>
      <c r="K1462" s="66">
        <v>0</v>
      </c>
      <c r="L1462" s="66">
        <v>0</v>
      </c>
      <c r="M1462" s="67">
        <v>0</v>
      </c>
      <c r="N1462" s="31">
        <v>0</v>
      </c>
      <c r="O1462" s="66">
        <v>0</v>
      </c>
      <c r="P1462" s="68">
        <v>0</v>
      </c>
      <c r="Q1462" s="35" t="s">
        <v>154</v>
      </c>
    </row>
    <row r="1463" spans="1:17" ht="60" x14ac:dyDescent="0.25">
      <c r="A1463" s="62">
        <v>38380</v>
      </c>
      <c r="B1463" s="62">
        <v>38380</v>
      </c>
      <c r="C1463" s="63">
        <v>2005</v>
      </c>
      <c r="D1463" s="35" t="s">
        <v>28</v>
      </c>
      <c r="E1463" s="30" t="s">
        <v>133</v>
      </c>
      <c r="F1463" s="7" t="s">
        <v>53</v>
      </c>
      <c r="G1463" s="77" t="s">
        <v>451</v>
      </c>
      <c r="H1463" s="79" t="s">
        <v>2258</v>
      </c>
      <c r="I1463" s="78">
        <v>1</v>
      </c>
      <c r="J1463" s="66">
        <v>5</v>
      </c>
      <c r="K1463" s="66">
        <v>0</v>
      </c>
      <c r="L1463" s="66">
        <v>0</v>
      </c>
      <c r="M1463" s="67">
        <v>0</v>
      </c>
      <c r="N1463" s="31">
        <v>0</v>
      </c>
      <c r="O1463" s="66">
        <v>0</v>
      </c>
      <c r="P1463" s="68">
        <v>0</v>
      </c>
      <c r="Q1463" s="35" t="s">
        <v>154</v>
      </c>
    </row>
    <row r="1464" spans="1:17" ht="48" x14ac:dyDescent="0.25">
      <c r="A1464" s="62">
        <v>38391</v>
      </c>
      <c r="B1464" s="62">
        <v>38391</v>
      </c>
      <c r="C1464" s="63">
        <v>2005</v>
      </c>
      <c r="D1464" s="35" t="s">
        <v>28</v>
      </c>
      <c r="E1464" s="30" t="s">
        <v>133</v>
      </c>
      <c r="F1464" s="7" t="s">
        <v>87</v>
      </c>
      <c r="G1464" s="77" t="s">
        <v>2259</v>
      </c>
      <c r="H1464" s="77" t="s">
        <v>2260</v>
      </c>
      <c r="I1464" s="78">
        <v>0</v>
      </c>
      <c r="J1464" s="66">
        <v>5</v>
      </c>
      <c r="K1464" s="66">
        <v>0</v>
      </c>
      <c r="L1464" s="66">
        <v>0</v>
      </c>
      <c r="M1464" s="67">
        <v>0</v>
      </c>
      <c r="N1464" s="31">
        <v>0</v>
      </c>
      <c r="O1464" s="66">
        <v>0</v>
      </c>
      <c r="P1464" s="68">
        <v>0</v>
      </c>
      <c r="Q1464" s="35" t="s">
        <v>154</v>
      </c>
    </row>
    <row r="1465" spans="1:17" ht="36" x14ac:dyDescent="0.25">
      <c r="A1465" s="62">
        <v>38395</v>
      </c>
      <c r="B1465" s="62">
        <v>38395</v>
      </c>
      <c r="C1465" s="63">
        <v>2005</v>
      </c>
      <c r="D1465" s="35" t="s">
        <v>28</v>
      </c>
      <c r="E1465" s="30" t="s">
        <v>133</v>
      </c>
      <c r="F1465" s="7" t="s">
        <v>62</v>
      </c>
      <c r="G1465" s="77" t="s">
        <v>2261</v>
      </c>
      <c r="H1465" s="77" t="s">
        <v>2262</v>
      </c>
      <c r="I1465" s="78">
        <v>0</v>
      </c>
      <c r="J1465" s="66">
        <v>3</v>
      </c>
      <c r="K1465" s="66">
        <v>0</v>
      </c>
      <c r="L1465" s="66">
        <v>0</v>
      </c>
      <c r="M1465" s="67">
        <v>0</v>
      </c>
      <c r="N1465" s="31">
        <v>0</v>
      </c>
      <c r="O1465" s="66">
        <v>0</v>
      </c>
      <c r="P1465" s="68">
        <v>0</v>
      </c>
      <c r="Q1465" s="35" t="s">
        <v>154</v>
      </c>
    </row>
    <row r="1466" spans="1:17" ht="36" x14ac:dyDescent="0.25">
      <c r="A1466" s="62">
        <v>38428</v>
      </c>
      <c r="B1466" s="62">
        <v>38428</v>
      </c>
      <c r="C1466" s="63">
        <v>2005</v>
      </c>
      <c r="D1466" s="35" t="s">
        <v>28</v>
      </c>
      <c r="E1466" s="30" t="s">
        <v>133</v>
      </c>
      <c r="F1466" s="28" t="s">
        <v>157</v>
      </c>
      <c r="G1466" s="77" t="s">
        <v>857</v>
      </c>
      <c r="H1466" s="77" t="s">
        <v>2263</v>
      </c>
      <c r="I1466" s="78">
        <v>0</v>
      </c>
      <c r="J1466" s="66">
        <v>3</v>
      </c>
      <c r="K1466" s="66">
        <v>1</v>
      </c>
      <c r="L1466" s="66">
        <v>0</v>
      </c>
      <c r="M1466" s="67">
        <v>0</v>
      </c>
      <c r="N1466" s="31">
        <v>0</v>
      </c>
      <c r="O1466" s="66">
        <v>0</v>
      </c>
      <c r="P1466" s="68">
        <v>0.01</v>
      </c>
      <c r="Q1466" s="35" t="s">
        <v>154</v>
      </c>
    </row>
    <row r="1467" spans="1:17" ht="36" x14ac:dyDescent="0.25">
      <c r="A1467" s="62">
        <v>38433</v>
      </c>
      <c r="B1467" s="62">
        <v>38433</v>
      </c>
      <c r="C1467" s="63">
        <v>2005</v>
      </c>
      <c r="D1467" s="35" t="s">
        <v>28</v>
      </c>
      <c r="E1467" s="30" t="s">
        <v>133</v>
      </c>
      <c r="F1467" s="7" t="s">
        <v>75</v>
      </c>
      <c r="G1467" s="77" t="s">
        <v>2264</v>
      </c>
      <c r="H1467" s="77" t="s">
        <v>2265</v>
      </c>
      <c r="I1467" s="78">
        <v>4</v>
      </c>
      <c r="J1467" s="66">
        <v>4</v>
      </c>
      <c r="K1467" s="66">
        <v>1</v>
      </c>
      <c r="L1467" s="66">
        <v>0</v>
      </c>
      <c r="M1467" s="67">
        <v>0</v>
      </c>
      <c r="N1467" s="31">
        <v>0</v>
      </c>
      <c r="O1467" s="66">
        <v>0</v>
      </c>
      <c r="P1467" s="68">
        <v>0.01</v>
      </c>
      <c r="Q1467" s="35" t="s">
        <v>154</v>
      </c>
    </row>
    <row r="1468" spans="1:17" ht="24" x14ac:dyDescent="0.25">
      <c r="A1468" s="62">
        <v>38446</v>
      </c>
      <c r="B1468" s="62">
        <v>38446</v>
      </c>
      <c r="C1468" s="63">
        <v>2005</v>
      </c>
      <c r="D1468" s="35" t="s">
        <v>28</v>
      </c>
      <c r="E1468" s="30" t="s">
        <v>133</v>
      </c>
      <c r="F1468" s="7" t="s">
        <v>65</v>
      </c>
      <c r="G1468" s="77" t="s">
        <v>1632</v>
      </c>
      <c r="H1468" s="77" t="s">
        <v>2266</v>
      </c>
      <c r="I1468" s="78">
        <v>0</v>
      </c>
      <c r="J1468" s="66">
        <v>4</v>
      </c>
      <c r="K1468" s="66">
        <v>0</v>
      </c>
      <c r="L1468" s="66">
        <v>0</v>
      </c>
      <c r="M1468" s="67">
        <v>0</v>
      </c>
      <c r="N1468" s="31">
        <v>0</v>
      </c>
      <c r="O1468" s="66">
        <v>0</v>
      </c>
      <c r="P1468" s="68">
        <v>0</v>
      </c>
      <c r="Q1468" s="35" t="s">
        <v>154</v>
      </c>
    </row>
    <row r="1469" spans="1:17" ht="36" x14ac:dyDescent="0.25">
      <c r="A1469" s="62">
        <v>38449</v>
      </c>
      <c r="B1469" s="62">
        <v>38449</v>
      </c>
      <c r="C1469" s="63">
        <v>2005</v>
      </c>
      <c r="D1469" s="35" t="s">
        <v>28</v>
      </c>
      <c r="E1469" s="30" t="s">
        <v>133</v>
      </c>
      <c r="F1469" s="7" t="s">
        <v>56</v>
      </c>
      <c r="G1469" s="77" t="s">
        <v>1160</v>
      </c>
      <c r="H1469" s="77" t="s">
        <v>2267</v>
      </c>
      <c r="I1469" s="78">
        <v>0</v>
      </c>
      <c r="J1469" s="66">
        <v>2</v>
      </c>
      <c r="K1469" s="66">
        <v>0</v>
      </c>
      <c r="L1469" s="66">
        <v>0</v>
      </c>
      <c r="M1469" s="67">
        <v>0</v>
      </c>
      <c r="N1469" s="31">
        <v>0</v>
      </c>
      <c r="O1469" s="66">
        <v>0</v>
      </c>
      <c r="P1469" s="68">
        <v>0</v>
      </c>
      <c r="Q1469" s="35" t="s">
        <v>154</v>
      </c>
    </row>
    <row r="1470" spans="1:17" ht="72" x14ac:dyDescent="0.25">
      <c r="A1470" s="62">
        <v>38456</v>
      </c>
      <c r="B1470" s="62">
        <v>38456</v>
      </c>
      <c r="C1470" s="63">
        <v>2005</v>
      </c>
      <c r="D1470" s="35" t="s">
        <v>28</v>
      </c>
      <c r="E1470" s="30" t="s">
        <v>133</v>
      </c>
      <c r="F1470" s="7" t="s">
        <v>53</v>
      </c>
      <c r="G1470" s="77" t="s">
        <v>2268</v>
      </c>
      <c r="H1470" s="77" t="s">
        <v>2269</v>
      </c>
      <c r="I1470" s="78">
        <v>4</v>
      </c>
      <c r="J1470" s="66">
        <v>157</v>
      </c>
      <c r="K1470" s="66">
        <v>4</v>
      </c>
      <c r="L1470" s="66">
        <v>0</v>
      </c>
      <c r="M1470" s="67">
        <v>0</v>
      </c>
      <c r="N1470" s="31">
        <v>0</v>
      </c>
      <c r="O1470" s="66">
        <v>0</v>
      </c>
      <c r="P1470" s="68">
        <v>0.50800000000000001</v>
      </c>
      <c r="Q1470" s="35" t="s">
        <v>154</v>
      </c>
    </row>
    <row r="1471" spans="1:17" ht="48" x14ac:dyDescent="0.25">
      <c r="A1471" s="62">
        <v>38476</v>
      </c>
      <c r="B1471" s="62">
        <v>38476</v>
      </c>
      <c r="C1471" s="63">
        <v>2005</v>
      </c>
      <c r="D1471" s="35" t="s">
        <v>28</v>
      </c>
      <c r="E1471" s="30" t="s">
        <v>133</v>
      </c>
      <c r="F1471" s="28" t="s">
        <v>157</v>
      </c>
      <c r="G1471" s="79" t="s">
        <v>1062</v>
      </c>
      <c r="H1471" s="77" t="s">
        <v>2270</v>
      </c>
      <c r="I1471" s="78">
        <v>1</v>
      </c>
      <c r="J1471" s="66">
        <v>5</v>
      </c>
      <c r="K1471" s="66">
        <v>0</v>
      </c>
      <c r="L1471" s="66">
        <v>0</v>
      </c>
      <c r="M1471" s="67">
        <v>0</v>
      </c>
      <c r="N1471" s="31">
        <v>0</v>
      </c>
      <c r="O1471" s="66">
        <v>0</v>
      </c>
      <c r="P1471" s="68">
        <v>0.96</v>
      </c>
      <c r="Q1471" s="35" t="s">
        <v>154</v>
      </c>
    </row>
    <row r="1472" spans="1:17" ht="48" x14ac:dyDescent="0.25">
      <c r="A1472" s="62">
        <v>38489</v>
      </c>
      <c r="B1472" s="62">
        <v>38489</v>
      </c>
      <c r="C1472" s="63">
        <v>2005</v>
      </c>
      <c r="D1472" s="35" t="s">
        <v>28</v>
      </c>
      <c r="E1472" s="30" t="s">
        <v>133</v>
      </c>
      <c r="F1472" s="7" t="s">
        <v>67</v>
      </c>
      <c r="G1472" s="77" t="s">
        <v>2271</v>
      </c>
      <c r="H1472" s="77" t="s">
        <v>2272</v>
      </c>
      <c r="I1472" s="78">
        <v>2</v>
      </c>
      <c r="J1472" s="66">
        <v>3</v>
      </c>
      <c r="K1472" s="66">
        <v>1</v>
      </c>
      <c r="L1472" s="66">
        <v>0</v>
      </c>
      <c r="M1472" s="67">
        <v>0</v>
      </c>
      <c r="N1472" s="31">
        <v>0</v>
      </c>
      <c r="O1472" s="66">
        <v>0</v>
      </c>
      <c r="P1472" s="68">
        <v>0.01</v>
      </c>
      <c r="Q1472" s="35" t="s">
        <v>154</v>
      </c>
    </row>
    <row r="1473" spans="1:17" ht="60" x14ac:dyDescent="0.25">
      <c r="A1473" s="62">
        <v>38496</v>
      </c>
      <c r="B1473" s="62">
        <v>38496</v>
      </c>
      <c r="C1473" s="63">
        <v>2005</v>
      </c>
      <c r="D1473" s="35" t="s">
        <v>28</v>
      </c>
      <c r="E1473" s="30" t="s">
        <v>133</v>
      </c>
      <c r="F1473" s="7" t="s">
        <v>53</v>
      </c>
      <c r="G1473" s="77" t="s">
        <v>170</v>
      </c>
      <c r="H1473" s="79" t="s">
        <v>2273</v>
      </c>
      <c r="I1473" s="78">
        <v>1</v>
      </c>
      <c r="J1473" s="66">
        <v>153</v>
      </c>
      <c r="K1473" s="66">
        <v>0</v>
      </c>
      <c r="L1473" s="66">
        <v>0</v>
      </c>
      <c r="M1473" s="67">
        <v>0</v>
      </c>
      <c r="N1473" s="31">
        <v>0</v>
      </c>
      <c r="O1473" s="66">
        <v>0</v>
      </c>
      <c r="P1473" s="68">
        <v>0</v>
      </c>
      <c r="Q1473" s="35" t="s">
        <v>154</v>
      </c>
    </row>
    <row r="1474" spans="1:17" ht="36" x14ac:dyDescent="0.25">
      <c r="A1474" s="62">
        <v>38503</v>
      </c>
      <c r="B1474" s="62">
        <v>38503</v>
      </c>
      <c r="C1474" s="63">
        <v>2005</v>
      </c>
      <c r="D1474" s="35" t="s">
        <v>28</v>
      </c>
      <c r="E1474" s="30" t="s">
        <v>133</v>
      </c>
      <c r="F1474" s="7" t="s">
        <v>65</v>
      </c>
      <c r="G1474" s="77" t="s">
        <v>2274</v>
      </c>
      <c r="H1474" s="79" t="s">
        <v>2275</v>
      </c>
      <c r="I1474" s="78">
        <v>0</v>
      </c>
      <c r="J1474" s="66">
        <v>2</v>
      </c>
      <c r="K1474" s="66">
        <v>0</v>
      </c>
      <c r="L1474" s="66">
        <v>0</v>
      </c>
      <c r="M1474" s="67">
        <v>0</v>
      </c>
      <c r="N1474" s="31">
        <v>0</v>
      </c>
      <c r="O1474" s="66">
        <v>0</v>
      </c>
      <c r="P1474" s="68">
        <v>0</v>
      </c>
      <c r="Q1474" s="35" t="s">
        <v>154</v>
      </c>
    </row>
    <row r="1475" spans="1:17" ht="36" x14ac:dyDescent="0.25">
      <c r="A1475" s="62">
        <v>38512</v>
      </c>
      <c r="B1475" s="62">
        <v>38512</v>
      </c>
      <c r="C1475" s="63">
        <v>2005</v>
      </c>
      <c r="D1475" s="35" t="s">
        <v>28</v>
      </c>
      <c r="E1475" s="30" t="s">
        <v>133</v>
      </c>
      <c r="F1475" s="7" t="s">
        <v>36</v>
      </c>
      <c r="G1475" s="77" t="s">
        <v>2276</v>
      </c>
      <c r="H1475" s="77" t="s">
        <v>2277</v>
      </c>
      <c r="I1475" s="78">
        <v>0</v>
      </c>
      <c r="J1475" s="66">
        <v>2</v>
      </c>
      <c r="K1475" s="66">
        <v>0</v>
      </c>
      <c r="L1475" s="66">
        <v>0</v>
      </c>
      <c r="M1475" s="67">
        <v>0</v>
      </c>
      <c r="N1475" s="31">
        <v>0</v>
      </c>
      <c r="O1475" s="66">
        <v>0</v>
      </c>
      <c r="P1475" s="68">
        <v>0</v>
      </c>
      <c r="Q1475" s="35" t="s">
        <v>154</v>
      </c>
    </row>
    <row r="1476" spans="1:17" ht="36" x14ac:dyDescent="0.25">
      <c r="A1476" s="62">
        <v>38521</v>
      </c>
      <c r="B1476" s="62">
        <v>38521</v>
      </c>
      <c r="C1476" s="63">
        <v>2005</v>
      </c>
      <c r="D1476" s="35" t="s">
        <v>28</v>
      </c>
      <c r="E1476" s="30" t="s">
        <v>133</v>
      </c>
      <c r="F1476" s="7" t="s">
        <v>65</v>
      </c>
      <c r="G1476" s="77" t="s">
        <v>451</v>
      </c>
      <c r="H1476" s="77" t="s">
        <v>2278</v>
      </c>
      <c r="I1476" s="78">
        <v>0</v>
      </c>
      <c r="J1476" s="66">
        <v>5</v>
      </c>
      <c r="K1476" s="66">
        <v>0</v>
      </c>
      <c r="L1476" s="66">
        <v>0</v>
      </c>
      <c r="M1476" s="67">
        <v>0</v>
      </c>
      <c r="N1476" s="31">
        <v>0</v>
      </c>
      <c r="O1476" s="66">
        <v>0</v>
      </c>
      <c r="P1476" s="68">
        <v>0</v>
      </c>
      <c r="Q1476" s="35" t="s">
        <v>154</v>
      </c>
    </row>
    <row r="1477" spans="1:17" ht="48" x14ac:dyDescent="0.25">
      <c r="A1477" s="62">
        <v>38522</v>
      </c>
      <c r="B1477" s="62">
        <v>38522</v>
      </c>
      <c r="C1477" s="63">
        <v>2005</v>
      </c>
      <c r="D1477" s="35" t="s">
        <v>28</v>
      </c>
      <c r="E1477" s="30" t="s">
        <v>133</v>
      </c>
      <c r="F1477" s="7" t="s">
        <v>65</v>
      </c>
      <c r="G1477" s="77" t="s">
        <v>2279</v>
      </c>
      <c r="H1477" s="77" t="s">
        <v>2280</v>
      </c>
      <c r="I1477" s="78">
        <v>1</v>
      </c>
      <c r="J1477" s="66">
        <v>2</v>
      </c>
      <c r="K1477" s="66">
        <v>0</v>
      </c>
      <c r="L1477" s="66">
        <v>0</v>
      </c>
      <c r="M1477" s="67">
        <v>0</v>
      </c>
      <c r="N1477" s="31">
        <v>0</v>
      </c>
      <c r="O1477" s="66">
        <v>0</v>
      </c>
      <c r="P1477" s="68">
        <v>0</v>
      </c>
      <c r="Q1477" s="35" t="s">
        <v>154</v>
      </c>
    </row>
    <row r="1478" spans="1:17" ht="36" x14ac:dyDescent="0.25">
      <c r="A1478" s="62">
        <v>38542</v>
      </c>
      <c r="B1478" s="62">
        <v>38542</v>
      </c>
      <c r="C1478" s="63">
        <v>2005</v>
      </c>
      <c r="D1478" s="35" t="s">
        <v>28</v>
      </c>
      <c r="E1478" s="30" t="s">
        <v>133</v>
      </c>
      <c r="F1478" s="7" t="s">
        <v>56</v>
      </c>
      <c r="G1478" s="77" t="s">
        <v>2281</v>
      </c>
      <c r="H1478" s="77" t="s">
        <v>2282</v>
      </c>
      <c r="I1478" s="78">
        <v>0</v>
      </c>
      <c r="J1478" s="66">
        <v>14</v>
      </c>
      <c r="K1478" s="66">
        <v>1</v>
      </c>
      <c r="L1478" s="66">
        <v>0</v>
      </c>
      <c r="M1478" s="67">
        <v>0</v>
      </c>
      <c r="N1478" s="31">
        <v>0</v>
      </c>
      <c r="O1478" s="66">
        <v>0</v>
      </c>
      <c r="P1478" s="68">
        <v>0.01</v>
      </c>
      <c r="Q1478" s="35" t="s">
        <v>154</v>
      </c>
    </row>
    <row r="1479" spans="1:17" ht="36" x14ac:dyDescent="0.25">
      <c r="A1479" s="62">
        <v>38546</v>
      </c>
      <c r="B1479" s="62">
        <v>38546</v>
      </c>
      <c r="C1479" s="63">
        <v>2005</v>
      </c>
      <c r="D1479" s="35" t="s">
        <v>28</v>
      </c>
      <c r="E1479" s="30" t="s">
        <v>133</v>
      </c>
      <c r="F1479" s="28" t="s">
        <v>210</v>
      </c>
      <c r="G1479" s="77" t="s">
        <v>921</v>
      </c>
      <c r="H1479" s="77" t="s">
        <v>2283</v>
      </c>
      <c r="I1479" s="78">
        <v>2</v>
      </c>
      <c r="J1479" s="66">
        <v>2</v>
      </c>
      <c r="K1479" s="66">
        <v>0</v>
      </c>
      <c r="L1479" s="66">
        <v>0</v>
      </c>
      <c r="M1479" s="67">
        <v>0</v>
      </c>
      <c r="N1479" s="31">
        <v>0</v>
      </c>
      <c r="O1479" s="66">
        <v>0</v>
      </c>
      <c r="P1479" s="68">
        <v>0</v>
      </c>
      <c r="Q1479" s="35" t="s">
        <v>154</v>
      </c>
    </row>
    <row r="1480" spans="1:17" ht="36" x14ac:dyDescent="0.25">
      <c r="A1480" s="62">
        <v>38559</v>
      </c>
      <c r="B1480" s="62">
        <v>38559</v>
      </c>
      <c r="C1480" s="63">
        <v>2005</v>
      </c>
      <c r="D1480" s="35" t="s">
        <v>28</v>
      </c>
      <c r="E1480" s="30" t="s">
        <v>133</v>
      </c>
      <c r="F1480" s="28" t="s">
        <v>160</v>
      </c>
      <c r="G1480" s="77" t="s">
        <v>2284</v>
      </c>
      <c r="H1480" s="77" t="s">
        <v>2285</v>
      </c>
      <c r="I1480" s="78">
        <v>0</v>
      </c>
      <c r="J1480" s="66">
        <v>3</v>
      </c>
      <c r="K1480" s="66">
        <v>0</v>
      </c>
      <c r="L1480" s="66">
        <v>0</v>
      </c>
      <c r="M1480" s="67">
        <v>0</v>
      </c>
      <c r="N1480" s="31">
        <v>0</v>
      </c>
      <c r="O1480" s="66">
        <v>0</v>
      </c>
      <c r="P1480" s="68">
        <v>0</v>
      </c>
      <c r="Q1480" s="35" t="s">
        <v>154</v>
      </c>
    </row>
    <row r="1481" spans="1:17" ht="36" x14ac:dyDescent="0.25">
      <c r="A1481" s="62">
        <v>38565</v>
      </c>
      <c r="B1481" s="62">
        <v>38565</v>
      </c>
      <c r="C1481" s="63">
        <v>2005</v>
      </c>
      <c r="D1481" s="35" t="s">
        <v>28</v>
      </c>
      <c r="E1481" s="30" t="s">
        <v>133</v>
      </c>
      <c r="F1481" s="7" t="s">
        <v>60</v>
      </c>
      <c r="G1481" s="77" t="s">
        <v>1424</v>
      </c>
      <c r="H1481" s="77" t="s">
        <v>2286</v>
      </c>
      <c r="I1481" s="78">
        <v>2</v>
      </c>
      <c r="J1481" s="66">
        <v>26</v>
      </c>
      <c r="K1481" s="66">
        <v>0</v>
      </c>
      <c r="L1481" s="66">
        <v>0</v>
      </c>
      <c r="M1481" s="67">
        <v>0</v>
      </c>
      <c r="N1481" s="31">
        <v>0</v>
      </c>
      <c r="O1481" s="66">
        <v>0</v>
      </c>
      <c r="P1481" s="68">
        <v>0</v>
      </c>
      <c r="Q1481" s="35" t="s">
        <v>154</v>
      </c>
    </row>
    <row r="1482" spans="1:17" ht="60" x14ac:dyDescent="0.25">
      <c r="A1482" s="62">
        <v>38570</v>
      </c>
      <c r="B1482" s="62">
        <v>38570</v>
      </c>
      <c r="C1482" s="63">
        <v>2005</v>
      </c>
      <c r="D1482" s="35" t="s">
        <v>28</v>
      </c>
      <c r="E1482" s="30" t="s">
        <v>133</v>
      </c>
      <c r="F1482" s="7" t="s">
        <v>53</v>
      </c>
      <c r="G1482" s="77" t="s">
        <v>2287</v>
      </c>
      <c r="H1482" s="77" t="s">
        <v>2288</v>
      </c>
      <c r="I1482" s="78">
        <v>7</v>
      </c>
      <c r="J1482" s="66">
        <v>11</v>
      </c>
      <c r="K1482" s="66">
        <v>1</v>
      </c>
      <c r="L1482" s="66">
        <v>0</v>
      </c>
      <c r="M1482" s="67">
        <v>0</v>
      </c>
      <c r="N1482" s="31">
        <v>0</v>
      </c>
      <c r="O1482" s="66">
        <v>0</v>
      </c>
      <c r="P1482" s="68">
        <v>0.01</v>
      </c>
      <c r="Q1482" s="35" t="s">
        <v>154</v>
      </c>
    </row>
    <row r="1483" spans="1:17" ht="36" x14ac:dyDescent="0.25">
      <c r="A1483" s="62">
        <v>38581</v>
      </c>
      <c r="B1483" s="62">
        <v>38581</v>
      </c>
      <c r="C1483" s="63">
        <v>2005</v>
      </c>
      <c r="D1483" s="35" t="s">
        <v>28</v>
      </c>
      <c r="E1483" s="30" t="s">
        <v>133</v>
      </c>
      <c r="F1483" s="7" t="s">
        <v>53</v>
      </c>
      <c r="G1483" s="77" t="s">
        <v>20</v>
      </c>
      <c r="H1483" s="77" t="s">
        <v>2289</v>
      </c>
      <c r="I1483" s="78">
        <v>2</v>
      </c>
      <c r="J1483" s="66">
        <v>3</v>
      </c>
      <c r="K1483" s="66">
        <v>0</v>
      </c>
      <c r="L1483" s="66">
        <v>0</v>
      </c>
      <c r="M1483" s="67">
        <v>0</v>
      </c>
      <c r="N1483" s="31">
        <v>0</v>
      </c>
      <c r="O1483" s="66">
        <v>0</v>
      </c>
      <c r="P1483" s="68">
        <v>0</v>
      </c>
      <c r="Q1483" s="35" t="s">
        <v>154</v>
      </c>
    </row>
    <row r="1484" spans="1:17" ht="60" x14ac:dyDescent="0.25">
      <c r="A1484" s="62">
        <v>38598</v>
      </c>
      <c r="B1484" s="62">
        <v>38598</v>
      </c>
      <c r="C1484" s="63">
        <v>2005</v>
      </c>
      <c r="D1484" s="35" t="s">
        <v>28</v>
      </c>
      <c r="E1484" s="30" t="s">
        <v>133</v>
      </c>
      <c r="F1484" s="7" t="s">
        <v>58</v>
      </c>
      <c r="G1484" s="77" t="s">
        <v>2290</v>
      </c>
      <c r="H1484" s="79" t="s">
        <v>2291</v>
      </c>
      <c r="I1484" s="78">
        <v>7</v>
      </c>
      <c r="J1484" s="66">
        <v>11</v>
      </c>
      <c r="K1484" s="66">
        <v>0</v>
      </c>
      <c r="L1484" s="66">
        <v>0</v>
      </c>
      <c r="M1484" s="67">
        <v>0</v>
      </c>
      <c r="N1484" s="31">
        <v>0</v>
      </c>
      <c r="O1484" s="66">
        <v>0</v>
      </c>
      <c r="P1484" s="68">
        <v>0</v>
      </c>
      <c r="Q1484" s="35" t="s">
        <v>154</v>
      </c>
    </row>
    <row r="1485" spans="1:17" ht="36" x14ac:dyDescent="0.25">
      <c r="A1485" s="62">
        <v>38610</v>
      </c>
      <c r="B1485" s="62">
        <v>38610</v>
      </c>
      <c r="C1485" s="63">
        <v>2005</v>
      </c>
      <c r="D1485" s="35" t="s">
        <v>28</v>
      </c>
      <c r="E1485" s="30" t="s">
        <v>133</v>
      </c>
      <c r="F1485" s="28" t="s">
        <v>210</v>
      </c>
      <c r="G1485" s="77" t="s">
        <v>2292</v>
      </c>
      <c r="H1485" s="79" t="s">
        <v>2293</v>
      </c>
      <c r="I1485" s="78">
        <v>0</v>
      </c>
      <c r="J1485" s="66">
        <v>1</v>
      </c>
      <c r="K1485" s="66">
        <v>0</v>
      </c>
      <c r="L1485" s="66">
        <v>0</v>
      </c>
      <c r="M1485" s="67">
        <v>0</v>
      </c>
      <c r="N1485" s="31">
        <v>0</v>
      </c>
      <c r="O1485" s="66">
        <v>0</v>
      </c>
      <c r="P1485" s="68">
        <v>0</v>
      </c>
      <c r="Q1485" s="35" t="s">
        <v>154</v>
      </c>
    </row>
    <row r="1486" spans="1:17" ht="24" x14ac:dyDescent="0.25">
      <c r="A1486" s="62">
        <v>38610</v>
      </c>
      <c r="B1486" s="62">
        <v>38610</v>
      </c>
      <c r="C1486" s="63">
        <v>2005</v>
      </c>
      <c r="D1486" s="35" t="s">
        <v>28</v>
      </c>
      <c r="E1486" s="30" t="s">
        <v>133</v>
      </c>
      <c r="F1486" s="7" t="s">
        <v>53</v>
      </c>
      <c r="G1486" s="77" t="s">
        <v>451</v>
      </c>
      <c r="H1486" s="79" t="s">
        <v>2294</v>
      </c>
      <c r="I1486" s="78">
        <v>0</v>
      </c>
      <c r="J1486" s="66">
        <v>70</v>
      </c>
      <c r="K1486" s="66">
        <v>0</v>
      </c>
      <c r="L1486" s="66">
        <v>0</v>
      </c>
      <c r="M1486" s="67">
        <v>0</v>
      </c>
      <c r="N1486" s="31">
        <v>0</v>
      </c>
      <c r="O1486" s="66">
        <v>0</v>
      </c>
      <c r="P1486" s="68">
        <v>0</v>
      </c>
      <c r="Q1486" s="35" t="s">
        <v>154</v>
      </c>
    </row>
    <row r="1487" spans="1:17" ht="48" x14ac:dyDescent="0.25">
      <c r="A1487" s="62">
        <v>38627</v>
      </c>
      <c r="B1487" s="62">
        <v>38627</v>
      </c>
      <c r="C1487" s="63">
        <v>2005</v>
      </c>
      <c r="D1487" s="35" t="s">
        <v>28</v>
      </c>
      <c r="E1487" s="30" t="s">
        <v>133</v>
      </c>
      <c r="F1487" s="7" t="s">
        <v>53</v>
      </c>
      <c r="G1487" s="77" t="s">
        <v>451</v>
      </c>
      <c r="H1487" s="77" t="s">
        <v>2295</v>
      </c>
      <c r="I1487" s="78">
        <v>0</v>
      </c>
      <c r="J1487" s="66">
        <v>3</v>
      </c>
      <c r="K1487" s="66">
        <v>0</v>
      </c>
      <c r="L1487" s="66">
        <v>0</v>
      </c>
      <c r="M1487" s="67">
        <v>0</v>
      </c>
      <c r="N1487" s="31">
        <v>0</v>
      </c>
      <c r="O1487" s="66">
        <v>0</v>
      </c>
      <c r="P1487" s="68">
        <v>0</v>
      </c>
      <c r="Q1487" s="35" t="s">
        <v>154</v>
      </c>
    </row>
    <row r="1488" spans="1:17" ht="36" x14ac:dyDescent="0.25">
      <c r="A1488" s="62">
        <v>38638</v>
      </c>
      <c r="B1488" s="62">
        <v>38638</v>
      </c>
      <c r="C1488" s="63">
        <v>2005</v>
      </c>
      <c r="D1488" s="35" t="s">
        <v>28</v>
      </c>
      <c r="E1488" s="30" t="s">
        <v>133</v>
      </c>
      <c r="F1488" s="7" t="s">
        <v>68</v>
      </c>
      <c r="G1488" s="77" t="s">
        <v>1121</v>
      </c>
      <c r="H1488" s="77" t="s">
        <v>2296</v>
      </c>
      <c r="I1488" s="78">
        <v>1</v>
      </c>
      <c r="J1488" s="66">
        <v>5</v>
      </c>
      <c r="K1488" s="66">
        <v>0</v>
      </c>
      <c r="L1488" s="66">
        <v>0</v>
      </c>
      <c r="M1488" s="67">
        <v>0</v>
      </c>
      <c r="N1488" s="31">
        <v>0</v>
      </c>
      <c r="O1488" s="66">
        <v>0</v>
      </c>
      <c r="P1488" s="68">
        <v>0</v>
      </c>
      <c r="Q1488" s="35" t="s">
        <v>154</v>
      </c>
    </row>
    <row r="1489" spans="1:17" ht="48" x14ac:dyDescent="0.25">
      <c r="A1489" s="62">
        <v>38640</v>
      </c>
      <c r="B1489" s="62">
        <v>38640</v>
      </c>
      <c r="C1489" s="63">
        <v>2005</v>
      </c>
      <c r="D1489" s="35" t="s">
        <v>28</v>
      </c>
      <c r="E1489" s="30" t="s">
        <v>133</v>
      </c>
      <c r="F1489" s="7" t="s">
        <v>58</v>
      </c>
      <c r="G1489" s="77" t="s">
        <v>2297</v>
      </c>
      <c r="H1489" s="77" t="s">
        <v>2298</v>
      </c>
      <c r="I1489" s="78">
        <v>0</v>
      </c>
      <c r="J1489" s="66">
        <v>1</v>
      </c>
      <c r="K1489" s="66">
        <v>1</v>
      </c>
      <c r="L1489" s="66">
        <v>0</v>
      </c>
      <c r="M1489" s="67">
        <v>0</v>
      </c>
      <c r="N1489" s="31">
        <v>0</v>
      </c>
      <c r="O1489" s="66">
        <v>0</v>
      </c>
      <c r="P1489" s="68">
        <v>0.01</v>
      </c>
      <c r="Q1489" s="35" t="s">
        <v>154</v>
      </c>
    </row>
    <row r="1490" spans="1:17" ht="48" x14ac:dyDescent="0.25">
      <c r="A1490" s="62">
        <v>38647</v>
      </c>
      <c r="B1490" s="62">
        <v>38647</v>
      </c>
      <c r="C1490" s="63">
        <v>2005</v>
      </c>
      <c r="D1490" s="35" t="s">
        <v>28</v>
      </c>
      <c r="E1490" s="30" t="s">
        <v>133</v>
      </c>
      <c r="F1490" s="7" t="s">
        <v>58</v>
      </c>
      <c r="G1490" s="77" t="s">
        <v>168</v>
      </c>
      <c r="H1490" s="77" t="s">
        <v>2299</v>
      </c>
      <c r="I1490" s="78">
        <v>0</v>
      </c>
      <c r="J1490" s="66">
        <v>20</v>
      </c>
      <c r="K1490" s="66">
        <v>4</v>
      </c>
      <c r="L1490" s="66">
        <v>0</v>
      </c>
      <c r="M1490" s="67">
        <v>0</v>
      </c>
      <c r="N1490" s="31">
        <v>0</v>
      </c>
      <c r="O1490" s="66">
        <v>0</v>
      </c>
      <c r="P1490" s="68">
        <v>0.104</v>
      </c>
      <c r="Q1490" s="35" t="s">
        <v>154</v>
      </c>
    </row>
    <row r="1491" spans="1:17" ht="36" x14ac:dyDescent="0.25">
      <c r="A1491" s="62">
        <v>38656</v>
      </c>
      <c r="B1491" s="62">
        <v>38656</v>
      </c>
      <c r="C1491" s="63">
        <v>2005</v>
      </c>
      <c r="D1491" s="35" t="s">
        <v>28</v>
      </c>
      <c r="E1491" s="30" t="s">
        <v>133</v>
      </c>
      <c r="F1491" s="28" t="s">
        <v>157</v>
      </c>
      <c r="G1491" s="77" t="s">
        <v>2300</v>
      </c>
      <c r="H1491" s="77" t="s">
        <v>2301</v>
      </c>
      <c r="I1491" s="78">
        <v>0</v>
      </c>
      <c r="J1491" s="66">
        <v>6</v>
      </c>
      <c r="K1491" s="66">
        <v>0</v>
      </c>
      <c r="L1491" s="66">
        <v>0</v>
      </c>
      <c r="M1491" s="67">
        <v>0</v>
      </c>
      <c r="N1491" s="31">
        <v>0</v>
      </c>
      <c r="O1491" s="66">
        <v>0</v>
      </c>
      <c r="P1491" s="68">
        <v>0</v>
      </c>
      <c r="Q1491" s="35" t="s">
        <v>154</v>
      </c>
    </row>
    <row r="1492" spans="1:17" ht="48" x14ac:dyDescent="0.25">
      <c r="A1492" s="62">
        <v>38662</v>
      </c>
      <c r="B1492" s="62">
        <v>38662</v>
      </c>
      <c r="C1492" s="63">
        <v>2005</v>
      </c>
      <c r="D1492" s="35" t="s">
        <v>28</v>
      </c>
      <c r="E1492" s="30" t="s">
        <v>133</v>
      </c>
      <c r="F1492" s="28" t="s">
        <v>157</v>
      </c>
      <c r="G1492" s="77" t="s">
        <v>882</v>
      </c>
      <c r="H1492" s="77" t="s">
        <v>2302</v>
      </c>
      <c r="I1492" s="78">
        <v>3</v>
      </c>
      <c r="J1492" s="66">
        <v>18</v>
      </c>
      <c r="K1492" s="66">
        <v>3</v>
      </c>
      <c r="L1492" s="66">
        <v>0</v>
      </c>
      <c r="M1492" s="67">
        <v>0</v>
      </c>
      <c r="N1492" s="31">
        <v>0</v>
      </c>
      <c r="O1492" s="66">
        <v>0</v>
      </c>
      <c r="P1492" s="68">
        <f>0.004*3</f>
        <v>1.2E-2</v>
      </c>
      <c r="Q1492" s="35" t="s">
        <v>154</v>
      </c>
    </row>
    <row r="1493" spans="1:17" ht="36" x14ac:dyDescent="0.25">
      <c r="A1493" s="62">
        <v>38665</v>
      </c>
      <c r="B1493" s="62">
        <v>38665</v>
      </c>
      <c r="C1493" s="63">
        <v>2005</v>
      </c>
      <c r="D1493" s="35" t="s">
        <v>28</v>
      </c>
      <c r="E1493" s="30" t="s">
        <v>133</v>
      </c>
      <c r="F1493" s="28" t="s">
        <v>210</v>
      </c>
      <c r="G1493" s="77" t="s">
        <v>2303</v>
      </c>
      <c r="H1493" s="77" t="s">
        <v>2304</v>
      </c>
      <c r="I1493" s="78">
        <v>0</v>
      </c>
      <c r="J1493" s="66">
        <v>9</v>
      </c>
      <c r="K1493" s="66">
        <v>0</v>
      </c>
      <c r="L1493" s="66">
        <v>0</v>
      </c>
      <c r="M1493" s="67">
        <v>0</v>
      </c>
      <c r="N1493" s="31">
        <v>0</v>
      </c>
      <c r="O1493" s="66">
        <v>0</v>
      </c>
      <c r="P1493" s="68">
        <v>0</v>
      </c>
      <c r="Q1493" s="35" t="s">
        <v>154</v>
      </c>
    </row>
    <row r="1494" spans="1:17" ht="36" x14ac:dyDescent="0.25">
      <c r="A1494" s="62">
        <v>38667</v>
      </c>
      <c r="B1494" s="62">
        <v>38667</v>
      </c>
      <c r="C1494" s="63">
        <v>2005</v>
      </c>
      <c r="D1494" s="35" t="s">
        <v>28</v>
      </c>
      <c r="E1494" s="30" t="s">
        <v>133</v>
      </c>
      <c r="F1494" s="7" t="s">
        <v>75</v>
      </c>
      <c r="G1494" s="77" t="s">
        <v>2305</v>
      </c>
      <c r="H1494" s="77" t="s">
        <v>2306</v>
      </c>
      <c r="I1494" s="78">
        <v>2</v>
      </c>
      <c r="J1494" s="66">
        <v>2</v>
      </c>
      <c r="K1494" s="66">
        <v>1</v>
      </c>
      <c r="L1494" s="66">
        <v>0</v>
      </c>
      <c r="M1494" s="67">
        <v>0</v>
      </c>
      <c r="N1494" s="31">
        <v>0</v>
      </c>
      <c r="O1494" s="66">
        <v>0</v>
      </c>
      <c r="P1494" s="68">
        <v>0.01</v>
      </c>
      <c r="Q1494" s="35" t="s">
        <v>154</v>
      </c>
    </row>
    <row r="1495" spans="1:17" ht="36" x14ac:dyDescent="0.25">
      <c r="A1495" s="62">
        <v>38673</v>
      </c>
      <c r="B1495" s="62">
        <v>38673</v>
      </c>
      <c r="C1495" s="63">
        <v>2005</v>
      </c>
      <c r="D1495" s="35" t="s">
        <v>28</v>
      </c>
      <c r="E1495" s="30" t="s">
        <v>133</v>
      </c>
      <c r="F1495" s="7" t="s">
        <v>72</v>
      </c>
      <c r="G1495" s="77" t="s">
        <v>2307</v>
      </c>
      <c r="H1495" s="77" t="s">
        <v>2308</v>
      </c>
      <c r="I1495" s="78">
        <v>1</v>
      </c>
      <c r="J1495" s="66">
        <v>4</v>
      </c>
      <c r="K1495" s="66">
        <v>0</v>
      </c>
      <c r="L1495" s="66">
        <v>0</v>
      </c>
      <c r="M1495" s="67">
        <v>0</v>
      </c>
      <c r="N1495" s="31">
        <v>0</v>
      </c>
      <c r="O1495" s="66">
        <v>0</v>
      </c>
      <c r="P1495" s="68">
        <v>0</v>
      </c>
      <c r="Q1495" s="35" t="s">
        <v>154</v>
      </c>
    </row>
    <row r="1496" spans="1:17" ht="36" x14ac:dyDescent="0.25">
      <c r="A1496" s="62">
        <v>38674</v>
      </c>
      <c r="B1496" s="62">
        <v>38674</v>
      </c>
      <c r="C1496" s="63">
        <v>2005</v>
      </c>
      <c r="D1496" s="35" t="s">
        <v>28</v>
      </c>
      <c r="E1496" s="30" t="s">
        <v>133</v>
      </c>
      <c r="F1496" s="7" t="s">
        <v>53</v>
      </c>
      <c r="G1496" s="77" t="s">
        <v>2309</v>
      </c>
      <c r="H1496" s="77" t="s">
        <v>2310</v>
      </c>
      <c r="I1496" s="78">
        <v>0</v>
      </c>
      <c r="J1496" s="66">
        <v>0</v>
      </c>
      <c r="K1496" s="66">
        <v>0</v>
      </c>
      <c r="L1496" s="66">
        <v>0</v>
      </c>
      <c r="M1496" s="67">
        <v>0</v>
      </c>
      <c r="N1496" s="31">
        <v>0</v>
      </c>
      <c r="O1496" s="66">
        <v>0</v>
      </c>
      <c r="P1496" s="68">
        <v>0</v>
      </c>
      <c r="Q1496" s="35" t="s">
        <v>154</v>
      </c>
    </row>
    <row r="1497" spans="1:17" ht="36" x14ac:dyDescent="0.25">
      <c r="A1497" s="62">
        <v>38678</v>
      </c>
      <c r="B1497" s="62">
        <v>38678</v>
      </c>
      <c r="C1497" s="63">
        <v>2005</v>
      </c>
      <c r="D1497" s="35" t="s">
        <v>28</v>
      </c>
      <c r="E1497" s="30" t="s">
        <v>133</v>
      </c>
      <c r="F1497" s="7" t="s">
        <v>72</v>
      </c>
      <c r="G1497" s="77" t="s">
        <v>2311</v>
      </c>
      <c r="H1497" s="77" t="s">
        <v>2312</v>
      </c>
      <c r="I1497" s="78">
        <v>5</v>
      </c>
      <c r="J1497" s="66">
        <v>5</v>
      </c>
      <c r="K1497" s="66">
        <v>0</v>
      </c>
      <c r="L1497" s="66">
        <v>0</v>
      </c>
      <c r="M1497" s="67">
        <v>0</v>
      </c>
      <c r="N1497" s="31">
        <v>0</v>
      </c>
      <c r="O1497" s="66">
        <v>0</v>
      </c>
      <c r="P1497" s="92">
        <v>0</v>
      </c>
      <c r="Q1497" s="35" t="s">
        <v>154</v>
      </c>
    </row>
    <row r="1498" spans="1:17" ht="48" x14ac:dyDescent="0.25">
      <c r="A1498" s="62">
        <v>38688</v>
      </c>
      <c r="B1498" s="62">
        <v>38688</v>
      </c>
      <c r="C1498" s="63">
        <v>2005</v>
      </c>
      <c r="D1498" s="35" t="s">
        <v>28</v>
      </c>
      <c r="E1498" s="30" t="s">
        <v>133</v>
      </c>
      <c r="F1498" s="25" t="s">
        <v>781</v>
      </c>
      <c r="G1498" s="77" t="s">
        <v>1995</v>
      </c>
      <c r="H1498" s="77" t="s">
        <v>2313</v>
      </c>
      <c r="I1498" s="78">
        <v>0</v>
      </c>
      <c r="J1498" s="66">
        <v>9</v>
      </c>
      <c r="K1498" s="66">
        <v>0</v>
      </c>
      <c r="L1498" s="66">
        <v>0</v>
      </c>
      <c r="M1498" s="67">
        <v>0</v>
      </c>
      <c r="N1498" s="31">
        <v>0</v>
      </c>
      <c r="O1498" s="66">
        <v>0</v>
      </c>
      <c r="P1498" s="68">
        <v>0</v>
      </c>
      <c r="Q1498" s="35" t="s">
        <v>154</v>
      </c>
    </row>
    <row r="1499" spans="1:17" ht="36" x14ac:dyDescent="0.25">
      <c r="A1499" s="62">
        <v>38698</v>
      </c>
      <c r="B1499" s="62">
        <v>38698</v>
      </c>
      <c r="C1499" s="63">
        <v>2005</v>
      </c>
      <c r="D1499" s="35" t="s">
        <v>28</v>
      </c>
      <c r="E1499" s="30" t="s">
        <v>133</v>
      </c>
      <c r="F1499" s="7" t="s">
        <v>56</v>
      </c>
      <c r="G1499" s="77" t="s">
        <v>1348</v>
      </c>
      <c r="H1499" s="77" t="s">
        <v>2314</v>
      </c>
      <c r="I1499" s="78">
        <v>1</v>
      </c>
      <c r="J1499" s="66">
        <v>2</v>
      </c>
      <c r="K1499" s="66">
        <v>0</v>
      </c>
      <c r="L1499" s="66">
        <v>0</v>
      </c>
      <c r="M1499" s="67">
        <v>0</v>
      </c>
      <c r="N1499" s="31">
        <v>0</v>
      </c>
      <c r="O1499" s="66">
        <v>0</v>
      </c>
      <c r="P1499" s="68">
        <v>0</v>
      </c>
      <c r="Q1499" s="35" t="s">
        <v>154</v>
      </c>
    </row>
    <row r="1500" spans="1:17" ht="24" x14ac:dyDescent="0.25">
      <c r="A1500" s="62">
        <v>38699</v>
      </c>
      <c r="B1500" s="62">
        <v>38699</v>
      </c>
      <c r="C1500" s="63">
        <v>2005</v>
      </c>
      <c r="D1500" s="35" t="s">
        <v>28</v>
      </c>
      <c r="E1500" s="30" t="s">
        <v>133</v>
      </c>
      <c r="F1500" s="7" t="s">
        <v>91</v>
      </c>
      <c r="G1500" s="77" t="s">
        <v>2315</v>
      </c>
      <c r="H1500" s="77" t="s">
        <v>2316</v>
      </c>
      <c r="I1500" s="78">
        <v>0</v>
      </c>
      <c r="J1500" s="66">
        <v>4</v>
      </c>
      <c r="K1500" s="66">
        <v>0</v>
      </c>
      <c r="L1500" s="66">
        <v>0</v>
      </c>
      <c r="M1500" s="67">
        <v>0</v>
      </c>
      <c r="N1500" s="31">
        <v>0</v>
      </c>
      <c r="O1500" s="66">
        <v>0</v>
      </c>
      <c r="P1500" s="68">
        <v>0</v>
      </c>
      <c r="Q1500" s="35" t="s">
        <v>154</v>
      </c>
    </row>
    <row r="1501" spans="1:17" ht="24" x14ac:dyDescent="0.25">
      <c r="A1501" s="62">
        <v>38705</v>
      </c>
      <c r="B1501" s="62">
        <v>38705</v>
      </c>
      <c r="C1501" s="63">
        <v>2005</v>
      </c>
      <c r="D1501" s="35" t="s">
        <v>28</v>
      </c>
      <c r="E1501" s="30" t="s">
        <v>133</v>
      </c>
      <c r="F1501" s="28" t="s">
        <v>210</v>
      </c>
      <c r="G1501" s="77" t="s">
        <v>2317</v>
      </c>
      <c r="H1501" s="77" t="s">
        <v>2318</v>
      </c>
      <c r="I1501" s="78">
        <v>0</v>
      </c>
      <c r="J1501" s="66">
        <v>43</v>
      </c>
      <c r="K1501" s="66">
        <v>8</v>
      </c>
      <c r="L1501" s="66">
        <v>0</v>
      </c>
      <c r="M1501" s="67">
        <v>0</v>
      </c>
      <c r="N1501" s="31">
        <v>0</v>
      </c>
      <c r="O1501" s="66">
        <v>0</v>
      </c>
      <c r="P1501" s="68">
        <v>0.08</v>
      </c>
      <c r="Q1501" s="35" t="s">
        <v>154</v>
      </c>
    </row>
    <row r="1502" spans="1:17" ht="48" x14ac:dyDescent="0.25">
      <c r="A1502" s="62">
        <v>38423</v>
      </c>
      <c r="B1502" s="62">
        <v>38423</v>
      </c>
      <c r="C1502" s="63">
        <v>2005</v>
      </c>
      <c r="D1502" s="35" t="s">
        <v>28</v>
      </c>
      <c r="E1502" s="6" t="s">
        <v>369</v>
      </c>
      <c r="F1502" s="28" t="s">
        <v>210</v>
      </c>
      <c r="G1502" s="83" t="s">
        <v>2319</v>
      </c>
      <c r="H1502" s="83" t="s">
        <v>2320</v>
      </c>
      <c r="I1502" s="66">
        <v>0</v>
      </c>
      <c r="J1502" s="66">
        <v>0</v>
      </c>
      <c r="K1502" s="66">
        <v>0</v>
      </c>
      <c r="L1502" s="66">
        <v>0</v>
      </c>
      <c r="M1502" s="67">
        <v>0</v>
      </c>
      <c r="N1502" s="31">
        <v>0</v>
      </c>
      <c r="O1502" s="66">
        <v>0</v>
      </c>
      <c r="P1502" s="68">
        <v>1.08E-3</v>
      </c>
      <c r="Q1502" s="35" t="s">
        <v>154</v>
      </c>
    </row>
    <row r="1503" spans="1:17" ht="36" x14ac:dyDescent="0.25">
      <c r="A1503" s="62">
        <v>38476</v>
      </c>
      <c r="B1503" s="62">
        <v>38476</v>
      </c>
      <c r="C1503" s="63">
        <v>2005</v>
      </c>
      <c r="D1503" s="35" t="s">
        <v>28</v>
      </c>
      <c r="E1503" s="6" t="s">
        <v>369</v>
      </c>
      <c r="F1503" s="7" t="s">
        <v>91</v>
      </c>
      <c r="G1503" s="83" t="s">
        <v>2321</v>
      </c>
      <c r="H1503" s="83" t="s">
        <v>2322</v>
      </c>
      <c r="I1503" s="66">
        <v>0</v>
      </c>
      <c r="J1503" s="66">
        <v>0</v>
      </c>
      <c r="K1503" s="66">
        <v>0</v>
      </c>
      <c r="L1503" s="66">
        <v>0</v>
      </c>
      <c r="M1503" s="67">
        <v>0</v>
      </c>
      <c r="N1503" s="31">
        <v>0</v>
      </c>
      <c r="O1503" s="66">
        <v>2</v>
      </c>
      <c r="P1503" s="68">
        <v>0.84</v>
      </c>
      <c r="Q1503" s="35" t="s">
        <v>154</v>
      </c>
    </row>
    <row r="1504" spans="1:17" ht="36" x14ac:dyDescent="0.25">
      <c r="A1504" s="62">
        <v>38497</v>
      </c>
      <c r="B1504" s="62">
        <v>38497</v>
      </c>
      <c r="C1504" s="63">
        <v>2005</v>
      </c>
      <c r="D1504" s="35" t="s">
        <v>28</v>
      </c>
      <c r="E1504" s="6" t="s">
        <v>369</v>
      </c>
      <c r="F1504" s="7" t="s">
        <v>65</v>
      </c>
      <c r="G1504" s="83" t="s">
        <v>1346</v>
      </c>
      <c r="H1504" s="83" t="s">
        <v>2323</v>
      </c>
      <c r="I1504" s="66">
        <v>0</v>
      </c>
      <c r="J1504" s="66">
        <v>0</v>
      </c>
      <c r="K1504" s="66">
        <v>0</v>
      </c>
      <c r="L1504" s="66">
        <v>0</v>
      </c>
      <c r="M1504" s="67">
        <v>0</v>
      </c>
      <c r="N1504" s="31">
        <v>0</v>
      </c>
      <c r="O1504" s="66">
        <v>0</v>
      </c>
      <c r="P1504" s="68">
        <v>0</v>
      </c>
      <c r="Q1504" s="35" t="s">
        <v>154</v>
      </c>
    </row>
    <row r="1505" spans="1:17" ht="72" x14ac:dyDescent="0.25">
      <c r="A1505" s="62">
        <v>38541</v>
      </c>
      <c r="B1505" s="62">
        <v>38541</v>
      </c>
      <c r="C1505" s="63">
        <v>2005</v>
      </c>
      <c r="D1505" s="35" t="s">
        <v>28</v>
      </c>
      <c r="E1505" s="6" t="s">
        <v>369</v>
      </c>
      <c r="F1505" s="28" t="s">
        <v>210</v>
      </c>
      <c r="G1505" s="83" t="s">
        <v>2076</v>
      </c>
      <c r="H1505" s="83" t="s">
        <v>2324</v>
      </c>
      <c r="I1505" s="66">
        <v>0</v>
      </c>
      <c r="J1505" s="66">
        <v>0</v>
      </c>
      <c r="K1505" s="66">
        <v>0</v>
      </c>
      <c r="L1505" s="66">
        <v>0</v>
      </c>
      <c r="M1505" s="67">
        <v>0</v>
      </c>
      <c r="N1505" s="31">
        <v>0</v>
      </c>
      <c r="O1505" s="66">
        <v>0</v>
      </c>
      <c r="P1505" s="68">
        <v>6.6699999999999995E-2</v>
      </c>
      <c r="Q1505" s="35" t="s">
        <v>154</v>
      </c>
    </row>
    <row r="1506" spans="1:17" ht="48" x14ac:dyDescent="0.25">
      <c r="A1506" s="62">
        <v>38556</v>
      </c>
      <c r="B1506" s="62">
        <v>38556</v>
      </c>
      <c r="C1506" s="63">
        <v>2005</v>
      </c>
      <c r="D1506" s="35" t="s">
        <v>28</v>
      </c>
      <c r="E1506" s="6" t="s">
        <v>369</v>
      </c>
      <c r="F1506" s="7" t="s">
        <v>30</v>
      </c>
      <c r="G1506" s="83" t="s">
        <v>1070</v>
      </c>
      <c r="H1506" s="83" t="s">
        <v>2325</v>
      </c>
      <c r="I1506" s="66">
        <v>0</v>
      </c>
      <c r="J1506" s="66">
        <v>20</v>
      </c>
      <c r="K1506" s="66">
        <v>0</v>
      </c>
      <c r="L1506" s="66">
        <v>0</v>
      </c>
      <c r="M1506" s="67">
        <v>0</v>
      </c>
      <c r="N1506" s="31">
        <v>0</v>
      </c>
      <c r="O1506" s="66">
        <v>0</v>
      </c>
      <c r="P1506" s="68">
        <v>0</v>
      </c>
      <c r="Q1506" s="35" t="s">
        <v>154</v>
      </c>
    </row>
    <row r="1507" spans="1:17" ht="36" x14ac:dyDescent="0.25">
      <c r="A1507" s="62">
        <v>38558</v>
      </c>
      <c r="B1507" s="62">
        <v>38558</v>
      </c>
      <c r="C1507" s="63">
        <v>2005</v>
      </c>
      <c r="D1507" s="35" t="s">
        <v>28</v>
      </c>
      <c r="E1507" s="6" t="s">
        <v>369</v>
      </c>
      <c r="F1507" s="7" t="s">
        <v>97</v>
      </c>
      <c r="G1507" s="83" t="s">
        <v>2175</v>
      </c>
      <c r="H1507" s="83" t="s">
        <v>2326</v>
      </c>
      <c r="I1507" s="66">
        <v>1</v>
      </c>
      <c r="J1507" s="66">
        <v>3</v>
      </c>
      <c r="K1507" s="66">
        <v>0</v>
      </c>
      <c r="L1507" s="66">
        <v>0</v>
      </c>
      <c r="M1507" s="67">
        <v>0</v>
      </c>
      <c r="N1507" s="31">
        <v>0</v>
      </c>
      <c r="O1507" s="66">
        <v>0</v>
      </c>
      <c r="P1507" s="68">
        <v>0</v>
      </c>
      <c r="Q1507" s="35" t="s">
        <v>154</v>
      </c>
    </row>
    <row r="1508" spans="1:17" ht="60" x14ac:dyDescent="0.25">
      <c r="A1508" s="62">
        <v>38376</v>
      </c>
      <c r="B1508" s="62">
        <v>38376</v>
      </c>
      <c r="C1508" s="63">
        <v>2005</v>
      </c>
      <c r="D1508" s="35" t="s">
        <v>28</v>
      </c>
      <c r="E1508" s="30" t="s">
        <v>125</v>
      </c>
      <c r="F1508" s="28" t="s">
        <v>210</v>
      </c>
      <c r="G1508" s="77" t="s">
        <v>2327</v>
      </c>
      <c r="H1508" s="77" t="s">
        <v>2328</v>
      </c>
      <c r="I1508" s="78">
        <v>0</v>
      </c>
      <c r="J1508" s="66">
        <v>1000</v>
      </c>
      <c r="K1508" s="66">
        <v>0</v>
      </c>
      <c r="L1508" s="66">
        <v>0</v>
      </c>
      <c r="M1508" s="67">
        <v>0</v>
      </c>
      <c r="N1508" s="31">
        <v>0</v>
      </c>
      <c r="O1508" s="66">
        <v>0</v>
      </c>
      <c r="P1508" s="68">
        <v>0</v>
      </c>
      <c r="Q1508" s="35" t="s">
        <v>154</v>
      </c>
    </row>
    <row r="1509" spans="1:17" ht="60" x14ac:dyDescent="0.25">
      <c r="A1509" s="62">
        <v>38427</v>
      </c>
      <c r="B1509" s="62">
        <v>38427</v>
      </c>
      <c r="C1509" s="63">
        <v>2005</v>
      </c>
      <c r="D1509" s="35" t="s">
        <v>28</v>
      </c>
      <c r="E1509" s="30" t="s">
        <v>125</v>
      </c>
      <c r="F1509" s="28" t="s">
        <v>210</v>
      </c>
      <c r="G1509" s="93" t="s">
        <v>2329</v>
      </c>
      <c r="H1509" s="93" t="s">
        <v>2330</v>
      </c>
      <c r="I1509" s="78">
        <v>0</v>
      </c>
      <c r="J1509" s="66">
        <v>0</v>
      </c>
      <c r="K1509" s="66">
        <v>0</v>
      </c>
      <c r="L1509" s="66">
        <v>0</v>
      </c>
      <c r="M1509" s="67">
        <v>0</v>
      </c>
      <c r="N1509" s="31">
        <v>0</v>
      </c>
      <c r="O1509" s="66">
        <v>0</v>
      </c>
      <c r="P1509" s="68">
        <v>1.2700000000000001E-3</v>
      </c>
      <c r="Q1509" s="35" t="s">
        <v>154</v>
      </c>
    </row>
    <row r="1510" spans="1:17" ht="84" x14ac:dyDescent="0.25">
      <c r="A1510" s="62">
        <v>38455</v>
      </c>
      <c r="B1510" s="62">
        <v>38455</v>
      </c>
      <c r="C1510" s="63">
        <v>2005</v>
      </c>
      <c r="D1510" s="35" t="s">
        <v>28</v>
      </c>
      <c r="E1510" s="30" t="s">
        <v>125</v>
      </c>
      <c r="F1510" s="28" t="s">
        <v>210</v>
      </c>
      <c r="G1510" s="77" t="s">
        <v>2331</v>
      </c>
      <c r="H1510" s="77" t="s">
        <v>2332</v>
      </c>
      <c r="I1510" s="78">
        <v>6</v>
      </c>
      <c r="J1510" s="66">
        <v>1500</v>
      </c>
      <c r="K1510" s="66">
        <v>0</v>
      </c>
      <c r="L1510" s="66">
        <v>0</v>
      </c>
      <c r="M1510" s="67">
        <v>0</v>
      </c>
      <c r="N1510" s="31">
        <v>0</v>
      </c>
      <c r="O1510" s="66">
        <v>0</v>
      </c>
      <c r="P1510" s="68">
        <v>0</v>
      </c>
      <c r="Q1510" s="35" t="s">
        <v>154</v>
      </c>
    </row>
    <row r="1511" spans="1:17" ht="36" x14ac:dyDescent="0.25">
      <c r="A1511" s="62">
        <v>38489</v>
      </c>
      <c r="B1511" s="62">
        <v>38489</v>
      </c>
      <c r="C1511" s="63">
        <v>2005</v>
      </c>
      <c r="D1511" s="35" t="s">
        <v>28</v>
      </c>
      <c r="E1511" s="30" t="s">
        <v>125</v>
      </c>
      <c r="F1511" s="7" t="s">
        <v>77</v>
      </c>
      <c r="G1511" s="77" t="s">
        <v>2333</v>
      </c>
      <c r="H1511" s="77" t="s">
        <v>2334</v>
      </c>
      <c r="I1511" s="78">
        <v>0</v>
      </c>
      <c r="J1511" s="66">
        <v>11</v>
      </c>
      <c r="K1511" s="66">
        <v>0</v>
      </c>
      <c r="L1511" s="66">
        <v>0</v>
      </c>
      <c r="M1511" s="67">
        <v>0</v>
      </c>
      <c r="N1511" s="31">
        <v>0</v>
      </c>
      <c r="O1511" s="66">
        <v>0</v>
      </c>
      <c r="P1511" s="68">
        <v>1.43E-2</v>
      </c>
      <c r="Q1511" s="35" t="s">
        <v>154</v>
      </c>
    </row>
    <row r="1512" spans="1:17" ht="96" x14ac:dyDescent="0.25">
      <c r="A1512" s="62">
        <v>38541</v>
      </c>
      <c r="B1512" s="62">
        <v>38541</v>
      </c>
      <c r="C1512" s="63">
        <v>2005</v>
      </c>
      <c r="D1512" s="35" t="s">
        <v>28</v>
      </c>
      <c r="E1512" s="30" t="s">
        <v>125</v>
      </c>
      <c r="F1512" s="25" t="s">
        <v>781</v>
      </c>
      <c r="G1512" s="77" t="s">
        <v>2335</v>
      </c>
      <c r="H1512" s="79" t="s">
        <v>2336</v>
      </c>
      <c r="I1512" s="78">
        <v>4</v>
      </c>
      <c r="J1512" s="66">
        <v>803</v>
      </c>
      <c r="K1512" s="66">
        <v>10</v>
      </c>
      <c r="L1512" s="66">
        <v>0</v>
      </c>
      <c r="M1512" s="67">
        <v>0</v>
      </c>
      <c r="N1512" s="31">
        <v>0</v>
      </c>
      <c r="O1512" s="66">
        <v>0</v>
      </c>
      <c r="P1512" s="68">
        <v>3.8344499999999999</v>
      </c>
      <c r="Q1512" s="35" t="s">
        <v>154</v>
      </c>
    </row>
    <row r="1513" spans="1:17" ht="24" x14ac:dyDescent="0.25">
      <c r="A1513" s="62">
        <v>38557</v>
      </c>
      <c r="B1513" s="62">
        <v>38557</v>
      </c>
      <c r="C1513" s="63">
        <v>2005</v>
      </c>
      <c r="D1513" s="35" t="s">
        <v>28</v>
      </c>
      <c r="E1513" s="30" t="s">
        <v>125</v>
      </c>
      <c r="F1513" s="25" t="s">
        <v>781</v>
      </c>
      <c r="G1513" s="77" t="s">
        <v>2337</v>
      </c>
      <c r="H1513" s="77" t="s">
        <v>2338</v>
      </c>
      <c r="I1513" s="78">
        <v>0</v>
      </c>
      <c r="J1513" s="66">
        <v>140</v>
      </c>
      <c r="K1513" s="66">
        <v>0</v>
      </c>
      <c r="L1513" s="66">
        <v>0</v>
      </c>
      <c r="M1513" s="67">
        <v>0</v>
      </c>
      <c r="N1513" s="31">
        <v>0</v>
      </c>
      <c r="O1513" s="66">
        <v>0</v>
      </c>
      <c r="P1513" s="68">
        <v>0</v>
      </c>
      <c r="Q1513" s="35" t="s">
        <v>154</v>
      </c>
    </row>
    <row r="1514" spans="1:17" ht="36" x14ac:dyDescent="0.25">
      <c r="A1514" s="62">
        <v>38643</v>
      </c>
      <c r="B1514" s="62">
        <v>38643</v>
      </c>
      <c r="C1514" s="63">
        <v>2005</v>
      </c>
      <c r="D1514" s="35" t="s">
        <v>28</v>
      </c>
      <c r="E1514" s="30" t="s">
        <v>125</v>
      </c>
      <c r="F1514" s="28" t="s">
        <v>210</v>
      </c>
      <c r="G1514" s="77" t="s">
        <v>2331</v>
      </c>
      <c r="H1514" s="77" t="s">
        <v>2339</v>
      </c>
      <c r="I1514" s="78">
        <v>0</v>
      </c>
      <c r="J1514" s="66">
        <v>0</v>
      </c>
      <c r="K1514" s="66">
        <v>0</v>
      </c>
      <c r="L1514" s="66">
        <v>0</v>
      </c>
      <c r="M1514" s="67">
        <v>0</v>
      </c>
      <c r="N1514" s="31">
        <v>0</v>
      </c>
      <c r="O1514" s="66">
        <v>0</v>
      </c>
      <c r="P1514" s="68">
        <v>0</v>
      </c>
      <c r="Q1514" s="35" t="s">
        <v>154</v>
      </c>
    </row>
    <row r="1515" spans="1:17" ht="36" x14ac:dyDescent="0.25">
      <c r="A1515" s="62">
        <v>38643</v>
      </c>
      <c r="B1515" s="62">
        <v>38643</v>
      </c>
      <c r="C1515" s="63">
        <v>2005</v>
      </c>
      <c r="D1515" s="35" t="s">
        <v>28</v>
      </c>
      <c r="E1515" s="30" t="s">
        <v>125</v>
      </c>
      <c r="F1515" s="25" t="s">
        <v>781</v>
      </c>
      <c r="G1515" s="77" t="s">
        <v>1995</v>
      </c>
      <c r="H1515" s="77" t="s">
        <v>2340</v>
      </c>
      <c r="I1515" s="78">
        <v>0</v>
      </c>
      <c r="J1515" s="66">
        <v>13</v>
      </c>
      <c r="K1515" s="66">
        <v>0</v>
      </c>
      <c r="L1515" s="66">
        <v>0</v>
      </c>
      <c r="M1515" s="67">
        <v>0</v>
      </c>
      <c r="N1515" s="31">
        <v>0</v>
      </c>
      <c r="O1515" s="66">
        <v>0</v>
      </c>
      <c r="P1515" s="68">
        <v>0</v>
      </c>
      <c r="Q1515" s="35" t="s">
        <v>154</v>
      </c>
    </row>
    <row r="1516" spans="1:17" ht="36" x14ac:dyDescent="0.25">
      <c r="A1516" s="62">
        <v>38673</v>
      </c>
      <c r="B1516" s="62">
        <v>38673</v>
      </c>
      <c r="C1516" s="63">
        <v>2005</v>
      </c>
      <c r="D1516" s="35" t="s">
        <v>28</v>
      </c>
      <c r="E1516" s="30" t="s">
        <v>125</v>
      </c>
      <c r="F1516" s="7" t="s">
        <v>101</v>
      </c>
      <c r="G1516" s="77" t="s">
        <v>752</v>
      </c>
      <c r="H1516" s="77" t="s">
        <v>2341</v>
      </c>
      <c r="I1516" s="78">
        <v>0</v>
      </c>
      <c r="J1516" s="66">
        <v>3</v>
      </c>
      <c r="K1516" s="66">
        <v>0</v>
      </c>
      <c r="L1516" s="66">
        <v>0</v>
      </c>
      <c r="M1516" s="67">
        <v>0</v>
      </c>
      <c r="N1516" s="31">
        <v>0</v>
      </c>
      <c r="O1516" s="66">
        <v>0</v>
      </c>
      <c r="P1516" s="68">
        <v>0</v>
      </c>
      <c r="Q1516" s="35" t="s">
        <v>154</v>
      </c>
    </row>
    <row r="1517" spans="1:17" ht="48" x14ac:dyDescent="0.25">
      <c r="A1517" s="62">
        <v>38676</v>
      </c>
      <c r="B1517" s="62">
        <v>38676</v>
      </c>
      <c r="C1517" s="63">
        <v>2005</v>
      </c>
      <c r="D1517" s="35" t="s">
        <v>28</v>
      </c>
      <c r="E1517" s="30" t="s">
        <v>125</v>
      </c>
      <c r="F1517" s="7" t="s">
        <v>91</v>
      </c>
      <c r="G1517" s="77" t="s">
        <v>2342</v>
      </c>
      <c r="H1517" s="77" t="s">
        <v>2343</v>
      </c>
      <c r="I1517" s="78">
        <v>3</v>
      </c>
      <c r="J1517" s="66">
        <v>3</v>
      </c>
      <c r="K1517" s="66">
        <v>0</v>
      </c>
      <c r="L1517" s="66">
        <v>0</v>
      </c>
      <c r="M1517" s="67">
        <v>0</v>
      </c>
      <c r="N1517" s="31">
        <v>0</v>
      </c>
      <c r="O1517" s="66">
        <v>0</v>
      </c>
      <c r="P1517" s="68">
        <v>0</v>
      </c>
      <c r="Q1517" s="35" t="s">
        <v>154</v>
      </c>
    </row>
    <row r="1518" spans="1:17" ht="24" x14ac:dyDescent="0.25">
      <c r="A1518" s="62">
        <v>38687</v>
      </c>
      <c r="B1518" s="62">
        <v>38687</v>
      </c>
      <c r="C1518" s="63">
        <v>2005</v>
      </c>
      <c r="D1518" s="35" t="s">
        <v>28</v>
      </c>
      <c r="E1518" s="30" t="s">
        <v>125</v>
      </c>
      <c r="F1518" s="28" t="s">
        <v>157</v>
      </c>
      <c r="G1518" s="77" t="s">
        <v>526</v>
      </c>
      <c r="H1518" s="77" t="s">
        <v>2344</v>
      </c>
      <c r="I1518" s="78">
        <v>0</v>
      </c>
      <c r="J1518" s="66">
        <v>5</v>
      </c>
      <c r="K1518" s="66">
        <v>0</v>
      </c>
      <c r="L1518" s="66">
        <v>0</v>
      </c>
      <c r="M1518" s="67">
        <v>0</v>
      </c>
      <c r="N1518" s="31">
        <v>0</v>
      </c>
      <c r="O1518" s="66">
        <v>0</v>
      </c>
      <c r="P1518" s="68">
        <v>0</v>
      </c>
      <c r="Q1518" s="35" t="s">
        <v>154</v>
      </c>
    </row>
    <row r="1519" spans="1:17" ht="48" x14ac:dyDescent="0.25">
      <c r="A1519" s="62">
        <v>38694</v>
      </c>
      <c r="B1519" s="62">
        <v>38694</v>
      </c>
      <c r="C1519" s="63">
        <v>2005</v>
      </c>
      <c r="D1519" s="35" t="s">
        <v>28</v>
      </c>
      <c r="E1519" s="30" t="s">
        <v>125</v>
      </c>
      <c r="F1519" s="7" t="s">
        <v>87</v>
      </c>
      <c r="G1519" s="77" t="s">
        <v>1718</v>
      </c>
      <c r="H1519" s="77" t="s">
        <v>2345</v>
      </c>
      <c r="I1519" s="78">
        <v>0</v>
      </c>
      <c r="J1519" s="66">
        <v>0</v>
      </c>
      <c r="K1519" s="66">
        <v>0</v>
      </c>
      <c r="L1519" s="66">
        <v>0</v>
      </c>
      <c r="M1519" s="67">
        <v>0</v>
      </c>
      <c r="N1519" s="31">
        <v>0</v>
      </c>
      <c r="O1519" s="66">
        <v>0</v>
      </c>
      <c r="P1519" s="26">
        <v>6.5000000000000002E-2</v>
      </c>
      <c r="Q1519" s="35" t="s">
        <v>154</v>
      </c>
    </row>
    <row r="1520" spans="1:17" ht="36" x14ac:dyDescent="0.25">
      <c r="A1520" s="62">
        <v>38358</v>
      </c>
      <c r="B1520" s="62">
        <v>38358</v>
      </c>
      <c r="C1520" s="63">
        <v>2005</v>
      </c>
      <c r="D1520" s="35" t="s">
        <v>28</v>
      </c>
      <c r="E1520" s="14" t="s">
        <v>29</v>
      </c>
      <c r="F1520" s="7" t="s">
        <v>36</v>
      </c>
      <c r="G1520" s="83" t="s">
        <v>2346</v>
      </c>
      <c r="H1520" s="83" t="s">
        <v>2347</v>
      </c>
      <c r="I1520" s="94">
        <v>0</v>
      </c>
      <c r="J1520" s="66">
        <v>0</v>
      </c>
      <c r="K1520" s="66">
        <v>0</v>
      </c>
      <c r="L1520" s="66">
        <v>0</v>
      </c>
      <c r="M1520" s="67">
        <v>0</v>
      </c>
      <c r="N1520" s="31">
        <v>0</v>
      </c>
      <c r="O1520" s="66">
        <v>30</v>
      </c>
      <c r="P1520" s="26">
        <v>0.03</v>
      </c>
      <c r="Q1520" s="35" t="s">
        <v>154</v>
      </c>
    </row>
    <row r="1521" spans="1:17" ht="24" x14ac:dyDescent="0.25">
      <c r="A1521" s="62">
        <v>38365</v>
      </c>
      <c r="B1521" s="62">
        <v>38365</v>
      </c>
      <c r="C1521" s="63">
        <v>2005</v>
      </c>
      <c r="D1521" s="35" t="s">
        <v>28</v>
      </c>
      <c r="E1521" s="14" t="s">
        <v>29</v>
      </c>
      <c r="F1521" s="7" t="s">
        <v>56</v>
      </c>
      <c r="G1521" s="83" t="s">
        <v>218</v>
      </c>
      <c r="H1521" s="83" t="s">
        <v>2348</v>
      </c>
      <c r="I1521" s="94">
        <v>0</v>
      </c>
      <c r="J1521" s="66">
        <v>0</v>
      </c>
      <c r="K1521" s="66">
        <v>0</v>
      </c>
      <c r="L1521" s="66">
        <v>0</v>
      </c>
      <c r="M1521" s="67">
        <v>0</v>
      </c>
      <c r="N1521" s="31">
        <v>0</v>
      </c>
      <c r="O1521" s="66">
        <v>20</v>
      </c>
      <c r="P1521" s="26">
        <v>0.02</v>
      </c>
      <c r="Q1521" s="35" t="s">
        <v>154</v>
      </c>
    </row>
    <row r="1522" spans="1:17" ht="24" x14ac:dyDescent="0.25">
      <c r="A1522" s="62">
        <v>38370</v>
      </c>
      <c r="B1522" s="62">
        <v>38370</v>
      </c>
      <c r="C1522" s="63">
        <v>2005</v>
      </c>
      <c r="D1522" s="35" t="s">
        <v>28</v>
      </c>
      <c r="E1522" s="14" t="s">
        <v>29</v>
      </c>
      <c r="F1522" s="28" t="s">
        <v>151</v>
      </c>
      <c r="G1522" s="83" t="s">
        <v>1477</v>
      </c>
      <c r="H1522" s="83" t="s">
        <v>2349</v>
      </c>
      <c r="I1522" s="94">
        <v>0</v>
      </c>
      <c r="J1522" s="66">
        <v>0</v>
      </c>
      <c r="K1522" s="66">
        <v>0</v>
      </c>
      <c r="L1522" s="66">
        <v>0</v>
      </c>
      <c r="M1522" s="67">
        <v>0</v>
      </c>
      <c r="N1522" s="31">
        <v>0</v>
      </c>
      <c r="O1522" s="66">
        <v>60</v>
      </c>
      <c r="P1522" s="26">
        <v>0.06</v>
      </c>
      <c r="Q1522" s="35" t="s">
        <v>154</v>
      </c>
    </row>
    <row r="1523" spans="1:17" ht="36" x14ac:dyDescent="0.25">
      <c r="A1523" s="62">
        <v>38371</v>
      </c>
      <c r="B1523" s="62">
        <v>38371</v>
      </c>
      <c r="C1523" s="63">
        <v>2005</v>
      </c>
      <c r="D1523" s="35" t="s">
        <v>28</v>
      </c>
      <c r="E1523" s="14" t="s">
        <v>29</v>
      </c>
      <c r="F1523" s="7" t="s">
        <v>56</v>
      </c>
      <c r="G1523" s="83" t="s">
        <v>2350</v>
      </c>
      <c r="H1523" s="83" t="s">
        <v>2351</v>
      </c>
      <c r="I1523" s="94">
        <v>0</v>
      </c>
      <c r="J1523" s="66">
        <v>0</v>
      </c>
      <c r="K1523" s="66">
        <v>0</v>
      </c>
      <c r="L1523" s="66">
        <v>0</v>
      </c>
      <c r="M1523" s="67">
        <v>0</v>
      </c>
      <c r="N1523" s="31">
        <v>0</v>
      </c>
      <c r="O1523" s="66">
        <v>58</v>
      </c>
      <c r="P1523" s="26">
        <v>5.8000000000000003E-2</v>
      </c>
      <c r="Q1523" s="35" t="s">
        <v>154</v>
      </c>
    </row>
    <row r="1524" spans="1:17" ht="24" x14ac:dyDescent="0.25">
      <c r="A1524" s="62">
        <v>38393</v>
      </c>
      <c r="B1524" s="62">
        <v>38393</v>
      </c>
      <c r="C1524" s="63">
        <v>2005</v>
      </c>
      <c r="D1524" s="35" t="s">
        <v>28</v>
      </c>
      <c r="E1524" s="14" t="s">
        <v>29</v>
      </c>
      <c r="F1524" s="7" t="s">
        <v>56</v>
      </c>
      <c r="G1524" s="83" t="s">
        <v>218</v>
      </c>
      <c r="H1524" s="83" t="s">
        <v>2352</v>
      </c>
      <c r="I1524" s="94">
        <v>0</v>
      </c>
      <c r="J1524" s="66">
        <v>0</v>
      </c>
      <c r="K1524" s="66">
        <v>0</v>
      </c>
      <c r="L1524" s="66">
        <v>0</v>
      </c>
      <c r="M1524" s="67">
        <v>0</v>
      </c>
      <c r="N1524" s="31">
        <v>0</v>
      </c>
      <c r="O1524" s="66">
        <v>80</v>
      </c>
      <c r="P1524" s="26">
        <v>0.08</v>
      </c>
      <c r="Q1524" s="35" t="s">
        <v>154</v>
      </c>
    </row>
    <row r="1525" spans="1:17" ht="24" x14ac:dyDescent="0.25">
      <c r="A1525" s="62">
        <v>38397</v>
      </c>
      <c r="B1525" s="62">
        <v>38397</v>
      </c>
      <c r="C1525" s="63">
        <v>2005</v>
      </c>
      <c r="D1525" s="35" t="s">
        <v>28</v>
      </c>
      <c r="E1525" s="14" t="s">
        <v>29</v>
      </c>
      <c r="F1525" s="7" t="s">
        <v>91</v>
      </c>
      <c r="G1525" s="83" t="s">
        <v>2353</v>
      </c>
      <c r="H1525" s="83" t="s">
        <v>2354</v>
      </c>
      <c r="I1525" s="94">
        <v>0</v>
      </c>
      <c r="J1525" s="66">
        <v>0</v>
      </c>
      <c r="K1525" s="66">
        <v>0</v>
      </c>
      <c r="L1525" s="66">
        <v>0</v>
      </c>
      <c r="M1525" s="67">
        <v>0</v>
      </c>
      <c r="N1525" s="31">
        <v>0</v>
      </c>
      <c r="O1525" s="66">
        <v>60</v>
      </c>
      <c r="P1525" s="26">
        <v>0.51749999999999996</v>
      </c>
      <c r="Q1525" s="35" t="s">
        <v>154</v>
      </c>
    </row>
    <row r="1526" spans="1:17" ht="24" x14ac:dyDescent="0.25">
      <c r="A1526" s="62">
        <v>38398</v>
      </c>
      <c r="B1526" s="62">
        <v>38398</v>
      </c>
      <c r="C1526" s="63">
        <v>2005</v>
      </c>
      <c r="D1526" s="35" t="s">
        <v>28</v>
      </c>
      <c r="E1526" s="14" t="s">
        <v>29</v>
      </c>
      <c r="F1526" s="7" t="s">
        <v>56</v>
      </c>
      <c r="G1526" s="83" t="s">
        <v>2355</v>
      </c>
      <c r="H1526" s="83" t="s">
        <v>2356</v>
      </c>
      <c r="I1526" s="94">
        <v>0</v>
      </c>
      <c r="J1526" s="66">
        <v>0</v>
      </c>
      <c r="K1526" s="66">
        <v>0</v>
      </c>
      <c r="L1526" s="66">
        <v>0</v>
      </c>
      <c r="M1526" s="67">
        <v>0</v>
      </c>
      <c r="N1526" s="31">
        <v>0</v>
      </c>
      <c r="O1526" s="66">
        <v>78</v>
      </c>
      <c r="P1526" s="26">
        <v>7.8E-2</v>
      </c>
      <c r="Q1526" s="35" t="s">
        <v>154</v>
      </c>
    </row>
    <row r="1527" spans="1:17" ht="36" x14ac:dyDescent="0.25">
      <c r="A1527" s="62">
        <v>38399</v>
      </c>
      <c r="B1527" s="62">
        <v>38399</v>
      </c>
      <c r="C1527" s="63">
        <v>2005</v>
      </c>
      <c r="D1527" s="35" t="s">
        <v>28</v>
      </c>
      <c r="E1527" s="14" t="s">
        <v>29</v>
      </c>
      <c r="F1527" s="7" t="s">
        <v>56</v>
      </c>
      <c r="G1527" s="83" t="s">
        <v>2357</v>
      </c>
      <c r="H1527" s="83" t="s">
        <v>2358</v>
      </c>
      <c r="I1527" s="94">
        <v>0</v>
      </c>
      <c r="J1527" s="66">
        <v>0</v>
      </c>
      <c r="K1527" s="66">
        <v>0</v>
      </c>
      <c r="L1527" s="66">
        <v>0</v>
      </c>
      <c r="M1527" s="67">
        <v>0</v>
      </c>
      <c r="N1527" s="31">
        <v>0</v>
      </c>
      <c r="O1527" s="66">
        <v>115</v>
      </c>
      <c r="P1527" s="26">
        <v>0.115</v>
      </c>
      <c r="Q1527" s="35" t="s">
        <v>154</v>
      </c>
    </row>
    <row r="1528" spans="1:17" ht="36" x14ac:dyDescent="0.25">
      <c r="A1528" s="62">
        <v>38400</v>
      </c>
      <c r="B1528" s="62">
        <v>38400</v>
      </c>
      <c r="C1528" s="63">
        <v>2005</v>
      </c>
      <c r="D1528" s="35" t="s">
        <v>28</v>
      </c>
      <c r="E1528" s="14" t="s">
        <v>29</v>
      </c>
      <c r="F1528" s="7" t="s">
        <v>56</v>
      </c>
      <c r="G1528" s="83" t="s">
        <v>2359</v>
      </c>
      <c r="H1528" s="83" t="s">
        <v>2360</v>
      </c>
      <c r="I1528" s="94">
        <v>0</v>
      </c>
      <c r="J1528" s="66">
        <v>0</v>
      </c>
      <c r="K1528" s="66">
        <v>0</v>
      </c>
      <c r="L1528" s="66">
        <v>0</v>
      </c>
      <c r="M1528" s="67">
        <v>0</v>
      </c>
      <c r="N1528" s="31">
        <v>0</v>
      </c>
      <c r="O1528" s="66">
        <v>64.5</v>
      </c>
      <c r="P1528" s="26">
        <v>6.4500000000000002E-2</v>
      </c>
      <c r="Q1528" s="35" t="s">
        <v>154</v>
      </c>
    </row>
    <row r="1529" spans="1:17" ht="48" x14ac:dyDescent="0.25">
      <c r="A1529" s="62">
        <v>38403</v>
      </c>
      <c r="B1529" s="62">
        <v>38404</v>
      </c>
      <c r="C1529" s="63">
        <v>2005</v>
      </c>
      <c r="D1529" s="35" t="s">
        <v>28</v>
      </c>
      <c r="E1529" s="14" t="s">
        <v>29</v>
      </c>
      <c r="F1529" s="7" t="s">
        <v>56</v>
      </c>
      <c r="G1529" s="83" t="s">
        <v>2361</v>
      </c>
      <c r="H1529" s="83" t="s">
        <v>2362</v>
      </c>
      <c r="I1529" s="94">
        <v>0</v>
      </c>
      <c r="J1529" s="66">
        <v>0</v>
      </c>
      <c r="K1529" s="66">
        <v>0</v>
      </c>
      <c r="L1529" s="66">
        <v>0</v>
      </c>
      <c r="M1529" s="67">
        <v>0</v>
      </c>
      <c r="N1529" s="31">
        <v>0</v>
      </c>
      <c r="O1529" s="66">
        <v>275</v>
      </c>
      <c r="P1529" s="26">
        <v>0.27500000000000002</v>
      </c>
      <c r="Q1529" s="35" t="s">
        <v>154</v>
      </c>
    </row>
    <row r="1530" spans="1:17" ht="36" x14ac:dyDescent="0.25">
      <c r="A1530" s="62">
        <v>38406</v>
      </c>
      <c r="B1530" s="62">
        <v>38406</v>
      </c>
      <c r="C1530" s="63">
        <v>2005</v>
      </c>
      <c r="D1530" s="35" t="s">
        <v>28</v>
      </c>
      <c r="E1530" s="14" t="s">
        <v>29</v>
      </c>
      <c r="F1530" s="7" t="s">
        <v>56</v>
      </c>
      <c r="G1530" s="83" t="s">
        <v>2363</v>
      </c>
      <c r="H1530" s="83" t="s">
        <v>2364</v>
      </c>
      <c r="I1530" s="94">
        <v>0</v>
      </c>
      <c r="J1530" s="66">
        <v>0</v>
      </c>
      <c r="K1530" s="66">
        <v>0</v>
      </c>
      <c r="L1530" s="66">
        <v>0</v>
      </c>
      <c r="M1530" s="67">
        <v>0</v>
      </c>
      <c r="N1530" s="31">
        <v>0</v>
      </c>
      <c r="O1530" s="66">
        <v>167</v>
      </c>
      <c r="P1530" s="26">
        <v>0.16700000000000001</v>
      </c>
      <c r="Q1530" s="35" t="s">
        <v>154</v>
      </c>
    </row>
    <row r="1531" spans="1:17" ht="48" x14ac:dyDescent="0.25">
      <c r="A1531" s="62">
        <v>38408</v>
      </c>
      <c r="B1531" s="62">
        <v>38408</v>
      </c>
      <c r="C1531" s="63">
        <v>2005</v>
      </c>
      <c r="D1531" s="35" t="s">
        <v>28</v>
      </c>
      <c r="E1531" s="14" t="s">
        <v>29</v>
      </c>
      <c r="F1531" s="7" t="s">
        <v>72</v>
      </c>
      <c r="G1531" s="83" t="s">
        <v>2365</v>
      </c>
      <c r="H1531" s="83" t="s">
        <v>2366</v>
      </c>
      <c r="I1531" s="94">
        <v>0</v>
      </c>
      <c r="J1531" s="66">
        <v>0</v>
      </c>
      <c r="K1531" s="66">
        <v>0</v>
      </c>
      <c r="L1531" s="66">
        <v>0</v>
      </c>
      <c r="M1531" s="67">
        <v>0</v>
      </c>
      <c r="N1531" s="31">
        <v>0</v>
      </c>
      <c r="O1531" s="66">
        <v>1000</v>
      </c>
      <c r="P1531" s="26">
        <v>1</v>
      </c>
      <c r="Q1531" s="35" t="s">
        <v>154</v>
      </c>
    </row>
    <row r="1532" spans="1:17" ht="24" x14ac:dyDescent="0.25">
      <c r="A1532" s="62">
        <v>38412</v>
      </c>
      <c r="B1532" s="62">
        <v>38413</v>
      </c>
      <c r="C1532" s="63">
        <v>2005</v>
      </c>
      <c r="D1532" s="35" t="s">
        <v>28</v>
      </c>
      <c r="E1532" s="14" t="s">
        <v>29</v>
      </c>
      <c r="F1532" s="28" t="s">
        <v>151</v>
      </c>
      <c r="G1532" s="83" t="s">
        <v>2367</v>
      </c>
      <c r="H1532" s="83" t="s">
        <v>2368</v>
      </c>
      <c r="I1532" s="94">
        <v>0</v>
      </c>
      <c r="J1532" s="66">
        <v>0</v>
      </c>
      <c r="K1532" s="66">
        <v>0</v>
      </c>
      <c r="L1532" s="66">
        <v>0</v>
      </c>
      <c r="M1532" s="67">
        <v>0</v>
      </c>
      <c r="N1532" s="31">
        <v>0</v>
      </c>
      <c r="O1532" s="66">
        <v>169</v>
      </c>
      <c r="P1532" s="26">
        <v>0.16900000000000001</v>
      </c>
      <c r="Q1532" s="35" t="s">
        <v>154</v>
      </c>
    </row>
    <row r="1533" spans="1:17" ht="36" x14ac:dyDescent="0.25">
      <c r="A1533" s="62">
        <v>38413</v>
      </c>
      <c r="B1533" s="62">
        <v>38413</v>
      </c>
      <c r="C1533" s="63">
        <v>2005</v>
      </c>
      <c r="D1533" s="35" t="s">
        <v>28</v>
      </c>
      <c r="E1533" s="14" t="s">
        <v>29</v>
      </c>
      <c r="F1533" s="7" t="s">
        <v>53</v>
      </c>
      <c r="G1533" s="83" t="s">
        <v>2369</v>
      </c>
      <c r="H1533" s="83" t="s">
        <v>2370</v>
      </c>
      <c r="I1533" s="94">
        <v>0</v>
      </c>
      <c r="J1533" s="66">
        <v>0</v>
      </c>
      <c r="K1533" s="66">
        <v>0</v>
      </c>
      <c r="L1533" s="66">
        <v>0</v>
      </c>
      <c r="M1533" s="67">
        <v>0</v>
      </c>
      <c r="N1533" s="31">
        <v>0</v>
      </c>
      <c r="O1533" s="66">
        <v>28</v>
      </c>
      <c r="P1533" s="26">
        <v>0.34799999999999998</v>
      </c>
      <c r="Q1533" s="35" t="s">
        <v>154</v>
      </c>
    </row>
    <row r="1534" spans="1:17" ht="36" x14ac:dyDescent="0.25">
      <c r="A1534" s="62">
        <v>38414</v>
      </c>
      <c r="B1534" s="62">
        <v>38414</v>
      </c>
      <c r="C1534" s="63">
        <v>2005</v>
      </c>
      <c r="D1534" s="35" t="s">
        <v>28</v>
      </c>
      <c r="E1534" s="14" t="s">
        <v>29</v>
      </c>
      <c r="F1534" s="7" t="s">
        <v>56</v>
      </c>
      <c r="G1534" s="83" t="s">
        <v>2371</v>
      </c>
      <c r="H1534" s="83" t="s">
        <v>2372</v>
      </c>
      <c r="I1534" s="94">
        <v>0</v>
      </c>
      <c r="J1534" s="66">
        <v>0</v>
      </c>
      <c r="K1534" s="66">
        <v>0</v>
      </c>
      <c r="L1534" s="66">
        <v>0</v>
      </c>
      <c r="M1534" s="67">
        <v>0</v>
      </c>
      <c r="N1534" s="31">
        <v>0</v>
      </c>
      <c r="O1534" s="66">
        <v>59</v>
      </c>
      <c r="P1534" s="26">
        <v>5.8999999999999997E-2</v>
      </c>
      <c r="Q1534" s="35" t="s">
        <v>154</v>
      </c>
    </row>
    <row r="1535" spans="1:17" ht="24" x14ac:dyDescent="0.25">
      <c r="A1535" s="62">
        <v>38414</v>
      </c>
      <c r="B1535" s="62">
        <v>38414</v>
      </c>
      <c r="C1535" s="63">
        <v>2005</v>
      </c>
      <c r="D1535" s="35" t="s">
        <v>28</v>
      </c>
      <c r="E1535" s="14" t="s">
        <v>29</v>
      </c>
      <c r="F1535" s="7" t="s">
        <v>56</v>
      </c>
      <c r="G1535" s="95" t="s">
        <v>2373</v>
      </c>
      <c r="H1535" s="83" t="s">
        <v>2374</v>
      </c>
      <c r="I1535" s="94">
        <v>0</v>
      </c>
      <c r="J1535" s="66">
        <v>0</v>
      </c>
      <c r="K1535" s="66">
        <v>0</v>
      </c>
      <c r="L1535" s="66">
        <v>0</v>
      </c>
      <c r="M1535" s="67">
        <v>0</v>
      </c>
      <c r="N1535" s="31">
        <v>0</v>
      </c>
      <c r="O1535" s="66">
        <v>86</v>
      </c>
      <c r="P1535" s="26">
        <v>8.5999999999999993E-2</v>
      </c>
      <c r="Q1535" s="35" t="s">
        <v>154</v>
      </c>
    </row>
    <row r="1536" spans="1:17" ht="36" x14ac:dyDescent="0.25">
      <c r="A1536" s="62">
        <v>38414</v>
      </c>
      <c r="B1536" s="62">
        <v>38419</v>
      </c>
      <c r="C1536" s="63">
        <v>2005</v>
      </c>
      <c r="D1536" s="35" t="s">
        <v>28</v>
      </c>
      <c r="E1536" s="14" t="s">
        <v>29</v>
      </c>
      <c r="F1536" s="28" t="s">
        <v>151</v>
      </c>
      <c r="G1536" s="83" t="s">
        <v>573</v>
      </c>
      <c r="H1536" s="83" t="s">
        <v>2375</v>
      </c>
      <c r="I1536" s="94">
        <v>0</v>
      </c>
      <c r="J1536" s="66">
        <v>0</v>
      </c>
      <c r="K1536" s="66">
        <v>0</v>
      </c>
      <c r="L1536" s="66">
        <v>0</v>
      </c>
      <c r="M1536" s="67">
        <v>0</v>
      </c>
      <c r="N1536" s="31">
        <v>0</v>
      </c>
      <c r="O1536" s="66">
        <v>10</v>
      </c>
      <c r="P1536" s="26">
        <v>0.01</v>
      </c>
      <c r="Q1536" s="35" t="s">
        <v>154</v>
      </c>
    </row>
    <row r="1537" spans="1:17" ht="36" x14ac:dyDescent="0.25">
      <c r="A1537" s="62">
        <v>38419</v>
      </c>
      <c r="B1537" s="62">
        <v>38419</v>
      </c>
      <c r="C1537" s="63">
        <v>2005</v>
      </c>
      <c r="D1537" s="35" t="s">
        <v>28</v>
      </c>
      <c r="E1537" s="14" t="s">
        <v>29</v>
      </c>
      <c r="F1537" s="7" t="s">
        <v>56</v>
      </c>
      <c r="G1537" s="83" t="s">
        <v>2376</v>
      </c>
      <c r="H1537" s="83" t="s">
        <v>2377</v>
      </c>
      <c r="I1537" s="94">
        <v>0</v>
      </c>
      <c r="J1537" s="66">
        <v>0</v>
      </c>
      <c r="K1537" s="66">
        <v>0</v>
      </c>
      <c r="L1537" s="66">
        <v>0</v>
      </c>
      <c r="M1537" s="67">
        <v>0</v>
      </c>
      <c r="N1537" s="31">
        <v>0</v>
      </c>
      <c r="O1537" s="66">
        <v>52</v>
      </c>
      <c r="P1537" s="26">
        <v>5.1999999999999998E-2</v>
      </c>
      <c r="Q1537" s="35" t="s">
        <v>154</v>
      </c>
    </row>
    <row r="1538" spans="1:17" ht="36" x14ac:dyDescent="0.25">
      <c r="A1538" s="62">
        <v>38420</v>
      </c>
      <c r="B1538" s="62">
        <v>38420</v>
      </c>
      <c r="C1538" s="63">
        <v>2005</v>
      </c>
      <c r="D1538" s="35" t="s">
        <v>28</v>
      </c>
      <c r="E1538" s="14" t="s">
        <v>29</v>
      </c>
      <c r="F1538" s="7" t="s">
        <v>56</v>
      </c>
      <c r="G1538" s="83" t="s">
        <v>2378</v>
      </c>
      <c r="H1538" s="83" t="s">
        <v>2379</v>
      </c>
      <c r="I1538" s="94">
        <v>0</v>
      </c>
      <c r="J1538" s="66">
        <v>0</v>
      </c>
      <c r="K1538" s="66">
        <v>0</v>
      </c>
      <c r="L1538" s="66">
        <v>0</v>
      </c>
      <c r="M1538" s="67">
        <v>0</v>
      </c>
      <c r="N1538" s="31">
        <v>0</v>
      </c>
      <c r="O1538" s="66">
        <v>164</v>
      </c>
      <c r="P1538" s="26">
        <v>0.16400000000000001</v>
      </c>
      <c r="Q1538" s="35" t="s">
        <v>154</v>
      </c>
    </row>
    <row r="1539" spans="1:17" ht="36" x14ac:dyDescent="0.25">
      <c r="A1539" s="62">
        <v>38425</v>
      </c>
      <c r="B1539" s="62">
        <v>38425</v>
      </c>
      <c r="C1539" s="63">
        <v>2005</v>
      </c>
      <c r="D1539" s="35" t="s">
        <v>28</v>
      </c>
      <c r="E1539" s="14" t="s">
        <v>29</v>
      </c>
      <c r="F1539" s="28" t="s">
        <v>151</v>
      </c>
      <c r="G1539" s="83" t="s">
        <v>2380</v>
      </c>
      <c r="H1539" s="83" t="s">
        <v>2381</v>
      </c>
      <c r="I1539" s="94">
        <v>0</v>
      </c>
      <c r="J1539" s="66">
        <v>0</v>
      </c>
      <c r="K1539" s="66">
        <v>0</v>
      </c>
      <c r="L1539" s="66">
        <v>0</v>
      </c>
      <c r="M1539" s="67">
        <v>0</v>
      </c>
      <c r="N1539" s="31">
        <v>0</v>
      </c>
      <c r="O1539" s="66">
        <v>250</v>
      </c>
      <c r="P1539" s="26">
        <v>0.25</v>
      </c>
      <c r="Q1539" s="35" t="s">
        <v>154</v>
      </c>
    </row>
    <row r="1540" spans="1:17" ht="24" x14ac:dyDescent="0.25">
      <c r="A1540" s="62">
        <v>38426</v>
      </c>
      <c r="B1540" s="62">
        <v>38426</v>
      </c>
      <c r="C1540" s="63">
        <v>2005</v>
      </c>
      <c r="D1540" s="35" t="s">
        <v>28</v>
      </c>
      <c r="E1540" s="14" t="s">
        <v>29</v>
      </c>
      <c r="F1540" s="7" t="s">
        <v>36</v>
      </c>
      <c r="G1540" s="83" t="s">
        <v>1210</v>
      </c>
      <c r="H1540" s="83" t="s">
        <v>2382</v>
      </c>
      <c r="I1540" s="94">
        <v>0</v>
      </c>
      <c r="J1540" s="66">
        <v>0</v>
      </c>
      <c r="K1540" s="66">
        <v>0</v>
      </c>
      <c r="L1540" s="66">
        <v>0</v>
      </c>
      <c r="M1540" s="67">
        <v>0</v>
      </c>
      <c r="N1540" s="31">
        <v>0</v>
      </c>
      <c r="O1540" s="66">
        <v>60</v>
      </c>
      <c r="P1540" s="26">
        <v>0.06</v>
      </c>
      <c r="Q1540" s="35" t="s">
        <v>154</v>
      </c>
    </row>
    <row r="1541" spans="1:17" ht="24" x14ac:dyDescent="0.25">
      <c r="A1541" s="62">
        <v>38426</v>
      </c>
      <c r="B1541" s="62">
        <v>38426</v>
      </c>
      <c r="C1541" s="63">
        <v>2005</v>
      </c>
      <c r="D1541" s="35" t="s">
        <v>28</v>
      </c>
      <c r="E1541" s="14" t="s">
        <v>29</v>
      </c>
      <c r="F1541" s="28" t="s">
        <v>163</v>
      </c>
      <c r="G1541" s="83" t="s">
        <v>2383</v>
      </c>
      <c r="H1541" s="83" t="s">
        <v>2384</v>
      </c>
      <c r="I1541" s="94">
        <v>0</v>
      </c>
      <c r="J1541" s="66">
        <v>0</v>
      </c>
      <c r="K1541" s="66">
        <v>0</v>
      </c>
      <c r="L1541" s="66">
        <v>0</v>
      </c>
      <c r="M1541" s="67">
        <v>0</v>
      </c>
      <c r="N1541" s="31">
        <v>0</v>
      </c>
      <c r="O1541" s="66">
        <v>100</v>
      </c>
      <c r="P1541" s="26">
        <v>0.1</v>
      </c>
      <c r="Q1541" s="35" t="s">
        <v>154</v>
      </c>
    </row>
    <row r="1542" spans="1:17" ht="60" x14ac:dyDescent="0.25">
      <c r="A1542" s="62">
        <v>38427</v>
      </c>
      <c r="B1542" s="62">
        <v>38427</v>
      </c>
      <c r="C1542" s="63">
        <v>2005</v>
      </c>
      <c r="D1542" s="35" t="s">
        <v>28</v>
      </c>
      <c r="E1542" s="14" t="s">
        <v>29</v>
      </c>
      <c r="F1542" s="7" t="s">
        <v>82</v>
      </c>
      <c r="G1542" s="83" t="s">
        <v>2385</v>
      </c>
      <c r="H1542" s="83" t="s">
        <v>2386</v>
      </c>
      <c r="I1542" s="94">
        <v>0</v>
      </c>
      <c r="J1542" s="66">
        <v>0</v>
      </c>
      <c r="K1542" s="66">
        <v>0</v>
      </c>
      <c r="L1542" s="66">
        <v>0</v>
      </c>
      <c r="M1542" s="67">
        <v>0</v>
      </c>
      <c r="N1542" s="31">
        <v>0</v>
      </c>
      <c r="O1542" s="66">
        <v>400</v>
      </c>
      <c r="P1542" s="26">
        <v>32.4</v>
      </c>
      <c r="Q1542" s="35" t="s">
        <v>2387</v>
      </c>
    </row>
    <row r="1543" spans="1:17" ht="24" x14ac:dyDescent="0.25">
      <c r="A1543" s="62">
        <v>38428</v>
      </c>
      <c r="B1543" s="62">
        <v>38428</v>
      </c>
      <c r="C1543" s="63">
        <v>2005</v>
      </c>
      <c r="D1543" s="35" t="s">
        <v>28</v>
      </c>
      <c r="E1543" s="14" t="s">
        <v>29</v>
      </c>
      <c r="F1543" s="7" t="s">
        <v>56</v>
      </c>
      <c r="G1543" s="83" t="s">
        <v>1933</v>
      </c>
      <c r="H1543" s="83" t="s">
        <v>2388</v>
      </c>
      <c r="I1543" s="94">
        <v>0</v>
      </c>
      <c r="J1543" s="66">
        <v>0</v>
      </c>
      <c r="K1543" s="66">
        <v>0</v>
      </c>
      <c r="L1543" s="66">
        <v>0</v>
      </c>
      <c r="M1543" s="67">
        <v>0</v>
      </c>
      <c r="N1543" s="31">
        <v>0</v>
      </c>
      <c r="O1543" s="66">
        <v>80</v>
      </c>
      <c r="P1543" s="26">
        <v>0.08</v>
      </c>
      <c r="Q1543" s="35" t="s">
        <v>2387</v>
      </c>
    </row>
    <row r="1544" spans="1:17" ht="36" x14ac:dyDescent="0.25">
      <c r="A1544" s="62">
        <v>38432</v>
      </c>
      <c r="B1544" s="62">
        <v>38432</v>
      </c>
      <c r="C1544" s="63">
        <v>2005</v>
      </c>
      <c r="D1544" s="35" t="s">
        <v>28</v>
      </c>
      <c r="E1544" s="14" t="s">
        <v>29</v>
      </c>
      <c r="F1544" s="7" t="s">
        <v>56</v>
      </c>
      <c r="G1544" s="83" t="s">
        <v>2389</v>
      </c>
      <c r="H1544" s="83" t="s">
        <v>2390</v>
      </c>
      <c r="I1544" s="94">
        <v>0</v>
      </c>
      <c r="J1544" s="66">
        <v>0</v>
      </c>
      <c r="K1544" s="66">
        <v>0</v>
      </c>
      <c r="L1544" s="66">
        <v>0</v>
      </c>
      <c r="M1544" s="67">
        <v>0</v>
      </c>
      <c r="N1544" s="31">
        <v>0</v>
      </c>
      <c r="O1544" s="66">
        <v>277</v>
      </c>
      <c r="P1544" s="26">
        <v>3.9E-2</v>
      </c>
      <c r="Q1544" s="35" t="s">
        <v>2387</v>
      </c>
    </row>
    <row r="1545" spans="1:17" ht="36" x14ac:dyDescent="0.25">
      <c r="A1545" s="62">
        <v>38435</v>
      </c>
      <c r="B1545" s="62">
        <v>38435</v>
      </c>
      <c r="C1545" s="63">
        <v>2005</v>
      </c>
      <c r="D1545" s="35" t="s">
        <v>28</v>
      </c>
      <c r="E1545" s="14" t="s">
        <v>29</v>
      </c>
      <c r="F1545" s="7" t="s">
        <v>25</v>
      </c>
      <c r="G1545" s="83" t="s">
        <v>2391</v>
      </c>
      <c r="H1545" s="83" t="s">
        <v>2392</v>
      </c>
      <c r="I1545" s="94">
        <v>0</v>
      </c>
      <c r="J1545" s="66">
        <v>0</v>
      </c>
      <c r="K1545" s="66">
        <v>0</v>
      </c>
      <c r="L1545" s="66">
        <v>0</v>
      </c>
      <c r="M1545" s="67">
        <v>0</v>
      </c>
      <c r="N1545" s="31">
        <v>0</v>
      </c>
      <c r="O1545" s="66">
        <v>800</v>
      </c>
      <c r="P1545" s="26">
        <v>0.8</v>
      </c>
      <c r="Q1545" s="35" t="s">
        <v>2387</v>
      </c>
    </row>
    <row r="1546" spans="1:17" ht="36" x14ac:dyDescent="0.25">
      <c r="A1546" s="62">
        <v>38436</v>
      </c>
      <c r="B1546" s="62">
        <v>38436</v>
      </c>
      <c r="C1546" s="63">
        <v>2005</v>
      </c>
      <c r="D1546" s="35" t="s">
        <v>28</v>
      </c>
      <c r="E1546" s="14" t="s">
        <v>29</v>
      </c>
      <c r="F1546" s="7" t="s">
        <v>77</v>
      </c>
      <c r="G1546" s="83" t="s">
        <v>2393</v>
      </c>
      <c r="H1546" s="83" t="s">
        <v>2394</v>
      </c>
      <c r="I1546" s="94">
        <v>0</v>
      </c>
      <c r="J1546" s="66">
        <v>0</v>
      </c>
      <c r="K1546" s="66">
        <v>0</v>
      </c>
      <c r="L1546" s="66">
        <v>0</v>
      </c>
      <c r="M1546" s="67">
        <v>0</v>
      </c>
      <c r="N1546" s="31">
        <v>0</v>
      </c>
      <c r="O1546" s="66">
        <v>55</v>
      </c>
      <c r="P1546" s="26">
        <v>4.4550000000000001</v>
      </c>
      <c r="Q1546" s="35" t="s">
        <v>2387</v>
      </c>
    </row>
    <row r="1547" spans="1:17" ht="48" x14ac:dyDescent="0.25">
      <c r="A1547" s="62">
        <v>38437</v>
      </c>
      <c r="B1547" s="62">
        <v>38437</v>
      </c>
      <c r="C1547" s="63">
        <v>2005</v>
      </c>
      <c r="D1547" s="35" t="s">
        <v>28</v>
      </c>
      <c r="E1547" s="14" t="s">
        <v>29</v>
      </c>
      <c r="F1547" s="28" t="s">
        <v>157</v>
      </c>
      <c r="G1547" s="83" t="s">
        <v>2395</v>
      </c>
      <c r="H1547" s="83" t="s">
        <v>2396</v>
      </c>
      <c r="I1547" s="94">
        <v>0</v>
      </c>
      <c r="J1547" s="66">
        <v>0</v>
      </c>
      <c r="K1547" s="66">
        <v>0</v>
      </c>
      <c r="L1547" s="66">
        <v>0</v>
      </c>
      <c r="M1547" s="67">
        <v>0</v>
      </c>
      <c r="N1547" s="31">
        <v>0</v>
      </c>
      <c r="O1547" s="66">
        <v>5</v>
      </c>
      <c r="P1547" s="26">
        <v>5.0000000000000001E-3</v>
      </c>
      <c r="Q1547" s="35" t="s">
        <v>2387</v>
      </c>
    </row>
    <row r="1548" spans="1:17" ht="48" x14ac:dyDescent="0.25">
      <c r="A1548" s="62">
        <v>38436</v>
      </c>
      <c r="B1548" s="62">
        <v>38437</v>
      </c>
      <c r="C1548" s="63">
        <v>2005</v>
      </c>
      <c r="D1548" s="35" t="s">
        <v>28</v>
      </c>
      <c r="E1548" s="14" t="s">
        <v>29</v>
      </c>
      <c r="F1548" s="7" t="s">
        <v>58</v>
      </c>
      <c r="G1548" s="83" t="s">
        <v>2397</v>
      </c>
      <c r="H1548" s="95" t="s">
        <v>2398</v>
      </c>
      <c r="I1548" s="94">
        <v>0</v>
      </c>
      <c r="J1548" s="66">
        <v>0</v>
      </c>
      <c r="K1548" s="66">
        <v>0</v>
      </c>
      <c r="L1548" s="66">
        <v>0</v>
      </c>
      <c r="M1548" s="67">
        <v>0</v>
      </c>
      <c r="N1548" s="31">
        <v>0</v>
      </c>
      <c r="O1548" s="66">
        <v>300</v>
      </c>
      <c r="P1548" s="26">
        <v>0.3</v>
      </c>
      <c r="Q1548" s="35" t="s">
        <v>2387</v>
      </c>
    </row>
    <row r="1549" spans="1:17" ht="36" x14ac:dyDescent="0.25">
      <c r="A1549" s="62">
        <v>38430</v>
      </c>
      <c r="B1549" s="62">
        <v>38431</v>
      </c>
      <c r="C1549" s="63">
        <v>2005</v>
      </c>
      <c r="D1549" s="35" t="s">
        <v>28</v>
      </c>
      <c r="E1549" s="14" t="s">
        <v>29</v>
      </c>
      <c r="F1549" s="7" t="s">
        <v>36</v>
      </c>
      <c r="G1549" s="83" t="s">
        <v>2399</v>
      </c>
      <c r="H1549" s="83" t="s">
        <v>2400</v>
      </c>
      <c r="I1549" s="94">
        <v>0</v>
      </c>
      <c r="J1549" s="66">
        <v>0</v>
      </c>
      <c r="K1549" s="66">
        <v>0</v>
      </c>
      <c r="L1549" s="66">
        <v>0</v>
      </c>
      <c r="M1549" s="67">
        <v>0</v>
      </c>
      <c r="N1549" s="31">
        <v>0</v>
      </c>
      <c r="O1549" s="66">
        <v>650</v>
      </c>
      <c r="P1549" s="26">
        <v>0.65</v>
      </c>
      <c r="Q1549" s="35" t="s">
        <v>2387</v>
      </c>
    </row>
    <row r="1550" spans="1:17" ht="36" x14ac:dyDescent="0.25">
      <c r="A1550" s="62">
        <v>38429</v>
      </c>
      <c r="B1550" s="62">
        <v>38439</v>
      </c>
      <c r="C1550" s="63">
        <v>2005</v>
      </c>
      <c r="D1550" s="35" t="s">
        <v>28</v>
      </c>
      <c r="E1550" s="14" t="s">
        <v>29</v>
      </c>
      <c r="F1550" s="7" t="s">
        <v>36</v>
      </c>
      <c r="G1550" s="83" t="s">
        <v>2401</v>
      </c>
      <c r="H1550" s="83" t="s">
        <v>2402</v>
      </c>
      <c r="I1550" s="94">
        <v>0</v>
      </c>
      <c r="J1550" s="66">
        <v>0</v>
      </c>
      <c r="K1550" s="66">
        <v>0</v>
      </c>
      <c r="L1550" s="66">
        <v>0</v>
      </c>
      <c r="M1550" s="67">
        <v>0</v>
      </c>
      <c r="N1550" s="31">
        <v>0</v>
      </c>
      <c r="O1550" s="66">
        <v>1900</v>
      </c>
      <c r="P1550" s="26">
        <v>1.9</v>
      </c>
      <c r="Q1550" s="35" t="s">
        <v>2387</v>
      </c>
    </row>
    <row r="1551" spans="1:17" ht="36" x14ac:dyDescent="0.25">
      <c r="A1551" s="96">
        <v>38434</v>
      </c>
      <c r="B1551" s="96">
        <v>38439</v>
      </c>
      <c r="C1551" s="63">
        <v>2005</v>
      </c>
      <c r="D1551" s="35" t="s">
        <v>28</v>
      </c>
      <c r="E1551" s="14" t="s">
        <v>29</v>
      </c>
      <c r="F1551" s="28" t="s">
        <v>151</v>
      </c>
      <c r="G1551" s="83" t="s">
        <v>2403</v>
      </c>
      <c r="H1551" s="83" t="s">
        <v>2404</v>
      </c>
      <c r="I1551" s="94">
        <v>0</v>
      </c>
      <c r="J1551" s="66">
        <v>0</v>
      </c>
      <c r="K1551" s="66">
        <v>0</v>
      </c>
      <c r="L1551" s="66">
        <v>0</v>
      </c>
      <c r="M1551" s="67">
        <v>0</v>
      </c>
      <c r="N1551" s="31">
        <v>0</v>
      </c>
      <c r="O1551" s="66">
        <v>913</v>
      </c>
      <c r="P1551" s="26">
        <v>0.90800000000000003</v>
      </c>
      <c r="Q1551" s="35" t="s">
        <v>2387</v>
      </c>
    </row>
    <row r="1552" spans="1:17" ht="48" x14ac:dyDescent="0.25">
      <c r="A1552" s="62">
        <v>38438</v>
      </c>
      <c r="B1552" s="62">
        <v>38441</v>
      </c>
      <c r="C1552" s="63">
        <v>2005</v>
      </c>
      <c r="D1552" s="35" t="s">
        <v>28</v>
      </c>
      <c r="E1552" s="14" t="s">
        <v>29</v>
      </c>
      <c r="F1552" s="7" t="s">
        <v>101</v>
      </c>
      <c r="G1552" s="83" t="s">
        <v>2405</v>
      </c>
      <c r="H1552" s="83" t="s">
        <v>2406</v>
      </c>
      <c r="I1552" s="94">
        <v>0</v>
      </c>
      <c r="J1552" s="66">
        <v>0</v>
      </c>
      <c r="K1552" s="66">
        <v>0</v>
      </c>
      <c r="L1552" s="66">
        <v>0</v>
      </c>
      <c r="M1552" s="67">
        <v>0</v>
      </c>
      <c r="N1552" s="31">
        <v>0</v>
      </c>
      <c r="O1552" s="66">
        <v>530</v>
      </c>
      <c r="P1552" s="26">
        <v>0.53</v>
      </c>
      <c r="Q1552" s="35" t="s">
        <v>2387</v>
      </c>
    </row>
    <row r="1553" spans="1:17" ht="36" x14ac:dyDescent="0.25">
      <c r="A1553" s="62">
        <v>38439</v>
      </c>
      <c r="B1553" s="62">
        <v>38439</v>
      </c>
      <c r="C1553" s="63">
        <v>2005</v>
      </c>
      <c r="D1553" s="35" t="s">
        <v>28</v>
      </c>
      <c r="E1553" s="14" t="s">
        <v>29</v>
      </c>
      <c r="F1553" s="28" t="s">
        <v>151</v>
      </c>
      <c r="G1553" s="83" t="s">
        <v>2407</v>
      </c>
      <c r="H1553" s="83" t="s">
        <v>2408</v>
      </c>
      <c r="I1553" s="94">
        <v>0</v>
      </c>
      <c r="J1553" s="66">
        <v>0</v>
      </c>
      <c r="K1553" s="66">
        <v>0</v>
      </c>
      <c r="L1553" s="66">
        <v>0</v>
      </c>
      <c r="M1553" s="67">
        <v>0</v>
      </c>
      <c r="N1553" s="31">
        <v>0</v>
      </c>
      <c r="O1553" s="66">
        <v>1130</v>
      </c>
      <c r="P1553" s="26">
        <v>1.1299999999999999</v>
      </c>
      <c r="Q1553" s="35" t="s">
        <v>2387</v>
      </c>
    </row>
    <row r="1554" spans="1:17" ht="36" x14ac:dyDescent="0.25">
      <c r="A1554" s="62">
        <v>38441</v>
      </c>
      <c r="B1554" s="62">
        <v>38441</v>
      </c>
      <c r="C1554" s="63">
        <v>2005</v>
      </c>
      <c r="D1554" s="35" t="s">
        <v>28</v>
      </c>
      <c r="E1554" s="14" t="s">
        <v>29</v>
      </c>
      <c r="F1554" s="7" t="s">
        <v>56</v>
      </c>
      <c r="G1554" s="83" t="s">
        <v>2409</v>
      </c>
      <c r="H1554" s="83" t="s">
        <v>2410</v>
      </c>
      <c r="I1554" s="94">
        <v>0</v>
      </c>
      <c r="J1554" s="66">
        <v>0</v>
      </c>
      <c r="K1554" s="66">
        <v>0</v>
      </c>
      <c r="L1554" s="66">
        <v>0</v>
      </c>
      <c r="M1554" s="67">
        <v>0</v>
      </c>
      <c r="N1554" s="31">
        <v>0</v>
      </c>
      <c r="O1554" s="66">
        <v>69</v>
      </c>
      <c r="P1554" s="26">
        <v>6.9000000000000006E-2</v>
      </c>
      <c r="Q1554" s="35" t="s">
        <v>2387</v>
      </c>
    </row>
    <row r="1555" spans="1:17" ht="36" x14ac:dyDescent="0.25">
      <c r="A1555" s="62">
        <v>38442</v>
      </c>
      <c r="B1555" s="62">
        <v>38442</v>
      </c>
      <c r="C1555" s="63">
        <v>2005</v>
      </c>
      <c r="D1555" s="35" t="s">
        <v>28</v>
      </c>
      <c r="E1555" s="14" t="s">
        <v>29</v>
      </c>
      <c r="F1555" s="7" t="s">
        <v>56</v>
      </c>
      <c r="G1555" s="83" t="s">
        <v>2411</v>
      </c>
      <c r="H1555" s="83" t="s">
        <v>2412</v>
      </c>
      <c r="I1555" s="94">
        <v>0</v>
      </c>
      <c r="J1555" s="66">
        <v>0</v>
      </c>
      <c r="K1555" s="66">
        <v>0</v>
      </c>
      <c r="L1555" s="66">
        <v>0</v>
      </c>
      <c r="M1555" s="67">
        <v>0</v>
      </c>
      <c r="N1555" s="31">
        <v>0</v>
      </c>
      <c r="O1555" s="66">
        <v>52</v>
      </c>
      <c r="P1555" s="26">
        <v>5.1999999999999998E-2</v>
      </c>
      <c r="Q1555" s="35" t="s">
        <v>2387</v>
      </c>
    </row>
    <row r="1556" spans="1:17" ht="48" x14ac:dyDescent="0.25">
      <c r="A1556" s="62">
        <v>38443</v>
      </c>
      <c r="B1556" s="62">
        <v>38443</v>
      </c>
      <c r="C1556" s="63">
        <v>2005</v>
      </c>
      <c r="D1556" s="35" t="s">
        <v>28</v>
      </c>
      <c r="E1556" s="14" t="s">
        <v>29</v>
      </c>
      <c r="F1556" s="7" t="s">
        <v>72</v>
      </c>
      <c r="G1556" s="83" t="s">
        <v>2413</v>
      </c>
      <c r="H1556" s="83" t="s">
        <v>2414</v>
      </c>
      <c r="I1556" s="94">
        <v>2</v>
      </c>
      <c r="J1556" s="66">
        <v>2</v>
      </c>
      <c r="K1556" s="66">
        <v>0</v>
      </c>
      <c r="L1556" s="66">
        <v>0</v>
      </c>
      <c r="M1556" s="67">
        <v>0</v>
      </c>
      <c r="N1556" s="31">
        <v>0</v>
      </c>
      <c r="O1556" s="66">
        <v>0</v>
      </c>
      <c r="P1556" s="26">
        <v>0</v>
      </c>
      <c r="Q1556" s="35" t="s">
        <v>2387</v>
      </c>
    </row>
    <row r="1557" spans="1:17" ht="36" x14ac:dyDescent="0.25">
      <c r="A1557" s="62">
        <v>38446</v>
      </c>
      <c r="B1557" s="62">
        <v>38446</v>
      </c>
      <c r="C1557" s="63">
        <v>2005</v>
      </c>
      <c r="D1557" s="35" t="s">
        <v>28</v>
      </c>
      <c r="E1557" s="14" t="s">
        <v>29</v>
      </c>
      <c r="F1557" s="7" t="s">
        <v>56</v>
      </c>
      <c r="G1557" s="83" t="s">
        <v>2415</v>
      </c>
      <c r="H1557" s="83" t="s">
        <v>2416</v>
      </c>
      <c r="I1557" s="94">
        <v>0</v>
      </c>
      <c r="J1557" s="66">
        <v>0</v>
      </c>
      <c r="K1557" s="66">
        <v>0</v>
      </c>
      <c r="L1557" s="66">
        <v>0</v>
      </c>
      <c r="M1557" s="67">
        <v>0</v>
      </c>
      <c r="N1557" s="31">
        <v>0</v>
      </c>
      <c r="O1557" s="66">
        <v>26</v>
      </c>
      <c r="P1557" s="26">
        <v>2.1059999999999999</v>
      </c>
      <c r="Q1557" s="35" t="s">
        <v>2387</v>
      </c>
    </row>
    <row r="1558" spans="1:17" ht="24" x14ac:dyDescent="0.25">
      <c r="A1558" s="62">
        <v>38446</v>
      </c>
      <c r="B1558" s="62">
        <v>38446</v>
      </c>
      <c r="C1558" s="63">
        <v>2005</v>
      </c>
      <c r="D1558" s="35" t="s">
        <v>28</v>
      </c>
      <c r="E1558" s="14" t="s">
        <v>29</v>
      </c>
      <c r="F1558" s="7" t="s">
        <v>67</v>
      </c>
      <c r="G1558" s="83" t="s">
        <v>2417</v>
      </c>
      <c r="H1558" s="83" t="s">
        <v>2418</v>
      </c>
      <c r="I1558" s="94">
        <v>0</v>
      </c>
      <c r="J1558" s="66">
        <v>0</v>
      </c>
      <c r="K1558" s="66">
        <v>0</v>
      </c>
      <c r="L1558" s="66">
        <v>0</v>
      </c>
      <c r="M1558" s="67">
        <v>0</v>
      </c>
      <c r="N1558" s="31">
        <v>0</v>
      </c>
      <c r="O1558" s="66">
        <v>120</v>
      </c>
      <c r="P1558" s="26">
        <v>0.12</v>
      </c>
      <c r="Q1558" s="35" t="s">
        <v>2387</v>
      </c>
    </row>
    <row r="1559" spans="1:17" ht="36" x14ac:dyDescent="0.25">
      <c r="A1559" s="62">
        <v>38447</v>
      </c>
      <c r="B1559" s="62">
        <v>38447</v>
      </c>
      <c r="C1559" s="63">
        <v>2005</v>
      </c>
      <c r="D1559" s="35" t="s">
        <v>28</v>
      </c>
      <c r="E1559" s="14" t="s">
        <v>29</v>
      </c>
      <c r="F1559" s="7" t="s">
        <v>25</v>
      </c>
      <c r="G1559" s="83" t="s">
        <v>2419</v>
      </c>
      <c r="H1559" s="83" t="s">
        <v>2420</v>
      </c>
      <c r="I1559" s="94">
        <v>0</v>
      </c>
      <c r="J1559" s="66">
        <v>0</v>
      </c>
      <c r="K1559" s="66">
        <v>0</v>
      </c>
      <c r="L1559" s="66">
        <v>0</v>
      </c>
      <c r="M1559" s="67">
        <v>0</v>
      </c>
      <c r="N1559" s="31">
        <v>0</v>
      </c>
      <c r="O1559" s="66">
        <v>800</v>
      </c>
      <c r="P1559" s="26">
        <v>0.8</v>
      </c>
      <c r="Q1559" s="35" t="s">
        <v>2387</v>
      </c>
    </row>
    <row r="1560" spans="1:17" ht="36" x14ac:dyDescent="0.25">
      <c r="A1560" s="62">
        <v>38447</v>
      </c>
      <c r="B1560" s="62">
        <v>38447</v>
      </c>
      <c r="C1560" s="63">
        <v>2005</v>
      </c>
      <c r="D1560" s="35" t="s">
        <v>28</v>
      </c>
      <c r="E1560" s="14" t="s">
        <v>29</v>
      </c>
      <c r="F1560" s="7" t="s">
        <v>56</v>
      </c>
      <c r="G1560" s="95" t="s">
        <v>2421</v>
      </c>
      <c r="H1560" s="83" t="s">
        <v>2422</v>
      </c>
      <c r="I1560" s="94">
        <v>0</v>
      </c>
      <c r="J1560" s="66">
        <v>0</v>
      </c>
      <c r="K1560" s="66">
        <v>0</v>
      </c>
      <c r="L1560" s="66">
        <v>0</v>
      </c>
      <c r="M1560" s="67">
        <v>0</v>
      </c>
      <c r="N1560" s="31">
        <v>0</v>
      </c>
      <c r="O1560" s="66">
        <v>65</v>
      </c>
      <c r="P1560" s="26">
        <v>6.5000000000000002E-2</v>
      </c>
      <c r="Q1560" s="35" t="s">
        <v>2387</v>
      </c>
    </row>
    <row r="1561" spans="1:17" ht="36" x14ac:dyDescent="0.25">
      <c r="A1561" s="62">
        <v>38448</v>
      </c>
      <c r="B1561" s="62">
        <v>38448</v>
      </c>
      <c r="C1561" s="63">
        <v>2005</v>
      </c>
      <c r="D1561" s="35" t="s">
        <v>28</v>
      </c>
      <c r="E1561" s="14" t="s">
        <v>29</v>
      </c>
      <c r="F1561" s="7" t="s">
        <v>101</v>
      </c>
      <c r="G1561" s="83" t="s">
        <v>174</v>
      </c>
      <c r="H1561" s="83" t="s">
        <v>2423</v>
      </c>
      <c r="I1561" s="94">
        <v>0</v>
      </c>
      <c r="J1561" s="66">
        <v>0</v>
      </c>
      <c r="K1561" s="66">
        <v>0</v>
      </c>
      <c r="L1561" s="66">
        <v>0</v>
      </c>
      <c r="M1561" s="67">
        <v>0</v>
      </c>
      <c r="N1561" s="31">
        <v>0</v>
      </c>
      <c r="O1561" s="66">
        <v>1000</v>
      </c>
      <c r="P1561" s="26">
        <v>1</v>
      </c>
      <c r="Q1561" s="35" t="s">
        <v>2387</v>
      </c>
    </row>
    <row r="1562" spans="1:17" ht="36" x14ac:dyDescent="0.25">
      <c r="A1562" s="62">
        <v>38448</v>
      </c>
      <c r="B1562" s="62">
        <v>38448</v>
      </c>
      <c r="C1562" s="63">
        <v>2005</v>
      </c>
      <c r="D1562" s="35" t="s">
        <v>28</v>
      </c>
      <c r="E1562" s="14" t="s">
        <v>29</v>
      </c>
      <c r="F1562" s="7" t="s">
        <v>56</v>
      </c>
      <c r="G1562" s="95" t="s">
        <v>2424</v>
      </c>
      <c r="H1562" s="95" t="s">
        <v>2425</v>
      </c>
      <c r="I1562" s="94">
        <v>0</v>
      </c>
      <c r="J1562" s="66">
        <v>0</v>
      </c>
      <c r="K1562" s="66">
        <v>0</v>
      </c>
      <c r="L1562" s="66">
        <v>0</v>
      </c>
      <c r="M1562" s="67">
        <v>0</v>
      </c>
      <c r="N1562" s="31">
        <v>0</v>
      </c>
      <c r="O1562" s="66">
        <v>372</v>
      </c>
      <c r="P1562" s="26">
        <v>0.128</v>
      </c>
      <c r="Q1562" s="35" t="s">
        <v>2387</v>
      </c>
    </row>
    <row r="1563" spans="1:17" ht="24" x14ac:dyDescent="0.25">
      <c r="A1563" s="62">
        <v>38450</v>
      </c>
      <c r="B1563" s="62">
        <v>38450</v>
      </c>
      <c r="C1563" s="63">
        <v>2005</v>
      </c>
      <c r="D1563" s="35" t="s">
        <v>28</v>
      </c>
      <c r="E1563" s="14" t="s">
        <v>29</v>
      </c>
      <c r="F1563" s="7" t="s">
        <v>36</v>
      </c>
      <c r="G1563" s="83" t="s">
        <v>1716</v>
      </c>
      <c r="H1563" s="83" t="s">
        <v>2426</v>
      </c>
      <c r="I1563" s="94">
        <v>0</v>
      </c>
      <c r="J1563" s="66">
        <v>0</v>
      </c>
      <c r="K1563" s="66">
        <v>0</v>
      </c>
      <c r="L1563" s="66">
        <v>0</v>
      </c>
      <c r="M1563" s="67">
        <v>0</v>
      </c>
      <c r="N1563" s="31">
        <v>0</v>
      </c>
      <c r="O1563" s="66">
        <v>300</v>
      </c>
      <c r="P1563" s="26">
        <v>24.3</v>
      </c>
      <c r="Q1563" s="35" t="s">
        <v>2387</v>
      </c>
    </row>
    <row r="1564" spans="1:17" ht="24" x14ac:dyDescent="0.25">
      <c r="A1564" s="62">
        <v>38452</v>
      </c>
      <c r="B1564" s="62">
        <v>38452</v>
      </c>
      <c r="C1564" s="63">
        <v>2005</v>
      </c>
      <c r="D1564" s="35" t="s">
        <v>28</v>
      </c>
      <c r="E1564" s="14" t="s">
        <v>29</v>
      </c>
      <c r="F1564" s="7" t="s">
        <v>77</v>
      </c>
      <c r="G1564" s="83" t="s">
        <v>2427</v>
      </c>
      <c r="H1564" s="83" t="s">
        <v>2428</v>
      </c>
      <c r="I1564" s="94">
        <v>0</v>
      </c>
      <c r="J1564" s="66">
        <v>0</v>
      </c>
      <c r="K1564" s="66">
        <v>0</v>
      </c>
      <c r="L1564" s="66">
        <v>0</v>
      </c>
      <c r="M1564" s="67">
        <v>0</v>
      </c>
      <c r="N1564" s="31">
        <v>0</v>
      </c>
      <c r="O1564" s="66">
        <v>50</v>
      </c>
      <c r="P1564" s="26">
        <v>0.05</v>
      </c>
      <c r="Q1564" s="35" t="s">
        <v>2387</v>
      </c>
    </row>
    <row r="1565" spans="1:17" ht="36" x14ac:dyDescent="0.25">
      <c r="A1565" s="62">
        <v>38454</v>
      </c>
      <c r="B1565" s="62">
        <v>38454</v>
      </c>
      <c r="C1565" s="63">
        <v>2005</v>
      </c>
      <c r="D1565" s="35" t="s">
        <v>28</v>
      </c>
      <c r="E1565" s="14" t="s">
        <v>29</v>
      </c>
      <c r="F1565" s="7" t="s">
        <v>56</v>
      </c>
      <c r="G1565" s="83" t="s">
        <v>2429</v>
      </c>
      <c r="H1565" s="83" t="s">
        <v>2430</v>
      </c>
      <c r="I1565" s="94">
        <v>0</v>
      </c>
      <c r="J1565" s="66">
        <v>0</v>
      </c>
      <c r="K1565" s="66">
        <v>0</v>
      </c>
      <c r="L1565" s="66">
        <v>0</v>
      </c>
      <c r="M1565" s="67">
        <v>0</v>
      </c>
      <c r="N1565" s="31">
        <v>0</v>
      </c>
      <c r="O1565" s="66">
        <v>67</v>
      </c>
      <c r="P1565" s="26">
        <v>4.4999999999999998E-2</v>
      </c>
      <c r="Q1565" s="35" t="s">
        <v>2387</v>
      </c>
    </row>
    <row r="1566" spans="1:17" ht="36" x14ac:dyDescent="0.25">
      <c r="A1566" s="62">
        <v>38455</v>
      </c>
      <c r="B1566" s="62">
        <v>38455</v>
      </c>
      <c r="C1566" s="63">
        <v>2005</v>
      </c>
      <c r="D1566" s="35" t="s">
        <v>28</v>
      </c>
      <c r="E1566" s="14" t="s">
        <v>29</v>
      </c>
      <c r="F1566" s="7" t="s">
        <v>56</v>
      </c>
      <c r="G1566" s="83" t="s">
        <v>2431</v>
      </c>
      <c r="H1566" s="83" t="s">
        <v>2432</v>
      </c>
      <c r="I1566" s="94">
        <v>0</v>
      </c>
      <c r="J1566" s="66">
        <v>0</v>
      </c>
      <c r="K1566" s="66">
        <v>0</v>
      </c>
      <c r="L1566" s="66">
        <v>0</v>
      </c>
      <c r="M1566" s="67">
        <v>0</v>
      </c>
      <c r="N1566" s="31">
        <v>0</v>
      </c>
      <c r="O1566" s="66">
        <v>189</v>
      </c>
      <c r="P1566" s="26">
        <v>0.189</v>
      </c>
      <c r="Q1566" s="35" t="s">
        <v>2387</v>
      </c>
    </row>
    <row r="1567" spans="1:17" ht="36" x14ac:dyDescent="0.25">
      <c r="A1567" s="62">
        <v>38456</v>
      </c>
      <c r="B1567" s="62">
        <v>38456</v>
      </c>
      <c r="C1567" s="63">
        <v>2005</v>
      </c>
      <c r="D1567" s="35" t="s">
        <v>28</v>
      </c>
      <c r="E1567" s="14" t="s">
        <v>29</v>
      </c>
      <c r="F1567" s="7" t="s">
        <v>101</v>
      </c>
      <c r="G1567" s="83" t="s">
        <v>174</v>
      </c>
      <c r="H1567" s="83" t="s">
        <v>2433</v>
      </c>
      <c r="I1567" s="94">
        <v>0</v>
      </c>
      <c r="J1567" s="66">
        <v>0</v>
      </c>
      <c r="K1567" s="66">
        <v>0</v>
      </c>
      <c r="L1567" s="66">
        <v>0</v>
      </c>
      <c r="M1567" s="67">
        <v>0</v>
      </c>
      <c r="N1567" s="31">
        <v>0</v>
      </c>
      <c r="O1567" s="66">
        <v>180</v>
      </c>
      <c r="P1567" s="26">
        <v>0.18</v>
      </c>
      <c r="Q1567" s="35" t="s">
        <v>2387</v>
      </c>
    </row>
    <row r="1568" spans="1:17" ht="36" x14ac:dyDescent="0.25">
      <c r="A1568" s="62">
        <v>38456</v>
      </c>
      <c r="B1568" s="62">
        <v>38456</v>
      </c>
      <c r="C1568" s="63">
        <v>2005</v>
      </c>
      <c r="D1568" s="35" t="s">
        <v>28</v>
      </c>
      <c r="E1568" s="14" t="s">
        <v>29</v>
      </c>
      <c r="F1568" s="7" t="s">
        <v>58</v>
      </c>
      <c r="G1568" s="83" t="s">
        <v>2434</v>
      </c>
      <c r="H1568" s="83" t="s">
        <v>2435</v>
      </c>
      <c r="I1568" s="94">
        <v>0</v>
      </c>
      <c r="J1568" s="66">
        <v>0</v>
      </c>
      <c r="K1568" s="66">
        <v>0</v>
      </c>
      <c r="L1568" s="66">
        <v>0</v>
      </c>
      <c r="M1568" s="67">
        <v>0</v>
      </c>
      <c r="N1568" s="31">
        <v>0</v>
      </c>
      <c r="O1568" s="66">
        <v>300</v>
      </c>
      <c r="P1568" s="26">
        <v>0.3</v>
      </c>
      <c r="Q1568" s="35" t="s">
        <v>2387</v>
      </c>
    </row>
    <row r="1569" spans="1:17" ht="36" x14ac:dyDescent="0.25">
      <c r="A1569" s="62">
        <v>38491</v>
      </c>
      <c r="B1569" s="62">
        <v>38491</v>
      </c>
      <c r="C1569" s="63">
        <v>2005</v>
      </c>
      <c r="D1569" s="35" t="s">
        <v>28</v>
      </c>
      <c r="E1569" s="14" t="s">
        <v>29</v>
      </c>
      <c r="F1569" s="7" t="s">
        <v>56</v>
      </c>
      <c r="G1569" s="83" t="s">
        <v>2436</v>
      </c>
      <c r="H1569" s="83" t="s">
        <v>2437</v>
      </c>
      <c r="I1569" s="94">
        <v>0</v>
      </c>
      <c r="J1569" s="66">
        <v>0</v>
      </c>
      <c r="K1569" s="66">
        <v>0</v>
      </c>
      <c r="L1569" s="66">
        <v>0</v>
      </c>
      <c r="M1569" s="67">
        <v>0</v>
      </c>
      <c r="N1569" s="31">
        <v>0</v>
      </c>
      <c r="O1569" s="66">
        <v>98</v>
      </c>
      <c r="P1569" s="26">
        <v>9.8000000000000004E-2</v>
      </c>
      <c r="Q1569" s="35" t="s">
        <v>2387</v>
      </c>
    </row>
    <row r="1570" spans="1:17" ht="48" x14ac:dyDescent="0.25">
      <c r="A1570" s="62">
        <v>38463</v>
      </c>
      <c r="B1570" s="62">
        <v>38463</v>
      </c>
      <c r="C1570" s="63">
        <v>2005</v>
      </c>
      <c r="D1570" s="35" t="s">
        <v>28</v>
      </c>
      <c r="E1570" s="14" t="s">
        <v>29</v>
      </c>
      <c r="F1570" s="7" t="s">
        <v>56</v>
      </c>
      <c r="G1570" s="83" t="s">
        <v>2438</v>
      </c>
      <c r="H1570" s="83" t="s">
        <v>2439</v>
      </c>
      <c r="I1570" s="94">
        <v>0</v>
      </c>
      <c r="J1570" s="66">
        <v>0</v>
      </c>
      <c r="K1570" s="66">
        <v>0</v>
      </c>
      <c r="L1570" s="66">
        <v>0</v>
      </c>
      <c r="M1570" s="67">
        <v>0</v>
      </c>
      <c r="N1570" s="31">
        <v>0</v>
      </c>
      <c r="O1570" s="66">
        <v>409</v>
      </c>
      <c r="P1570" s="26">
        <v>0.40899999999999997</v>
      </c>
      <c r="Q1570" s="35" t="s">
        <v>2387</v>
      </c>
    </row>
    <row r="1571" spans="1:17" ht="24" x14ac:dyDescent="0.25">
      <c r="A1571" s="62">
        <v>38464</v>
      </c>
      <c r="B1571" s="62">
        <v>38464</v>
      </c>
      <c r="C1571" s="63">
        <v>2005</v>
      </c>
      <c r="D1571" s="35" t="s">
        <v>28</v>
      </c>
      <c r="E1571" s="14" t="s">
        <v>29</v>
      </c>
      <c r="F1571" s="7" t="s">
        <v>101</v>
      </c>
      <c r="G1571" s="83" t="s">
        <v>2440</v>
      </c>
      <c r="H1571" s="83" t="s">
        <v>2441</v>
      </c>
      <c r="I1571" s="94">
        <v>0</v>
      </c>
      <c r="J1571" s="66">
        <v>0</v>
      </c>
      <c r="K1571" s="66">
        <v>0</v>
      </c>
      <c r="L1571" s="66">
        <v>0</v>
      </c>
      <c r="M1571" s="67">
        <v>0</v>
      </c>
      <c r="N1571" s="31">
        <v>0</v>
      </c>
      <c r="O1571" s="66">
        <v>100</v>
      </c>
      <c r="P1571" s="26">
        <v>0.1</v>
      </c>
      <c r="Q1571" s="35" t="s">
        <v>2387</v>
      </c>
    </row>
    <row r="1572" spans="1:17" ht="36" x14ac:dyDescent="0.25">
      <c r="A1572" s="62">
        <v>38463</v>
      </c>
      <c r="B1572" s="62">
        <v>38469</v>
      </c>
      <c r="C1572" s="63">
        <v>2005</v>
      </c>
      <c r="D1572" s="35" t="s">
        <v>28</v>
      </c>
      <c r="E1572" s="14" t="s">
        <v>29</v>
      </c>
      <c r="F1572" s="7" t="s">
        <v>36</v>
      </c>
      <c r="G1572" s="83" t="s">
        <v>2442</v>
      </c>
      <c r="H1572" s="95" t="s">
        <v>2443</v>
      </c>
      <c r="I1572" s="94">
        <v>0</v>
      </c>
      <c r="J1572" s="66">
        <v>0</v>
      </c>
      <c r="K1572" s="66">
        <v>0</v>
      </c>
      <c r="L1572" s="66">
        <v>0</v>
      </c>
      <c r="M1572" s="67">
        <v>0</v>
      </c>
      <c r="N1572" s="31">
        <v>0</v>
      </c>
      <c r="O1572" s="66">
        <v>3059</v>
      </c>
      <c r="P1572" s="26">
        <v>125.41849999999999</v>
      </c>
      <c r="Q1572" s="35" t="s">
        <v>2387</v>
      </c>
    </row>
    <row r="1573" spans="1:17" ht="48" x14ac:dyDescent="0.25">
      <c r="A1573" s="62">
        <v>38467</v>
      </c>
      <c r="B1573" s="62">
        <v>38467</v>
      </c>
      <c r="C1573" s="63">
        <v>2005</v>
      </c>
      <c r="D1573" s="35" t="s">
        <v>28</v>
      </c>
      <c r="E1573" s="14" t="s">
        <v>29</v>
      </c>
      <c r="F1573" s="7" t="s">
        <v>60</v>
      </c>
      <c r="G1573" s="83" t="s">
        <v>2444</v>
      </c>
      <c r="H1573" s="83" t="s">
        <v>2445</v>
      </c>
      <c r="I1573" s="94">
        <v>0</v>
      </c>
      <c r="J1573" s="66">
        <v>0</v>
      </c>
      <c r="K1573" s="66">
        <v>0</v>
      </c>
      <c r="L1573" s="66">
        <v>0</v>
      </c>
      <c r="M1573" s="67">
        <v>0</v>
      </c>
      <c r="N1573" s="31">
        <v>0</v>
      </c>
      <c r="O1573" s="66">
        <v>8740</v>
      </c>
      <c r="P1573" s="26">
        <v>358.34</v>
      </c>
      <c r="Q1573" s="35" t="s">
        <v>2387</v>
      </c>
    </row>
    <row r="1574" spans="1:17" ht="168" x14ac:dyDescent="0.25">
      <c r="A1574" s="62">
        <v>38468</v>
      </c>
      <c r="B1574" s="62">
        <v>38468</v>
      </c>
      <c r="C1574" s="63">
        <v>2005</v>
      </c>
      <c r="D1574" s="35" t="s">
        <v>28</v>
      </c>
      <c r="E1574" s="14" t="s">
        <v>29</v>
      </c>
      <c r="F1574" s="7" t="s">
        <v>101</v>
      </c>
      <c r="G1574" s="83" t="s">
        <v>2446</v>
      </c>
      <c r="H1574" s="83" t="s">
        <v>2447</v>
      </c>
      <c r="I1574" s="94">
        <v>0</v>
      </c>
      <c r="J1574" s="66">
        <v>0</v>
      </c>
      <c r="K1574" s="66">
        <v>0</v>
      </c>
      <c r="L1574" s="66">
        <v>0</v>
      </c>
      <c r="M1574" s="67">
        <v>0</v>
      </c>
      <c r="N1574" s="31">
        <v>0</v>
      </c>
      <c r="O1574" s="66">
        <v>3800</v>
      </c>
      <c r="P1574" s="26">
        <v>10.8</v>
      </c>
      <c r="Q1574" s="35" t="s">
        <v>2387</v>
      </c>
    </row>
    <row r="1575" spans="1:17" ht="24" x14ac:dyDescent="0.25">
      <c r="A1575" s="62">
        <v>38469</v>
      </c>
      <c r="B1575" s="62">
        <v>38469</v>
      </c>
      <c r="C1575" s="63">
        <v>2005</v>
      </c>
      <c r="D1575" s="35" t="s">
        <v>28</v>
      </c>
      <c r="E1575" s="14" t="s">
        <v>29</v>
      </c>
      <c r="F1575" s="7" t="s">
        <v>36</v>
      </c>
      <c r="G1575" s="83" t="s">
        <v>2448</v>
      </c>
      <c r="H1575" s="83" t="s">
        <v>2449</v>
      </c>
      <c r="I1575" s="94">
        <v>0</v>
      </c>
      <c r="J1575" s="66">
        <v>0</v>
      </c>
      <c r="K1575" s="66">
        <v>0</v>
      </c>
      <c r="L1575" s="66">
        <v>0</v>
      </c>
      <c r="M1575" s="67">
        <v>0</v>
      </c>
      <c r="N1575" s="31">
        <v>0</v>
      </c>
      <c r="O1575" s="66">
        <v>1054</v>
      </c>
      <c r="P1575" s="26">
        <v>1.054</v>
      </c>
      <c r="Q1575" s="35" t="s">
        <v>2387</v>
      </c>
    </row>
    <row r="1576" spans="1:17" ht="36" x14ac:dyDescent="0.25">
      <c r="A1576" s="62">
        <v>38470</v>
      </c>
      <c r="B1576" s="62">
        <v>38470</v>
      </c>
      <c r="C1576" s="63">
        <v>2005</v>
      </c>
      <c r="D1576" s="35" t="s">
        <v>28</v>
      </c>
      <c r="E1576" s="14" t="s">
        <v>29</v>
      </c>
      <c r="F1576" s="7" t="s">
        <v>56</v>
      </c>
      <c r="G1576" s="83" t="s">
        <v>2450</v>
      </c>
      <c r="H1576" s="83" t="s">
        <v>2451</v>
      </c>
      <c r="I1576" s="94">
        <v>0</v>
      </c>
      <c r="J1576" s="66">
        <v>0</v>
      </c>
      <c r="K1576" s="66">
        <v>0</v>
      </c>
      <c r="L1576" s="66">
        <v>0</v>
      </c>
      <c r="M1576" s="67">
        <v>0</v>
      </c>
      <c r="N1576" s="31">
        <v>0</v>
      </c>
      <c r="O1576" s="66">
        <v>122</v>
      </c>
      <c r="P1576" s="26">
        <v>0.122</v>
      </c>
      <c r="Q1576" s="35" t="s">
        <v>2387</v>
      </c>
    </row>
    <row r="1577" spans="1:17" ht="36" x14ac:dyDescent="0.25">
      <c r="A1577" s="62">
        <v>38472</v>
      </c>
      <c r="B1577" s="62">
        <v>38472</v>
      </c>
      <c r="C1577" s="63">
        <v>2005</v>
      </c>
      <c r="D1577" s="35" t="s">
        <v>28</v>
      </c>
      <c r="E1577" s="14" t="s">
        <v>29</v>
      </c>
      <c r="F1577" s="7" t="s">
        <v>101</v>
      </c>
      <c r="G1577" s="83" t="s">
        <v>2452</v>
      </c>
      <c r="H1577" s="83" t="s">
        <v>2453</v>
      </c>
      <c r="I1577" s="94">
        <v>0</v>
      </c>
      <c r="J1577" s="66">
        <v>0</v>
      </c>
      <c r="K1577" s="66">
        <v>0</v>
      </c>
      <c r="L1577" s="66">
        <v>0</v>
      </c>
      <c r="M1577" s="67">
        <v>0</v>
      </c>
      <c r="N1577" s="31">
        <v>0</v>
      </c>
      <c r="O1577" s="66">
        <v>670</v>
      </c>
      <c r="P1577" s="26">
        <v>0.67</v>
      </c>
      <c r="Q1577" s="35" t="s">
        <v>2387</v>
      </c>
    </row>
    <row r="1578" spans="1:17" ht="36" x14ac:dyDescent="0.25">
      <c r="A1578" s="62">
        <v>38472</v>
      </c>
      <c r="B1578" s="62">
        <v>38472</v>
      </c>
      <c r="C1578" s="63">
        <v>2005</v>
      </c>
      <c r="D1578" s="35" t="s">
        <v>28</v>
      </c>
      <c r="E1578" s="14" t="s">
        <v>29</v>
      </c>
      <c r="F1578" s="7" t="s">
        <v>82</v>
      </c>
      <c r="G1578" s="83" t="s">
        <v>2454</v>
      </c>
      <c r="H1578" s="83" t="s">
        <v>2455</v>
      </c>
      <c r="I1578" s="94">
        <v>0</v>
      </c>
      <c r="J1578" s="66">
        <v>0</v>
      </c>
      <c r="K1578" s="66">
        <v>0</v>
      </c>
      <c r="L1578" s="66">
        <v>0</v>
      </c>
      <c r="M1578" s="67">
        <v>0</v>
      </c>
      <c r="N1578" s="31">
        <v>0</v>
      </c>
      <c r="O1578" s="66">
        <v>907</v>
      </c>
      <c r="P1578" s="26">
        <v>0.90700000000000003</v>
      </c>
      <c r="Q1578" s="35" t="s">
        <v>2387</v>
      </c>
    </row>
    <row r="1579" spans="1:17" ht="36" x14ac:dyDescent="0.25">
      <c r="A1579" s="62">
        <v>38472</v>
      </c>
      <c r="B1579" s="62">
        <v>38472</v>
      </c>
      <c r="C1579" s="63">
        <v>2005</v>
      </c>
      <c r="D1579" s="35" t="s">
        <v>28</v>
      </c>
      <c r="E1579" s="14" t="s">
        <v>29</v>
      </c>
      <c r="F1579" s="7" t="s">
        <v>25</v>
      </c>
      <c r="G1579" s="83" t="s">
        <v>2456</v>
      </c>
      <c r="H1579" s="95" t="s">
        <v>2457</v>
      </c>
      <c r="I1579" s="94">
        <v>0</v>
      </c>
      <c r="J1579" s="66">
        <v>0</v>
      </c>
      <c r="K1579" s="66">
        <v>0</v>
      </c>
      <c r="L1579" s="66">
        <v>0</v>
      </c>
      <c r="M1579" s="67">
        <v>0</v>
      </c>
      <c r="N1579" s="31">
        <v>0</v>
      </c>
      <c r="O1579" s="66">
        <v>1500</v>
      </c>
      <c r="P1579" s="26">
        <v>2.5</v>
      </c>
      <c r="Q1579" s="35" t="s">
        <v>2387</v>
      </c>
    </row>
    <row r="1580" spans="1:17" ht="36" x14ac:dyDescent="0.25">
      <c r="A1580" s="62">
        <v>38472</v>
      </c>
      <c r="B1580" s="62">
        <v>38472</v>
      </c>
      <c r="C1580" s="63">
        <v>2005</v>
      </c>
      <c r="D1580" s="35" t="s">
        <v>28</v>
      </c>
      <c r="E1580" s="14" t="s">
        <v>29</v>
      </c>
      <c r="F1580" s="7" t="s">
        <v>91</v>
      </c>
      <c r="G1580" s="83" t="s">
        <v>2458</v>
      </c>
      <c r="H1580" s="83" t="s">
        <v>2459</v>
      </c>
      <c r="I1580" s="94">
        <v>0</v>
      </c>
      <c r="J1580" s="66">
        <v>0</v>
      </c>
      <c r="K1580" s="66">
        <v>0</v>
      </c>
      <c r="L1580" s="66">
        <v>0</v>
      </c>
      <c r="M1580" s="67">
        <v>0</v>
      </c>
      <c r="N1580" s="31">
        <v>0</v>
      </c>
      <c r="O1580" s="66">
        <v>550</v>
      </c>
      <c r="P1580" s="26">
        <v>0.55000000000000004</v>
      </c>
      <c r="Q1580" s="35" t="s">
        <v>2387</v>
      </c>
    </row>
    <row r="1581" spans="1:17" ht="48" x14ac:dyDescent="0.25">
      <c r="A1581" s="62">
        <v>38473</v>
      </c>
      <c r="B1581" s="62">
        <v>38473</v>
      </c>
      <c r="C1581" s="63">
        <v>2005</v>
      </c>
      <c r="D1581" s="35" t="s">
        <v>28</v>
      </c>
      <c r="E1581" s="14" t="s">
        <v>29</v>
      </c>
      <c r="F1581" s="7" t="s">
        <v>53</v>
      </c>
      <c r="G1581" s="83" t="s">
        <v>2460</v>
      </c>
      <c r="H1581" s="83" t="s">
        <v>2461</v>
      </c>
      <c r="I1581" s="94">
        <v>6</v>
      </c>
      <c r="J1581" s="66">
        <v>6</v>
      </c>
      <c r="K1581" s="66">
        <v>0</v>
      </c>
      <c r="L1581" s="66">
        <v>0</v>
      </c>
      <c r="M1581" s="67">
        <v>0</v>
      </c>
      <c r="N1581" s="31">
        <v>0</v>
      </c>
      <c r="O1581" s="66">
        <v>580</v>
      </c>
      <c r="P1581" s="26">
        <v>0.57999999999999996</v>
      </c>
      <c r="Q1581" s="35" t="s">
        <v>2387</v>
      </c>
    </row>
    <row r="1582" spans="1:17" ht="24" x14ac:dyDescent="0.25">
      <c r="A1582" s="62">
        <v>38475</v>
      </c>
      <c r="B1582" s="62">
        <v>38475</v>
      </c>
      <c r="C1582" s="63">
        <v>2005</v>
      </c>
      <c r="D1582" s="35" t="s">
        <v>28</v>
      </c>
      <c r="E1582" s="14" t="s">
        <v>29</v>
      </c>
      <c r="F1582" s="7" t="s">
        <v>56</v>
      </c>
      <c r="G1582" s="83" t="s">
        <v>2462</v>
      </c>
      <c r="H1582" s="83" t="s">
        <v>2463</v>
      </c>
      <c r="I1582" s="94">
        <v>0</v>
      </c>
      <c r="J1582" s="66">
        <v>0</v>
      </c>
      <c r="K1582" s="66">
        <v>0</v>
      </c>
      <c r="L1582" s="66">
        <v>0</v>
      </c>
      <c r="M1582" s="67">
        <v>0</v>
      </c>
      <c r="N1582" s="31">
        <v>0</v>
      </c>
      <c r="O1582" s="66">
        <v>450</v>
      </c>
      <c r="P1582" s="26">
        <v>0.45</v>
      </c>
      <c r="Q1582" s="35" t="s">
        <v>2387</v>
      </c>
    </row>
    <row r="1583" spans="1:17" ht="36" x14ac:dyDescent="0.25">
      <c r="A1583" s="62">
        <v>38475</v>
      </c>
      <c r="B1583" s="62">
        <v>38475</v>
      </c>
      <c r="C1583" s="63">
        <v>2005</v>
      </c>
      <c r="D1583" s="35" t="s">
        <v>28</v>
      </c>
      <c r="E1583" s="14" t="s">
        <v>29</v>
      </c>
      <c r="F1583" s="7" t="s">
        <v>56</v>
      </c>
      <c r="G1583" s="83" t="s">
        <v>2464</v>
      </c>
      <c r="H1583" s="83" t="s">
        <v>2465</v>
      </c>
      <c r="I1583" s="94">
        <v>0</v>
      </c>
      <c r="J1583" s="66">
        <v>0</v>
      </c>
      <c r="K1583" s="66">
        <v>0</v>
      </c>
      <c r="L1583" s="66">
        <v>0</v>
      </c>
      <c r="M1583" s="67">
        <v>0</v>
      </c>
      <c r="N1583" s="31">
        <v>0</v>
      </c>
      <c r="O1583" s="66">
        <v>1814</v>
      </c>
      <c r="P1583" s="26">
        <v>1.0940000000000001</v>
      </c>
      <c r="Q1583" s="35" t="s">
        <v>2387</v>
      </c>
    </row>
    <row r="1584" spans="1:17" ht="36" x14ac:dyDescent="0.25">
      <c r="A1584" s="62">
        <v>38493</v>
      </c>
      <c r="B1584" s="62">
        <v>38493</v>
      </c>
      <c r="C1584" s="63">
        <v>2005</v>
      </c>
      <c r="D1584" s="35" t="s">
        <v>28</v>
      </c>
      <c r="E1584" s="14" t="s">
        <v>29</v>
      </c>
      <c r="F1584" s="7" t="s">
        <v>56</v>
      </c>
      <c r="G1584" s="83" t="s">
        <v>56</v>
      </c>
      <c r="H1584" s="83" t="s">
        <v>2466</v>
      </c>
      <c r="I1584" s="94">
        <v>0</v>
      </c>
      <c r="J1584" s="66">
        <v>0</v>
      </c>
      <c r="K1584" s="66">
        <v>0</v>
      </c>
      <c r="L1584" s="66">
        <v>0</v>
      </c>
      <c r="M1584" s="67">
        <v>0</v>
      </c>
      <c r="N1584" s="31">
        <v>0</v>
      </c>
      <c r="O1584" s="66">
        <v>821</v>
      </c>
      <c r="P1584" s="26">
        <v>0.82099999999999995</v>
      </c>
      <c r="Q1584" s="35" t="s">
        <v>2387</v>
      </c>
    </row>
    <row r="1585" spans="1:17" ht="48" x14ac:dyDescent="0.25">
      <c r="A1585" s="62">
        <v>38494</v>
      </c>
      <c r="B1585" s="62">
        <v>38494</v>
      </c>
      <c r="C1585" s="63">
        <v>2005</v>
      </c>
      <c r="D1585" s="35" t="s">
        <v>28</v>
      </c>
      <c r="E1585" s="14" t="s">
        <v>29</v>
      </c>
      <c r="F1585" s="7" t="s">
        <v>101</v>
      </c>
      <c r="G1585" s="83" t="s">
        <v>2467</v>
      </c>
      <c r="H1585" s="83" t="s">
        <v>2468</v>
      </c>
      <c r="I1585" s="94">
        <v>0</v>
      </c>
      <c r="J1585" s="66">
        <v>0</v>
      </c>
      <c r="K1585" s="66">
        <v>0</v>
      </c>
      <c r="L1585" s="66">
        <v>0</v>
      </c>
      <c r="M1585" s="67">
        <v>0</v>
      </c>
      <c r="N1585" s="31">
        <v>0</v>
      </c>
      <c r="O1585" s="66">
        <v>1050</v>
      </c>
      <c r="P1585" s="26">
        <v>1.05</v>
      </c>
      <c r="Q1585" s="35" t="s">
        <v>2387</v>
      </c>
    </row>
    <row r="1586" spans="1:17" ht="36" x14ac:dyDescent="0.25">
      <c r="A1586" s="62">
        <v>38506</v>
      </c>
      <c r="B1586" s="62">
        <v>38506</v>
      </c>
      <c r="C1586" s="63">
        <v>2005</v>
      </c>
      <c r="D1586" s="35" t="s">
        <v>28</v>
      </c>
      <c r="E1586" s="14" t="s">
        <v>29</v>
      </c>
      <c r="F1586" s="7" t="s">
        <v>82</v>
      </c>
      <c r="G1586" s="83" t="s">
        <v>2469</v>
      </c>
      <c r="H1586" s="83" t="s">
        <v>2470</v>
      </c>
      <c r="I1586" s="94">
        <v>0</v>
      </c>
      <c r="J1586" s="66">
        <v>0</v>
      </c>
      <c r="K1586" s="66">
        <v>0</v>
      </c>
      <c r="L1586" s="66">
        <v>0</v>
      </c>
      <c r="M1586" s="67">
        <v>0</v>
      </c>
      <c r="N1586" s="31">
        <v>0</v>
      </c>
      <c r="O1586" s="66">
        <v>180</v>
      </c>
      <c r="P1586" s="26">
        <v>0.18</v>
      </c>
      <c r="Q1586" s="35" t="s">
        <v>2387</v>
      </c>
    </row>
    <row r="1587" spans="1:17" ht="48" x14ac:dyDescent="0.25">
      <c r="A1587" s="62">
        <v>38508</v>
      </c>
      <c r="B1587" s="62">
        <v>38508</v>
      </c>
      <c r="C1587" s="63">
        <v>2005</v>
      </c>
      <c r="D1587" s="35" t="s">
        <v>28</v>
      </c>
      <c r="E1587" s="14" t="s">
        <v>29</v>
      </c>
      <c r="F1587" s="28" t="s">
        <v>210</v>
      </c>
      <c r="G1587" s="77" t="s">
        <v>2292</v>
      </c>
      <c r="H1587" s="77" t="s">
        <v>2471</v>
      </c>
      <c r="I1587" s="78">
        <v>0</v>
      </c>
      <c r="J1587" s="66">
        <v>83</v>
      </c>
      <c r="K1587" s="66">
        <v>0</v>
      </c>
      <c r="L1587" s="66">
        <v>0</v>
      </c>
      <c r="M1587" s="67">
        <v>0</v>
      </c>
      <c r="N1587" s="31">
        <v>0</v>
      </c>
      <c r="O1587" s="66">
        <v>0</v>
      </c>
      <c r="P1587" s="26">
        <v>0</v>
      </c>
      <c r="Q1587" s="35" t="s">
        <v>2387</v>
      </c>
    </row>
    <row r="1588" spans="1:17" ht="36" x14ac:dyDescent="0.25">
      <c r="A1588" s="62">
        <v>38509</v>
      </c>
      <c r="B1588" s="62">
        <v>38511</v>
      </c>
      <c r="C1588" s="63">
        <v>2005</v>
      </c>
      <c r="D1588" s="35" t="s">
        <v>28</v>
      </c>
      <c r="E1588" s="14" t="s">
        <v>29</v>
      </c>
      <c r="F1588" s="7" t="s">
        <v>101</v>
      </c>
      <c r="G1588" s="83" t="s">
        <v>2472</v>
      </c>
      <c r="H1588" s="83" t="s">
        <v>2473</v>
      </c>
      <c r="I1588" s="94">
        <v>0</v>
      </c>
      <c r="J1588" s="66">
        <v>0</v>
      </c>
      <c r="K1588" s="66">
        <v>0</v>
      </c>
      <c r="L1588" s="66">
        <v>0</v>
      </c>
      <c r="M1588" s="67">
        <v>0</v>
      </c>
      <c r="N1588" s="31">
        <v>0</v>
      </c>
      <c r="O1588" s="66">
        <v>3000</v>
      </c>
      <c r="P1588" s="26">
        <v>3</v>
      </c>
      <c r="Q1588" s="35" t="s">
        <v>2387</v>
      </c>
    </row>
    <row r="1589" spans="1:17" ht="24" x14ac:dyDescent="0.25">
      <c r="A1589" s="62">
        <v>38514</v>
      </c>
      <c r="B1589" s="62">
        <v>38514</v>
      </c>
      <c r="C1589" s="63">
        <v>2005</v>
      </c>
      <c r="D1589" s="35" t="s">
        <v>28</v>
      </c>
      <c r="E1589" s="14" t="s">
        <v>29</v>
      </c>
      <c r="F1589" s="7" t="s">
        <v>56</v>
      </c>
      <c r="G1589" s="83" t="s">
        <v>2474</v>
      </c>
      <c r="H1589" s="83" t="s">
        <v>2475</v>
      </c>
      <c r="I1589" s="94">
        <v>0</v>
      </c>
      <c r="J1589" s="66">
        <v>0</v>
      </c>
      <c r="K1589" s="66">
        <v>0</v>
      </c>
      <c r="L1589" s="66">
        <v>0</v>
      </c>
      <c r="M1589" s="67">
        <v>0</v>
      </c>
      <c r="N1589" s="31">
        <v>0</v>
      </c>
      <c r="O1589" s="66">
        <v>50</v>
      </c>
      <c r="P1589" s="26">
        <v>0.05</v>
      </c>
      <c r="Q1589" s="35" t="s">
        <v>2387</v>
      </c>
    </row>
    <row r="1590" spans="1:17" ht="24" x14ac:dyDescent="0.25">
      <c r="A1590" s="62">
        <v>38514</v>
      </c>
      <c r="B1590" s="62">
        <v>38514</v>
      </c>
      <c r="C1590" s="63">
        <v>2005</v>
      </c>
      <c r="D1590" s="35" t="s">
        <v>28</v>
      </c>
      <c r="E1590" s="14" t="s">
        <v>29</v>
      </c>
      <c r="F1590" s="28" t="s">
        <v>157</v>
      </c>
      <c r="G1590" s="83" t="s">
        <v>2476</v>
      </c>
      <c r="H1590" s="83" t="s">
        <v>2477</v>
      </c>
      <c r="I1590" s="94">
        <v>0</v>
      </c>
      <c r="J1590" s="66">
        <v>0</v>
      </c>
      <c r="K1590" s="66">
        <v>0</v>
      </c>
      <c r="L1590" s="66">
        <v>0</v>
      </c>
      <c r="M1590" s="67">
        <v>0</v>
      </c>
      <c r="N1590" s="31">
        <v>0</v>
      </c>
      <c r="O1590" s="66">
        <v>3</v>
      </c>
      <c r="P1590" s="26">
        <v>3.0000000000000001E-3</v>
      </c>
      <c r="Q1590" s="35" t="s">
        <v>2387</v>
      </c>
    </row>
    <row r="1591" spans="1:17" ht="48" x14ac:dyDescent="0.25">
      <c r="A1591" s="62">
        <v>38515</v>
      </c>
      <c r="B1591" s="62">
        <v>38515</v>
      </c>
      <c r="C1591" s="63">
        <v>2005</v>
      </c>
      <c r="D1591" s="35" t="s">
        <v>28</v>
      </c>
      <c r="E1591" s="14" t="s">
        <v>29</v>
      </c>
      <c r="F1591" s="7" t="s">
        <v>101</v>
      </c>
      <c r="G1591" s="83" t="s">
        <v>2478</v>
      </c>
      <c r="H1591" s="83" t="s">
        <v>2479</v>
      </c>
      <c r="I1591" s="94">
        <v>0</v>
      </c>
      <c r="J1591" s="66">
        <v>0</v>
      </c>
      <c r="K1591" s="66">
        <v>0</v>
      </c>
      <c r="L1591" s="66">
        <v>0</v>
      </c>
      <c r="M1591" s="67">
        <v>0</v>
      </c>
      <c r="N1591" s="31">
        <v>0</v>
      </c>
      <c r="O1591" s="66">
        <v>12700</v>
      </c>
      <c r="P1591" s="26">
        <v>5.7</v>
      </c>
      <c r="Q1591" s="35" t="s">
        <v>2387</v>
      </c>
    </row>
    <row r="1592" spans="1:17" ht="24" x14ac:dyDescent="0.25">
      <c r="A1592" s="62">
        <v>38515</v>
      </c>
      <c r="B1592" s="62">
        <v>38515</v>
      </c>
      <c r="C1592" s="63">
        <v>2005</v>
      </c>
      <c r="D1592" s="35" t="s">
        <v>28</v>
      </c>
      <c r="E1592" s="14" t="s">
        <v>29</v>
      </c>
      <c r="F1592" s="7" t="s">
        <v>62</v>
      </c>
      <c r="G1592" s="83" t="s">
        <v>2480</v>
      </c>
      <c r="H1592" s="83" t="s">
        <v>2481</v>
      </c>
      <c r="I1592" s="94">
        <v>0</v>
      </c>
      <c r="J1592" s="66">
        <v>0</v>
      </c>
      <c r="K1592" s="66">
        <v>0</v>
      </c>
      <c r="L1592" s="66">
        <v>0</v>
      </c>
      <c r="M1592" s="67">
        <v>0</v>
      </c>
      <c r="N1592" s="31">
        <v>0</v>
      </c>
      <c r="O1592" s="66">
        <v>450</v>
      </c>
      <c r="P1592" s="26">
        <v>0.45</v>
      </c>
      <c r="Q1592" s="35" t="s">
        <v>2387</v>
      </c>
    </row>
    <row r="1593" spans="1:17" ht="84" x14ac:dyDescent="0.25">
      <c r="A1593" s="62">
        <v>38530</v>
      </c>
      <c r="B1593" s="62">
        <v>38530</v>
      </c>
      <c r="C1593" s="63">
        <v>2005</v>
      </c>
      <c r="D1593" s="35" t="s">
        <v>28</v>
      </c>
      <c r="E1593" s="14" t="s">
        <v>29</v>
      </c>
      <c r="F1593" s="7" t="s">
        <v>87</v>
      </c>
      <c r="G1593" s="83" t="s">
        <v>2482</v>
      </c>
      <c r="H1593" s="83" t="s">
        <v>2483</v>
      </c>
      <c r="I1593" s="94">
        <v>0</v>
      </c>
      <c r="J1593" s="66">
        <v>0</v>
      </c>
      <c r="K1593" s="66">
        <v>0</v>
      </c>
      <c r="L1593" s="66">
        <v>0</v>
      </c>
      <c r="M1593" s="67">
        <v>0</v>
      </c>
      <c r="N1593" s="31">
        <v>0</v>
      </c>
      <c r="O1593" s="66">
        <v>1975</v>
      </c>
      <c r="P1593" s="26">
        <v>1.9750000000000001</v>
      </c>
      <c r="Q1593" s="35" t="s">
        <v>2387</v>
      </c>
    </row>
    <row r="1594" spans="1:17" ht="48" x14ac:dyDescent="0.25">
      <c r="A1594" s="62">
        <v>38589</v>
      </c>
      <c r="B1594" s="62">
        <v>38590</v>
      </c>
      <c r="C1594" s="63">
        <v>2005</v>
      </c>
      <c r="D1594" s="35" t="s">
        <v>28</v>
      </c>
      <c r="E1594" s="14" t="s">
        <v>29</v>
      </c>
      <c r="F1594" s="7" t="s">
        <v>30</v>
      </c>
      <c r="G1594" s="64" t="s">
        <v>2484</v>
      </c>
      <c r="H1594" s="64" t="s">
        <v>2485</v>
      </c>
      <c r="I1594" s="66">
        <v>0</v>
      </c>
      <c r="J1594" s="66">
        <v>0</v>
      </c>
      <c r="K1594" s="66">
        <v>0</v>
      </c>
      <c r="L1594" s="66">
        <v>0</v>
      </c>
      <c r="M1594" s="67">
        <v>0</v>
      </c>
      <c r="N1594" s="31">
        <v>0</v>
      </c>
      <c r="O1594" s="66">
        <v>750</v>
      </c>
      <c r="P1594" s="26">
        <v>0.75</v>
      </c>
      <c r="Q1594" s="35" t="s">
        <v>2387</v>
      </c>
    </row>
    <row r="1595" spans="1:17" ht="24" x14ac:dyDescent="0.25">
      <c r="A1595" s="62">
        <v>38639</v>
      </c>
      <c r="B1595" s="62">
        <v>38639</v>
      </c>
      <c r="C1595" s="63">
        <v>2005</v>
      </c>
      <c r="D1595" s="35" t="s">
        <v>28</v>
      </c>
      <c r="E1595" s="14" t="s">
        <v>29</v>
      </c>
      <c r="F1595" s="7" t="s">
        <v>30</v>
      </c>
      <c r="G1595" s="83" t="s">
        <v>395</v>
      </c>
      <c r="H1595" s="83" t="s">
        <v>2486</v>
      </c>
      <c r="I1595" s="94">
        <v>0</v>
      </c>
      <c r="J1595" s="66">
        <v>0</v>
      </c>
      <c r="K1595" s="66">
        <v>0</v>
      </c>
      <c r="L1595" s="66">
        <v>0</v>
      </c>
      <c r="M1595" s="67">
        <v>0</v>
      </c>
      <c r="N1595" s="31">
        <v>0</v>
      </c>
      <c r="O1595" s="66">
        <v>200</v>
      </c>
      <c r="P1595" s="26">
        <v>0.2</v>
      </c>
      <c r="Q1595" s="35" t="s">
        <v>2387</v>
      </c>
    </row>
    <row r="1596" spans="1:17" ht="36" x14ac:dyDescent="0.25">
      <c r="A1596" s="62">
        <v>38677</v>
      </c>
      <c r="B1596" s="62">
        <v>38677</v>
      </c>
      <c r="C1596" s="63">
        <v>2005</v>
      </c>
      <c r="D1596" s="35" t="s">
        <v>28</v>
      </c>
      <c r="E1596" s="14" t="s">
        <v>29</v>
      </c>
      <c r="F1596" s="7" t="s">
        <v>30</v>
      </c>
      <c r="G1596" s="83" t="s">
        <v>2487</v>
      </c>
      <c r="H1596" s="95" t="s">
        <v>2488</v>
      </c>
      <c r="I1596" s="94">
        <v>0</v>
      </c>
      <c r="J1596" s="66">
        <v>0</v>
      </c>
      <c r="K1596" s="66">
        <v>0</v>
      </c>
      <c r="L1596" s="66">
        <v>0</v>
      </c>
      <c r="M1596" s="67">
        <v>0</v>
      </c>
      <c r="N1596" s="31">
        <v>0</v>
      </c>
      <c r="O1596" s="66">
        <v>7000</v>
      </c>
      <c r="P1596" s="26">
        <v>2</v>
      </c>
      <c r="Q1596" s="35" t="s">
        <v>2387</v>
      </c>
    </row>
    <row r="1597" spans="1:17" ht="24" x14ac:dyDescent="0.25">
      <c r="A1597" s="62">
        <v>38704</v>
      </c>
      <c r="B1597" s="62">
        <v>38704</v>
      </c>
      <c r="C1597" s="63">
        <v>2005</v>
      </c>
      <c r="D1597" s="35" t="s">
        <v>28</v>
      </c>
      <c r="E1597" s="14" t="s">
        <v>29</v>
      </c>
      <c r="F1597" s="7" t="s">
        <v>53</v>
      </c>
      <c r="G1597" s="83" t="s">
        <v>926</v>
      </c>
      <c r="H1597" s="83" t="s">
        <v>2489</v>
      </c>
      <c r="I1597" s="94">
        <v>0</v>
      </c>
      <c r="J1597" s="66">
        <v>0</v>
      </c>
      <c r="K1597" s="66">
        <v>0</v>
      </c>
      <c r="L1597" s="66">
        <v>0</v>
      </c>
      <c r="M1597" s="67">
        <v>0</v>
      </c>
      <c r="N1597" s="31">
        <v>0</v>
      </c>
      <c r="O1597" s="66">
        <v>1</v>
      </c>
      <c r="P1597" s="26">
        <v>1E-3</v>
      </c>
      <c r="Q1597" s="35" t="s">
        <v>2387</v>
      </c>
    </row>
    <row r="1598" spans="1:17" ht="36" x14ac:dyDescent="0.25">
      <c r="A1598" s="62">
        <v>38706</v>
      </c>
      <c r="B1598" s="62">
        <v>38706</v>
      </c>
      <c r="C1598" s="63">
        <v>2005</v>
      </c>
      <c r="D1598" s="35" t="s">
        <v>28</v>
      </c>
      <c r="E1598" s="14" t="s">
        <v>29</v>
      </c>
      <c r="F1598" s="7" t="s">
        <v>30</v>
      </c>
      <c r="G1598" s="83" t="s">
        <v>2490</v>
      </c>
      <c r="H1598" s="83" t="s">
        <v>2491</v>
      </c>
      <c r="I1598" s="94">
        <v>0</v>
      </c>
      <c r="J1598" s="66">
        <v>0</v>
      </c>
      <c r="K1598" s="66">
        <v>0</v>
      </c>
      <c r="L1598" s="66">
        <v>0</v>
      </c>
      <c r="M1598" s="67">
        <v>0</v>
      </c>
      <c r="N1598" s="31">
        <v>0</v>
      </c>
      <c r="O1598" s="66">
        <v>250</v>
      </c>
      <c r="P1598" s="26">
        <v>0.14000000000000001</v>
      </c>
      <c r="Q1598" s="35" t="s">
        <v>2387</v>
      </c>
    </row>
    <row r="1599" spans="1:17" ht="48" x14ac:dyDescent="0.25">
      <c r="A1599" s="62">
        <v>38712</v>
      </c>
      <c r="B1599" s="62">
        <v>38712</v>
      </c>
      <c r="C1599" s="63">
        <v>2005</v>
      </c>
      <c r="D1599" s="35" t="s">
        <v>28</v>
      </c>
      <c r="E1599" s="14" t="s">
        <v>29</v>
      </c>
      <c r="F1599" s="7" t="s">
        <v>56</v>
      </c>
      <c r="G1599" s="83" t="s">
        <v>2492</v>
      </c>
      <c r="H1599" s="83" t="s">
        <v>2493</v>
      </c>
      <c r="I1599" s="94">
        <v>0</v>
      </c>
      <c r="J1599" s="66">
        <v>0</v>
      </c>
      <c r="K1599" s="66">
        <v>0</v>
      </c>
      <c r="L1599" s="66">
        <v>0</v>
      </c>
      <c r="M1599" s="67">
        <v>0</v>
      </c>
      <c r="N1599" s="31">
        <v>0</v>
      </c>
      <c r="O1599" s="66">
        <v>15</v>
      </c>
      <c r="P1599" s="26">
        <v>1.4999999999999999E-2</v>
      </c>
      <c r="Q1599" s="35" t="s">
        <v>2387</v>
      </c>
    </row>
    <row r="1600" spans="1:17" ht="24" x14ac:dyDescent="0.25">
      <c r="A1600" s="62">
        <v>38714</v>
      </c>
      <c r="B1600" s="62">
        <v>38714</v>
      </c>
      <c r="C1600" s="63">
        <v>2005</v>
      </c>
      <c r="D1600" s="35" t="s">
        <v>28</v>
      </c>
      <c r="E1600" s="14" t="s">
        <v>29</v>
      </c>
      <c r="F1600" s="7" t="s">
        <v>56</v>
      </c>
      <c r="G1600" s="83" t="s">
        <v>2494</v>
      </c>
      <c r="H1600" s="83" t="s">
        <v>2495</v>
      </c>
      <c r="I1600" s="94">
        <v>0</v>
      </c>
      <c r="J1600" s="66">
        <v>0</v>
      </c>
      <c r="K1600" s="66">
        <v>0</v>
      </c>
      <c r="L1600" s="66">
        <v>0</v>
      </c>
      <c r="M1600" s="67">
        <v>0</v>
      </c>
      <c r="N1600" s="31">
        <v>0</v>
      </c>
      <c r="O1600" s="66">
        <v>44</v>
      </c>
      <c r="P1600" s="26">
        <v>4.3999999999999997E-2</v>
      </c>
      <c r="Q1600" s="35" t="s">
        <v>2387</v>
      </c>
    </row>
    <row r="1601" spans="1:17" ht="48" x14ac:dyDescent="0.25">
      <c r="A1601" s="62">
        <v>38358</v>
      </c>
      <c r="B1601" s="62">
        <v>38358</v>
      </c>
      <c r="C1601" s="63">
        <v>2005</v>
      </c>
      <c r="D1601" s="35" t="s">
        <v>28</v>
      </c>
      <c r="E1601" s="6" t="s">
        <v>149</v>
      </c>
      <c r="F1601" s="7" t="s">
        <v>53</v>
      </c>
      <c r="G1601" s="83" t="s">
        <v>1236</v>
      </c>
      <c r="H1601" s="97" t="s">
        <v>2496</v>
      </c>
      <c r="I1601" s="94">
        <v>0</v>
      </c>
      <c r="J1601" s="66">
        <v>240</v>
      </c>
      <c r="K1601" s="66">
        <v>0</v>
      </c>
      <c r="L1601" s="66">
        <v>0</v>
      </c>
      <c r="M1601" s="67">
        <v>0</v>
      </c>
      <c r="N1601" s="31">
        <v>0</v>
      </c>
      <c r="O1601" s="66">
        <v>0</v>
      </c>
      <c r="P1601" s="26">
        <v>0</v>
      </c>
      <c r="Q1601" s="35" t="s">
        <v>154</v>
      </c>
    </row>
    <row r="1602" spans="1:17" ht="36" x14ac:dyDescent="0.25">
      <c r="A1602" s="62">
        <v>38358</v>
      </c>
      <c r="B1602" s="62">
        <v>38358</v>
      </c>
      <c r="C1602" s="63">
        <v>2005</v>
      </c>
      <c r="D1602" s="35" t="s">
        <v>28</v>
      </c>
      <c r="E1602" s="6" t="s">
        <v>149</v>
      </c>
      <c r="F1602" s="28" t="s">
        <v>157</v>
      </c>
      <c r="G1602" s="83" t="s">
        <v>526</v>
      </c>
      <c r="H1602" s="98" t="s">
        <v>2497</v>
      </c>
      <c r="I1602" s="94">
        <v>0</v>
      </c>
      <c r="J1602" s="66">
        <v>4</v>
      </c>
      <c r="K1602" s="66">
        <v>0</v>
      </c>
      <c r="L1602" s="66">
        <v>0</v>
      </c>
      <c r="M1602" s="67">
        <v>0</v>
      </c>
      <c r="N1602" s="31">
        <v>0</v>
      </c>
      <c r="O1602" s="66">
        <v>0</v>
      </c>
      <c r="P1602" s="26">
        <v>0</v>
      </c>
      <c r="Q1602" s="35" t="s">
        <v>154</v>
      </c>
    </row>
    <row r="1603" spans="1:17" ht="24" x14ac:dyDescent="0.25">
      <c r="A1603" s="62">
        <v>38369</v>
      </c>
      <c r="B1603" s="62">
        <v>38369</v>
      </c>
      <c r="C1603" s="63">
        <v>2005</v>
      </c>
      <c r="D1603" s="35" t="s">
        <v>28</v>
      </c>
      <c r="E1603" s="6" t="s">
        <v>149</v>
      </c>
      <c r="F1603" s="7" t="s">
        <v>53</v>
      </c>
      <c r="G1603" s="83" t="s">
        <v>460</v>
      </c>
      <c r="H1603" s="98" t="s">
        <v>2498</v>
      </c>
      <c r="I1603" s="94">
        <v>0</v>
      </c>
      <c r="J1603" s="66">
        <v>2</v>
      </c>
      <c r="K1603" s="66">
        <v>0</v>
      </c>
      <c r="L1603" s="66">
        <v>0</v>
      </c>
      <c r="M1603" s="67">
        <v>0</v>
      </c>
      <c r="N1603" s="31">
        <v>0</v>
      </c>
      <c r="O1603" s="66">
        <v>0</v>
      </c>
      <c r="P1603" s="26">
        <v>0</v>
      </c>
      <c r="Q1603" s="35" t="s">
        <v>154</v>
      </c>
    </row>
    <row r="1604" spans="1:17" ht="60" x14ac:dyDescent="0.25">
      <c r="A1604" s="62">
        <v>38372</v>
      </c>
      <c r="B1604" s="62">
        <v>38372</v>
      </c>
      <c r="C1604" s="63">
        <v>2005</v>
      </c>
      <c r="D1604" s="35" t="s">
        <v>28</v>
      </c>
      <c r="E1604" s="6" t="s">
        <v>149</v>
      </c>
      <c r="F1604" s="28" t="s">
        <v>157</v>
      </c>
      <c r="G1604" s="83" t="s">
        <v>1029</v>
      </c>
      <c r="H1604" s="83" t="s">
        <v>2499</v>
      </c>
      <c r="I1604" s="94">
        <v>0</v>
      </c>
      <c r="J1604" s="66">
        <v>0</v>
      </c>
      <c r="K1604" s="66">
        <v>0</v>
      </c>
      <c r="L1604" s="66">
        <v>0</v>
      </c>
      <c r="M1604" s="67">
        <v>0</v>
      </c>
      <c r="N1604" s="31">
        <v>0</v>
      </c>
      <c r="O1604" s="66">
        <v>0</v>
      </c>
      <c r="P1604" s="26">
        <v>0</v>
      </c>
      <c r="Q1604" s="35" t="s">
        <v>154</v>
      </c>
    </row>
    <row r="1605" spans="1:17" ht="48" x14ac:dyDescent="0.25">
      <c r="A1605" s="62">
        <v>38375</v>
      </c>
      <c r="B1605" s="62">
        <v>38375</v>
      </c>
      <c r="C1605" s="63">
        <v>2005</v>
      </c>
      <c r="D1605" s="35" t="s">
        <v>28</v>
      </c>
      <c r="E1605" s="6" t="s">
        <v>149</v>
      </c>
      <c r="F1605" s="7" t="s">
        <v>56</v>
      </c>
      <c r="G1605" s="64" t="s">
        <v>646</v>
      </c>
      <c r="H1605" s="64" t="s">
        <v>2500</v>
      </c>
      <c r="I1605" s="66">
        <v>3</v>
      </c>
      <c r="J1605" s="66">
        <v>7</v>
      </c>
      <c r="K1605" s="66">
        <v>1</v>
      </c>
      <c r="L1605" s="66">
        <v>0</v>
      </c>
      <c r="M1605" s="67">
        <v>0</v>
      </c>
      <c r="N1605" s="31">
        <v>0</v>
      </c>
      <c r="O1605" s="66">
        <v>0</v>
      </c>
      <c r="P1605" s="26">
        <v>4.0000000000000001E-3</v>
      </c>
      <c r="Q1605" s="35" t="s">
        <v>154</v>
      </c>
    </row>
    <row r="1606" spans="1:17" ht="60" x14ac:dyDescent="0.25">
      <c r="A1606" s="62">
        <v>38389</v>
      </c>
      <c r="B1606" s="62">
        <v>38389</v>
      </c>
      <c r="C1606" s="63">
        <v>2005</v>
      </c>
      <c r="D1606" s="35" t="s">
        <v>28</v>
      </c>
      <c r="E1606" s="6" t="s">
        <v>149</v>
      </c>
      <c r="F1606" s="7" t="s">
        <v>36</v>
      </c>
      <c r="G1606" s="64" t="s">
        <v>1513</v>
      </c>
      <c r="H1606" s="64" t="s">
        <v>2501</v>
      </c>
      <c r="I1606" s="66">
        <v>0</v>
      </c>
      <c r="J1606" s="66">
        <v>3</v>
      </c>
      <c r="K1606" s="66">
        <v>0</v>
      </c>
      <c r="L1606" s="66">
        <v>0</v>
      </c>
      <c r="M1606" s="67">
        <v>0</v>
      </c>
      <c r="N1606" s="31">
        <v>0</v>
      </c>
      <c r="O1606" s="66">
        <v>0</v>
      </c>
      <c r="P1606" s="26">
        <v>0</v>
      </c>
      <c r="Q1606" s="35" t="s">
        <v>154</v>
      </c>
    </row>
    <row r="1607" spans="1:17" ht="36" x14ac:dyDescent="0.25">
      <c r="A1607" s="62">
        <v>38414</v>
      </c>
      <c r="B1607" s="62">
        <v>38414</v>
      </c>
      <c r="C1607" s="63">
        <v>2005</v>
      </c>
      <c r="D1607" s="35" t="s">
        <v>28</v>
      </c>
      <c r="E1607" s="6" t="s">
        <v>149</v>
      </c>
      <c r="F1607" s="7" t="s">
        <v>75</v>
      </c>
      <c r="G1607" s="64" t="s">
        <v>2502</v>
      </c>
      <c r="H1607" s="64" t="s">
        <v>2503</v>
      </c>
      <c r="I1607" s="66">
        <v>3</v>
      </c>
      <c r="J1607" s="66">
        <v>3</v>
      </c>
      <c r="K1607" s="66">
        <v>1</v>
      </c>
      <c r="L1607" s="66">
        <v>0</v>
      </c>
      <c r="M1607" s="67">
        <v>0</v>
      </c>
      <c r="N1607" s="31">
        <v>0</v>
      </c>
      <c r="O1607" s="66">
        <v>0</v>
      </c>
      <c r="P1607" s="26">
        <v>4.0000000000000001E-3</v>
      </c>
      <c r="Q1607" s="35" t="s">
        <v>154</v>
      </c>
    </row>
    <row r="1608" spans="1:17" ht="36" x14ac:dyDescent="0.25">
      <c r="A1608" s="62">
        <v>38421</v>
      </c>
      <c r="B1608" s="62">
        <v>38421</v>
      </c>
      <c r="C1608" s="63">
        <v>2005</v>
      </c>
      <c r="D1608" s="35" t="s">
        <v>28</v>
      </c>
      <c r="E1608" s="6" t="s">
        <v>149</v>
      </c>
      <c r="F1608" s="7" t="s">
        <v>75</v>
      </c>
      <c r="G1608" s="64" t="s">
        <v>2504</v>
      </c>
      <c r="H1608" s="64" t="s">
        <v>2505</v>
      </c>
      <c r="I1608" s="66">
        <v>0</v>
      </c>
      <c r="J1608" s="66">
        <v>0</v>
      </c>
      <c r="K1608" s="66">
        <v>0</v>
      </c>
      <c r="L1608" s="66">
        <v>0</v>
      </c>
      <c r="M1608" s="67">
        <v>0</v>
      </c>
      <c r="N1608" s="31">
        <v>0</v>
      </c>
      <c r="O1608" s="66">
        <v>0</v>
      </c>
      <c r="P1608" s="26">
        <v>0</v>
      </c>
      <c r="Q1608" s="35" t="s">
        <v>154</v>
      </c>
    </row>
    <row r="1609" spans="1:17" ht="84" x14ac:dyDescent="0.25">
      <c r="A1609" s="62">
        <v>38428</v>
      </c>
      <c r="B1609" s="62">
        <v>38428</v>
      </c>
      <c r="C1609" s="63">
        <v>2005</v>
      </c>
      <c r="D1609" s="35" t="s">
        <v>28</v>
      </c>
      <c r="E1609" s="6" t="s">
        <v>149</v>
      </c>
      <c r="F1609" s="7" t="s">
        <v>97</v>
      </c>
      <c r="G1609" s="64" t="s">
        <v>1744</v>
      </c>
      <c r="H1609" s="71" t="s">
        <v>2506</v>
      </c>
      <c r="I1609" s="66">
        <v>0</v>
      </c>
      <c r="J1609" s="66">
        <v>401</v>
      </c>
      <c r="K1609" s="66">
        <v>0</v>
      </c>
      <c r="L1609" s="66">
        <v>0</v>
      </c>
      <c r="M1609" s="67">
        <v>0</v>
      </c>
      <c r="N1609" s="31">
        <v>0</v>
      </c>
      <c r="O1609" s="66">
        <v>0</v>
      </c>
      <c r="P1609" s="26">
        <v>0</v>
      </c>
      <c r="Q1609" s="35" t="s">
        <v>154</v>
      </c>
    </row>
    <row r="1610" spans="1:17" ht="24" x14ac:dyDescent="0.25">
      <c r="A1610" s="62">
        <v>38430</v>
      </c>
      <c r="B1610" s="62">
        <v>38430</v>
      </c>
      <c r="C1610" s="63">
        <v>2005</v>
      </c>
      <c r="D1610" s="35" t="s">
        <v>28</v>
      </c>
      <c r="E1610" s="6" t="s">
        <v>149</v>
      </c>
      <c r="F1610" s="7" t="s">
        <v>62</v>
      </c>
      <c r="G1610" s="64" t="s">
        <v>165</v>
      </c>
      <c r="H1610" s="64" t="s">
        <v>2507</v>
      </c>
      <c r="I1610" s="66">
        <v>0</v>
      </c>
      <c r="J1610" s="66">
        <v>0</v>
      </c>
      <c r="K1610" s="66">
        <v>0</v>
      </c>
      <c r="L1610" s="66">
        <v>0</v>
      </c>
      <c r="M1610" s="67">
        <v>0</v>
      </c>
      <c r="N1610" s="31">
        <v>0</v>
      </c>
      <c r="O1610" s="66">
        <v>0</v>
      </c>
      <c r="P1610" s="26">
        <v>0</v>
      </c>
      <c r="Q1610" s="35" t="s">
        <v>154</v>
      </c>
    </row>
    <row r="1611" spans="1:17" ht="36" x14ac:dyDescent="0.25">
      <c r="A1611" s="62">
        <v>38435</v>
      </c>
      <c r="B1611" s="62">
        <v>38435</v>
      </c>
      <c r="C1611" s="63">
        <v>2005</v>
      </c>
      <c r="D1611" s="35" t="s">
        <v>28</v>
      </c>
      <c r="E1611" s="6" t="s">
        <v>149</v>
      </c>
      <c r="F1611" s="7" t="s">
        <v>60</v>
      </c>
      <c r="G1611" s="64" t="s">
        <v>2508</v>
      </c>
      <c r="H1611" s="64" t="s">
        <v>2509</v>
      </c>
      <c r="I1611" s="66">
        <v>0</v>
      </c>
      <c r="J1611" s="66">
        <v>5</v>
      </c>
      <c r="K1611" s="66">
        <v>0</v>
      </c>
      <c r="L1611" s="66">
        <v>0</v>
      </c>
      <c r="M1611" s="67">
        <v>0</v>
      </c>
      <c r="N1611" s="31">
        <v>0</v>
      </c>
      <c r="O1611" s="66">
        <v>0</v>
      </c>
      <c r="P1611" s="26">
        <v>0</v>
      </c>
      <c r="Q1611" s="35" t="s">
        <v>154</v>
      </c>
    </row>
    <row r="1612" spans="1:17" ht="48" x14ac:dyDescent="0.25">
      <c r="A1612" s="62">
        <v>38436</v>
      </c>
      <c r="B1612" s="62">
        <v>38436</v>
      </c>
      <c r="C1612" s="63">
        <v>2005</v>
      </c>
      <c r="D1612" s="35" t="s">
        <v>28</v>
      </c>
      <c r="E1612" s="6" t="s">
        <v>149</v>
      </c>
      <c r="F1612" s="7" t="s">
        <v>53</v>
      </c>
      <c r="G1612" s="64" t="s">
        <v>1304</v>
      </c>
      <c r="H1612" s="64" t="s">
        <v>2510</v>
      </c>
      <c r="I1612" s="66">
        <v>0</v>
      </c>
      <c r="J1612" s="66">
        <v>300</v>
      </c>
      <c r="K1612" s="66">
        <v>60</v>
      </c>
      <c r="L1612" s="66">
        <v>0</v>
      </c>
      <c r="M1612" s="67">
        <v>0</v>
      </c>
      <c r="N1612" s="31">
        <v>0</v>
      </c>
      <c r="O1612" s="66">
        <v>0</v>
      </c>
      <c r="P1612" s="26">
        <v>0.24</v>
      </c>
      <c r="Q1612" s="35" t="s">
        <v>154</v>
      </c>
    </row>
    <row r="1613" spans="1:17" ht="60" x14ac:dyDescent="0.25">
      <c r="A1613" s="62">
        <v>38436</v>
      </c>
      <c r="B1613" s="62">
        <v>38436</v>
      </c>
      <c r="C1613" s="63">
        <v>2005</v>
      </c>
      <c r="D1613" s="35" t="s">
        <v>28</v>
      </c>
      <c r="E1613" s="6" t="s">
        <v>149</v>
      </c>
      <c r="F1613" s="7" t="s">
        <v>53</v>
      </c>
      <c r="G1613" s="64" t="s">
        <v>847</v>
      </c>
      <c r="H1613" s="64" t="s">
        <v>2511</v>
      </c>
      <c r="I1613" s="66">
        <v>0</v>
      </c>
      <c r="J1613" s="66">
        <v>0</v>
      </c>
      <c r="K1613" s="66">
        <v>0</v>
      </c>
      <c r="L1613" s="66">
        <v>0</v>
      </c>
      <c r="M1613" s="67">
        <v>0</v>
      </c>
      <c r="N1613" s="31">
        <v>0</v>
      </c>
      <c r="O1613" s="66">
        <v>0</v>
      </c>
      <c r="P1613" s="26">
        <v>0</v>
      </c>
      <c r="Q1613" s="35" t="s">
        <v>154</v>
      </c>
    </row>
    <row r="1614" spans="1:17" ht="60" x14ac:dyDescent="0.25">
      <c r="A1614" s="62">
        <v>38443</v>
      </c>
      <c r="B1614" s="62">
        <v>38443</v>
      </c>
      <c r="C1614" s="63">
        <v>2005</v>
      </c>
      <c r="D1614" s="35" t="s">
        <v>28</v>
      </c>
      <c r="E1614" s="6" t="s">
        <v>149</v>
      </c>
      <c r="F1614" s="7" t="s">
        <v>68</v>
      </c>
      <c r="G1614" s="64" t="s">
        <v>2512</v>
      </c>
      <c r="H1614" s="71" t="s">
        <v>2513</v>
      </c>
      <c r="I1614" s="66">
        <v>0</v>
      </c>
      <c r="J1614" s="66">
        <v>300</v>
      </c>
      <c r="K1614" s="66">
        <v>0</v>
      </c>
      <c r="L1614" s="66">
        <v>0</v>
      </c>
      <c r="M1614" s="67">
        <v>0</v>
      </c>
      <c r="N1614" s="31">
        <v>0</v>
      </c>
      <c r="O1614" s="66">
        <v>0</v>
      </c>
      <c r="P1614" s="26">
        <v>0</v>
      </c>
      <c r="Q1614" s="35" t="s">
        <v>154</v>
      </c>
    </row>
    <row r="1615" spans="1:17" ht="24" x14ac:dyDescent="0.25">
      <c r="A1615" s="62">
        <v>38448</v>
      </c>
      <c r="B1615" s="62">
        <v>38448</v>
      </c>
      <c r="C1615" s="63">
        <v>2005</v>
      </c>
      <c r="D1615" s="35" t="s">
        <v>28</v>
      </c>
      <c r="E1615" s="6" t="s">
        <v>149</v>
      </c>
      <c r="F1615" s="7" t="s">
        <v>77</v>
      </c>
      <c r="G1615" s="64" t="s">
        <v>77</v>
      </c>
      <c r="H1615" s="64" t="s">
        <v>2514</v>
      </c>
      <c r="I1615" s="66">
        <v>0</v>
      </c>
      <c r="J1615" s="66">
        <v>0</v>
      </c>
      <c r="K1615" s="66">
        <v>0</v>
      </c>
      <c r="L1615" s="66">
        <v>0</v>
      </c>
      <c r="M1615" s="67">
        <v>0</v>
      </c>
      <c r="N1615" s="31">
        <v>0</v>
      </c>
      <c r="O1615" s="66">
        <v>0</v>
      </c>
      <c r="P1615" s="26">
        <v>1.44</v>
      </c>
      <c r="Q1615" s="35" t="s">
        <v>154</v>
      </c>
    </row>
    <row r="1616" spans="1:17" ht="48" x14ac:dyDescent="0.25">
      <c r="A1616" s="62">
        <v>38472</v>
      </c>
      <c r="B1616" s="62">
        <v>38472</v>
      </c>
      <c r="C1616" s="63">
        <v>2005</v>
      </c>
      <c r="D1616" s="35" t="s">
        <v>28</v>
      </c>
      <c r="E1616" s="6" t="s">
        <v>149</v>
      </c>
      <c r="F1616" s="7" t="s">
        <v>65</v>
      </c>
      <c r="G1616" s="64" t="s">
        <v>1632</v>
      </c>
      <c r="H1616" s="64" t="s">
        <v>2515</v>
      </c>
      <c r="I1616" s="66">
        <v>1</v>
      </c>
      <c r="J1616" s="66">
        <v>16</v>
      </c>
      <c r="K1616" s="66">
        <v>1</v>
      </c>
      <c r="L1616" s="66">
        <v>0</v>
      </c>
      <c r="M1616" s="67">
        <v>0</v>
      </c>
      <c r="N1616" s="31">
        <v>0</v>
      </c>
      <c r="O1616" s="66">
        <v>0</v>
      </c>
      <c r="P1616" s="26">
        <v>3.4000000000000002E-2</v>
      </c>
      <c r="Q1616" s="35" t="s">
        <v>154</v>
      </c>
    </row>
    <row r="1617" spans="1:17" ht="24" x14ac:dyDescent="0.25">
      <c r="A1617" s="62">
        <v>38475</v>
      </c>
      <c r="B1617" s="62">
        <v>38475</v>
      </c>
      <c r="C1617" s="63">
        <v>2005</v>
      </c>
      <c r="D1617" s="35" t="s">
        <v>28</v>
      </c>
      <c r="E1617" s="6" t="s">
        <v>149</v>
      </c>
      <c r="F1617" s="7" t="s">
        <v>53</v>
      </c>
      <c r="G1617" s="64" t="s">
        <v>2516</v>
      </c>
      <c r="H1617" s="64" t="s">
        <v>2517</v>
      </c>
      <c r="I1617" s="66">
        <v>0</v>
      </c>
      <c r="J1617" s="66">
        <v>7</v>
      </c>
      <c r="K1617" s="66">
        <v>0</v>
      </c>
      <c r="L1617" s="66">
        <v>0</v>
      </c>
      <c r="M1617" s="67">
        <v>0</v>
      </c>
      <c r="N1617" s="31">
        <v>0</v>
      </c>
      <c r="O1617" s="66">
        <v>0</v>
      </c>
      <c r="P1617" s="26">
        <v>0</v>
      </c>
      <c r="Q1617" s="35" t="s">
        <v>154</v>
      </c>
    </row>
    <row r="1618" spans="1:17" ht="48" x14ac:dyDescent="0.25">
      <c r="A1618" s="62">
        <v>38476</v>
      </c>
      <c r="B1618" s="62">
        <v>38476</v>
      </c>
      <c r="C1618" s="63">
        <v>2005</v>
      </c>
      <c r="D1618" s="35" t="s">
        <v>28</v>
      </c>
      <c r="E1618" s="6" t="s">
        <v>149</v>
      </c>
      <c r="F1618" s="28" t="s">
        <v>157</v>
      </c>
      <c r="G1618" s="64" t="s">
        <v>206</v>
      </c>
      <c r="H1618" s="64" t="s">
        <v>2518</v>
      </c>
      <c r="I1618" s="66">
        <v>0</v>
      </c>
      <c r="J1618" s="66">
        <v>6</v>
      </c>
      <c r="K1618" s="66">
        <v>0</v>
      </c>
      <c r="L1618" s="66">
        <v>0</v>
      </c>
      <c r="M1618" s="67">
        <v>0</v>
      </c>
      <c r="N1618" s="31">
        <v>0</v>
      </c>
      <c r="O1618" s="66">
        <v>0</v>
      </c>
      <c r="P1618" s="26">
        <v>0</v>
      </c>
      <c r="Q1618" s="35" t="s">
        <v>154</v>
      </c>
    </row>
    <row r="1619" spans="1:17" ht="48" x14ac:dyDescent="0.25">
      <c r="A1619" s="62">
        <v>38478</v>
      </c>
      <c r="B1619" s="62">
        <v>38478</v>
      </c>
      <c r="C1619" s="63">
        <v>2005</v>
      </c>
      <c r="D1619" s="35" t="s">
        <v>28</v>
      </c>
      <c r="E1619" s="6" t="s">
        <v>149</v>
      </c>
      <c r="F1619" s="7" t="s">
        <v>25</v>
      </c>
      <c r="G1619" s="64" t="s">
        <v>2519</v>
      </c>
      <c r="H1619" s="64" t="s">
        <v>2520</v>
      </c>
      <c r="I1619" s="66">
        <v>0</v>
      </c>
      <c r="J1619" s="66">
        <v>0</v>
      </c>
      <c r="K1619" s="66">
        <v>0</v>
      </c>
      <c r="L1619" s="66">
        <v>0</v>
      </c>
      <c r="M1619" s="67">
        <v>0</v>
      </c>
      <c r="N1619" s="31">
        <v>0</v>
      </c>
      <c r="O1619" s="66">
        <v>0</v>
      </c>
      <c r="P1619" s="26">
        <v>0</v>
      </c>
      <c r="Q1619" s="35" t="s">
        <v>154</v>
      </c>
    </row>
    <row r="1620" spans="1:17" ht="60" x14ac:dyDescent="0.25">
      <c r="A1620" s="62">
        <v>38492</v>
      </c>
      <c r="B1620" s="62">
        <v>38492</v>
      </c>
      <c r="C1620" s="63">
        <v>2005</v>
      </c>
      <c r="D1620" s="35" t="s">
        <v>28</v>
      </c>
      <c r="E1620" s="6" t="s">
        <v>149</v>
      </c>
      <c r="F1620" s="28" t="s">
        <v>157</v>
      </c>
      <c r="G1620" s="64" t="s">
        <v>526</v>
      </c>
      <c r="H1620" s="64" t="s">
        <v>2521</v>
      </c>
      <c r="I1620" s="66">
        <v>0</v>
      </c>
      <c r="J1620" s="66">
        <v>1</v>
      </c>
      <c r="K1620" s="66">
        <v>0</v>
      </c>
      <c r="L1620" s="66">
        <v>0</v>
      </c>
      <c r="M1620" s="67">
        <v>0</v>
      </c>
      <c r="N1620" s="31">
        <v>0</v>
      </c>
      <c r="O1620" s="66">
        <v>0</v>
      </c>
      <c r="P1620" s="26">
        <v>0</v>
      </c>
      <c r="Q1620" s="35" t="s">
        <v>154</v>
      </c>
    </row>
    <row r="1621" spans="1:17" ht="36" x14ac:dyDescent="0.25">
      <c r="A1621" s="62">
        <v>38497</v>
      </c>
      <c r="B1621" s="62">
        <v>38497</v>
      </c>
      <c r="C1621" s="63">
        <v>2005</v>
      </c>
      <c r="D1621" s="35" t="s">
        <v>28</v>
      </c>
      <c r="E1621" s="6" t="s">
        <v>149</v>
      </c>
      <c r="F1621" s="7" t="s">
        <v>53</v>
      </c>
      <c r="G1621" s="64" t="s">
        <v>1304</v>
      </c>
      <c r="H1621" s="64" t="s">
        <v>2522</v>
      </c>
      <c r="I1621" s="66">
        <v>0</v>
      </c>
      <c r="J1621" s="66">
        <v>2</v>
      </c>
      <c r="K1621" s="66">
        <v>0</v>
      </c>
      <c r="L1621" s="66">
        <v>0</v>
      </c>
      <c r="M1621" s="67">
        <v>0</v>
      </c>
      <c r="N1621" s="31">
        <v>0</v>
      </c>
      <c r="O1621" s="66">
        <v>0</v>
      </c>
      <c r="P1621" s="26">
        <v>0</v>
      </c>
      <c r="Q1621" s="35" t="s">
        <v>154</v>
      </c>
    </row>
    <row r="1622" spans="1:17" ht="48" x14ac:dyDescent="0.25">
      <c r="A1622" s="62">
        <v>38516</v>
      </c>
      <c r="B1622" s="62">
        <v>38516</v>
      </c>
      <c r="C1622" s="63">
        <v>2005</v>
      </c>
      <c r="D1622" s="35" t="s">
        <v>28</v>
      </c>
      <c r="E1622" s="6" t="s">
        <v>149</v>
      </c>
      <c r="F1622" s="7" t="s">
        <v>60</v>
      </c>
      <c r="G1622" s="64" t="s">
        <v>908</v>
      </c>
      <c r="H1622" s="64" t="s">
        <v>2523</v>
      </c>
      <c r="I1622" s="66">
        <v>0</v>
      </c>
      <c r="J1622" s="66">
        <v>4</v>
      </c>
      <c r="K1622" s="66">
        <v>0</v>
      </c>
      <c r="L1622" s="66">
        <v>0</v>
      </c>
      <c r="M1622" s="67">
        <v>0</v>
      </c>
      <c r="N1622" s="31">
        <v>0</v>
      </c>
      <c r="O1622" s="66">
        <v>0</v>
      </c>
      <c r="P1622" s="26">
        <v>0</v>
      </c>
      <c r="Q1622" s="35" t="s">
        <v>154</v>
      </c>
    </row>
    <row r="1623" spans="1:17" ht="36" x14ac:dyDescent="0.25">
      <c r="A1623" s="62">
        <v>38525</v>
      </c>
      <c r="B1623" s="62">
        <v>38525</v>
      </c>
      <c r="C1623" s="63">
        <v>2005</v>
      </c>
      <c r="D1623" s="35" t="s">
        <v>28</v>
      </c>
      <c r="E1623" s="6" t="s">
        <v>149</v>
      </c>
      <c r="F1623" s="28" t="s">
        <v>157</v>
      </c>
      <c r="G1623" s="64" t="s">
        <v>2476</v>
      </c>
      <c r="H1623" s="64" t="s">
        <v>2524</v>
      </c>
      <c r="I1623" s="66">
        <v>4</v>
      </c>
      <c r="J1623" s="66">
        <v>5</v>
      </c>
      <c r="K1623" s="66">
        <v>0</v>
      </c>
      <c r="L1623" s="66">
        <v>0</v>
      </c>
      <c r="M1623" s="67">
        <v>0</v>
      </c>
      <c r="N1623" s="31">
        <v>0</v>
      </c>
      <c r="O1623" s="66">
        <v>0</v>
      </c>
      <c r="P1623" s="26">
        <v>0</v>
      </c>
      <c r="Q1623" s="35" t="s">
        <v>154</v>
      </c>
    </row>
    <row r="1624" spans="1:17" ht="36" x14ac:dyDescent="0.25">
      <c r="A1624" s="62">
        <v>38536</v>
      </c>
      <c r="B1624" s="62">
        <v>38536</v>
      </c>
      <c r="C1624" s="63">
        <v>2005</v>
      </c>
      <c r="D1624" s="35" t="s">
        <v>28</v>
      </c>
      <c r="E1624" s="6" t="s">
        <v>149</v>
      </c>
      <c r="F1624" s="28" t="s">
        <v>157</v>
      </c>
      <c r="G1624" s="64" t="s">
        <v>716</v>
      </c>
      <c r="H1624" s="64" t="s">
        <v>2525</v>
      </c>
      <c r="I1624" s="66">
        <v>0</v>
      </c>
      <c r="J1624" s="66">
        <v>0</v>
      </c>
      <c r="K1624" s="66">
        <v>0</v>
      </c>
      <c r="L1624" s="66">
        <v>0</v>
      </c>
      <c r="M1624" s="67">
        <v>0</v>
      </c>
      <c r="N1624" s="31">
        <v>0</v>
      </c>
      <c r="O1624" s="66">
        <v>0</v>
      </c>
      <c r="P1624" s="26">
        <v>0</v>
      </c>
      <c r="Q1624" s="35" t="s">
        <v>154</v>
      </c>
    </row>
    <row r="1625" spans="1:17" ht="24" x14ac:dyDescent="0.25">
      <c r="A1625" s="62">
        <v>38543</v>
      </c>
      <c r="B1625" s="62">
        <v>38543</v>
      </c>
      <c r="C1625" s="63">
        <v>2005</v>
      </c>
      <c r="D1625" s="35" t="s">
        <v>28</v>
      </c>
      <c r="E1625" s="6" t="s">
        <v>149</v>
      </c>
      <c r="F1625" s="7" t="s">
        <v>30</v>
      </c>
      <c r="G1625" s="64" t="s">
        <v>1078</v>
      </c>
      <c r="H1625" s="83" t="s">
        <v>2526</v>
      </c>
      <c r="I1625" s="94">
        <v>4</v>
      </c>
      <c r="J1625" s="66">
        <v>4</v>
      </c>
      <c r="K1625" s="66">
        <v>1</v>
      </c>
      <c r="L1625" s="66">
        <v>0</v>
      </c>
      <c r="M1625" s="67">
        <v>0</v>
      </c>
      <c r="N1625" s="31">
        <v>0</v>
      </c>
      <c r="O1625" s="66">
        <v>0</v>
      </c>
      <c r="P1625" s="26">
        <v>0</v>
      </c>
      <c r="Q1625" s="35" t="s">
        <v>154</v>
      </c>
    </row>
    <row r="1626" spans="1:17" ht="60" x14ac:dyDescent="0.25">
      <c r="A1626" s="62">
        <v>38566</v>
      </c>
      <c r="B1626" s="62">
        <v>38566</v>
      </c>
      <c r="C1626" s="63">
        <v>2005</v>
      </c>
      <c r="D1626" s="35" t="s">
        <v>28</v>
      </c>
      <c r="E1626" s="6" t="s">
        <v>149</v>
      </c>
      <c r="F1626" s="28" t="s">
        <v>210</v>
      </c>
      <c r="G1626" s="64" t="s">
        <v>2319</v>
      </c>
      <c r="H1626" s="64" t="s">
        <v>2527</v>
      </c>
      <c r="I1626" s="66">
        <v>0</v>
      </c>
      <c r="J1626" s="66">
        <v>1</v>
      </c>
      <c r="K1626" s="66">
        <v>0</v>
      </c>
      <c r="L1626" s="66">
        <v>0</v>
      </c>
      <c r="M1626" s="67">
        <v>0</v>
      </c>
      <c r="N1626" s="31">
        <v>0</v>
      </c>
      <c r="O1626" s="66">
        <v>0</v>
      </c>
      <c r="P1626" s="26">
        <v>0</v>
      </c>
      <c r="Q1626" s="35" t="s">
        <v>154</v>
      </c>
    </row>
    <row r="1627" spans="1:17" ht="48" x14ac:dyDescent="0.25">
      <c r="A1627" s="62">
        <v>38569</v>
      </c>
      <c r="B1627" s="62">
        <v>38569</v>
      </c>
      <c r="C1627" s="63">
        <v>2005</v>
      </c>
      <c r="D1627" s="35" t="s">
        <v>28</v>
      </c>
      <c r="E1627" s="6" t="s">
        <v>149</v>
      </c>
      <c r="F1627" s="7" t="s">
        <v>53</v>
      </c>
      <c r="G1627" s="64" t="s">
        <v>847</v>
      </c>
      <c r="H1627" s="64" t="s">
        <v>2528</v>
      </c>
      <c r="I1627" s="66">
        <v>0</v>
      </c>
      <c r="J1627" s="66">
        <v>300</v>
      </c>
      <c r="K1627" s="66">
        <v>0</v>
      </c>
      <c r="L1627" s="66">
        <v>0</v>
      </c>
      <c r="M1627" s="67">
        <v>0</v>
      </c>
      <c r="N1627" s="31">
        <v>0</v>
      </c>
      <c r="O1627" s="66">
        <v>0</v>
      </c>
      <c r="P1627" s="26">
        <v>0</v>
      </c>
      <c r="Q1627" s="35" t="s">
        <v>154</v>
      </c>
    </row>
    <row r="1628" spans="1:17" ht="36" x14ac:dyDescent="0.25">
      <c r="A1628" s="62">
        <v>38608</v>
      </c>
      <c r="B1628" s="62">
        <v>38608</v>
      </c>
      <c r="C1628" s="63">
        <v>2005</v>
      </c>
      <c r="D1628" s="35" t="s">
        <v>28</v>
      </c>
      <c r="E1628" s="6" t="s">
        <v>149</v>
      </c>
      <c r="F1628" s="7" t="s">
        <v>56</v>
      </c>
      <c r="G1628" s="64" t="s">
        <v>358</v>
      </c>
      <c r="H1628" s="64" t="s">
        <v>2529</v>
      </c>
      <c r="I1628" s="66">
        <v>0</v>
      </c>
      <c r="J1628" s="66">
        <v>8</v>
      </c>
      <c r="K1628" s="66">
        <v>0</v>
      </c>
      <c r="L1628" s="66">
        <v>0</v>
      </c>
      <c r="M1628" s="67">
        <v>0</v>
      </c>
      <c r="N1628" s="31">
        <v>0</v>
      </c>
      <c r="O1628" s="66">
        <v>0</v>
      </c>
      <c r="P1628" s="26">
        <v>0</v>
      </c>
      <c r="Q1628" s="35" t="s">
        <v>154</v>
      </c>
    </row>
    <row r="1629" spans="1:17" ht="36" x14ac:dyDescent="0.25">
      <c r="A1629" s="62">
        <v>38618</v>
      </c>
      <c r="B1629" s="62">
        <v>38618</v>
      </c>
      <c r="C1629" s="63">
        <v>2005</v>
      </c>
      <c r="D1629" s="35" t="s">
        <v>28</v>
      </c>
      <c r="E1629" s="6" t="s">
        <v>149</v>
      </c>
      <c r="F1629" s="7" t="s">
        <v>53</v>
      </c>
      <c r="G1629" s="64" t="s">
        <v>451</v>
      </c>
      <c r="H1629" s="64" t="s">
        <v>2530</v>
      </c>
      <c r="I1629" s="66">
        <v>3</v>
      </c>
      <c r="J1629" s="66">
        <v>26</v>
      </c>
      <c r="K1629" s="66">
        <v>0</v>
      </c>
      <c r="L1629" s="66">
        <v>0</v>
      </c>
      <c r="M1629" s="67">
        <v>0</v>
      </c>
      <c r="N1629" s="31">
        <v>0</v>
      </c>
      <c r="O1629" s="66">
        <v>0</v>
      </c>
      <c r="P1629" s="26">
        <v>0</v>
      </c>
      <c r="Q1629" s="35" t="s">
        <v>154</v>
      </c>
    </row>
    <row r="1630" spans="1:17" ht="36" x14ac:dyDescent="0.25">
      <c r="A1630" s="62">
        <v>38623</v>
      </c>
      <c r="B1630" s="62">
        <v>38623</v>
      </c>
      <c r="C1630" s="63">
        <v>2005</v>
      </c>
      <c r="D1630" s="35" t="s">
        <v>28</v>
      </c>
      <c r="E1630" s="6" t="s">
        <v>149</v>
      </c>
      <c r="F1630" s="7" t="s">
        <v>60</v>
      </c>
      <c r="G1630" s="64" t="s">
        <v>908</v>
      </c>
      <c r="H1630" s="64" t="s">
        <v>2531</v>
      </c>
      <c r="I1630" s="66">
        <v>0</v>
      </c>
      <c r="J1630" s="66">
        <v>4</v>
      </c>
      <c r="K1630" s="66">
        <v>0</v>
      </c>
      <c r="L1630" s="66">
        <v>0</v>
      </c>
      <c r="M1630" s="67">
        <v>0</v>
      </c>
      <c r="N1630" s="31">
        <v>0</v>
      </c>
      <c r="O1630" s="66">
        <v>0</v>
      </c>
      <c r="P1630" s="26">
        <v>0</v>
      </c>
      <c r="Q1630" s="35" t="s">
        <v>154</v>
      </c>
    </row>
    <row r="1631" spans="1:17" ht="48" x14ac:dyDescent="0.25">
      <c r="A1631" s="62">
        <v>38661</v>
      </c>
      <c r="B1631" s="62">
        <v>38661</v>
      </c>
      <c r="C1631" s="63">
        <v>2005</v>
      </c>
      <c r="D1631" s="35" t="s">
        <v>28</v>
      </c>
      <c r="E1631" s="6" t="s">
        <v>149</v>
      </c>
      <c r="F1631" s="28" t="s">
        <v>157</v>
      </c>
      <c r="G1631" s="64" t="s">
        <v>1029</v>
      </c>
      <c r="H1631" s="64" t="s">
        <v>2532</v>
      </c>
      <c r="I1631" s="66">
        <v>1</v>
      </c>
      <c r="J1631" s="66">
        <v>2</v>
      </c>
      <c r="K1631" s="66">
        <v>0</v>
      </c>
      <c r="L1631" s="66">
        <v>0</v>
      </c>
      <c r="M1631" s="67">
        <v>0</v>
      </c>
      <c r="N1631" s="31">
        <v>0</v>
      </c>
      <c r="O1631" s="66">
        <v>0</v>
      </c>
      <c r="P1631" s="26">
        <v>0</v>
      </c>
      <c r="Q1631" s="35" t="s">
        <v>154</v>
      </c>
    </row>
    <row r="1632" spans="1:17" ht="24" x14ac:dyDescent="0.25">
      <c r="A1632" s="62">
        <v>38670</v>
      </c>
      <c r="B1632" s="62">
        <v>38670</v>
      </c>
      <c r="C1632" s="63">
        <v>2005</v>
      </c>
      <c r="D1632" s="35" t="s">
        <v>28</v>
      </c>
      <c r="E1632" s="6" t="s">
        <v>149</v>
      </c>
      <c r="F1632" s="7" t="s">
        <v>75</v>
      </c>
      <c r="G1632" s="64" t="s">
        <v>2502</v>
      </c>
      <c r="H1632" s="64" t="s">
        <v>2533</v>
      </c>
      <c r="I1632" s="66">
        <v>2</v>
      </c>
      <c r="J1632" s="66">
        <v>2</v>
      </c>
      <c r="K1632" s="66">
        <v>1</v>
      </c>
      <c r="L1632" s="66">
        <v>0</v>
      </c>
      <c r="M1632" s="67">
        <v>0</v>
      </c>
      <c r="N1632" s="31">
        <v>0</v>
      </c>
      <c r="O1632" s="66">
        <v>0</v>
      </c>
      <c r="P1632" s="26">
        <v>0.01</v>
      </c>
      <c r="Q1632" s="35" t="s">
        <v>154</v>
      </c>
    </row>
    <row r="1633" spans="1:17" ht="36" x14ac:dyDescent="0.25">
      <c r="A1633" s="62">
        <v>38675</v>
      </c>
      <c r="B1633" s="62">
        <v>38675</v>
      </c>
      <c r="C1633" s="63">
        <v>2005</v>
      </c>
      <c r="D1633" s="35" t="s">
        <v>28</v>
      </c>
      <c r="E1633" s="6" t="s">
        <v>149</v>
      </c>
      <c r="F1633" s="28" t="s">
        <v>157</v>
      </c>
      <c r="G1633" s="64" t="s">
        <v>1872</v>
      </c>
      <c r="H1633" s="64" t="s">
        <v>2534</v>
      </c>
      <c r="I1633" s="66">
        <v>2</v>
      </c>
      <c r="J1633" s="66">
        <v>5</v>
      </c>
      <c r="K1633" s="66">
        <v>0</v>
      </c>
      <c r="L1633" s="66">
        <v>0</v>
      </c>
      <c r="M1633" s="67">
        <v>0</v>
      </c>
      <c r="N1633" s="31">
        <v>0</v>
      </c>
      <c r="O1633" s="66">
        <v>0</v>
      </c>
      <c r="P1633" s="26">
        <v>0</v>
      </c>
      <c r="Q1633" s="35" t="s">
        <v>154</v>
      </c>
    </row>
    <row r="1634" spans="1:17" ht="24" x14ac:dyDescent="0.25">
      <c r="A1634" s="62">
        <v>38677</v>
      </c>
      <c r="B1634" s="62">
        <v>38677</v>
      </c>
      <c r="C1634" s="63">
        <v>2005</v>
      </c>
      <c r="D1634" s="35" t="s">
        <v>28</v>
      </c>
      <c r="E1634" s="6" t="s">
        <v>149</v>
      </c>
      <c r="F1634" s="7" t="s">
        <v>53</v>
      </c>
      <c r="G1634" s="64" t="s">
        <v>2535</v>
      </c>
      <c r="H1634" s="64" t="s">
        <v>2536</v>
      </c>
      <c r="I1634" s="66">
        <v>0</v>
      </c>
      <c r="J1634" s="66">
        <v>0</v>
      </c>
      <c r="K1634" s="66">
        <v>0</v>
      </c>
      <c r="L1634" s="66">
        <v>0</v>
      </c>
      <c r="M1634" s="67">
        <v>0</v>
      </c>
      <c r="N1634" s="31">
        <v>0</v>
      </c>
      <c r="O1634" s="66">
        <v>0</v>
      </c>
      <c r="P1634" s="26">
        <v>0</v>
      </c>
      <c r="Q1634" s="35" t="s">
        <v>154</v>
      </c>
    </row>
    <row r="1635" spans="1:17" ht="36" x14ac:dyDescent="0.25">
      <c r="A1635" s="62">
        <v>38699</v>
      </c>
      <c r="B1635" s="62">
        <v>38699</v>
      </c>
      <c r="C1635" s="63">
        <v>2005</v>
      </c>
      <c r="D1635" s="35" t="s">
        <v>28</v>
      </c>
      <c r="E1635" s="6" t="s">
        <v>149</v>
      </c>
      <c r="F1635" s="7" t="s">
        <v>77</v>
      </c>
      <c r="G1635" s="64" t="s">
        <v>2537</v>
      </c>
      <c r="H1635" s="64" t="s">
        <v>2538</v>
      </c>
      <c r="I1635" s="66">
        <v>0</v>
      </c>
      <c r="J1635" s="66">
        <v>140</v>
      </c>
      <c r="K1635" s="66">
        <v>0</v>
      </c>
      <c r="L1635" s="66">
        <v>0</v>
      </c>
      <c r="M1635" s="67">
        <v>0</v>
      </c>
      <c r="N1635" s="31">
        <v>0</v>
      </c>
      <c r="O1635" s="66">
        <v>0</v>
      </c>
      <c r="P1635" s="26">
        <v>0</v>
      </c>
      <c r="Q1635" s="35" t="s">
        <v>154</v>
      </c>
    </row>
    <row r="1636" spans="1:17" ht="36" x14ac:dyDescent="0.25">
      <c r="A1636" s="62">
        <v>38702</v>
      </c>
      <c r="B1636" s="62">
        <v>38702</v>
      </c>
      <c r="C1636" s="63">
        <v>2005</v>
      </c>
      <c r="D1636" s="35" t="s">
        <v>28</v>
      </c>
      <c r="E1636" s="6" t="s">
        <v>149</v>
      </c>
      <c r="F1636" s="7" t="s">
        <v>53</v>
      </c>
      <c r="G1636" s="64" t="s">
        <v>1502</v>
      </c>
      <c r="H1636" s="64" t="s">
        <v>2539</v>
      </c>
      <c r="I1636" s="66">
        <v>0</v>
      </c>
      <c r="J1636" s="66">
        <v>0</v>
      </c>
      <c r="K1636" s="66">
        <v>0</v>
      </c>
      <c r="L1636" s="66">
        <v>0</v>
      </c>
      <c r="M1636" s="67">
        <v>0</v>
      </c>
      <c r="N1636" s="31">
        <v>0</v>
      </c>
      <c r="O1636" s="66">
        <v>0</v>
      </c>
      <c r="P1636" s="26">
        <v>0</v>
      </c>
      <c r="Q1636" s="35" t="s">
        <v>154</v>
      </c>
    </row>
    <row r="1637" spans="1:17" ht="48" x14ac:dyDescent="0.25">
      <c r="A1637" s="62">
        <v>38711</v>
      </c>
      <c r="B1637" s="62">
        <v>38711</v>
      </c>
      <c r="C1637" s="63">
        <v>2005</v>
      </c>
      <c r="D1637" s="35" t="s">
        <v>28</v>
      </c>
      <c r="E1637" s="6" t="s">
        <v>149</v>
      </c>
      <c r="F1637" s="7" t="s">
        <v>53</v>
      </c>
      <c r="G1637" s="64" t="s">
        <v>878</v>
      </c>
      <c r="H1637" s="64" t="s">
        <v>2540</v>
      </c>
      <c r="I1637" s="66">
        <v>0</v>
      </c>
      <c r="J1637" s="66">
        <v>2</v>
      </c>
      <c r="K1637" s="66">
        <v>0</v>
      </c>
      <c r="L1637" s="66">
        <v>0</v>
      </c>
      <c r="M1637" s="67">
        <v>0</v>
      </c>
      <c r="N1637" s="31">
        <v>0</v>
      </c>
      <c r="O1637" s="66">
        <v>0</v>
      </c>
      <c r="P1637" s="26">
        <v>0</v>
      </c>
      <c r="Q1637" s="35" t="s">
        <v>154</v>
      </c>
    </row>
    <row r="1638" spans="1:17" ht="24" x14ac:dyDescent="0.25">
      <c r="A1638" s="62">
        <v>38712</v>
      </c>
      <c r="B1638" s="62">
        <v>38712</v>
      </c>
      <c r="C1638" s="63">
        <v>2005</v>
      </c>
      <c r="D1638" s="35" t="s">
        <v>28</v>
      </c>
      <c r="E1638" s="6" t="s">
        <v>149</v>
      </c>
      <c r="F1638" s="28" t="s">
        <v>157</v>
      </c>
      <c r="G1638" s="64" t="s">
        <v>716</v>
      </c>
      <c r="H1638" s="64" t="s">
        <v>2541</v>
      </c>
      <c r="I1638" s="66">
        <v>0</v>
      </c>
      <c r="J1638" s="66">
        <v>2</v>
      </c>
      <c r="K1638" s="66">
        <v>0</v>
      </c>
      <c r="L1638" s="66">
        <v>0</v>
      </c>
      <c r="M1638" s="67">
        <v>0</v>
      </c>
      <c r="N1638" s="31">
        <v>0</v>
      </c>
      <c r="O1638" s="66">
        <v>0</v>
      </c>
      <c r="P1638" s="26">
        <v>0</v>
      </c>
      <c r="Q1638" s="35" t="s">
        <v>154</v>
      </c>
    </row>
    <row r="1639" spans="1:17" ht="24" x14ac:dyDescent="0.25">
      <c r="A1639" s="62">
        <v>38713</v>
      </c>
      <c r="B1639" s="62">
        <v>38713</v>
      </c>
      <c r="C1639" s="63">
        <v>2005</v>
      </c>
      <c r="D1639" s="35" t="s">
        <v>28</v>
      </c>
      <c r="E1639" s="6" t="s">
        <v>149</v>
      </c>
      <c r="F1639" s="28" t="s">
        <v>157</v>
      </c>
      <c r="G1639" s="64" t="s">
        <v>206</v>
      </c>
      <c r="H1639" s="64" t="s">
        <v>2542</v>
      </c>
      <c r="I1639" s="66">
        <v>0</v>
      </c>
      <c r="J1639" s="66">
        <v>1</v>
      </c>
      <c r="K1639" s="66">
        <v>0</v>
      </c>
      <c r="L1639" s="66">
        <v>0</v>
      </c>
      <c r="M1639" s="67">
        <v>0</v>
      </c>
      <c r="N1639" s="31">
        <v>0</v>
      </c>
      <c r="O1639" s="66">
        <v>0</v>
      </c>
      <c r="P1639" s="26">
        <v>0</v>
      </c>
      <c r="Q1639" s="35" t="s">
        <v>154</v>
      </c>
    </row>
    <row r="1640" spans="1:17" ht="36" x14ac:dyDescent="0.25">
      <c r="A1640" s="62">
        <v>38579</v>
      </c>
      <c r="B1640" s="62">
        <v>38579</v>
      </c>
      <c r="C1640" s="63">
        <v>2005</v>
      </c>
      <c r="D1640" s="24" t="s">
        <v>130</v>
      </c>
      <c r="E1640" s="30" t="s">
        <v>136</v>
      </c>
      <c r="F1640" s="7" t="s">
        <v>75</v>
      </c>
      <c r="G1640" s="64" t="s">
        <v>1874</v>
      </c>
      <c r="H1640" s="64" t="s">
        <v>2543</v>
      </c>
      <c r="I1640" s="66">
        <v>0</v>
      </c>
      <c r="J1640" s="66">
        <v>14</v>
      </c>
      <c r="K1640" s="66">
        <v>0</v>
      </c>
      <c r="L1640" s="66">
        <v>0</v>
      </c>
      <c r="M1640" s="67">
        <v>0</v>
      </c>
      <c r="N1640" s="31">
        <v>0</v>
      </c>
      <c r="O1640" s="66">
        <v>0</v>
      </c>
      <c r="P1640" s="26">
        <v>0</v>
      </c>
      <c r="Q1640" s="35" t="s">
        <v>154</v>
      </c>
    </row>
    <row r="1641" spans="1:17" ht="60" x14ac:dyDescent="0.25">
      <c r="A1641" s="62">
        <v>38357</v>
      </c>
      <c r="B1641" s="62">
        <v>38357</v>
      </c>
      <c r="C1641" s="63">
        <v>2005</v>
      </c>
      <c r="D1641" s="24" t="s">
        <v>141</v>
      </c>
      <c r="E1641" s="30" t="s">
        <v>142</v>
      </c>
      <c r="F1641" s="7" t="s">
        <v>36</v>
      </c>
      <c r="G1641" s="77" t="s">
        <v>679</v>
      </c>
      <c r="H1641" s="77" t="s">
        <v>2544</v>
      </c>
      <c r="I1641" s="78">
        <v>5</v>
      </c>
      <c r="J1641" s="66">
        <v>16</v>
      </c>
      <c r="K1641" s="66">
        <v>0</v>
      </c>
      <c r="L1641" s="66">
        <v>0</v>
      </c>
      <c r="M1641" s="67">
        <v>0</v>
      </c>
      <c r="N1641" s="31">
        <v>0</v>
      </c>
      <c r="O1641" s="66">
        <v>0</v>
      </c>
      <c r="P1641" s="26">
        <v>0</v>
      </c>
      <c r="Q1641" s="35" t="s">
        <v>154</v>
      </c>
    </row>
    <row r="1642" spans="1:17" ht="60" x14ac:dyDescent="0.25">
      <c r="A1642" s="62">
        <v>38357</v>
      </c>
      <c r="B1642" s="62">
        <v>38357</v>
      </c>
      <c r="C1642" s="63">
        <v>2005</v>
      </c>
      <c r="D1642" s="24" t="s">
        <v>141</v>
      </c>
      <c r="E1642" s="30" t="s">
        <v>142</v>
      </c>
      <c r="F1642" s="7" t="s">
        <v>60</v>
      </c>
      <c r="G1642" s="77" t="s">
        <v>2545</v>
      </c>
      <c r="H1642" s="79" t="s">
        <v>2546</v>
      </c>
      <c r="I1642" s="78">
        <v>14</v>
      </c>
      <c r="J1642" s="66">
        <v>26</v>
      </c>
      <c r="K1642" s="66">
        <v>0</v>
      </c>
      <c r="L1642" s="66">
        <v>0</v>
      </c>
      <c r="M1642" s="67">
        <v>0</v>
      </c>
      <c r="N1642" s="31">
        <v>0</v>
      </c>
      <c r="O1642" s="66">
        <v>0</v>
      </c>
      <c r="P1642" s="26">
        <v>0.6</v>
      </c>
      <c r="Q1642" s="35" t="s">
        <v>154</v>
      </c>
    </row>
    <row r="1643" spans="1:17" ht="48" x14ac:dyDescent="0.25">
      <c r="A1643" s="62">
        <v>38361</v>
      </c>
      <c r="B1643" s="62">
        <v>38361</v>
      </c>
      <c r="C1643" s="63">
        <v>2005</v>
      </c>
      <c r="D1643" s="24" t="s">
        <v>141</v>
      </c>
      <c r="E1643" s="30" t="s">
        <v>142</v>
      </c>
      <c r="F1643" s="7" t="s">
        <v>84</v>
      </c>
      <c r="G1643" s="77" t="s">
        <v>2547</v>
      </c>
      <c r="H1643" s="77" t="s">
        <v>2548</v>
      </c>
      <c r="I1643" s="78">
        <v>1</v>
      </c>
      <c r="J1643" s="66">
        <v>1</v>
      </c>
      <c r="K1643" s="66">
        <v>0</v>
      </c>
      <c r="L1643" s="66">
        <v>0</v>
      </c>
      <c r="M1643" s="67">
        <v>0</v>
      </c>
      <c r="N1643" s="31">
        <v>0</v>
      </c>
      <c r="O1643" s="66">
        <v>0</v>
      </c>
      <c r="P1643" s="26">
        <v>1</v>
      </c>
      <c r="Q1643" s="35" t="s">
        <v>154</v>
      </c>
    </row>
    <row r="1644" spans="1:17" ht="48" x14ac:dyDescent="0.25">
      <c r="A1644" s="62">
        <v>38362</v>
      </c>
      <c r="B1644" s="62">
        <v>38362</v>
      </c>
      <c r="C1644" s="63">
        <v>2005</v>
      </c>
      <c r="D1644" s="24" t="s">
        <v>141</v>
      </c>
      <c r="E1644" s="30" t="s">
        <v>142</v>
      </c>
      <c r="F1644" s="7" t="s">
        <v>87</v>
      </c>
      <c r="G1644" s="77" t="s">
        <v>567</v>
      </c>
      <c r="H1644" s="77" t="s">
        <v>2549</v>
      </c>
      <c r="I1644" s="78">
        <v>1</v>
      </c>
      <c r="J1644" s="66">
        <v>1</v>
      </c>
      <c r="K1644" s="66">
        <v>0</v>
      </c>
      <c r="L1644" s="66">
        <v>0</v>
      </c>
      <c r="M1644" s="67">
        <v>0</v>
      </c>
      <c r="N1644" s="31">
        <v>0</v>
      </c>
      <c r="O1644" s="66">
        <v>0</v>
      </c>
      <c r="P1644" s="26">
        <v>0.27</v>
      </c>
      <c r="Q1644" s="35" t="s">
        <v>154</v>
      </c>
    </row>
    <row r="1645" spans="1:17" ht="36" x14ac:dyDescent="0.25">
      <c r="A1645" s="62">
        <v>38362</v>
      </c>
      <c r="B1645" s="62">
        <v>38362</v>
      </c>
      <c r="C1645" s="63">
        <v>2005</v>
      </c>
      <c r="D1645" s="24" t="s">
        <v>141</v>
      </c>
      <c r="E1645" s="30" t="s">
        <v>142</v>
      </c>
      <c r="F1645" s="7" t="s">
        <v>101</v>
      </c>
      <c r="G1645" s="77" t="s">
        <v>2550</v>
      </c>
      <c r="H1645" s="77" t="s">
        <v>2551</v>
      </c>
      <c r="I1645" s="78">
        <v>0</v>
      </c>
      <c r="J1645" s="66">
        <v>1</v>
      </c>
      <c r="K1645" s="66">
        <v>0</v>
      </c>
      <c r="L1645" s="66">
        <v>0</v>
      </c>
      <c r="M1645" s="67">
        <v>0</v>
      </c>
      <c r="N1645" s="31">
        <v>0</v>
      </c>
      <c r="O1645" s="66">
        <v>0</v>
      </c>
      <c r="P1645" s="26">
        <v>0.27</v>
      </c>
      <c r="Q1645" s="35" t="s">
        <v>154</v>
      </c>
    </row>
    <row r="1646" spans="1:17" ht="48" x14ac:dyDescent="0.25">
      <c r="A1646" s="62">
        <v>38362</v>
      </c>
      <c r="B1646" s="62">
        <v>38362</v>
      </c>
      <c r="C1646" s="63">
        <v>2005</v>
      </c>
      <c r="D1646" s="24" t="s">
        <v>141</v>
      </c>
      <c r="E1646" s="30" t="s">
        <v>142</v>
      </c>
      <c r="F1646" s="7" t="s">
        <v>56</v>
      </c>
      <c r="G1646" s="77" t="s">
        <v>351</v>
      </c>
      <c r="H1646" s="77" t="s">
        <v>2552</v>
      </c>
      <c r="I1646" s="78">
        <v>0</v>
      </c>
      <c r="J1646" s="66">
        <v>1</v>
      </c>
      <c r="K1646" s="66">
        <v>0</v>
      </c>
      <c r="L1646" s="66">
        <v>0</v>
      </c>
      <c r="M1646" s="67">
        <v>0</v>
      </c>
      <c r="N1646" s="31">
        <v>0</v>
      </c>
      <c r="O1646" s="66">
        <v>0</v>
      </c>
      <c r="P1646" s="26">
        <v>0.27</v>
      </c>
      <c r="Q1646" s="35" t="s">
        <v>154</v>
      </c>
    </row>
    <row r="1647" spans="1:17" ht="60" x14ac:dyDescent="0.25">
      <c r="A1647" s="62">
        <v>38365</v>
      </c>
      <c r="B1647" s="62">
        <v>38365</v>
      </c>
      <c r="C1647" s="63">
        <v>2005</v>
      </c>
      <c r="D1647" s="24" t="s">
        <v>141</v>
      </c>
      <c r="E1647" s="30" t="s">
        <v>142</v>
      </c>
      <c r="F1647" s="28" t="s">
        <v>210</v>
      </c>
      <c r="G1647" s="77" t="s">
        <v>921</v>
      </c>
      <c r="H1647" s="77" t="s">
        <v>2553</v>
      </c>
      <c r="I1647" s="78">
        <v>0</v>
      </c>
      <c r="J1647" s="66">
        <v>0</v>
      </c>
      <c r="K1647" s="66">
        <v>0</v>
      </c>
      <c r="L1647" s="66">
        <v>0</v>
      </c>
      <c r="M1647" s="67">
        <v>0</v>
      </c>
      <c r="N1647" s="31">
        <v>0</v>
      </c>
      <c r="O1647" s="66">
        <v>0</v>
      </c>
      <c r="P1647" s="26">
        <v>0</v>
      </c>
      <c r="Q1647" s="35" t="s">
        <v>154</v>
      </c>
    </row>
    <row r="1648" spans="1:17" ht="60" x14ac:dyDescent="0.25">
      <c r="A1648" s="62">
        <v>38373</v>
      </c>
      <c r="B1648" s="62">
        <v>38373</v>
      </c>
      <c r="C1648" s="63">
        <v>2005</v>
      </c>
      <c r="D1648" s="24" t="s">
        <v>141</v>
      </c>
      <c r="E1648" s="30" t="s">
        <v>142</v>
      </c>
      <c r="F1648" s="7" t="s">
        <v>65</v>
      </c>
      <c r="G1648" s="77" t="s">
        <v>2554</v>
      </c>
      <c r="H1648" s="77" t="s">
        <v>2555</v>
      </c>
      <c r="I1648" s="78">
        <v>0</v>
      </c>
      <c r="J1648" s="66">
        <v>0</v>
      </c>
      <c r="K1648" s="66">
        <v>0</v>
      </c>
      <c r="L1648" s="66">
        <v>0</v>
      </c>
      <c r="M1648" s="67">
        <v>0</v>
      </c>
      <c r="N1648" s="31">
        <v>0</v>
      </c>
      <c r="O1648" s="66">
        <v>0</v>
      </c>
      <c r="P1648" s="26">
        <v>0.33</v>
      </c>
      <c r="Q1648" s="35" t="s">
        <v>154</v>
      </c>
    </row>
    <row r="1649" spans="1:17" ht="60" x14ac:dyDescent="0.25">
      <c r="A1649" s="62">
        <v>38373</v>
      </c>
      <c r="B1649" s="62">
        <v>38373</v>
      </c>
      <c r="C1649" s="63">
        <v>2005</v>
      </c>
      <c r="D1649" s="24" t="s">
        <v>141</v>
      </c>
      <c r="E1649" s="30" t="s">
        <v>142</v>
      </c>
      <c r="F1649" s="7" t="s">
        <v>56</v>
      </c>
      <c r="G1649" s="77" t="s">
        <v>218</v>
      </c>
      <c r="H1649" s="77" t="s">
        <v>2556</v>
      </c>
      <c r="I1649" s="78">
        <v>3</v>
      </c>
      <c r="J1649" s="66">
        <v>14</v>
      </c>
      <c r="K1649" s="66">
        <v>0</v>
      </c>
      <c r="L1649" s="66">
        <v>0</v>
      </c>
      <c r="M1649" s="67">
        <v>0</v>
      </c>
      <c r="N1649" s="31">
        <v>0</v>
      </c>
      <c r="O1649" s="66">
        <v>0</v>
      </c>
      <c r="P1649" s="26">
        <v>0</v>
      </c>
      <c r="Q1649" s="35" t="s">
        <v>154</v>
      </c>
    </row>
    <row r="1650" spans="1:17" ht="96" x14ac:dyDescent="0.25">
      <c r="A1650" s="62">
        <v>38374</v>
      </c>
      <c r="B1650" s="62">
        <v>38374</v>
      </c>
      <c r="C1650" s="63">
        <v>2005</v>
      </c>
      <c r="D1650" s="24" t="s">
        <v>141</v>
      </c>
      <c r="E1650" s="30" t="s">
        <v>142</v>
      </c>
      <c r="F1650" s="7" t="s">
        <v>91</v>
      </c>
      <c r="G1650" s="77" t="s">
        <v>2557</v>
      </c>
      <c r="H1650" s="79" t="s">
        <v>2558</v>
      </c>
      <c r="I1650" s="78">
        <v>0</v>
      </c>
      <c r="J1650" s="66">
        <v>0</v>
      </c>
      <c r="K1650" s="66">
        <v>0</v>
      </c>
      <c r="L1650" s="66">
        <v>0</v>
      </c>
      <c r="M1650" s="67">
        <v>0</v>
      </c>
      <c r="N1650" s="31">
        <v>0</v>
      </c>
      <c r="O1650" s="66">
        <v>0</v>
      </c>
      <c r="P1650" s="26">
        <v>0.27</v>
      </c>
      <c r="Q1650" s="35" t="s">
        <v>154</v>
      </c>
    </row>
    <row r="1651" spans="1:17" ht="72" x14ac:dyDescent="0.25">
      <c r="A1651" s="62">
        <v>38378</v>
      </c>
      <c r="B1651" s="62">
        <v>38378</v>
      </c>
      <c r="C1651" s="63">
        <v>2005</v>
      </c>
      <c r="D1651" s="24" t="s">
        <v>141</v>
      </c>
      <c r="E1651" s="30" t="s">
        <v>142</v>
      </c>
      <c r="F1651" s="7" t="s">
        <v>56</v>
      </c>
      <c r="G1651" s="77" t="s">
        <v>495</v>
      </c>
      <c r="H1651" s="79" t="s">
        <v>2559</v>
      </c>
      <c r="I1651" s="78">
        <v>0</v>
      </c>
      <c r="J1651" s="66">
        <v>2</v>
      </c>
      <c r="K1651" s="66">
        <v>0</v>
      </c>
      <c r="L1651" s="66">
        <v>0</v>
      </c>
      <c r="M1651" s="67">
        <v>0</v>
      </c>
      <c r="N1651" s="31">
        <v>0</v>
      </c>
      <c r="O1651" s="66">
        <v>0</v>
      </c>
      <c r="P1651" s="26">
        <v>0.82199999999999995</v>
      </c>
      <c r="Q1651" s="35" t="s">
        <v>154</v>
      </c>
    </row>
    <row r="1652" spans="1:17" ht="48" x14ac:dyDescent="0.25">
      <c r="A1652" s="62">
        <v>38378</v>
      </c>
      <c r="B1652" s="62">
        <v>38378</v>
      </c>
      <c r="C1652" s="63">
        <v>2005</v>
      </c>
      <c r="D1652" s="24" t="s">
        <v>141</v>
      </c>
      <c r="E1652" s="30" t="s">
        <v>142</v>
      </c>
      <c r="F1652" s="7" t="s">
        <v>56</v>
      </c>
      <c r="G1652" s="77" t="s">
        <v>56</v>
      </c>
      <c r="H1652" s="77" t="s">
        <v>2560</v>
      </c>
      <c r="I1652" s="78">
        <v>0</v>
      </c>
      <c r="J1652" s="66">
        <v>0</v>
      </c>
      <c r="K1652" s="66">
        <v>0</v>
      </c>
      <c r="L1652" s="66">
        <v>0</v>
      </c>
      <c r="M1652" s="67">
        <v>0</v>
      </c>
      <c r="N1652" s="31">
        <v>0</v>
      </c>
      <c r="O1652" s="66">
        <v>0</v>
      </c>
      <c r="P1652" s="26">
        <v>0.32800000000000001</v>
      </c>
      <c r="Q1652" s="35" t="s">
        <v>154</v>
      </c>
    </row>
    <row r="1653" spans="1:17" ht="36" x14ac:dyDescent="0.25">
      <c r="A1653" s="62">
        <v>38379</v>
      </c>
      <c r="B1653" s="62">
        <v>38379</v>
      </c>
      <c r="C1653" s="63">
        <v>2005</v>
      </c>
      <c r="D1653" s="24" t="s">
        <v>141</v>
      </c>
      <c r="E1653" s="30" t="s">
        <v>142</v>
      </c>
      <c r="F1653" s="7" t="s">
        <v>91</v>
      </c>
      <c r="G1653" s="77" t="s">
        <v>1682</v>
      </c>
      <c r="H1653" s="77" t="s">
        <v>2561</v>
      </c>
      <c r="I1653" s="78">
        <v>1</v>
      </c>
      <c r="J1653" s="66">
        <v>19</v>
      </c>
      <c r="K1653" s="66">
        <v>0</v>
      </c>
      <c r="L1653" s="66">
        <v>0</v>
      </c>
      <c r="M1653" s="67">
        <v>0</v>
      </c>
      <c r="N1653" s="31">
        <v>0</v>
      </c>
      <c r="O1653" s="66">
        <v>0</v>
      </c>
      <c r="P1653" s="26">
        <v>0.6</v>
      </c>
      <c r="Q1653" s="35" t="s">
        <v>154</v>
      </c>
    </row>
    <row r="1654" spans="1:17" ht="60" x14ac:dyDescent="0.25">
      <c r="A1654" s="62">
        <v>38381</v>
      </c>
      <c r="B1654" s="62">
        <v>38381</v>
      </c>
      <c r="C1654" s="63">
        <v>2005</v>
      </c>
      <c r="D1654" s="24" t="s">
        <v>141</v>
      </c>
      <c r="E1654" s="30" t="s">
        <v>142</v>
      </c>
      <c r="F1654" s="7" t="s">
        <v>62</v>
      </c>
      <c r="G1654" s="77" t="s">
        <v>2562</v>
      </c>
      <c r="H1654" s="77" t="s">
        <v>2563</v>
      </c>
      <c r="I1654" s="78">
        <v>2</v>
      </c>
      <c r="J1654" s="66">
        <v>18</v>
      </c>
      <c r="K1654" s="66">
        <v>0</v>
      </c>
      <c r="L1654" s="66">
        <v>0</v>
      </c>
      <c r="M1654" s="67">
        <v>0</v>
      </c>
      <c r="N1654" s="31">
        <v>0</v>
      </c>
      <c r="O1654" s="66">
        <v>0</v>
      </c>
      <c r="P1654" s="26">
        <v>0.6</v>
      </c>
      <c r="Q1654" s="35" t="s">
        <v>154</v>
      </c>
    </row>
    <row r="1655" spans="1:17" ht="36" x14ac:dyDescent="0.25">
      <c r="A1655" s="62">
        <v>38384</v>
      </c>
      <c r="B1655" s="62">
        <v>38384</v>
      </c>
      <c r="C1655" s="63">
        <v>2005</v>
      </c>
      <c r="D1655" s="24" t="s">
        <v>141</v>
      </c>
      <c r="E1655" s="30" t="s">
        <v>142</v>
      </c>
      <c r="F1655" s="7" t="s">
        <v>82</v>
      </c>
      <c r="G1655" s="77" t="s">
        <v>484</v>
      </c>
      <c r="H1655" s="77" t="s">
        <v>2564</v>
      </c>
      <c r="I1655" s="78">
        <v>0</v>
      </c>
      <c r="J1655" s="66">
        <v>1</v>
      </c>
      <c r="K1655" s="66">
        <v>0</v>
      </c>
      <c r="L1655" s="66">
        <v>0</v>
      </c>
      <c r="M1655" s="67">
        <v>0</v>
      </c>
      <c r="N1655" s="31">
        <v>0</v>
      </c>
      <c r="O1655" s="66">
        <v>0</v>
      </c>
      <c r="P1655" s="26">
        <v>0.27</v>
      </c>
      <c r="Q1655" s="35" t="s">
        <v>154</v>
      </c>
    </row>
    <row r="1656" spans="1:17" ht="36" x14ac:dyDescent="0.25">
      <c r="A1656" s="62">
        <v>38391</v>
      </c>
      <c r="B1656" s="62">
        <v>38391</v>
      </c>
      <c r="C1656" s="63">
        <v>2005</v>
      </c>
      <c r="D1656" s="24" t="s">
        <v>141</v>
      </c>
      <c r="E1656" s="30" t="s">
        <v>142</v>
      </c>
      <c r="F1656" s="7" t="s">
        <v>60</v>
      </c>
      <c r="G1656" s="77" t="s">
        <v>1256</v>
      </c>
      <c r="H1656" s="77" t="s">
        <v>2565</v>
      </c>
      <c r="I1656" s="78">
        <v>0</v>
      </c>
      <c r="J1656" s="66">
        <v>16</v>
      </c>
      <c r="K1656" s="66">
        <v>0</v>
      </c>
      <c r="L1656" s="66">
        <v>0</v>
      </c>
      <c r="M1656" s="67">
        <v>0</v>
      </c>
      <c r="N1656" s="31">
        <v>0</v>
      </c>
      <c r="O1656" s="66">
        <v>0</v>
      </c>
      <c r="P1656" s="26">
        <v>0</v>
      </c>
      <c r="Q1656" s="35" t="s">
        <v>154</v>
      </c>
    </row>
    <row r="1657" spans="1:17" ht="36" x14ac:dyDescent="0.25">
      <c r="A1657" s="62">
        <v>38391</v>
      </c>
      <c r="B1657" s="62">
        <v>38391</v>
      </c>
      <c r="C1657" s="63">
        <v>2005</v>
      </c>
      <c r="D1657" s="24" t="s">
        <v>141</v>
      </c>
      <c r="E1657" s="30" t="s">
        <v>142</v>
      </c>
      <c r="F1657" s="7" t="s">
        <v>36</v>
      </c>
      <c r="G1657" s="77" t="s">
        <v>1210</v>
      </c>
      <c r="H1657" s="77" t="s">
        <v>2566</v>
      </c>
      <c r="I1657" s="78">
        <v>0</v>
      </c>
      <c r="J1657" s="66">
        <v>28</v>
      </c>
      <c r="K1657" s="66">
        <v>0</v>
      </c>
      <c r="L1657" s="66">
        <v>0</v>
      </c>
      <c r="M1657" s="67">
        <v>0</v>
      </c>
      <c r="N1657" s="31">
        <v>0</v>
      </c>
      <c r="O1657" s="66">
        <v>0</v>
      </c>
      <c r="P1657" s="26">
        <v>0.6</v>
      </c>
      <c r="Q1657" s="35" t="s">
        <v>154</v>
      </c>
    </row>
    <row r="1658" spans="1:17" ht="60" x14ac:dyDescent="0.25">
      <c r="A1658" s="62">
        <v>38394</v>
      </c>
      <c r="B1658" s="62">
        <v>38394</v>
      </c>
      <c r="C1658" s="63">
        <v>2005</v>
      </c>
      <c r="D1658" s="24" t="s">
        <v>141</v>
      </c>
      <c r="E1658" s="30" t="s">
        <v>142</v>
      </c>
      <c r="F1658" s="7" t="s">
        <v>53</v>
      </c>
      <c r="G1658" s="77" t="s">
        <v>1236</v>
      </c>
      <c r="H1658" s="77" t="s">
        <v>2567</v>
      </c>
      <c r="I1658" s="78">
        <v>2</v>
      </c>
      <c r="J1658" s="66">
        <v>3</v>
      </c>
      <c r="K1658" s="66">
        <v>0</v>
      </c>
      <c r="L1658" s="66">
        <v>0</v>
      </c>
      <c r="M1658" s="67">
        <v>0</v>
      </c>
      <c r="N1658" s="31">
        <v>0</v>
      </c>
      <c r="O1658" s="66">
        <v>0</v>
      </c>
      <c r="P1658" s="26">
        <v>1.03</v>
      </c>
      <c r="Q1658" s="35" t="s">
        <v>154</v>
      </c>
    </row>
    <row r="1659" spans="1:17" ht="108" x14ac:dyDescent="0.25">
      <c r="A1659" s="62">
        <v>38403</v>
      </c>
      <c r="B1659" s="62">
        <v>38403</v>
      </c>
      <c r="C1659" s="63">
        <v>2005</v>
      </c>
      <c r="D1659" s="24" t="s">
        <v>141</v>
      </c>
      <c r="E1659" s="30" t="s">
        <v>142</v>
      </c>
      <c r="F1659" s="28" t="s">
        <v>157</v>
      </c>
      <c r="G1659" s="77" t="s">
        <v>526</v>
      </c>
      <c r="H1659" s="79" t="s">
        <v>2568</v>
      </c>
      <c r="I1659" s="78">
        <v>0</v>
      </c>
      <c r="J1659" s="66">
        <v>175</v>
      </c>
      <c r="K1659" s="66">
        <v>1</v>
      </c>
      <c r="L1659" s="66">
        <v>0</v>
      </c>
      <c r="M1659" s="67">
        <v>0</v>
      </c>
      <c r="N1659" s="31">
        <v>0</v>
      </c>
      <c r="O1659" s="66">
        <v>0</v>
      </c>
      <c r="P1659" s="26">
        <v>0.30599999999999999</v>
      </c>
      <c r="Q1659" s="35" t="s">
        <v>154</v>
      </c>
    </row>
    <row r="1660" spans="1:17" ht="36" x14ac:dyDescent="0.25">
      <c r="A1660" s="62">
        <v>38406</v>
      </c>
      <c r="B1660" s="62">
        <v>38406</v>
      </c>
      <c r="C1660" s="63">
        <v>2005</v>
      </c>
      <c r="D1660" s="24" t="s">
        <v>141</v>
      </c>
      <c r="E1660" s="30" t="s">
        <v>142</v>
      </c>
      <c r="F1660" s="7" t="s">
        <v>91</v>
      </c>
      <c r="G1660" s="77" t="s">
        <v>1943</v>
      </c>
      <c r="H1660" s="77" t="s">
        <v>2569</v>
      </c>
      <c r="I1660" s="78">
        <v>0</v>
      </c>
      <c r="J1660" s="66">
        <v>0</v>
      </c>
      <c r="K1660" s="66">
        <v>0</v>
      </c>
      <c r="L1660" s="66">
        <v>0</v>
      </c>
      <c r="M1660" s="67">
        <v>0</v>
      </c>
      <c r="N1660" s="31">
        <v>0</v>
      </c>
      <c r="O1660" s="66">
        <v>0</v>
      </c>
      <c r="P1660" s="26">
        <v>0.27163500000000002</v>
      </c>
      <c r="Q1660" s="35" t="s">
        <v>154</v>
      </c>
    </row>
    <row r="1661" spans="1:17" ht="48" x14ac:dyDescent="0.25">
      <c r="A1661" s="62">
        <v>38408</v>
      </c>
      <c r="B1661" s="62">
        <v>38408</v>
      </c>
      <c r="C1661" s="63">
        <v>2005</v>
      </c>
      <c r="D1661" s="24" t="s">
        <v>141</v>
      </c>
      <c r="E1661" s="30" t="s">
        <v>142</v>
      </c>
      <c r="F1661" s="7" t="s">
        <v>62</v>
      </c>
      <c r="G1661" s="77" t="s">
        <v>2570</v>
      </c>
      <c r="H1661" s="77" t="s">
        <v>2571</v>
      </c>
      <c r="I1661" s="78">
        <v>7</v>
      </c>
      <c r="J1661" s="66">
        <v>7</v>
      </c>
      <c r="K1661" s="66">
        <v>0</v>
      </c>
      <c r="L1661" s="66">
        <v>0</v>
      </c>
      <c r="M1661" s="67">
        <v>0</v>
      </c>
      <c r="N1661" s="31">
        <v>0</v>
      </c>
      <c r="O1661" s="66">
        <v>0</v>
      </c>
      <c r="P1661" s="26">
        <v>0</v>
      </c>
      <c r="Q1661" s="35" t="s">
        <v>154</v>
      </c>
    </row>
    <row r="1662" spans="1:17" ht="36" x14ac:dyDescent="0.25">
      <c r="A1662" s="62">
        <v>38408</v>
      </c>
      <c r="B1662" s="62">
        <v>38408</v>
      </c>
      <c r="C1662" s="63">
        <v>2005</v>
      </c>
      <c r="D1662" s="24" t="s">
        <v>141</v>
      </c>
      <c r="E1662" s="30" t="s">
        <v>142</v>
      </c>
      <c r="F1662" s="7" t="s">
        <v>87</v>
      </c>
      <c r="G1662" s="77" t="s">
        <v>1457</v>
      </c>
      <c r="H1662" s="77" t="s">
        <v>2572</v>
      </c>
      <c r="I1662" s="78">
        <v>0</v>
      </c>
      <c r="J1662" s="66">
        <v>1</v>
      </c>
      <c r="K1662" s="66">
        <v>0</v>
      </c>
      <c r="L1662" s="66">
        <v>0</v>
      </c>
      <c r="M1662" s="67">
        <v>0</v>
      </c>
      <c r="N1662" s="31">
        <v>0</v>
      </c>
      <c r="O1662" s="66">
        <v>0</v>
      </c>
      <c r="P1662" s="26">
        <v>0</v>
      </c>
      <c r="Q1662" s="35" t="s">
        <v>154</v>
      </c>
    </row>
    <row r="1663" spans="1:17" ht="36" x14ac:dyDescent="0.25">
      <c r="A1663" s="62">
        <v>38411</v>
      </c>
      <c r="B1663" s="62">
        <v>38411</v>
      </c>
      <c r="C1663" s="63">
        <v>2005</v>
      </c>
      <c r="D1663" s="24" t="s">
        <v>141</v>
      </c>
      <c r="E1663" s="30" t="s">
        <v>142</v>
      </c>
      <c r="F1663" s="7" t="s">
        <v>87</v>
      </c>
      <c r="G1663" s="77" t="s">
        <v>936</v>
      </c>
      <c r="H1663" s="77" t="s">
        <v>2573</v>
      </c>
      <c r="I1663" s="78">
        <v>2</v>
      </c>
      <c r="J1663" s="66">
        <v>2</v>
      </c>
      <c r="K1663" s="66">
        <v>0</v>
      </c>
      <c r="L1663" s="66">
        <v>0</v>
      </c>
      <c r="M1663" s="67">
        <v>0</v>
      </c>
      <c r="N1663" s="31">
        <v>0</v>
      </c>
      <c r="O1663" s="66">
        <v>0</v>
      </c>
      <c r="P1663" s="26">
        <v>1</v>
      </c>
      <c r="Q1663" s="35" t="s">
        <v>154</v>
      </c>
    </row>
    <row r="1664" spans="1:17" ht="36" x14ac:dyDescent="0.25">
      <c r="A1664" s="62">
        <v>38414</v>
      </c>
      <c r="B1664" s="62">
        <v>38414</v>
      </c>
      <c r="C1664" s="63">
        <v>2005</v>
      </c>
      <c r="D1664" s="24" t="s">
        <v>141</v>
      </c>
      <c r="E1664" s="30" t="s">
        <v>142</v>
      </c>
      <c r="F1664" s="7" t="s">
        <v>87</v>
      </c>
      <c r="G1664" s="77" t="s">
        <v>2574</v>
      </c>
      <c r="H1664" s="77" t="s">
        <v>2575</v>
      </c>
      <c r="I1664" s="78">
        <v>0</v>
      </c>
      <c r="J1664" s="66">
        <v>0</v>
      </c>
      <c r="K1664" s="66">
        <v>0</v>
      </c>
      <c r="L1664" s="66">
        <v>0</v>
      </c>
      <c r="M1664" s="67">
        <v>0</v>
      </c>
      <c r="N1664" s="31">
        <v>0</v>
      </c>
      <c r="O1664" s="66">
        <v>0</v>
      </c>
      <c r="P1664" s="26">
        <v>0.27</v>
      </c>
      <c r="Q1664" s="35" t="s">
        <v>154</v>
      </c>
    </row>
    <row r="1665" spans="1:17" ht="24" x14ac:dyDescent="0.25">
      <c r="A1665" s="62">
        <v>38414</v>
      </c>
      <c r="B1665" s="62">
        <v>38414</v>
      </c>
      <c r="C1665" s="63">
        <v>2005</v>
      </c>
      <c r="D1665" s="24" t="s">
        <v>141</v>
      </c>
      <c r="E1665" s="30" t="s">
        <v>142</v>
      </c>
      <c r="F1665" s="7" t="s">
        <v>80</v>
      </c>
      <c r="G1665" s="77" t="s">
        <v>1089</v>
      </c>
      <c r="H1665" s="77" t="s">
        <v>2576</v>
      </c>
      <c r="I1665" s="78">
        <v>2</v>
      </c>
      <c r="J1665" s="66">
        <v>2</v>
      </c>
      <c r="K1665" s="66">
        <v>0</v>
      </c>
      <c r="L1665" s="66">
        <v>0</v>
      </c>
      <c r="M1665" s="67">
        <v>0</v>
      </c>
      <c r="N1665" s="31">
        <v>0</v>
      </c>
      <c r="O1665" s="66">
        <v>0</v>
      </c>
      <c r="P1665" s="26">
        <v>1</v>
      </c>
      <c r="Q1665" s="35" t="s">
        <v>154</v>
      </c>
    </row>
    <row r="1666" spans="1:17" ht="72" x14ac:dyDescent="0.25">
      <c r="A1666" s="62">
        <v>38418</v>
      </c>
      <c r="B1666" s="62">
        <v>38418</v>
      </c>
      <c r="C1666" s="63">
        <v>2005</v>
      </c>
      <c r="D1666" s="24" t="s">
        <v>141</v>
      </c>
      <c r="E1666" s="30" t="s">
        <v>142</v>
      </c>
      <c r="F1666" s="7" t="s">
        <v>82</v>
      </c>
      <c r="G1666" s="77" t="s">
        <v>484</v>
      </c>
      <c r="H1666" s="77" t="s">
        <v>2577</v>
      </c>
      <c r="I1666" s="78">
        <v>0</v>
      </c>
      <c r="J1666" s="66">
        <v>0</v>
      </c>
      <c r="K1666" s="66">
        <v>1</v>
      </c>
      <c r="L1666" s="66">
        <v>0</v>
      </c>
      <c r="M1666" s="67">
        <v>0</v>
      </c>
      <c r="N1666" s="31">
        <v>0</v>
      </c>
      <c r="O1666" s="66">
        <v>0</v>
      </c>
      <c r="P1666" s="26">
        <v>0.59599999999999997</v>
      </c>
      <c r="Q1666" s="35" t="s">
        <v>154</v>
      </c>
    </row>
    <row r="1667" spans="1:17" ht="48" x14ac:dyDescent="0.25">
      <c r="A1667" s="62">
        <v>38418</v>
      </c>
      <c r="B1667" s="62">
        <v>38418</v>
      </c>
      <c r="C1667" s="63">
        <v>2005</v>
      </c>
      <c r="D1667" s="24" t="s">
        <v>141</v>
      </c>
      <c r="E1667" s="30" t="s">
        <v>142</v>
      </c>
      <c r="F1667" s="7" t="s">
        <v>60</v>
      </c>
      <c r="G1667" s="77" t="s">
        <v>1605</v>
      </c>
      <c r="H1667" s="77" t="s">
        <v>2578</v>
      </c>
      <c r="I1667" s="78">
        <v>0</v>
      </c>
      <c r="J1667" s="66">
        <v>4</v>
      </c>
      <c r="K1667" s="66">
        <v>0</v>
      </c>
      <c r="L1667" s="66">
        <v>0</v>
      </c>
      <c r="M1667" s="67">
        <v>0</v>
      </c>
      <c r="N1667" s="31">
        <v>0</v>
      </c>
      <c r="O1667" s="66">
        <v>0</v>
      </c>
      <c r="P1667" s="26">
        <v>0</v>
      </c>
      <c r="Q1667" s="35" t="s">
        <v>154</v>
      </c>
    </row>
    <row r="1668" spans="1:17" ht="36" x14ac:dyDescent="0.25">
      <c r="A1668" s="62">
        <v>38420</v>
      </c>
      <c r="B1668" s="62">
        <v>38420</v>
      </c>
      <c r="C1668" s="63">
        <v>2005</v>
      </c>
      <c r="D1668" s="24" t="s">
        <v>141</v>
      </c>
      <c r="E1668" s="30" t="s">
        <v>142</v>
      </c>
      <c r="F1668" s="7" t="s">
        <v>97</v>
      </c>
      <c r="G1668" s="77" t="s">
        <v>97</v>
      </c>
      <c r="H1668" s="77" t="s">
        <v>2579</v>
      </c>
      <c r="I1668" s="78">
        <v>0</v>
      </c>
      <c r="J1668" s="66">
        <v>1</v>
      </c>
      <c r="K1668" s="66">
        <v>0</v>
      </c>
      <c r="L1668" s="66">
        <v>0</v>
      </c>
      <c r="M1668" s="67">
        <v>0</v>
      </c>
      <c r="N1668" s="31">
        <v>0</v>
      </c>
      <c r="O1668" s="66">
        <v>0</v>
      </c>
      <c r="P1668" s="26">
        <v>0.27</v>
      </c>
      <c r="Q1668" s="35" t="s">
        <v>154</v>
      </c>
    </row>
    <row r="1669" spans="1:17" ht="60" x14ac:dyDescent="0.25">
      <c r="A1669" s="62">
        <v>38422</v>
      </c>
      <c r="B1669" s="62">
        <v>38422</v>
      </c>
      <c r="C1669" s="63">
        <v>2005</v>
      </c>
      <c r="D1669" s="24" t="s">
        <v>141</v>
      </c>
      <c r="E1669" s="30" t="s">
        <v>142</v>
      </c>
      <c r="F1669" s="7" t="s">
        <v>36</v>
      </c>
      <c r="G1669" s="77" t="s">
        <v>1302</v>
      </c>
      <c r="H1669" s="77" t="s">
        <v>2580</v>
      </c>
      <c r="I1669" s="78">
        <v>0</v>
      </c>
      <c r="J1669" s="66">
        <v>0</v>
      </c>
      <c r="K1669" s="66">
        <v>0</v>
      </c>
      <c r="L1669" s="66">
        <v>0</v>
      </c>
      <c r="M1669" s="67">
        <v>0</v>
      </c>
      <c r="N1669" s="31">
        <v>0</v>
      </c>
      <c r="O1669" s="66">
        <v>0</v>
      </c>
      <c r="P1669" s="26">
        <v>0.27</v>
      </c>
      <c r="Q1669" s="35" t="s">
        <v>154</v>
      </c>
    </row>
    <row r="1670" spans="1:17" ht="36" x14ac:dyDescent="0.25">
      <c r="A1670" s="62">
        <v>38423</v>
      </c>
      <c r="B1670" s="62">
        <v>38423</v>
      </c>
      <c r="C1670" s="63">
        <v>2005</v>
      </c>
      <c r="D1670" s="24" t="s">
        <v>141</v>
      </c>
      <c r="E1670" s="30" t="s">
        <v>142</v>
      </c>
      <c r="F1670" s="7" t="s">
        <v>68</v>
      </c>
      <c r="G1670" s="77" t="s">
        <v>2581</v>
      </c>
      <c r="H1670" s="77" t="s">
        <v>2582</v>
      </c>
      <c r="I1670" s="78">
        <v>1</v>
      </c>
      <c r="J1670" s="66">
        <v>14</v>
      </c>
      <c r="K1670" s="66">
        <v>0</v>
      </c>
      <c r="L1670" s="66">
        <v>0</v>
      </c>
      <c r="M1670" s="67">
        <v>0</v>
      </c>
      <c r="N1670" s="31">
        <v>0</v>
      </c>
      <c r="O1670" s="66">
        <v>0</v>
      </c>
      <c r="P1670" s="26">
        <v>0.6</v>
      </c>
      <c r="Q1670" s="35" t="s">
        <v>154</v>
      </c>
    </row>
    <row r="1671" spans="1:17" ht="48" x14ac:dyDescent="0.25">
      <c r="A1671" s="62">
        <v>38424</v>
      </c>
      <c r="B1671" s="62">
        <v>38424</v>
      </c>
      <c r="C1671" s="63">
        <v>2005</v>
      </c>
      <c r="D1671" s="24" t="s">
        <v>141</v>
      </c>
      <c r="E1671" s="82" t="s">
        <v>844</v>
      </c>
      <c r="F1671" s="28" t="s">
        <v>157</v>
      </c>
      <c r="G1671" s="77" t="s">
        <v>401</v>
      </c>
      <c r="H1671" s="77" t="s">
        <v>2583</v>
      </c>
      <c r="I1671" s="78">
        <v>2</v>
      </c>
      <c r="J1671" s="66">
        <v>4</v>
      </c>
      <c r="K1671" s="66">
        <v>0</v>
      </c>
      <c r="L1671" s="66">
        <v>0</v>
      </c>
      <c r="M1671" s="67">
        <v>0</v>
      </c>
      <c r="N1671" s="31">
        <v>0</v>
      </c>
      <c r="O1671" s="66">
        <v>0</v>
      </c>
      <c r="P1671" s="26">
        <v>0</v>
      </c>
      <c r="Q1671" s="35" t="s">
        <v>154</v>
      </c>
    </row>
    <row r="1672" spans="1:17" ht="96" x14ac:dyDescent="0.25">
      <c r="A1672" s="62">
        <v>38430</v>
      </c>
      <c r="B1672" s="62">
        <v>38430</v>
      </c>
      <c r="C1672" s="63">
        <v>2005</v>
      </c>
      <c r="D1672" s="24" t="s">
        <v>141</v>
      </c>
      <c r="E1672" s="82" t="s">
        <v>844</v>
      </c>
      <c r="F1672" s="25" t="s">
        <v>781</v>
      </c>
      <c r="G1672" s="77" t="s">
        <v>2584</v>
      </c>
      <c r="H1672" s="77" t="s">
        <v>2585</v>
      </c>
      <c r="I1672" s="78">
        <v>5</v>
      </c>
      <c r="J1672" s="66">
        <v>42</v>
      </c>
      <c r="K1672" s="66">
        <v>0</v>
      </c>
      <c r="L1672" s="66">
        <v>0</v>
      </c>
      <c r="M1672" s="67">
        <v>0</v>
      </c>
      <c r="N1672" s="31">
        <v>0</v>
      </c>
      <c r="O1672" s="66">
        <v>0</v>
      </c>
      <c r="P1672" s="26">
        <v>0</v>
      </c>
      <c r="Q1672" s="35" t="s">
        <v>154</v>
      </c>
    </row>
    <row r="1673" spans="1:17" ht="60" x14ac:dyDescent="0.25">
      <c r="A1673" s="62">
        <v>38430</v>
      </c>
      <c r="B1673" s="62">
        <v>38430</v>
      </c>
      <c r="C1673" s="63">
        <v>2005</v>
      </c>
      <c r="D1673" s="24" t="s">
        <v>141</v>
      </c>
      <c r="E1673" s="30" t="s">
        <v>142</v>
      </c>
      <c r="F1673" s="7" t="s">
        <v>60</v>
      </c>
      <c r="G1673" s="77" t="s">
        <v>2586</v>
      </c>
      <c r="H1673" s="77" t="s">
        <v>2587</v>
      </c>
      <c r="I1673" s="78">
        <v>5</v>
      </c>
      <c r="J1673" s="66">
        <v>25</v>
      </c>
      <c r="K1673" s="66">
        <v>0</v>
      </c>
      <c r="L1673" s="66">
        <v>0</v>
      </c>
      <c r="M1673" s="67">
        <v>0</v>
      </c>
      <c r="N1673" s="31">
        <v>0</v>
      </c>
      <c r="O1673" s="66">
        <v>0</v>
      </c>
      <c r="P1673" s="26">
        <v>0.6</v>
      </c>
      <c r="Q1673" s="35" t="s">
        <v>154</v>
      </c>
    </row>
    <row r="1674" spans="1:17" ht="60" x14ac:dyDescent="0.25">
      <c r="A1674" s="62">
        <v>38430</v>
      </c>
      <c r="B1674" s="62">
        <v>38430</v>
      </c>
      <c r="C1674" s="63">
        <v>2005</v>
      </c>
      <c r="D1674" s="24" t="s">
        <v>141</v>
      </c>
      <c r="E1674" s="30" t="s">
        <v>142</v>
      </c>
      <c r="F1674" s="28" t="s">
        <v>210</v>
      </c>
      <c r="G1674" s="77" t="s">
        <v>2588</v>
      </c>
      <c r="H1674" s="77" t="s">
        <v>2589</v>
      </c>
      <c r="I1674" s="78">
        <v>4</v>
      </c>
      <c r="J1674" s="66">
        <v>30</v>
      </c>
      <c r="K1674" s="66">
        <v>0</v>
      </c>
      <c r="L1674" s="66">
        <v>0</v>
      </c>
      <c r="M1674" s="67">
        <v>0</v>
      </c>
      <c r="N1674" s="31">
        <v>0</v>
      </c>
      <c r="O1674" s="66">
        <v>0</v>
      </c>
      <c r="P1674" s="26">
        <v>0.6</v>
      </c>
      <c r="Q1674" s="35" t="s">
        <v>154</v>
      </c>
    </row>
    <row r="1675" spans="1:17" ht="60" x14ac:dyDescent="0.25">
      <c r="A1675" s="62">
        <v>38431</v>
      </c>
      <c r="B1675" s="62">
        <v>38431</v>
      </c>
      <c r="C1675" s="63">
        <v>2005</v>
      </c>
      <c r="D1675" s="24" t="s">
        <v>141</v>
      </c>
      <c r="E1675" s="30" t="s">
        <v>142</v>
      </c>
      <c r="F1675" s="28" t="s">
        <v>210</v>
      </c>
      <c r="G1675" s="77" t="s">
        <v>2590</v>
      </c>
      <c r="H1675" s="77" t="s">
        <v>2591</v>
      </c>
      <c r="I1675" s="78">
        <v>0</v>
      </c>
      <c r="J1675" s="66">
        <v>0</v>
      </c>
      <c r="K1675" s="66">
        <v>0</v>
      </c>
      <c r="L1675" s="66">
        <v>0</v>
      </c>
      <c r="M1675" s="67">
        <v>0</v>
      </c>
      <c r="N1675" s="31">
        <v>0</v>
      </c>
      <c r="O1675" s="66">
        <v>0</v>
      </c>
      <c r="P1675" s="26">
        <v>0</v>
      </c>
      <c r="Q1675" s="35" t="s">
        <v>154</v>
      </c>
    </row>
    <row r="1676" spans="1:17" ht="36" x14ac:dyDescent="0.25">
      <c r="A1676" s="62">
        <v>38436</v>
      </c>
      <c r="B1676" s="62">
        <v>38436</v>
      </c>
      <c r="C1676" s="63">
        <v>2005</v>
      </c>
      <c r="D1676" s="24" t="s">
        <v>141</v>
      </c>
      <c r="E1676" s="82" t="s">
        <v>844</v>
      </c>
      <c r="F1676" s="7" t="s">
        <v>40</v>
      </c>
      <c r="G1676" s="77" t="s">
        <v>2592</v>
      </c>
      <c r="H1676" s="77" t="s">
        <v>2593</v>
      </c>
      <c r="I1676" s="78">
        <v>0</v>
      </c>
      <c r="J1676" s="66">
        <v>9</v>
      </c>
      <c r="K1676" s="66">
        <v>0</v>
      </c>
      <c r="L1676" s="66">
        <v>0</v>
      </c>
      <c r="M1676" s="67">
        <v>0</v>
      </c>
      <c r="N1676" s="31">
        <v>0</v>
      </c>
      <c r="O1676" s="66">
        <v>0</v>
      </c>
      <c r="P1676" s="26">
        <v>0</v>
      </c>
      <c r="Q1676" s="35" t="s">
        <v>154</v>
      </c>
    </row>
    <row r="1677" spans="1:17" ht="36" x14ac:dyDescent="0.25">
      <c r="A1677" s="62">
        <v>38445</v>
      </c>
      <c r="B1677" s="62">
        <v>38445</v>
      </c>
      <c r="C1677" s="63">
        <v>2005</v>
      </c>
      <c r="D1677" s="24" t="s">
        <v>141</v>
      </c>
      <c r="E1677" s="6" t="s">
        <v>333</v>
      </c>
      <c r="F1677" s="7" t="s">
        <v>53</v>
      </c>
      <c r="G1677" s="77" t="s">
        <v>20</v>
      </c>
      <c r="H1677" s="77" t="s">
        <v>2594</v>
      </c>
      <c r="I1677" s="78">
        <v>1</v>
      </c>
      <c r="J1677" s="66">
        <v>1</v>
      </c>
      <c r="K1677" s="66">
        <v>0</v>
      </c>
      <c r="L1677" s="66">
        <v>0</v>
      </c>
      <c r="M1677" s="67">
        <v>0</v>
      </c>
      <c r="N1677" s="31">
        <v>0</v>
      </c>
      <c r="O1677" s="66">
        <v>0</v>
      </c>
      <c r="P1677" s="26">
        <v>0</v>
      </c>
      <c r="Q1677" s="35" t="s">
        <v>154</v>
      </c>
    </row>
    <row r="1678" spans="1:17" ht="60" x14ac:dyDescent="0.25">
      <c r="A1678" s="62">
        <v>38447</v>
      </c>
      <c r="B1678" s="62">
        <v>38447</v>
      </c>
      <c r="C1678" s="63">
        <v>2005</v>
      </c>
      <c r="D1678" s="24" t="s">
        <v>141</v>
      </c>
      <c r="E1678" s="30" t="s">
        <v>142</v>
      </c>
      <c r="F1678" s="7" t="s">
        <v>33</v>
      </c>
      <c r="G1678" s="77" t="s">
        <v>2595</v>
      </c>
      <c r="H1678" s="77" t="s">
        <v>2596</v>
      </c>
      <c r="I1678" s="78">
        <v>21</v>
      </c>
      <c r="J1678" s="66">
        <v>48</v>
      </c>
      <c r="K1678" s="66">
        <v>0</v>
      </c>
      <c r="L1678" s="66">
        <v>0</v>
      </c>
      <c r="M1678" s="67">
        <v>0</v>
      </c>
      <c r="N1678" s="31">
        <v>0</v>
      </c>
      <c r="O1678" s="66">
        <v>0</v>
      </c>
      <c r="P1678" s="26">
        <v>0.6</v>
      </c>
      <c r="Q1678" s="35" t="s">
        <v>154</v>
      </c>
    </row>
    <row r="1679" spans="1:17" ht="36" x14ac:dyDescent="0.25">
      <c r="A1679" s="62">
        <v>38450</v>
      </c>
      <c r="B1679" s="62">
        <v>38450</v>
      </c>
      <c r="C1679" s="63">
        <v>2005</v>
      </c>
      <c r="D1679" s="24" t="s">
        <v>141</v>
      </c>
      <c r="E1679" s="30" t="s">
        <v>142</v>
      </c>
      <c r="F1679" s="7" t="s">
        <v>60</v>
      </c>
      <c r="G1679" s="77" t="s">
        <v>2597</v>
      </c>
      <c r="H1679" s="77" t="s">
        <v>2598</v>
      </c>
      <c r="I1679" s="78">
        <v>1</v>
      </c>
      <c r="J1679" s="66">
        <v>1</v>
      </c>
      <c r="K1679" s="66">
        <v>0</v>
      </c>
      <c r="L1679" s="66">
        <v>0</v>
      </c>
      <c r="M1679" s="67">
        <v>0</v>
      </c>
      <c r="N1679" s="31">
        <v>0</v>
      </c>
      <c r="O1679" s="66">
        <v>0</v>
      </c>
      <c r="P1679" s="26">
        <v>1</v>
      </c>
      <c r="Q1679" s="35" t="s">
        <v>154</v>
      </c>
    </row>
    <row r="1680" spans="1:17" ht="36" x14ac:dyDescent="0.25">
      <c r="A1680" s="62">
        <v>38456</v>
      </c>
      <c r="B1680" s="62">
        <v>38456</v>
      </c>
      <c r="C1680" s="63">
        <v>2005</v>
      </c>
      <c r="D1680" s="24" t="s">
        <v>141</v>
      </c>
      <c r="E1680" s="30" t="s">
        <v>142</v>
      </c>
      <c r="F1680" s="7" t="s">
        <v>60</v>
      </c>
      <c r="G1680" s="77" t="s">
        <v>2599</v>
      </c>
      <c r="H1680" s="77" t="s">
        <v>2600</v>
      </c>
      <c r="I1680" s="78">
        <v>1</v>
      </c>
      <c r="J1680" s="66">
        <v>18</v>
      </c>
      <c r="K1680" s="66">
        <v>0</v>
      </c>
      <c r="L1680" s="66">
        <v>0</v>
      </c>
      <c r="M1680" s="67">
        <v>0</v>
      </c>
      <c r="N1680" s="31">
        <v>0</v>
      </c>
      <c r="O1680" s="66">
        <v>0</v>
      </c>
      <c r="P1680" s="26">
        <v>0.6</v>
      </c>
      <c r="Q1680" s="35" t="s">
        <v>154</v>
      </c>
    </row>
    <row r="1681" spans="1:17" ht="60" x14ac:dyDescent="0.25">
      <c r="A1681" s="62">
        <v>38464</v>
      </c>
      <c r="B1681" s="62">
        <v>38464</v>
      </c>
      <c r="C1681" s="63">
        <v>2005</v>
      </c>
      <c r="D1681" s="24" t="s">
        <v>141</v>
      </c>
      <c r="E1681" s="30" t="s">
        <v>142</v>
      </c>
      <c r="F1681" s="7" t="s">
        <v>53</v>
      </c>
      <c r="G1681" s="77" t="s">
        <v>451</v>
      </c>
      <c r="H1681" s="77" t="s">
        <v>2601</v>
      </c>
      <c r="I1681" s="78">
        <v>2</v>
      </c>
      <c r="J1681" s="66">
        <v>0</v>
      </c>
      <c r="K1681" s="66">
        <v>0</v>
      </c>
      <c r="L1681" s="66">
        <v>0</v>
      </c>
      <c r="M1681" s="67">
        <v>0</v>
      </c>
      <c r="N1681" s="31">
        <v>0</v>
      </c>
      <c r="O1681" s="66">
        <v>0</v>
      </c>
      <c r="P1681" s="26">
        <v>0.27</v>
      </c>
      <c r="Q1681" s="35" t="s">
        <v>154</v>
      </c>
    </row>
    <row r="1682" spans="1:17" ht="60" x14ac:dyDescent="0.25">
      <c r="A1682" s="62">
        <v>38466</v>
      </c>
      <c r="B1682" s="62">
        <v>38466</v>
      </c>
      <c r="C1682" s="63">
        <v>2005</v>
      </c>
      <c r="D1682" s="24" t="s">
        <v>141</v>
      </c>
      <c r="E1682" s="42" t="s">
        <v>447</v>
      </c>
      <c r="F1682" s="28" t="s">
        <v>157</v>
      </c>
      <c r="G1682" s="77" t="s">
        <v>1062</v>
      </c>
      <c r="H1682" s="77" t="s">
        <v>2602</v>
      </c>
      <c r="I1682" s="78">
        <v>0</v>
      </c>
      <c r="J1682" s="66">
        <v>0</v>
      </c>
      <c r="K1682" s="66">
        <v>0</v>
      </c>
      <c r="L1682" s="66">
        <v>0</v>
      </c>
      <c r="M1682" s="67">
        <v>0</v>
      </c>
      <c r="N1682" s="31">
        <v>0</v>
      </c>
      <c r="O1682" s="66">
        <v>0</v>
      </c>
      <c r="P1682" s="26">
        <v>0</v>
      </c>
      <c r="Q1682" s="35" t="s">
        <v>154</v>
      </c>
    </row>
    <row r="1683" spans="1:17" ht="48" x14ac:dyDescent="0.25">
      <c r="A1683" s="62">
        <v>38472</v>
      </c>
      <c r="B1683" s="62">
        <v>38472</v>
      </c>
      <c r="C1683" s="63">
        <v>2005</v>
      </c>
      <c r="D1683" s="24" t="s">
        <v>141</v>
      </c>
      <c r="E1683" s="30" t="s">
        <v>142</v>
      </c>
      <c r="F1683" s="7" t="s">
        <v>60</v>
      </c>
      <c r="G1683" s="77" t="s">
        <v>1605</v>
      </c>
      <c r="H1683" s="77" t="s">
        <v>2603</v>
      </c>
      <c r="I1683" s="78">
        <v>1</v>
      </c>
      <c r="J1683" s="66">
        <v>0</v>
      </c>
      <c r="K1683" s="66">
        <v>0</v>
      </c>
      <c r="L1683" s="66">
        <v>0</v>
      </c>
      <c r="M1683" s="67">
        <v>0</v>
      </c>
      <c r="N1683" s="31">
        <v>0</v>
      </c>
      <c r="O1683" s="66">
        <v>0</v>
      </c>
      <c r="P1683" s="26">
        <v>1</v>
      </c>
      <c r="Q1683" s="35" t="s">
        <v>154</v>
      </c>
    </row>
    <row r="1684" spans="1:17" ht="48" x14ac:dyDescent="0.25">
      <c r="A1684" s="62">
        <v>38478</v>
      </c>
      <c r="B1684" s="62">
        <v>38478</v>
      </c>
      <c r="C1684" s="63">
        <v>2005</v>
      </c>
      <c r="D1684" s="24" t="s">
        <v>141</v>
      </c>
      <c r="E1684" s="30" t="s">
        <v>142</v>
      </c>
      <c r="F1684" s="7" t="s">
        <v>62</v>
      </c>
      <c r="G1684" s="77" t="s">
        <v>2604</v>
      </c>
      <c r="H1684" s="77" t="s">
        <v>2605</v>
      </c>
      <c r="I1684" s="78">
        <v>0</v>
      </c>
      <c r="J1684" s="66">
        <v>0</v>
      </c>
      <c r="K1684" s="66">
        <v>0</v>
      </c>
      <c r="L1684" s="66">
        <v>0</v>
      </c>
      <c r="M1684" s="67">
        <v>0</v>
      </c>
      <c r="N1684" s="31">
        <v>0</v>
      </c>
      <c r="O1684" s="66">
        <v>0</v>
      </c>
      <c r="P1684" s="26">
        <v>0.3</v>
      </c>
      <c r="Q1684" s="35" t="s">
        <v>154</v>
      </c>
    </row>
    <row r="1685" spans="1:17" ht="48" x14ac:dyDescent="0.25">
      <c r="A1685" s="62">
        <v>38492</v>
      </c>
      <c r="B1685" s="62">
        <v>38492</v>
      </c>
      <c r="C1685" s="63">
        <v>2005</v>
      </c>
      <c r="D1685" s="24" t="s">
        <v>141</v>
      </c>
      <c r="E1685" s="30" t="s">
        <v>142</v>
      </c>
      <c r="F1685" s="7" t="s">
        <v>60</v>
      </c>
      <c r="G1685" s="77" t="s">
        <v>2606</v>
      </c>
      <c r="H1685" s="77" t="s">
        <v>2607</v>
      </c>
      <c r="I1685" s="78">
        <v>0</v>
      </c>
      <c r="J1685" s="66">
        <v>1</v>
      </c>
      <c r="K1685" s="66">
        <v>0</v>
      </c>
      <c r="L1685" s="66">
        <v>0</v>
      </c>
      <c r="M1685" s="67">
        <v>0</v>
      </c>
      <c r="N1685" s="31">
        <v>0</v>
      </c>
      <c r="O1685" s="66">
        <v>0</v>
      </c>
      <c r="P1685" s="26">
        <v>0</v>
      </c>
      <c r="Q1685" s="35" t="s">
        <v>154</v>
      </c>
    </row>
    <row r="1686" spans="1:17" ht="60" x14ac:dyDescent="0.25">
      <c r="A1686" s="62">
        <v>38494</v>
      </c>
      <c r="B1686" s="62">
        <v>38494</v>
      </c>
      <c r="C1686" s="63">
        <v>2005</v>
      </c>
      <c r="D1686" s="24" t="s">
        <v>141</v>
      </c>
      <c r="E1686" s="30" t="s">
        <v>142</v>
      </c>
      <c r="F1686" s="7" t="s">
        <v>87</v>
      </c>
      <c r="G1686" s="77" t="s">
        <v>2608</v>
      </c>
      <c r="H1686" s="77" t="s">
        <v>2609</v>
      </c>
      <c r="I1686" s="78">
        <v>0</v>
      </c>
      <c r="J1686" s="66">
        <v>0</v>
      </c>
      <c r="K1686" s="66">
        <v>0</v>
      </c>
      <c r="L1686" s="66">
        <v>0</v>
      </c>
      <c r="M1686" s="67">
        <v>0</v>
      </c>
      <c r="N1686" s="31">
        <v>0</v>
      </c>
      <c r="O1686" s="66">
        <v>0</v>
      </c>
      <c r="P1686" s="26">
        <v>0.27</v>
      </c>
      <c r="Q1686" s="35" t="s">
        <v>154</v>
      </c>
    </row>
    <row r="1687" spans="1:17" ht="60" x14ac:dyDescent="0.25">
      <c r="A1687" s="62">
        <v>38496</v>
      </c>
      <c r="B1687" s="62">
        <v>38496</v>
      </c>
      <c r="C1687" s="63">
        <v>2005</v>
      </c>
      <c r="D1687" s="24" t="s">
        <v>141</v>
      </c>
      <c r="E1687" s="41" t="s">
        <v>1965</v>
      </c>
      <c r="F1687" s="7" t="s">
        <v>36</v>
      </c>
      <c r="G1687" s="77" t="s">
        <v>854</v>
      </c>
      <c r="H1687" s="77" t="s">
        <v>2610</v>
      </c>
      <c r="I1687" s="78">
        <v>1</v>
      </c>
      <c r="J1687" s="66">
        <v>1</v>
      </c>
      <c r="K1687" s="66">
        <v>0</v>
      </c>
      <c r="L1687" s="66">
        <v>0</v>
      </c>
      <c r="M1687" s="67">
        <v>0</v>
      </c>
      <c r="N1687" s="31">
        <v>0</v>
      </c>
      <c r="O1687" s="66">
        <v>0</v>
      </c>
      <c r="P1687" s="26">
        <v>0</v>
      </c>
      <c r="Q1687" s="35" t="s">
        <v>154</v>
      </c>
    </row>
    <row r="1688" spans="1:17" ht="36" x14ac:dyDescent="0.25">
      <c r="A1688" s="62">
        <v>38503</v>
      </c>
      <c r="B1688" s="62">
        <v>38503</v>
      </c>
      <c r="C1688" s="63">
        <v>2005</v>
      </c>
      <c r="D1688" s="24" t="s">
        <v>141</v>
      </c>
      <c r="E1688" s="30" t="s">
        <v>142</v>
      </c>
      <c r="F1688" s="7" t="s">
        <v>77</v>
      </c>
      <c r="G1688" s="77" t="s">
        <v>77</v>
      </c>
      <c r="H1688" s="77" t="s">
        <v>2611</v>
      </c>
      <c r="I1688" s="78">
        <v>0</v>
      </c>
      <c r="J1688" s="66">
        <v>14</v>
      </c>
      <c r="K1688" s="66">
        <v>0</v>
      </c>
      <c r="L1688" s="66">
        <v>0</v>
      </c>
      <c r="M1688" s="67">
        <v>0</v>
      </c>
      <c r="N1688" s="31">
        <v>0</v>
      </c>
      <c r="O1688" s="66">
        <v>0</v>
      </c>
      <c r="P1688" s="26">
        <v>0.6</v>
      </c>
      <c r="Q1688" s="35" t="s">
        <v>154</v>
      </c>
    </row>
    <row r="1689" spans="1:17" ht="48" x14ac:dyDescent="0.25">
      <c r="A1689" s="62">
        <v>38503</v>
      </c>
      <c r="B1689" s="62">
        <v>38503</v>
      </c>
      <c r="C1689" s="63">
        <v>2005</v>
      </c>
      <c r="D1689" s="24" t="s">
        <v>141</v>
      </c>
      <c r="E1689" s="30" t="s">
        <v>142</v>
      </c>
      <c r="F1689" s="28" t="s">
        <v>157</v>
      </c>
      <c r="G1689" s="77" t="s">
        <v>401</v>
      </c>
      <c r="H1689" s="77" t="s">
        <v>2612</v>
      </c>
      <c r="I1689" s="78">
        <v>2</v>
      </c>
      <c r="J1689" s="66">
        <v>7</v>
      </c>
      <c r="K1689" s="66">
        <v>0</v>
      </c>
      <c r="L1689" s="66">
        <v>0</v>
      </c>
      <c r="M1689" s="67">
        <v>0</v>
      </c>
      <c r="N1689" s="31">
        <v>0</v>
      </c>
      <c r="O1689" s="66">
        <v>0</v>
      </c>
      <c r="P1689" s="26">
        <v>1</v>
      </c>
      <c r="Q1689" s="35" t="s">
        <v>154</v>
      </c>
    </row>
    <row r="1690" spans="1:17" ht="36" x14ac:dyDescent="0.25">
      <c r="A1690" s="62">
        <v>38506</v>
      </c>
      <c r="B1690" s="62">
        <v>38506</v>
      </c>
      <c r="C1690" s="63">
        <v>2005</v>
      </c>
      <c r="D1690" s="24" t="s">
        <v>141</v>
      </c>
      <c r="E1690" s="30" t="s">
        <v>142</v>
      </c>
      <c r="F1690" s="7" t="s">
        <v>80</v>
      </c>
      <c r="G1690" s="77" t="s">
        <v>2613</v>
      </c>
      <c r="H1690" s="77" t="s">
        <v>2614</v>
      </c>
      <c r="I1690" s="78">
        <v>2</v>
      </c>
      <c r="J1690" s="66">
        <v>2</v>
      </c>
      <c r="K1690" s="66">
        <v>0</v>
      </c>
      <c r="L1690" s="66">
        <v>0</v>
      </c>
      <c r="M1690" s="67">
        <v>0</v>
      </c>
      <c r="N1690" s="31">
        <v>0</v>
      </c>
      <c r="O1690" s="66">
        <v>0</v>
      </c>
      <c r="P1690" s="26">
        <v>1</v>
      </c>
      <c r="Q1690" s="35" t="s">
        <v>154</v>
      </c>
    </row>
    <row r="1691" spans="1:17" ht="72" x14ac:dyDescent="0.25">
      <c r="A1691" s="62">
        <v>38506</v>
      </c>
      <c r="B1691" s="62">
        <v>38506</v>
      </c>
      <c r="C1691" s="63">
        <v>2005</v>
      </c>
      <c r="D1691" s="24" t="s">
        <v>141</v>
      </c>
      <c r="E1691" s="30" t="s">
        <v>142</v>
      </c>
      <c r="F1691" s="7" t="s">
        <v>101</v>
      </c>
      <c r="G1691" s="77" t="s">
        <v>752</v>
      </c>
      <c r="H1691" s="77" t="s">
        <v>2615</v>
      </c>
      <c r="I1691" s="78">
        <v>0</v>
      </c>
      <c r="J1691" s="66">
        <v>125</v>
      </c>
      <c r="K1691" s="66">
        <v>0</v>
      </c>
      <c r="L1691" s="66">
        <v>0</v>
      </c>
      <c r="M1691" s="67">
        <v>0</v>
      </c>
      <c r="N1691" s="31">
        <v>0</v>
      </c>
      <c r="O1691" s="66">
        <v>0</v>
      </c>
      <c r="P1691" s="26">
        <v>0.27</v>
      </c>
      <c r="Q1691" s="35" t="s">
        <v>154</v>
      </c>
    </row>
    <row r="1692" spans="1:17" ht="36" x14ac:dyDescent="0.25">
      <c r="A1692" s="62">
        <v>38509</v>
      </c>
      <c r="B1692" s="62">
        <v>38509</v>
      </c>
      <c r="C1692" s="63">
        <v>2005</v>
      </c>
      <c r="D1692" s="24" t="s">
        <v>141</v>
      </c>
      <c r="E1692" s="30" t="s">
        <v>142</v>
      </c>
      <c r="F1692" s="7" t="s">
        <v>101</v>
      </c>
      <c r="G1692" s="77" t="s">
        <v>101</v>
      </c>
      <c r="H1692" s="77" t="s">
        <v>2616</v>
      </c>
      <c r="I1692" s="78">
        <v>2</v>
      </c>
      <c r="J1692" s="66">
        <v>3</v>
      </c>
      <c r="K1692" s="66">
        <v>0</v>
      </c>
      <c r="L1692" s="66">
        <v>0</v>
      </c>
      <c r="M1692" s="67">
        <v>0</v>
      </c>
      <c r="N1692" s="31">
        <v>0</v>
      </c>
      <c r="O1692" s="66">
        <v>0</v>
      </c>
      <c r="P1692" s="26">
        <v>3.5999999999999997E-2</v>
      </c>
      <c r="Q1692" s="35" t="s">
        <v>154</v>
      </c>
    </row>
    <row r="1693" spans="1:17" ht="72" x14ac:dyDescent="0.25">
      <c r="A1693" s="62">
        <v>38523</v>
      </c>
      <c r="B1693" s="62">
        <v>38523</v>
      </c>
      <c r="C1693" s="63">
        <v>2005</v>
      </c>
      <c r="D1693" s="24" t="s">
        <v>141</v>
      </c>
      <c r="E1693" s="49" t="s">
        <v>2617</v>
      </c>
      <c r="F1693" s="7" t="s">
        <v>65</v>
      </c>
      <c r="G1693" s="77" t="s">
        <v>1346</v>
      </c>
      <c r="H1693" s="77" t="s">
        <v>2618</v>
      </c>
      <c r="I1693" s="78">
        <v>0</v>
      </c>
      <c r="J1693" s="66">
        <v>0</v>
      </c>
      <c r="K1693" s="66">
        <v>0</v>
      </c>
      <c r="L1693" s="66">
        <v>0</v>
      </c>
      <c r="M1693" s="67">
        <v>0</v>
      </c>
      <c r="N1693" s="31">
        <v>0</v>
      </c>
      <c r="O1693" s="66">
        <v>0</v>
      </c>
      <c r="P1693" s="26">
        <v>1.89</v>
      </c>
      <c r="Q1693" s="35" t="s">
        <v>154</v>
      </c>
    </row>
    <row r="1694" spans="1:17" ht="48" x14ac:dyDescent="0.25">
      <c r="A1694" s="62">
        <v>38524</v>
      </c>
      <c r="B1694" s="62">
        <v>38524</v>
      </c>
      <c r="C1694" s="63">
        <v>2005</v>
      </c>
      <c r="D1694" s="24" t="s">
        <v>141</v>
      </c>
      <c r="E1694" s="30" t="s">
        <v>142</v>
      </c>
      <c r="F1694" s="7" t="s">
        <v>82</v>
      </c>
      <c r="G1694" s="77" t="s">
        <v>484</v>
      </c>
      <c r="H1694" s="77" t="s">
        <v>2619</v>
      </c>
      <c r="I1694" s="78">
        <v>6</v>
      </c>
      <c r="J1694" s="66">
        <v>43</v>
      </c>
      <c r="K1694" s="66">
        <v>0</v>
      </c>
      <c r="L1694" s="66">
        <v>0</v>
      </c>
      <c r="M1694" s="67">
        <v>0</v>
      </c>
      <c r="N1694" s="31">
        <v>0</v>
      </c>
      <c r="O1694" s="66">
        <v>0</v>
      </c>
      <c r="P1694" s="26">
        <v>0.6</v>
      </c>
      <c r="Q1694" s="35" t="s">
        <v>154</v>
      </c>
    </row>
    <row r="1695" spans="1:17" ht="36" x14ac:dyDescent="0.25">
      <c r="A1695" s="62">
        <v>38526</v>
      </c>
      <c r="B1695" s="62">
        <v>38526</v>
      </c>
      <c r="C1695" s="63">
        <v>2005</v>
      </c>
      <c r="D1695" s="24" t="s">
        <v>141</v>
      </c>
      <c r="E1695" s="30" t="s">
        <v>142</v>
      </c>
      <c r="F1695" s="7" t="s">
        <v>68</v>
      </c>
      <c r="G1695" s="77" t="s">
        <v>2620</v>
      </c>
      <c r="H1695" s="77" t="s">
        <v>2621</v>
      </c>
      <c r="I1695" s="78">
        <v>0</v>
      </c>
      <c r="J1695" s="66">
        <v>2</v>
      </c>
      <c r="K1695" s="66">
        <v>0</v>
      </c>
      <c r="L1695" s="66">
        <v>0</v>
      </c>
      <c r="M1695" s="67">
        <v>0</v>
      </c>
      <c r="N1695" s="31">
        <v>0</v>
      </c>
      <c r="O1695" s="66">
        <v>0</v>
      </c>
      <c r="P1695" s="26">
        <v>1</v>
      </c>
      <c r="Q1695" s="35" t="s">
        <v>154</v>
      </c>
    </row>
    <row r="1696" spans="1:17" ht="36" x14ac:dyDescent="0.25">
      <c r="A1696" s="62">
        <v>38526</v>
      </c>
      <c r="B1696" s="62">
        <v>38526</v>
      </c>
      <c r="C1696" s="63">
        <v>2005</v>
      </c>
      <c r="D1696" s="24" t="s">
        <v>141</v>
      </c>
      <c r="E1696" s="30" t="s">
        <v>142</v>
      </c>
      <c r="F1696" s="7" t="s">
        <v>58</v>
      </c>
      <c r="G1696" s="77" t="s">
        <v>168</v>
      </c>
      <c r="H1696" s="77" t="s">
        <v>2622</v>
      </c>
      <c r="I1696" s="78">
        <v>0</v>
      </c>
      <c r="J1696" s="66">
        <v>1</v>
      </c>
      <c r="K1696" s="66">
        <v>0</v>
      </c>
      <c r="L1696" s="66">
        <v>0</v>
      </c>
      <c r="M1696" s="67">
        <v>0</v>
      </c>
      <c r="N1696" s="31">
        <v>0</v>
      </c>
      <c r="O1696" s="66">
        <v>0</v>
      </c>
      <c r="P1696" s="68">
        <v>0</v>
      </c>
      <c r="Q1696" s="35" t="s">
        <v>154</v>
      </c>
    </row>
    <row r="1697" spans="1:17" ht="48" x14ac:dyDescent="0.25">
      <c r="A1697" s="62">
        <v>38528</v>
      </c>
      <c r="B1697" s="62">
        <v>38528</v>
      </c>
      <c r="C1697" s="63">
        <v>2005</v>
      </c>
      <c r="D1697" s="24" t="s">
        <v>141</v>
      </c>
      <c r="E1697" s="30" t="s">
        <v>142</v>
      </c>
      <c r="F1697" s="7" t="s">
        <v>36</v>
      </c>
      <c r="G1697" s="77" t="s">
        <v>1168</v>
      </c>
      <c r="H1697" s="77" t="s">
        <v>2623</v>
      </c>
      <c r="I1697" s="78">
        <v>2</v>
      </c>
      <c r="J1697" s="66">
        <v>15</v>
      </c>
      <c r="K1697" s="66">
        <v>0</v>
      </c>
      <c r="L1697" s="66">
        <v>0</v>
      </c>
      <c r="M1697" s="67">
        <v>0</v>
      </c>
      <c r="N1697" s="31">
        <v>0</v>
      </c>
      <c r="O1697" s="66">
        <v>0</v>
      </c>
      <c r="P1697" s="68">
        <v>0</v>
      </c>
      <c r="Q1697" s="35" t="s">
        <v>154</v>
      </c>
    </row>
    <row r="1698" spans="1:17" ht="48" x14ac:dyDescent="0.25">
      <c r="A1698" s="62">
        <v>38531</v>
      </c>
      <c r="B1698" s="62">
        <v>38531</v>
      </c>
      <c r="C1698" s="63">
        <v>2005</v>
      </c>
      <c r="D1698" s="24" t="s">
        <v>141</v>
      </c>
      <c r="E1698" s="41" t="s">
        <v>1965</v>
      </c>
      <c r="F1698" s="25" t="s">
        <v>781</v>
      </c>
      <c r="G1698" s="77" t="s">
        <v>2624</v>
      </c>
      <c r="H1698" s="77" t="s">
        <v>2625</v>
      </c>
      <c r="I1698" s="78">
        <v>3</v>
      </c>
      <c r="J1698" s="66">
        <v>5</v>
      </c>
      <c r="K1698" s="66">
        <v>0</v>
      </c>
      <c r="L1698" s="66">
        <v>0</v>
      </c>
      <c r="M1698" s="67">
        <v>0</v>
      </c>
      <c r="N1698" s="31">
        <v>0</v>
      </c>
      <c r="O1698" s="66">
        <v>0</v>
      </c>
      <c r="P1698" s="68">
        <v>0</v>
      </c>
      <c r="Q1698" s="35" t="s">
        <v>154</v>
      </c>
    </row>
    <row r="1699" spans="1:17" ht="60" x14ac:dyDescent="0.25">
      <c r="A1699" s="62">
        <v>38533</v>
      </c>
      <c r="B1699" s="62">
        <v>38533</v>
      </c>
      <c r="C1699" s="63">
        <v>2005</v>
      </c>
      <c r="D1699" s="24" t="s">
        <v>141</v>
      </c>
      <c r="E1699" s="30" t="s">
        <v>142</v>
      </c>
      <c r="F1699" s="7" t="s">
        <v>58</v>
      </c>
      <c r="G1699" s="77" t="s">
        <v>168</v>
      </c>
      <c r="H1699" s="77" t="s">
        <v>2626</v>
      </c>
      <c r="I1699" s="78">
        <v>1</v>
      </c>
      <c r="J1699" s="66">
        <v>3</v>
      </c>
      <c r="K1699" s="66">
        <v>0</v>
      </c>
      <c r="L1699" s="66">
        <v>0</v>
      </c>
      <c r="M1699" s="67">
        <v>0</v>
      </c>
      <c r="N1699" s="31">
        <v>0</v>
      </c>
      <c r="O1699" s="66">
        <v>0</v>
      </c>
      <c r="P1699" s="68">
        <v>1</v>
      </c>
      <c r="Q1699" s="35" t="s">
        <v>154</v>
      </c>
    </row>
    <row r="1700" spans="1:17" ht="48" x14ac:dyDescent="0.25">
      <c r="A1700" s="62">
        <v>38535</v>
      </c>
      <c r="B1700" s="62">
        <v>38535</v>
      </c>
      <c r="C1700" s="63">
        <v>2005</v>
      </c>
      <c r="D1700" s="24" t="s">
        <v>141</v>
      </c>
      <c r="E1700" s="30" t="s">
        <v>142</v>
      </c>
      <c r="F1700" s="7" t="s">
        <v>65</v>
      </c>
      <c r="G1700" s="77" t="s">
        <v>2627</v>
      </c>
      <c r="H1700" s="77" t="s">
        <v>2628</v>
      </c>
      <c r="I1700" s="78">
        <v>0</v>
      </c>
      <c r="J1700" s="66">
        <v>10</v>
      </c>
      <c r="K1700" s="66">
        <v>0</v>
      </c>
      <c r="L1700" s="66">
        <v>0</v>
      </c>
      <c r="M1700" s="67">
        <v>0</v>
      </c>
      <c r="N1700" s="31">
        <v>0</v>
      </c>
      <c r="O1700" s="66">
        <v>0</v>
      </c>
      <c r="P1700" s="68">
        <v>0.6</v>
      </c>
      <c r="Q1700" s="35" t="s">
        <v>154</v>
      </c>
    </row>
    <row r="1701" spans="1:17" ht="60" x14ac:dyDescent="0.25">
      <c r="A1701" s="62">
        <v>38537</v>
      </c>
      <c r="B1701" s="62">
        <v>38537</v>
      </c>
      <c r="C1701" s="63">
        <v>2005</v>
      </c>
      <c r="D1701" s="24" t="s">
        <v>141</v>
      </c>
      <c r="E1701" s="30" t="s">
        <v>142</v>
      </c>
      <c r="F1701" s="7" t="s">
        <v>53</v>
      </c>
      <c r="G1701" s="77" t="s">
        <v>1463</v>
      </c>
      <c r="H1701" s="79" t="s">
        <v>2629</v>
      </c>
      <c r="I1701" s="78">
        <v>2</v>
      </c>
      <c r="J1701" s="66">
        <v>5</v>
      </c>
      <c r="K1701" s="66">
        <v>0</v>
      </c>
      <c r="L1701" s="66">
        <v>0</v>
      </c>
      <c r="M1701" s="67">
        <v>0</v>
      </c>
      <c r="N1701" s="31">
        <v>0</v>
      </c>
      <c r="O1701" s="66">
        <v>0</v>
      </c>
      <c r="P1701" s="68">
        <v>0.47</v>
      </c>
      <c r="Q1701" s="35" t="s">
        <v>154</v>
      </c>
    </row>
    <row r="1702" spans="1:17" ht="36" x14ac:dyDescent="0.25">
      <c r="A1702" s="62">
        <v>38538</v>
      </c>
      <c r="B1702" s="62">
        <v>38538</v>
      </c>
      <c r="C1702" s="63">
        <v>2005</v>
      </c>
      <c r="D1702" s="24" t="s">
        <v>141</v>
      </c>
      <c r="E1702" s="30" t="s">
        <v>142</v>
      </c>
      <c r="F1702" s="7" t="s">
        <v>33</v>
      </c>
      <c r="G1702" s="77" t="s">
        <v>247</v>
      </c>
      <c r="H1702" s="77" t="s">
        <v>2630</v>
      </c>
      <c r="I1702" s="78">
        <v>1</v>
      </c>
      <c r="J1702" s="66">
        <v>1</v>
      </c>
      <c r="K1702" s="66">
        <v>0</v>
      </c>
      <c r="L1702" s="66">
        <v>0</v>
      </c>
      <c r="M1702" s="67">
        <v>0</v>
      </c>
      <c r="N1702" s="31">
        <v>0</v>
      </c>
      <c r="O1702" s="66">
        <v>0</v>
      </c>
      <c r="P1702" s="68">
        <v>1</v>
      </c>
      <c r="Q1702" s="35" t="s">
        <v>154</v>
      </c>
    </row>
    <row r="1703" spans="1:17" ht="48" x14ac:dyDescent="0.25">
      <c r="A1703" s="62">
        <v>38545</v>
      </c>
      <c r="B1703" s="62">
        <v>38545</v>
      </c>
      <c r="C1703" s="63">
        <v>2005</v>
      </c>
      <c r="D1703" s="24" t="s">
        <v>141</v>
      </c>
      <c r="E1703" s="30" t="s">
        <v>142</v>
      </c>
      <c r="F1703" s="7" t="s">
        <v>60</v>
      </c>
      <c r="G1703" s="77" t="s">
        <v>1424</v>
      </c>
      <c r="H1703" s="77" t="s">
        <v>2631</v>
      </c>
      <c r="I1703" s="78">
        <v>0</v>
      </c>
      <c r="J1703" s="66">
        <v>1</v>
      </c>
      <c r="K1703" s="66">
        <v>0</v>
      </c>
      <c r="L1703" s="66">
        <v>0</v>
      </c>
      <c r="M1703" s="67">
        <v>0</v>
      </c>
      <c r="N1703" s="31">
        <v>0</v>
      </c>
      <c r="O1703" s="66">
        <v>0</v>
      </c>
      <c r="P1703" s="68">
        <v>0.27</v>
      </c>
      <c r="Q1703" s="35" t="s">
        <v>154</v>
      </c>
    </row>
    <row r="1704" spans="1:17" ht="36" x14ac:dyDescent="0.25">
      <c r="A1704" s="62">
        <v>38547</v>
      </c>
      <c r="B1704" s="62">
        <v>38547</v>
      </c>
      <c r="C1704" s="63">
        <v>2005</v>
      </c>
      <c r="D1704" s="24" t="s">
        <v>141</v>
      </c>
      <c r="E1704" s="30" t="s">
        <v>142</v>
      </c>
      <c r="F1704" s="28" t="s">
        <v>157</v>
      </c>
      <c r="G1704" s="77" t="s">
        <v>716</v>
      </c>
      <c r="H1704" s="77" t="s">
        <v>2632</v>
      </c>
      <c r="I1704" s="78">
        <v>0</v>
      </c>
      <c r="J1704" s="66">
        <v>0</v>
      </c>
      <c r="K1704" s="66">
        <v>0</v>
      </c>
      <c r="L1704" s="66">
        <v>0</v>
      </c>
      <c r="M1704" s="67">
        <v>0</v>
      </c>
      <c r="N1704" s="31">
        <v>0</v>
      </c>
      <c r="O1704" s="66">
        <v>0</v>
      </c>
      <c r="P1704" s="68">
        <v>0.42080000000000001</v>
      </c>
      <c r="Q1704" s="35" t="s">
        <v>154</v>
      </c>
    </row>
    <row r="1705" spans="1:17" ht="48" x14ac:dyDescent="0.25">
      <c r="A1705" s="62">
        <v>38548</v>
      </c>
      <c r="B1705" s="62">
        <v>38548</v>
      </c>
      <c r="C1705" s="63">
        <v>2005</v>
      </c>
      <c r="D1705" s="24" t="s">
        <v>141</v>
      </c>
      <c r="E1705" s="30" t="s">
        <v>142</v>
      </c>
      <c r="F1705" s="7" t="s">
        <v>97</v>
      </c>
      <c r="G1705" s="77" t="s">
        <v>2633</v>
      </c>
      <c r="H1705" s="77" t="s">
        <v>2634</v>
      </c>
      <c r="I1705" s="78">
        <v>0</v>
      </c>
      <c r="J1705" s="66">
        <v>0</v>
      </c>
      <c r="K1705" s="66">
        <v>0</v>
      </c>
      <c r="L1705" s="66">
        <v>0</v>
      </c>
      <c r="M1705" s="67">
        <v>0</v>
      </c>
      <c r="N1705" s="31">
        <v>0</v>
      </c>
      <c r="O1705" s="66">
        <v>0</v>
      </c>
      <c r="P1705" s="68">
        <v>0.27</v>
      </c>
      <c r="Q1705" s="35" t="s">
        <v>154</v>
      </c>
    </row>
    <row r="1706" spans="1:17" ht="48" x14ac:dyDescent="0.25">
      <c r="A1706" s="62">
        <v>38549</v>
      </c>
      <c r="B1706" s="62">
        <v>38549</v>
      </c>
      <c r="C1706" s="63">
        <v>2005</v>
      </c>
      <c r="D1706" s="24" t="s">
        <v>141</v>
      </c>
      <c r="E1706" s="30" t="s">
        <v>142</v>
      </c>
      <c r="F1706" s="28" t="s">
        <v>151</v>
      </c>
      <c r="G1706" s="77" t="s">
        <v>2635</v>
      </c>
      <c r="H1706" s="77" t="s">
        <v>2636</v>
      </c>
      <c r="I1706" s="78">
        <v>2</v>
      </c>
      <c r="J1706" s="66">
        <v>2</v>
      </c>
      <c r="K1706" s="66">
        <v>0</v>
      </c>
      <c r="L1706" s="66">
        <v>0</v>
      </c>
      <c r="M1706" s="67">
        <v>0</v>
      </c>
      <c r="N1706" s="31">
        <v>0</v>
      </c>
      <c r="O1706" s="66">
        <v>0</v>
      </c>
      <c r="P1706" s="68">
        <v>1</v>
      </c>
      <c r="Q1706" s="35" t="s">
        <v>154</v>
      </c>
    </row>
    <row r="1707" spans="1:17" ht="24" x14ac:dyDescent="0.25">
      <c r="A1707" s="62">
        <v>38560</v>
      </c>
      <c r="B1707" s="62">
        <v>38560</v>
      </c>
      <c r="C1707" s="63">
        <v>2005</v>
      </c>
      <c r="D1707" s="24" t="s">
        <v>141</v>
      </c>
      <c r="E1707" s="30" t="s">
        <v>142</v>
      </c>
      <c r="F1707" s="7" t="s">
        <v>75</v>
      </c>
      <c r="G1707" s="77" t="s">
        <v>75</v>
      </c>
      <c r="H1707" s="77" t="s">
        <v>2637</v>
      </c>
      <c r="I1707" s="78">
        <v>0</v>
      </c>
      <c r="J1707" s="66">
        <v>18</v>
      </c>
      <c r="K1707" s="66">
        <v>0</v>
      </c>
      <c r="L1707" s="66">
        <v>0</v>
      </c>
      <c r="M1707" s="67">
        <v>0</v>
      </c>
      <c r="N1707" s="31">
        <v>0</v>
      </c>
      <c r="O1707" s="66">
        <v>0</v>
      </c>
      <c r="P1707" s="68">
        <v>0</v>
      </c>
      <c r="Q1707" s="35" t="s">
        <v>154</v>
      </c>
    </row>
    <row r="1708" spans="1:17" ht="36" x14ac:dyDescent="0.25">
      <c r="A1708" s="62">
        <v>38565</v>
      </c>
      <c r="B1708" s="62">
        <v>38565</v>
      </c>
      <c r="C1708" s="63">
        <v>2005</v>
      </c>
      <c r="D1708" s="24" t="s">
        <v>141</v>
      </c>
      <c r="E1708" s="49" t="s">
        <v>2617</v>
      </c>
      <c r="F1708" s="7" t="s">
        <v>60</v>
      </c>
      <c r="G1708" s="77" t="s">
        <v>1424</v>
      </c>
      <c r="H1708" s="77" t="s">
        <v>2638</v>
      </c>
      <c r="I1708" s="78">
        <v>2</v>
      </c>
      <c r="J1708" s="66">
        <v>26</v>
      </c>
      <c r="K1708" s="66">
        <v>0</v>
      </c>
      <c r="L1708" s="66">
        <v>0</v>
      </c>
      <c r="M1708" s="67">
        <v>0</v>
      </c>
      <c r="N1708" s="31">
        <v>0</v>
      </c>
      <c r="O1708" s="66">
        <v>0</v>
      </c>
      <c r="P1708" s="68">
        <v>0</v>
      </c>
      <c r="Q1708" s="35" t="s">
        <v>154</v>
      </c>
    </row>
    <row r="1709" spans="1:17" ht="36" x14ac:dyDescent="0.25">
      <c r="A1709" s="62">
        <v>38566</v>
      </c>
      <c r="B1709" s="62">
        <v>38566</v>
      </c>
      <c r="C1709" s="63">
        <v>2005</v>
      </c>
      <c r="D1709" s="24" t="s">
        <v>141</v>
      </c>
      <c r="E1709" s="30" t="s">
        <v>142</v>
      </c>
      <c r="F1709" s="7" t="s">
        <v>87</v>
      </c>
      <c r="G1709" s="77" t="s">
        <v>668</v>
      </c>
      <c r="H1709" s="77" t="s">
        <v>2639</v>
      </c>
      <c r="I1709" s="78">
        <v>2</v>
      </c>
      <c r="J1709" s="66">
        <v>3</v>
      </c>
      <c r="K1709" s="66">
        <v>0</v>
      </c>
      <c r="L1709" s="66">
        <v>0</v>
      </c>
      <c r="M1709" s="67">
        <v>0</v>
      </c>
      <c r="N1709" s="31">
        <v>0</v>
      </c>
      <c r="O1709" s="66">
        <v>0</v>
      </c>
      <c r="P1709" s="68">
        <v>3.5999999999999997E-2</v>
      </c>
      <c r="Q1709" s="35" t="s">
        <v>154</v>
      </c>
    </row>
    <row r="1710" spans="1:17" ht="36" x14ac:dyDescent="0.25">
      <c r="A1710" s="62">
        <v>38568</v>
      </c>
      <c r="B1710" s="62">
        <v>38568</v>
      </c>
      <c r="C1710" s="63">
        <v>2005</v>
      </c>
      <c r="D1710" s="24" t="s">
        <v>141</v>
      </c>
      <c r="E1710" s="30" t="s">
        <v>142</v>
      </c>
      <c r="F1710" s="7" t="s">
        <v>75</v>
      </c>
      <c r="G1710" s="77" t="s">
        <v>1380</v>
      </c>
      <c r="H1710" s="77" t="s">
        <v>2640</v>
      </c>
      <c r="I1710" s="78">
        <v>0</v>
      </c>
      <c r="J1710" s="66">
        <v>0</v>
      </c>
      <c r="K1710" s="66">
        <v>0</v>
      </c>
      <c r="L1710" s="66">
        <v>0</v>
      </c>
      <c r="M1710" s="67">
        <v>0</v>
      </c>
      <c r="N1710" s="31">
        <v>0</v>
      </c>
      <c r="O1710" s="66">
        <v>0</v>
      </c>
      <c r="P1710" s="68">
        <v>0.48449999999999999</v>
      </c>
      <c r="Q1710" s="35" t="s">
        <v>154</v>
      </c>
    </row>
    <row r="1711" spans="1:17" ht="36" x14ac:dyDescent="0.25">
      <c r="A1711" s="62">
        <v>38572</v>
      </c>
      <c r="B1711" s="62">
        <v>38572</v>
      </c>
      <c r="C1711" s="63">
        <v>2005</v>
      </c>
      <c r="D1711" s="24" t="s">
        <v>141</v>
      </c>
      <c r="E1711" s="30" t="s">
        <v>142</v>
      </c>
      <c r="F1711" s="28" t="s">
        <v>157</v>
      </c>
      <c r="G1711" s="77" t="s">
        <v>206</v>
      </c>
      <c r="H1711" s="77" t="s">
        <v>2641</v>
      </c>
      <c r="I1711" s="78">
        <v>3</v>
      </c>
      <c r="J1711" s="66">
        <v>10</v>
      </c>
      <c r="K1711" s="66">
        <v>0</v>
      </c>
      <c r="L1711" s="66">
        <v>0</v>
      </c>
      <c r="M1711" s="67">
        <v>0</v>
      </c>
      <c r="N1711" s="31">
        <v>0</v>
      </c>
      <c r="O1711" s="66">
        <v>0</v>
      </c>
      <c r="P1711" s="68">
        <v>0</v>
      </c>
      <c r="Q1711" s="35" t="s">
        <v>154</v>
      </c>
    </row>
    <row r="1712" spans="1:17" ht="60" x14ac:dyDescent="0.25">
      <c r="A1712" s="62">
        <v>38574</v>
      </c>
      <c r="B1712" s="62">
        <v>38574</v>
      </c>
      <c r="C1712" s="63">
        <v>2005</v>
      </c>
      <c r="D1712" s="24" t="s">
        <v>141</v>
      </c>
      <c r="E1712" s="30" t="s">
        <v>142</v>
      </c>
      <c r="F1712" s="7" t="s">
        <v>56</v>
      </c>
      <c r="G1712" s="77" t="s">
        <v>56</v>
      </c>
      <c r="H1712" s="77" t="s">
        <v>2642</v>
      </c>
      <c r="I1712" s="78">
        <v>9</v>
      </c>
      <c r="J1712" s="66">
        <v>25</v>
      </c>
      <c r="K1712" s="66">
        <v>0</v>
      </c>
      <c r="L1712" s="66">
        <v>0</v>
      </c>
      <c r="M1712" s="67">
        <v>0</v>
      </c>
      <c r="N1712" s="31">
        <v>0</v>
      </c>
      <c r="O1712" s="66">
        <v>0</v>
      </c>
      <c r="P1712" s="68">
        <v>0.27</v>
      </c>
      <c r="Q1712" s="35" t="s">
        <v>154</v>
      </c>
    </row>
    <row r="1713" spans="1:17" ht="60" x14ac:dyDescent="0.25">
      <c r="A1713" s="62">
        <v>38575</v>
      </c>
      <c r="B1713" s="62">
        <v>38575</v>
      </c>
      <c r="C1713" s="63">
        <v>2005</v>
      </c>
      <c r="D1713" s="24" t="s">
        <v>141</v>
      </c>
      <c r="E1713" s="30" t="s">
        <v>142</v>
      </c>
      <c r="F1713" s="7" t="s">
        <v>87</v>
      </c>
      <c r="G1713" s="77" t="s">
        <v>2643</v>
      </c>
      <c r="H1713" s="77" t="s">
        <v>2644</v>
      </c>
      <c r="I1713" s="78">
        <v>0</v>
      </c>
      <c r="J1713" s="66">
        <v>0</v>
      </c>
      <c r="K1713" s="66">
        <v>0</v>
      </c>
      <c r="L1713" s="66">
        <v>0</v>
      </c>
      <c r="M1713" s="67">
        <v>0</v>
      </c>
      <c r="N1713" s="31">
        <v>0</v>
      </c>
      <c r="O1713" s="66">
        <v>0</v>
      </c>
      <c r="P1713" s="68">
        <v>0</v>
      </c>
      <c r="Q1713" s="35" t="s">
        <v>154</v>
      </c>
    </row>
    <row r="1714" spans="1:17" ht="48" x14ac:dyDescent="0.25">
      <c r="A1714" s="62">
        <v>38575</v>
      </c>
      <c r="B1714" s="62">
        <v>38575</v>
      </c>
      <c r="C1714" s="63">
        <v>2005</v>
      </c>
      <c r="D1714" s="24" t="s">
        <v>141</v>
      </c>
      <c r="E1714" s="30" t="s">
        <v>142</v>
      </c>
      <c r="F1714" s="7" t="s">
        <v>91</v>
      </c>
      <c r="G1714" s="77" t="s">
        <v>1874</v>
      </c>
      <c r="H1714" s="79" t="s">
        <v>2645</v>
      </c>
      <c r="I1714" s="78">
        <v>0</v>
      </c>
      <c r="J1714" s="66">
        <v>36</v>
      </c>
      <c r="K1714" s="66">
        <v>10</v>
      </c>
      <c r="L1714" s="66">
        <v>0</v>
      </c>
      <c r="M1714" s="67">
        <v>0</v>
      </c>
      <c r="N1714" s="31">
        <v>0</v>
      </c>
      <c r="O1714" s="66">
        <v>0</v>
      </c>
      <c r="P1714" s="68">
        <v>0.436</v>
      </c>
      <c r="Q1714" s="35" t="s">
        <v>154</v>
      </c>
    </row>
    <row r="1715" spans="1:17" ht="36" x14ac:dyDescent="0.25">
      <c r="A1715" s="62">
        <v>38579</v>
      </c>
      <c r="B1715" s="62">
        <v>38579</v>
      </c>
      <c r="C1715" s="63">
        <v>2005</v>
      </c>
      <c r="D1715" s="24" t="s">
        <v>141</v>
      </c>
      <c r="E1715" s="30" t="s">
        <v>142</v>
      </c>
      <c r="F1715" s="7" t="s">
        <v>40</v>
      </c>
      <c r="G1715" s="77" t="s">
        <v>40</v>
      </c>
      <c r="H1715" s="77" t="s">
        <v>2646</v>
      </c>
      <c r="I1715" s="78">
        <v>2</v>
      </c>
      <c r="J1715" s="66">
        <v>13</v>
      </c>
      <c r="K1715" s="66">
        <v>0</v>
      </c>
      <c r="L1715" s="66">
        <v>0</v>
      </c>
      <c r="M1715" s="67">
        <v>0</v>
      </c>
      <c r="N1715" s="31">
        <v>0</v>
      </c>
      <c r="O1715" s="66">
        <v>0</v>
      </c>
      <c r="P1715" s="68">
        <v>0.6</v>
      </c>
      <c r="Q1715" s="35" t="s">
        <v>154</v>
      </c>
    </row>
    <row r="1716" spans="1:17" ht="24" x14ac:dyDescent="0.25">
      <c r="A1716" s="62">
        <v>38579</v>
      </c>
      <c r="B1716" s="62">
        <v>38579</v>
      </c>
      <c r="C1716" s="63">
        <v>2005</v>
      </c>
      <c r="D1716" s="24" t="s">
        <v>141</v>
      </c>
      <c r="E1716" s="30" t="s">
        <v>142</v>
      </c>
      <c r="F1716" s="7" t="s">
        <v>84</v>
      </c>
      <c r="G1716" s="77" t="s">
        <v>2647</v>
      </c>
      <c r="H1716" s="77" t="s">
        <v>2648</v>
      </c>
      <c r="I1716" s="78">
        <v>2</v>
      </c>
      <c r="J1716" s="66">
        <v>2</v>
      </c>
      <c r="K1716" s="66">
        <v>0</v>
      </c>
      <c r="L1716" s="66">
        <v>0</v>
      </c>
      <c r="M1716" s="67">
        <v>0</v>
      </c>
      <c r="N1716" s="31">
        <v>0</v>
      </c>
      <c r="O1716" s="66">
        <v>0</v>
      </c>
      <c r="P1716" s="68">
        <v>1</v>
      </c>
      <c r="Q1716" s="35" t="s">
        <v>154</v>
      </c>
    </row>
    <row r="1717" spans="1:17" ht="24" x14ac:dyDescent="0.25">
      <c r="A1717" s="62">
        <v>38587</v>
      </c>
      <c r="B1717" s="62">
        <v>38587</v>
      </c>
      <c r="C1717" s="63">
        <v>2005</v>
      </c>
      <c r="D1717" s="24" t="s">
        <v>141</v>
      </c>
      <c r="E1717" s="30" t="s">
        <v>142</v>
      </c>
      <c r="F1717" s="7" t="s">
        <v>53</v>
      </c>
      <c r="G1717" s="77" t="s">
        <v>1119</v>
      </c>
      <c r="H1717" s="77" t="s">
        <v>2649</v>
      </c>
      <c r="I1717" s="78">
        <v>0</v>
      </c>
      <c r="J1717" s="66">
        <v>2</v>
      </c>
      <c r="K1717" s="66">
        <v>0</v>
      </c>
      <c r="L1717" s="66">
        <v>0</v>
      </c>
      <c r="M1717" s="67">
        <v>0</v>
      </c>
      <c r="N1717" s="31">
        <v>0</v>
      </c>
      <c r="O1717" s="66">
        <v>0</v>
      </c>
      <c r="P1717" s="68">
        <v>1</v>
      </c>
      <c r="Q1717" s="35" t="s">
        <v>154</v>
      </c>
    </row>
    <row r="1718" spans="1:17" ht="36" x14ac:dyDescent="0.25">
      <c r="A1718" s="62">
        <v>38589</v>
      </c>
      <c r="B1718" s="62">
        <v>38589</v>
      </c>
      <c r="C1718" s="63">
        <v>2005</v>
      </c>
      <c r="D1718" s="24" t="s">
        <v>141</v>
      </c>
      <c r="E1718" s="30" t="s">
        <v>142</v>
      </c>
      <c r="F1718" s="7" t="s">
        <v>58</v>
      </c>
      <c r="G1718" s="77" t="s">
        <v>168</v>
      </c>
      <c r="H1718" s="77" t="s">
        <v>2650</v>
      </c>
      <c r="I1718" s="78">
        <v>1</v>
      </c>
      <c r="J1718" s="66">
        <v>2</v>
      </c>
      <c r="K1718" s="66">
        <v>0</v>
      </c>
      <c r="L1718" s="66">
        <v>0</v>
      </c>
      <c r="M1718" s="67">
        <v>0</v>
      </c>
      <c r="N1718" s="31">
        <v>0</v>
      </c>
      <c r="O1718" s="66">
        <v>0</v>
      </c>
      <c r="P1718" s="68">
        <v>1</v>
      </c>
      <c r="Q1718" s="35" t="s">
        <v>154</v>
      </c>
    </row>
    <row r="1719" spans="1:17" ht="36" x14ac:dyDescent="0.25">
      <c r="A1719" s="62">
        <v>38592</v>
      </c>
      <c r="B1719" s="62">
        <v>38592</v>
      </c>
      <c r="C1719" s="63">
        <v>2005</v>
      </c>
      <c r="D1719" s="24" t="s">
        <v>141</v>
      </c>
      <c r="E1719" s="6" t="s">
        <v>333</v>
      </c>
      <c r="F1719" s="28" t="s">
        <v>157</v>
      </c>
      <c r="G1719" s="77" t="s">
        <v>2651</v>
      </c>
      <c r="H1719" s="77" t="s">
        <v>2652</v>
      </c>
      <c r="I1719" s="78">
        <v>1</v>
      </c>
      <c r="J1719" s="66">
        <v>1</v>
      </c>
      <c r="K1719" s="66">
        <v>0</v>
      </c>
      <c r="L1719" s="66">
        <v>0</v>
      </c>
      <c r="M1719" s="67">
        <v>0</v>
      </c>
      <c r="N1719" s="31">
        <v>0</v>
      </c>
      <c r="O1719" s="66">
        <v>0</v>
      </c>
      <c r="P1719" s="68">
        <v>0</v>
      </c>
      <c r="Q1719" s="35" t="s">
        <v>154</v>
      </c>
    </row>
    <row r="1720" spans="1:17" ht="48" x14ac:dyDescent="0.25">
      <c r="A1720" s="62">
        <v>38593</v>
      </c>
      <c r="B1720" s="62">
        <v>38593</v>
      </c>
      <c r="C1720" s="63">
        <v>2005</v>
      </c>
      <c r="D1720" s="24" t="s">
        <v>141</v>
      </c>
      <c r="E1720" s="30" t="s">
        <v>142</v>
      </c>
      <c r="F1720" s="7" t="s">
        <v>49</v>
      </c>
      <c r="G1720" s="77" t="s">
        <v>49</v>
      </c>
      <c r="H1720" s="77" t="s">
        <v>2653</v>
      </c>
      <c r="I1720" s="78">
        <v>5</v>
      </c>
      <c r="J1720" s="66">
        <v>23</v>
      </c>
      <c r="K1720" s="66">
        <v>0</v>
      </c>
      <c r="L1720" s="66">
        <v>0</v>
      </c>
      <c r="M1720" s="67">
        <v>0</v>
      </c>
      <c r="N1720" s="31">
        <v>0</v>
      </c>
      <c r="O1720" s="66">
        <v>0</v>
      </c>
      <c r="P1720" s="68">
        <v>0.6</v>
      </c>
      <c r="Q1720" s="35" t="s">
        <v>154</v>
      </c>
    </row>
    <row r="1721" spans="1:17" ht="48" x14ac:dyDescent="0.25">
      <c r="A1721" s="62">
        <v>38595</v>
      </c>
      <c r="B1721" s="62">
        <v>38595</v>
      </c>
      <c r="C1721" s="63">
        <v>2005</v>
      </c>
      <c r="D1721" s="24" t="s">
        <v>141</v>
      </c>
      <c r="E1721" s="30" t="s">
        <v>142</v>
      </c>
      <c r="F1721" s="28" t="s">
        <v>157</v>
      </c>
      <c r="G1721" s="77" t="s">
        <v>158</v>
      </c>
      <c r="H1721" s="77" t="s">
        <v>2654</v>
      </c>
      <c r="I1721" s="78">
        <v>1</v>
      </c>
      <c r="J1721" s="66">
        <v>2</v>
      </c>
      <c r="K1721" s="66">
        <v>0</v>
      </c>
      <c r="L1721" s="66">
        <v>0</v>
      </c>
      <c r="M1721" s="67">
        <v>0</v>
      </c>
      <c r="N1721" s="31">
        <v>0</v>
      </c>
      <c r="O1721" s="66">
        <v>0</v>
      </c>
      <c r="P1721" s="68">
        <v>0.27</v>
      </c>
      <c r="Q1721" s="35" t="s">
        <v>154</v>
      </c>
    </row>
    <row r="1722" spans="1:17" ht="36" x14ac:dyDescent="0.25">
      <c r="A1722" s="62">
        <v>38598</v>
      </c>
      <c r="B1722" s="62">
        <v>38598</v>
      </c>
      <c r="C1722" s="63">
        <v>2005</v>
      </c>
      <c r="D1722" s="24" t="s">
        <v>141</v>
      </c>
      <c r="E1722" s="30" t="s">
        <v>142</v>
      </c>
      <c r="F1722" s="28" t="s">
        <v>157</v>
      </c>
      <c r="G1722" s="77" t="s">
        <v>401</v>
      </c>
      <c r="H1722" s="77" t="s">
        <v>2655</v>
      </c>
      <c r="I1722" s="78">
        <v>1</v>
      </c>
      <c r="J1722" s="66">
        <v>2</v>
      </c>
      <c r="K1722" s="66">
        <v>0</v>
      </c>
      <c r="L1722" s="66">
        <v>0</v>
      </c>
      <c r="M1722" s="67">
        <v>0</v>
      </c>
      <c r="N1722" s="31">
        <v>0</v>
      </c>
      <c r="O1722" s="66">
        <v>0</v>
      </c>
      <c r="P1722" s="68">
        <v>0</v>
      </c>
      <c r="Q1722" s="35" t="s">
        <v>154</v>
      </c>
    </row>
    <row r="1723" spans="1:17" ht="36" x14ac:dyDescent="0.25">
      <c r="A1723" s="62">
        <v>38608</v>
      </c>
      <c r="B1723" s="62">
        <v>38608</v>
      </c>
      <c r="C1723" s="63">
        <v>2005</v>
      </c>
      <c r="D1723" s="24" t="s">
        <v>141</v>
      </c>
      <c r="E1723" s="30" t="s">
        <v>142</v>
      </c>
      <c r="F1723" s="7" t="s">
        <v>82</v>
      </c>
      <c r="G1723" s="77" t="s">
        <v>571</v>
      </c>
      <c r="H1723" s="77" t="s">
        <v>2656</v>
      </c>
      <c r="I1723" s="78">
        <v>0</v>
      </c>
      <c r="J1723" s="66">
        <v>1</v>
      </c>
      <c r="K1723" s="66">
        <v>0</v>
      </c>
      <c r="L1723" s="66">
        <v>0</v>
      </c>
      <c r="M1723" s="67">
        <v>0</v>
      </c>
      <c r="N1723" s="31">
        <v>0</v>
      </c>
      <c r="O1723" s="66">
        <v>0</v>
      </c>
      <c r="P1723" s="68">
        <v>0.27</v>
      </c>
      <c r="Q1723" s="35" t="s">
        <v>154</v>
      </c>
    </row>
    <row r="1724" spans="1:17" ht="36" x14ac:dyDescent="0.25">
      <c r="A1724" s="62">
        <v>38612</v>
      </c>
      <c r="B1724" s="62">
        <v>38612</v>
      </c>
      <c r="C1724" s="63">
        <v>2005</v>
      </c>
      <c r="D1724" s="24" t="s">
        <v>141</v>
      </c>
      <c r="E1724" s="30" t="s">
        <v>142</v>
      </c>
      <c r="F1724" s="7" t="s">
        <v>91</v>
      </c>
      <c r="G1724" s="77" t="s">
        <v>1682</v>
      </c>
      <c r="H1724" s="77" t="s">
        <v>2657</v>
      </c>
      <c r="I1724" s="78">
        <v>0</v>
      </c>
      <c r="J1724" s="66">
        <v>0</v>
      </c>
      <c r="K1724" s="66">
        <v>0</v>
      </c>
      <c r="L1724" s="66">
        <v>0</v>
      </c>
      <c r="M1724" s="67">
        <v>0</v>
      </c>
      <c r="N1724" s="31">
        <v>0</v>
      </c>
      <c r="O1724" s="66">
        <v>0</v>
      </c>
      <c r="P1724" s="68">
        <v>0.27450000000000002</v>
      </c>
      <c r="Q1724" s="35" t="s">
        <v>154</v>
      </c>
    </row>
    <row r="1725" spans="1:17" ht="48" x14ac:dyDescent="0.25">
      <c r="A1725" s="62">
        <v>38616</v>
      </c>
      <c r="B1725" s="62">
        <v>38616</v>
      </c>
      <c r="C1725" s="63">
        <v>2005</v>
      </c>
      <c r="D1725" s="24" t="s">
        <v>141</v>
      </c>
      <c r="E1725" s="30" t="s">
        <v>142</v>
      </c>
      <c r="F1725" s="7" t="s">
        <v>53</v>
      </c>
      <c r="G1725" s="77" t="s">
        <v>2658</v>
      </c>
      <c r="H1725" s="77" t="s">
        <v>2659</v>
      </c>
      <c r="I1725" s="78">
        <v>9</v>
      </c>
      <c r="J1725" s="66">
        <v>9</v>
      </c>
      <c r="K1725" s="66">
        <v>0</v>
      </c>
      <c r="L1725" s="66">
        <v>0</v>
      </c>
      <c r="M1725" s="67">
        <v>0</v>
      </c>
      <c r="N1725" s="31">
        <v>0</v>
      </c>
      <c r="O1725" s="66">
        <v>0</v>
      </c>
      <c r="P1725" s="68">
        <v>1</v>
      </c>
      <c r="Q1725" s="35" t="s">
        <v>154</v>
      </c>
    </row>
    <row r="1726" spans="1:17" ht="48" x14ac:dyDescent="0.25">
      <c r="A1726" s="62">
        <v>38616</v>
      </c>
      <c r="B1726" s="62">
        <v>38616</v>
      </c>
      <c r="C1726" s="63">
        <v>2005</v>
      </c>
      <c r="D1726" s="24" t="s">
        <v>141</v>
      </c>
      <c r="E1726" s="30" t="s">
        <v>142</v>
      </c>
      <c r="F1726" s="7" t="s">
        <v>53</v>
      </c>
      <c r="G1726" s="77" t="s">
        <v>2247</v>
      </c>
      <c r="H1726" s="77" t="s">
        <v>2660</v>
      </c>
      <c r="I1726" s="78">
        <v>2</v>
      </c>
      <c r="J1726" s="66">
        <v>0</v>
      </c>
      <c r="K1726" s="66">
        <v>0</v>
      </c>
      <c r="L1726" s="66">
        <v>0</v>
      </c>
      <c r="M1726" s="67">
        <v>0</v>
      </c>
      <c r="N1726" s="31">
        <v>0</v>
      </c>
      <c r="O1726" s="66">
        <v>0</v>
      </c>
      <c r="P1726" s="68">
        <v>1</v>
      </c>
      <c r="Q1726" s="35" t="s">
        <v>154</v>
      </c>
    </row>
    <row r="1727" spans="1:17" ht="36" x14ac:dyDescent="0.25">
      <c r="A1727" s="62">
        <v>38620</v>
      </c>
      <c r="B1727" s="62">
        <v>38620</v>
      </c>
      <c r="C1727" s="63">
        <v>2005</v>
      </c>
      <c r="D1727" s="24" t="s">
        <v>141</v>
      </c>
      <c r="E1727" s="30" t="s">
        <v>142</v>
      </c>
      <c r="F1727" s="7" t="s">
        <v>91</v>
      </c>
      <c r="G1727" s="77" t="s">
        <v>803</v>
      </c>
      <c r="H1727" s="77" t="s">
        <v>2661</v>
      </c>
      <c r="I1727" s="78">
        <v>0</v>
      </c>
      <c r="J1727" s="66">
        <v>0</v>
      </c>
      <c r="K1727" s="66">
        <v>0</v>
      </c>
      <c r="L1727" s="66">
        <v>0</v>
      </c>
      <c r="M1727" s="67">
        <v>0</v>
      </c>
      <c r="N1727" s="31">
        <v>0</v>
      </c>
      <c r="O1727" s="66">
        <v>0</v>
      </c>
      <c r="P1727" s="68">
        <v>0.27</v>
      </c>
      <c r="Q1727" s="35" t="s">
        <v>154</v>
      </c>
    </row>
    <row r="1728" spans="1:17" ht="36" x14ac:dyDescent="0.25">
      <c r="A1728" s="62">
        <v>38621</v>
      </c>
      <c r="B1728" s="62">
        <v>38621</v>
      </c>
      <c r="C1728" s="63">
        <v>2005</v>
      </c>
      <c r="D1728" s="24" t="s">
        <v>141</v>
      </c>
      <c r="E1728" s="30" t="s">
        <v>142</v>
      </c>
      <c r="F1728" s="28" t="s">
        <v>160</v>
      </c>
      <c r="G1728" s="77" t="s">
        <v>2662</v>
      </c>
      <c r="H1728" s="77" t="s">
        <v>2663</v>
      </c>
      <c r="I1728" s="78">
        <v>1</v>
      </c>
      <c r="J1728" s="66">
        <v>1</v>
      </c>
      <c r="K1728" s="66">
        <v>0</v>
      </c>
      <c r="L1728" s="66">
        <v>0</v>
      </c>
      <c r="M1728" s="67">
        <v>0</v>
      </c>
      <c r="N1728" s="31">
        <v>0</v>
      </c>
      <c r="O1728" s="66">
        <v>0</v>
      </c>
      <c r="P1728" s="68">
        <v>1</v>
      </c>
      <c r="Q1728" s="35" t="s">
        <v>154</v>
      </c>
    </row>
    <row r="1729" spans="1:17" ht="60" x14ac:dyDescent="0.25">
      <c r="A1729" s="62">
        <v>38623</v>
      </c>
      <c r="B1729" s="62">
        <v>38623</v>
      </c>
      <c r="C1729" s="63">
        <v>2005</v>
      </c>
      <c r="D1729" s="24" t="s">
        <v>141</v>
      </c>
      <c r="E1729" s="30" t="s">
        <v>142</v>
      </c>
      <c r="F1729" s="28" t="s">
        <v>210</v>
      </c>
      <c r="G1729" s="77" t="s">
        <v>2664</v>
      </c>
      <c r="H1729" s="77" t="s">
        <v>2665</v>
      </c>
      <c r="I1729" s="78">
        <v>6</v>
      </c>
      <c r="J1729" s="66">
        <v>15</v>
      </c>
      <c r="K1729" s="66">
        <v>0</v>
      </c>
      <c r="L1729" s="66">
        <v>0</v>
      </c>
      <c r="M1729" s="67">
        <v>0</v>
      </c>
      <c r="N1729" s="31">
        <v>0</v>
      </c>
      <c r="O1729" s="66">
        <v>0</v>
      </c>
      <c r="P1729" s="68">
        <v>0.27</v>
      </c>
      <c r="Q1729" s="35" t="s">
        <v>154</v>
      </c>
    </row>
    <row r="1730" spans="1:17" ht="36" x14ac:dyDescent="0.25">
      <c r="A1730" s="62">
        <v>38629</v>
      </c>
      <c r="B1730" s="62">
        <v>38629</v>
      </c>
      <c r="C1730" s="63">
        <v>2005</v>
      </c>
      <c r="D1730" s="24" t="s">
        <v>141</v>
      </c>
      <c r="E1730" s="30" t="s">
        <v>142</v>
      </c>
      <c r="F1730" s="7" t="s">
        <v>60</v>
      </c>
      <c r="G1730" s="77" t="s">
        <v>1605</v>
      </c>
      <c r="H1730" s="77" t="s">
        <v>2666</v>
      </c>
      <c r="I1730" s="78">
        <v>2</v>
      </c>
      <c r="J1730" s="66">
        <v>2</v>
      </c>
      <c r="K1730" s="66">
        <v>0</v>
      </c>
      <c r="L1730" s="66">
        <v>0</v>
      </c>
      <c r="M1730" s="67">
        <v>0</v>
      </c>
      <c r="N1730" s="31">
        <v>0</v>
      </c>
      <c r="O1730" s="66">
        <v>0</v>
      </c>
      <c r="P1730" s="68">
        <v>1</v>
      </c>
      <c r="Q1730" s="35" t="s">
        <v>154</v>
      </c>
    </row>
    <row r="1731" spans="1:17" ht="36" x14ac:dyDescent="0.25">
      <c r="A1731" s="62">
        <v>38631</v>
      </c>
      <c r="B1731" s="62">
        <v>38631</v>
      </c>
      <c r="C1731" s="63">
        <v>2005</v>
      </c>
      <c r="D1731" s="24" t="s">
        <v>141</v>
      </c>
      <c r="E1731" s="30" t="s">
        <v>142</v>
      </c>
      <c r="F1731" s="7" t="s">
        <v>60</v>
      </c>
      <c r="G1731" s="77" t="s">
        <v>2667</v>
      </c>
      <c r="H1731" s="77" t="s">
        <v>2668</v>
      </c>
      <c r="I1731" s="78">
        <v>2</v>
      </c>
      <c r="J1731" s="66">
        <v>2</v>
      </c>
      <c r="K1731" s="66">
        <v>0</v>
      </c>
      <c r="L1731" s="66">
        <v>0</v>
      </c>
      <c r="M1731" s="67">
        <v>0</v>
      </c>
      <c r="N1731" s="31">
        <v>0</v>
      </c>
      <c r="O1731" s="66">
        <v>0</v>
      </c>
      <c r="P1731" s="68">
        <v>0.27</v>
      </c>
      <c r="Q1731" s="35" t="s">
        <v>154</v>
      </c>
    </row>
    <row r="1732" spans="1:17" ht="36" x14ac:dyDescent="0.25">
      <c r="A1732" s="62">
        <v>38641</v>
      </c>
      <c r="B1732" s="62">
        <v>38641</v>
      </c>
      <c r="C1732" s="63">
        <v>2005</v>
      </c>
      <c r="D1732" s="24" t="s">
        <v>141</v>
      </c>
      <c r="E1732" s="30" t="s">
        <v>142</v>
      </c>
      <c r="F1732" s="7" t="s">
        <v>36</v>
      </c>
      <c r="G1732" s="77" t="s">
        <v>679</v>
      </c>
      <c r="H1732" s="77" t="s">
        <v>2669</v>
      </c>
      <c r="I1732" s="78">
        <v>0</v>
      </c>
      <c r="J1732" s="66">
        <v>0</v>
      </c>
      <c r="K1732" s="66">
        <v>0</v>
      </c>
      <c r="L1732" s="66">
        <v>0</v>
      </c>
      <c r="M1732" s="67">
        <v>0</v>
      </c>
      <c r="N1732" s="31">
        <v>0</v>
      </c>
      <c r="O1732" s="66">
        <v>0</v>
      </c>
      <c r="P1732" s="68">
        <v>0</v>
      </c>
      <c r="Q1732" s="35" t="s">
        <v>154</v>
      </c>
    </row>
    <row r="1733" spans="1:17" ht="36" x14ac:dyDescent="0.25">
      <c r="A1733" s="62">
        <v>38653</v>
      </c>
      <c r="B1733" s="62">
        <v>38653</v>
      </c>
      <c r="C1733" s="63">
        <v>2005</v>
      </c>
      <c r="D1733" s="24" t="s">
        <v>141</v>
      </c>
      <c r="E1733" s="30" t="s">
        <v>142</v>
      </c>
      <c r="F1733" s="7" t="s">
        <v>33</v>
      </c>
      <c r="G1733" s="77" t="s">
        <v>247</v>
      </c>
      <c r="H1733" s="77" t="s">
        <v>2670</v>
      </c>
      <c r="I1733" s="78">
        <v>4</v>
      </c>
      <c r="J1733" s="66">
        <v>23</v>
      </c>
      <c r="K1733" s="66">
        <v>0</v>
      </c>
      <c r="L1733" s="66">
        <v>0</v>
      </c>
      <c r="M1733" s="67">
        <v>0</v>
      </c>
      <c r="N1733" s="31">
        <v>0</v>
      </c>
      <c r="O1733" s="66">
        <v>0</v>
      </c>
      <c r="P1733" s="68">
        <v>0.27</v>
      </c>
      <c r="Q1733" s="35" t="s">
        <v>154</v>
      </c>
    </row>
    <row r="1734" spans="1:17" ht="36" x14ac:dyDescent="0.25">
      <c r="A1734" s="62">
        <v>38653</v>
      </c>
      <c r="B1734" s="62">
        <v>38653</v>
      </c>
      <c r="C1734" s="63">
        <v>2005</v>
      </c>
      <c r="D1734" s="24" t="s">
        <v>141</v>
      </c>
      <c r="E1734" s="30" t="s">
        <v>142</v>
      </c>
      <c r="F1734" s="7" t="s">
        <v>87</v>
      </c>
      <c r="G1734" s="77" t="s">
        <v>2671</v>
      </c>
      <c r="H1734" s="77" t="s">
        <v>2672</v>
      </c>
      <c r="I1734" s="78">
        <v>0</v>
      </c>
      <c r="J1734" s="66">
        <v>0</v>
      </c>
      <c r="K1734" s="66">
        <v>0</v>
      </c>
      <c r="L1734" s="66">
        <v>0</v>
      </c>
      <c r="M1734" s="67">
        <v>0</v>
      </c>
      <c r="N1734" s="31">
        <v>0</v>
      </c>
      <c r="O1734" s="66">
        <v>0</v>
      </c>
      <c r="P1734" s="68">
        <v>0.27</v>
      </c>
      <c r="Q1734" s="35" t="s">
        <v>154</v>
      </c>
    </row>
    <row r="1735" spans="1:17" ht="48" x14ac:dyDescent="0.25">
      <c r="A1735" s="62">
        <v>38655</v>
      </c>
      <c r="B1735" s="62">
        <v>38655</v>
      </c>
      <c r="C1735" s="63">
        <v>2005</v>
      </c>
      <c r="D1735" s="24" t="s">
        <v>141</v>
      </c>
      <c r="E1735" s="30" t="s">
        <v>142</v>
      </c>
      <c r="F1735" s="7" t="s">
        <v>97</v>
      </c>
      <c r="G1735" s="77" t="s">
        <v>2673</v>
      </c>
      <c r="H1735" s="79" t="s">
        <v>2674</v>
      </c>
      <c r="I1735" s="78">
        <v>0</v>
      </c>
      <c r="J1735" s="66">
        <v>0</v>
      </c>
      <c r="K1735" s="66">
        <v>0</v>
      </c>
      <c r="L1735" s="66">
        <v>0</v>
      </c>
      <c r="M1735" s="67">
        <v>0</v>
      </c>
      <c r="N1735" s="31">
        <v>0</v>
      </c>
      <c r="O1735" s="66">
        <v>0</v>
      </c>
      <c r="P1735" s="68">
        <v>0.27</v>
      </c>
      <c r="Q1735" s="35" t="s">
        <v>154</v>
      </c>
    </row>
    <row r="1736" spans="1:17" ht="36" x14ac:dyDescent="0.25">
      <c r="A1736" s="62">
        <v>38656</v>
      </c>
      <c r="B1736" s="62">
        <v>38656</v>
      </c>
      <c r="C1736" s="63">
        <v>2005</v>
      </c>
      <c r="D1736" s="24" t="s">
        <v>141</v>
      </c>
      <c r="E1736" s="6" t="s">
        <v>333</v>
      </c>
      <c r="F1736" s="7" t="s">
        <v>53</v>
      </c>
      <c r="G1736" s="77" t="s">
        <v>2006</v>
      </c>
      <c r="H1736" s="77" t="s">
        <v>2675</v>
      </c>
      <c r="I1736" s="78">
        <v>1</v>
      </c>
      <c r="J1736" s="66">
        <v>4</v>
      </c>
      <c r="K1736" s="66">
        <v>0</v>
      </c>
      <c r="L1736" s="66">
        <v>0</v>
      </c>
      <c r="M1736" s="67">
        <v>0</v>
      </c>
      <c r="N1736" s="31">
        <v>0</v>
      </c>
      <c r="O1736" s="66">
        <v>0</v>
      </c>
      <c r="P1736" s="68">
        <v>0</v>
      </c>
      <c r="Q1736" s="35" t="s">
        <v>154</v>
      </c>
    </row>
    <row r="1737" spans="1:17" ht="36" x14ac:dyDescent="0.25">
      <c r="A1737" s="62">
        <v>38657</v>
      </c>
      <c r="B1737" s="62">
        <v>38657</v>
      </c>
      <c r="C1737" s="63">
        <v>2005</v>
      </c>
      <c r="D1737" s="24" t="s">
        <v>141</v>
      </c>
      <c r="E1737" s="30" t="s">
        <v>142</v>
      </c>
      <c r="F1737" s="7" t="s">
        <v>82</v>
      </c>
      <c r="G1737" s="77" t="s">
        <v>1092</v>
      </c>
      <c r="H1737" s="77" t="s">
        <v>2676</v>
      </c>
      <c r="I1737" s="78">
        <v>1</v>
      </c>
      <c r="J1737" s="66">
        <v>1</v>
      </c>
      <c r="K1737" s="66">
        <v>0</v>
      </c>
      <c r="L1737" s="66">
        <v>0</v>
      </c>
      <c r="M1737" s="67">
        <v>0</v>
      </c>
      <c r="N1737" s="31">
        <v>0</v>
      </c>
      <c r="O1737" s="66">
        <v>0</v>
      </c>
      <c r="P1737" s="68">
        <v>1</v>
      </c>
      <c r="Q1737" s="35" t="s">
        <v>154</v>
      </c>
    </row>
    <row r="1738" spans="1:17" ht="36" x14ac:dyDescent="0.25">
      <c r="A1738" s="62">
        <v>38658</v>
      </c>
      <c r="B1738" s="62">
        <v>38658</v>
      </c>
      <c r="C1738" s="63">
        <v>2005</v>
      </c>
      <c r="D1738" s="24" t="s">
        <v>141</v>
      </c>
      <c r="E1738" s="30" t="s">
        <v>142</v>
      </c>
      <c r="F1738" s="7" t="s">
        <v>53</v>
      </c>
      <c r="G1738" s="77" t="s">
        <v>2309</v>
      </c>
      <c r="H1738" s="77" t="s">
        <v>2677</v>
      </c>
      <c r="I1738" s="78">
        <v>0</v>
      </c>
      <c r="J1738" s="66">
        <v>0</v>
      </c>
      <c r="K1738" s="66">
        <v>0</v>
      </c>
      <c r="L1738" s="66">
        <v>0</v>
      </c>
      <c r="M1738" s="67">
        <v>0</v>
      </c>
      <c r="N1738" s="31">
        <v>0</v>
      </c>
      <c r="O1738" s="66">
        <v>0</v>
      </c>
      <c r="P1738" s="68">
        <v>0</v>
      </c>
      <c r="Q1738" s="35" t="s">
        <v>154</v>
      </c>
    </row>
    <row r="1739" spans="1:17" ht="48" x14ac:dyDescent="0.25">
      <c r="A1739" s="62">
        <v>38660</v>
      </c>
      <c r="B1739" s="62">
        <v>38660</v>
      </c>
      <c r="C1739" s="63">
        <v>2005</v>
      </c>
      <c r="D1739" s="24" t="s">
        <v>141</v>
      </c>
      <c r="E1739" s="30" t="s">
        <v>142</v>
      </c>
      <c r="F1739" s="7" t="s">
        <v>60</v>
      </c>
      <c r="G1739" s="77" t="s">
        <v>1256</v>
      </c>
      <c r="H1739" s="77" t="s">
        <v>2678</v>
      </c>
      <c r="I1739" s="78">
        <v>1</v>
      </c>
      <c r="J1739" s="66">
        <v>16</v>
      </c>
      <c r="K1739" s="66">
        <v>0</v>
      </c>
      <c r="L1739" s="66">
        <v>0</v>
      </c>
      <c r="M1739" s="67">
        <v>0</v>
      </c>
      <c r="N1739" s="31">
        <v>0</v>
      </c>
      <c r="O1739" s="66">
        <v>0</v>
      </c>
      <c r="P1739" s="68">
        <v>0.27</v>
      </c>
      <c r="Q1739" s="35" t="s">
        <v>154</v>
      </c>
    </row>
    <row r="1740" spans="1:17" ht="48" x14ac:dyDescent="0.25">
      <c r="A1740" s="62">
        <v>38667</v>
      </c>
      <c r="B1740" s="62">
        <v>38667</v>
      </c>
      <c r="C1740" s="63">
        <v>2005</v>
      </c>
      <c r="D1740" s="24" t="s">
        <v>141</v>
      </c>
      <c r="E1740" s="30" t="s">
        <v>142</v>
      </c>
      <c r="F1740" s="28" t="s">
        <v>157</v>
      </c>
      <c r="G1740" s="77" t="s">
        <v>206</v>
      </c>
      <c r="H1740" s="77" t="s">
        <v>2679</v>
      </c>
      <c r="I1740" s="78">
        <v>3</v>
      </c>
      <c r="J1740" s="66">
        <v>11</v>
      </c>
      <c r="K1740" s="66">
        <v>1</v>
      </c>
      <c r="L1740" s="66">
        <v>0</v>
      </c>
      <c r="M1740" s="67">
        <v>0</v>
      </c>
      <c r="N1740" s="31">
        <v>0</v>
      </c>
      <c r="O1740" s="66">
        <v>0</v>
      </c>
      <c r="P1740" s="68">
        <v>0.81</v>
      </c>
      <c r="Q1740" s="35" t="s">
        <v>154</v>
      </c>
    </row>
    <row r="1741" spans="1:17" ht="48" x14ac:dyDescent="0.25">
      <c r="A1741" s="62">
        <v>38678</v>
      </c>
      <c r="B1741" s="62">
        <v>38678</v>
      </c>
      <c r="C1741" s="63">
        <v>2005</v>
      </c>
      <c r="D1741" s="24" t="s">
        <v>141</v>
      </c>
      <c r="E1741" s="30" t="s">
        <v>142</v>
      </c>
      <c r="F1741" s="7" t="s">
        <v>87</v>
      </c>
      <c r="G1741" s="77" t="s">
        <v>2680</v>
      </c>
      <c r="H1741" s="77" t="s">
        <v>2681</v>
      </c>
      <c r="I1741" s="78">
        <v>1</v>
      </c>
      <c r="J1741" s="66">
        <v>1</v>
      </c>
      <c r="K1741" s="66">
        <v>0</v>
      </c>
      <c r="L1741" s="66">
        <v>0</v>
      </c>
      <c r="M1741" s="67">
        <v>0</v>
      </c>
      <c r="N1741" s="31">
        <v>0</v>
      </c>
      <c r="O1741" s="66">
        <v>0</v>
      </c>
      <c r="P1741" s="68">
        <v>0.27</v>
      </c>
      <c r="Q1741" s="35" t="s">
        <v>154</v>
      </c>
    </row>
    <row r="1742" spans="1:17" ht="36" x14ac:dyDescent="0.25">
      <c r="A1742" s="62">
        <v>38681</v>
      </c>
      <c r="B1742" s="62">
        <v>38681</v>
      </c>
      <c r="C1742" s="63">
        <v>2005</v>
      </c>
      <c r="D1742" s="24" t="s">
        <v>141</v>
      </c>
      <c r="E1742" s="30" t="s">
        <v>142</v>
      </c>
      <c r="F1742" s="28" t="s">
        <v>210</v>
      </c>
      <c r="G1742" s="77" t="s">
        <v>2317</v>
      </c>
      <c r="H1742" s="77" t="s">
        <v>2682</v>
      </c>
      <c r="I1742" s="78">
        <v>4</v>
      </c>
      <c r="J1742" s="66">
        <v>32</v>
      </c>
      <c r="K1742" s="66">
        <v>0</v>
      </c>
      <c r="L1742" s="66">
        <v>0</v>
      </c>
      <c r="M1742" s="67">
        <v>0</v>
      </c>
      <c r="N1742" s="31">
        <v>0</v>
      </c>
      <c r="O1742" s="66">
        <v>0</v>
      </c>
      <c r="P1742" s="68">
        <v>0.6</v>
      </c>
      <c r="Q1742" s="35" t="s">
        <v>154</v>
      </c>
    </row>
    <row r="1743" spans="1:17" ht="36" x14ac:dyDescent="0.25">
      <c r="A1743" s="62">
        <v>38700</v>
      </c>
      <c r="B1743" s="62">
        <v>38700</v>
      </c>
      <c r="C1743" s="63">
        <v>2005</v>
      </c>
      <c r="D1743" s="24" t="s">
        <v>141</v>
      </c>
      <c r="E1743" s="30" t="s">
        <v>142</v>
      </c>
      <c r="F1743" s="7" t="s">
        <v>40</v>
      </c>
      <c r="G1743" s="77" t="s">
        <v>2683</v>
      </c>
      <c r="H1743" s="79" t="s">
        <v>2684</v>
      </c>
      <c r="I1743" s="78">
        <v>5</v>
      </c>
      <c r="J1743" s="66">
        <v>14</v>
      </c>
      <c r="K1743" s="66">
        <v>0</v>
      </c>
      <c r="L1743" s="66">
        <v>0</v>
      </c>
      <c r="M1743" s="67">
        <v>0</v>
      </c>
      <c r="N1743" s="31">
        <v>0</v>
      </c>
      <c r="O1743" s="66">
        <v>0</v>
      </c>
      <c r="P1743" s="68">
        <v>0</v>
      </c>
      <c r="Q1743" s="35" t="s">
        <v>154</v>
      </c>
    </row>
    <row r="1744" spans="1:17" ht="48" x14ac:dyDescent="0.25">
      <c r="A1744" s="62">
        <v>38701</v>
      </c>
      <c r="B1744" s="62">
        <v>38701</v>
      </c>
      <c r="C1744" s="63">
        <v>2005</v>
      </c>
      <c r="D1744" s="24" t="s">
        <v>141</v>
      </c>
      <c r="E1744" s="30" t="s">
        <v>142</v>
      </c>
      <c r="F1744" s="7" t="s">
        <v>77</v>
      </c>
      <c r="G1744" s="77" t="s">
        <v>681</v>
      </c>
      <c r="H1744" s="77" t="s">
        <v>2685</v>
      </c>
      <c r="I1744" s="78">
        <v>5</v>
      </c>
      <c r="J1744" s="66">
        <v>20</v>
      </c>
      <c r="K1744" s="66">
        <v>0</v>
      </c>
      <c r="L1744" s="66">
        <v>0</v>
      </c>
      <c r="M1744" s="67">
        <v>0</v>
      </c>
      <c r="N1744" s="31">
        <v>0</v>
      </c>
      <c r="O1744" s="66">
        <v>0</v>
      </c>
      <c r="P1744" s="68">
        <v>0.18</v>
      </c>
      <c r="Q1744" s="35" t="s">
        <v>154</v>
      </c>
    </row>
    <row r="1745" spans="1:17" ht="60" x14ac:dyDescent="0.25">
      <c r="A1745" s="62">
        <v>38705</v>
      </c>
      <c r="B1745" s="62">
        <v>38705</v>
      </c>
      <c r="C1745" s="63">
        <v>2005</v>
      </c>
      <c r="D1745" s="24" t="s">
        <v>141</v>
      </c>
      <c r="E1745" s="30" t="s">
        <v>142</v>
      </c>
      <c r="F1745" s="7" t="s">
        <v>56</v>
      </c>
      <c r="G1745" s="77" t="s">
        <v>1160</v>
      </c>
      <c r="H1745" s="77" t="s">
        <v>2686</v>
      </c>
      <c r="I1745" s="78">
        <v>0</v>
      </c>
      <c r="J1745" s="66">
        <v>250</v>
      </c>
      <c r="K1745" s="66">
        <v>0</v>
      </c>
      <c r="L1745" s="66">
        <v>0</v>
      </c>
      <c r="M1745" s="67">
        <v>0</v>
      </c>
      <c r="N1745" s="31">
        <v>0</v>
      </c>
      <c r="O1745" s="66">
        <v>0</v>
      </c>
      <c r="P1745" s="68">
        <v>0.27</v>
      </c>
      <c r="Q1745" s="35" t="s">
        <v>154</v>
      </c>
    </row>
    <row r="1746" spans="1:17" ht="36" x14ac:dyDescent="0.25">
      <c r="A1746" s="62">
        <v>38708</v>
      </c>
      <c r="B1746" s="62">
        <v>38708</v>
      </c>
      <c r="C1746" s="63">
        <v>2005</v>
      </c>
      <c r="D1746" s="24" t="s">
        <v>141</v>
      </c>
      <c r="E1746" s="30" t="s">
        <v>142</v>
      </c>
      <c r="F1746" s="7" t="s">
        <v>72</v>
      </c>
      <c r="G1746" s="77" t="s">
        <v>2687</v>
      </c>
      <c r="H1746" s="77" t="s">
        <v>2688</v>
      </c>
      <c r="I1746" s="78">
        <v>13</v>
      </c>
      <c r="J1746" s="66">
        <v>30</v>
      </c>
      <c r="K1746" s="66">
        <v>0</v>
      </c>
      <c r="L1746" s="66">
        <v>0</v>
      </c>
      <c r="M1746" s="67">
        <v>0</v>
      </c>
      <c r="N1746" s="31">
        <v>0</v>
      </c>
      <c r="O1746" s="66">
        <v>0</v>
      </c>
      <c r="P1746" s="68">
        <v>0.6</v>
      </c>
      <c r="Q1746" s="35" t="s">
        <v>154</v>
      </c>
    </row>
    <row r="1747" spans="1:17" ht="60" x14ac:dyDescent="0.25">
      <c r="A1747" s="21">
        <v>38724</v>
      </c>
      <c r="B1747" s="21">
        <v>38724</v>
      </c>
      <c r="C1747" s="99">
        <v>2006</v>
      </c>
      <c r="D1747" s="351" t="s">
        <v>23</v>
      </c>
      <c r="E1747" s="22" t="s">
        <v>2689</v>
      </c>
      <c r="F1747" s="28" t="s">
        <v>157</v>
      </c>
      <c r="G1747" s="51" t="s">
        <v>1443</v>
      </c>
      <c r="H1747" s="51" t="s">
        <v>2690</v>
      </c>
      <c r="I1747" s="45">
        <v>0</v>
      </c>
      <c r="J1747" s="100">
        <v>2227</v>
      </c>
      <c r="K1747" s="45">
        <v>0</v>
      </c>
      <c r="L1747" s="45">
        <v>0</v>
      </c>
      <c r="M1747" s="45">
        <v>0</v>
      </c>
      <c r="N1747" s="45">
        <v>0</v>
      </c>
      <c r="O1747" s="101">
        <v>918.17</v>
      </c>
      <c r="P1747" s="102">
        <v>6.5286010000000001</v>
      </c>
      <c r="Q1747" s="45" t="s">
        <v>2234</v>
      </c>
    </row>
    <row r="1748" spans="1:17" ht="48" x14ac:dyDescent="0.25">
      <c r="A1748" s="21">
        <v>38734</v>
      </c>
      <c r="B1748" s="21">
        <v>38734</v>
      </c>
      <c r="C1748" s="99">
        <v>2006</v>
      </c>
      <c r="D1748" s="351" t="s">
        <v>23</v>
      </c>
      <c r="E1748" s="22" t="s">
        <v>2691</v>
      </c>
      <c r="F1748" s="28" t="s">
        <v>210</v>
      </c>
      <c r="G1748" s="51" t="s">
        <v>2692</v>
      </c>
      <c r="H1748" s="51" t="s">
        <v>2693</v>
      </c>
      <c r="I1748" s="45">
        <v>0</v>
      </c>
      <c r="J1748" s="100">
        <v>2</v>
      </c>
      <c r="K1748" s="45">
        <v>0</v>
      </c>
      <c r="L1748" s="45">
        <v>0</v>
      </c>
      <c r="M1748" s="45">
        <v>0</v>
      </c>
      <c r="N1748" s="45">
        <v>0</v>
      </c>
      <c r="O1748" s="101">
        <v>0</v>
      </c>
      <c r="P1748" s="102">
        <v>0</v>
      </c>
      <c r="Q1748" s="35" t="s">
        <v>154</v>
      </c>
    </row>
    <row r="1749" spans="1:17" ht="72" x14ac:dyDescent="0.25">
      <c r="A1749" s="21">
        <v>38735</v>
      </c>
      <c r="B1749" s="21">
        <v>38735</v>
      </c>
      <c r="C1749" s="99">
        <v>2006</v>
      </c>
      <c r="D1749" s="351" t="s">
        <v>23</v>
      </c>
      <c r="E1749" s="22" t="s">
        <v>2691</v>
      </c>
      <c r="F1749" s="7" t="s">
        <v>72</v>
      </c>
      <c r="G1749" s="51" t="s">
        <v>2694</v>
      </c>
      <c r="H1749" s="51" t="s">
        <v>2695</v>
      </c>
      <c r="I1749" s="45">
        <v>0</v>
      </c>
      <c r="J1749" s="100">
        <v>1681</v>
      </c>
      <c r="K1749" s="45">
        <v>0</v>
      </c>
      <c r="L1749" s="45">
        <v>0</v>
      </c>
      <c r="M1749" s="45">
        <v>0</v>
      </c>
      <c r="N1749" s="45">
        <v>0</v>
      </c>
      <c r="O1749" s="101">
        <v>5209.5</v>
      </c>
      <c r="P1749" s="102">
        <v>98.099853999999993</v>
      </c>
      <c r="Q1749" s="45" t="s">
        <v>2234</v>
      </c>
    </row>
    <row r="1750" spans="1:17" ht="24" x14ac:dyDescent="0.25">
      <c r="A1750" s="21">
        <v>38735</v>
      </c>
      <c r="B1750" s="21">
        <v>38961</v>
      </c>
      <c r="C1750" s="99">
        <v>2006</v>
      </c>
      <c r="D1750" s="351" t="s">
        <v>23</v>
      </c>
      <c r="E1750" s="22" t="s">
        <v>2689</v>
      </c>
      <c r="F1750" s="7" t="s">
        <v>101</v>
      </c>
      <c r="G1750" s="51" t="s">
        <v>2696</v>
      </c>
      <c r="H1750" s="51" t="s">
        <v>2697</v>
      </c>
      <c r="I1750" s="45">
        <v>0</v>
      </c>
      <c r="J1750" s="45">
        <v>424</v>
      </c>
      <c r="K1750" s="45">
        <v>0</v>
      </c>
      <c r="L1750" s="45">
        <v>0</v>
      </c>
      <c r="M1750" s="45">
        <v>0</v>
      </c>
      <c r="N1750" s="45">
        <v>0</v>
      </c>
      <c r="O1750" s="101">
        <v>1200.4100000000001</v>
      </c>
      <c r="P1750" s="102">
        <v>58.431323999999996</v>
      </c>
      <c r="Q1750" s="45" t="s">
        <v>2234</v>
      </c>
    </row>
    <row r="1751" spans="1:17" ht="60" x14ac:dyDescent="0.25">
      <c r="A1751" s="21">
        <v>38792</v>
      </c>
      <c r="B1751" s="21">
        <v>38792</v>
      </c>
      <c r="C1751" s="99">
        <v>2006</v>
      </c>
      <c r="D1751" s="351" t="s">
        <v>23</v>
      </c>
      <c r="E1751" s="103" t="s">
        <v>2691</v>
      </c>
      <c r="F1751" s="28" t="s">
        <v>157</v>
      </c>
      <c r="G1751" s="51" t="s">
        <v>2698</v>
      </c>
      <c r="H1751" s="51" t="s">
        <v>2699</v>
      </c>
      <c r="I1751" s="45">
        <v>0</v>
      </c>
      <c r="J1751" s="45">
        <v>0</v>
      </c>
      <c r="K1751" s="45">
        <v>0</v>
      </c>
      <c r="L1751" s="45">
        <v>0</v>
      </c>
      <c r="M1751" s="45">
        <v>0</v>
      </c>
      <c r="N1751" s="45">
        <v>0</v>
      </c>
      <c r="O1751" s="101">
        <v>0</v>
      </c>
      <c r="P1751" s="102">
        <v>0</v>
      </c>
      <c r="Q1751" s="35" t="s">
        <v>154</v>
      </c>
    </row>
    <row r="1752" spans="1:17" ht="48" x14ac:dyDescent="0.25">
      <c r="A1752" s="21">
        <v>38804</v>
      </c>
      <c r="B1752" s="21">
        <v>38804</v>
      </c>
      <c r="C1752" s="99">
        <v>2006</v>
      </c>
      <c r="D1752" s="351" t="s">
        <v>23</v>
      </c>
      <c r="E1752" s="22" t="s">
        <v>2700</v>
      </c>
      <c r="F1752" s="28" t="s">
        <v>160</v>
      </c>
      <c r="G1752" s="51" t="s">
        <v>2701</v>
      </c>
      <c r="H1752" s="51" t="s">
        <v>2702</v>
      </c>
      <c r="I1752" s="45">
        <v>0</v>
      </c>
      <c r="J1752" s="45">
        <v>0</v>
      </c>
      <c r="K1752" s="45">
        <v>0</v>
      </c>
      <c r="L1752" s="45">
        <v>0</v>
      </c>
      <c r="M1752" s="45">
        <v>0</v>
      </c>
      <c r="N1752" s="45">
        <v>0</v>
      </c>
      <c r="O1752" s="101">
        <v>0</v>
      </c>
      <c r="P1752" s="102">
        <v>0</v>
      </c>
      <c r="Q1752" s="35" t="s">
        <v>154</v>
      </c>
    </row>
    <row r="1753" spans="1:17" ht="48" x14ac:dyDescent="0.25">
      <c r="A1753" s="21">
        <v>38808</v>
      </c>
      <c r="B1753" s="21">
        <v>38808</v>
      </c>
      <c r="C1753" s="99">
        <v>2006</v>
      </c>
      <c r="D1753" s="351" t="s">
        <v>23</v>
      </c>
      <c r="E1753" s="22" t="s">
        <v>2691</v>
      </c>
      <c r="F1753" s="7" t="s">
        <v>36</v>
      </c>
      <c r="G1753" s="51" t="s">
        <v>1210</v>
      </c>
      <c r="H1753" s="51" t="s">
        <v>2703</v>
      </c>
      <c r="I1753" s="45">
        <v>0</v>
      </c>
      <c r="J1753" s="45">
        <v>80</v>
      </c>
      <c r="K1753" s="45">
        <v>16</v>
      </c>
      <c r="L1753" s="45">
        <v>0</v>
      </c>
      <c r="M1753" s="45">
        <v>0</v>
      </c>
      <c r="N1753" s="45">
        <v>0</v>
      </c>
      <c r="O1753" s="101">
        <v>0</v>
      </c>
      <c r="P1753" s="102">
        <v>0.27626099999999998</v>
      </c>
      <c r="Q1753" s="35" t="s">
        <v>154</v>
      </c>
    </row>
    <row r="1754" spans="1:17" ht="60" x14ac:dyDescent="0.25">
      <c r="A1754" s="21">
        <v>38823</v>
      </c>
      <c r="B1754" s="21">
        <v>38823</v>
      </c>
      <c r="C1754" s="99">
        <v>2006</v>
      </c>
      <c r="D1754" s="351" t="s">
        <v>23</v>
      </c>
      <c r="E1754" s="22" t="s">
        <v>2691</v>
      </c>
      <c r="F1754" s="28" t="s">
        <v>160</v>
      </c>
      <c r="G1754" s="51" t="s">
        <v>428</v>
      </c>
      <c r="H1754" s="51" t="s">
        <v>2704</v>
      </c>
      <c r="I1754" s="45">
        <v>0</v>
      </c>
      <c r="J1754" s="45">
        <v>6</v>
      </c>
      <c r="K1754" s="45">
        <v>0</v>
      </c>
      <c r="L1754" s="45">
        <v>0</v>
      </c>
      <c r="M1754" s="45">
        <v>0</v>
      </c>
      <c r="N1754" s="45">
        <v>0</v>
      </c>
      <c r="O1754" s="101">
        <v>0</v>
      </c>
      <c r="P1754" s="102">
        <v>7.1999999999999995E-2</v>
      </c>
      <c r="Q1754" s="35" t="s">
        <v>154</v>
      </c>
    </row>
    <row r="1755" spans="1:17" ht="60" x14ac:dyDescent="0.25">
      <c r="A1755" s="21">
        <v>38829</v>
      </c>
      <c r="B1755" s="21">
        <v>38829</v>
      </c>
      <c r="C1755" s="99">
        <v>2006</v>
      </c>
      <c r="D1755" s="351" t="s">
        <v>23</v>
      </c>
      <c r="E1755" s="22" t="s">
        <v>2700</v>
      </c>
      <c r="F1755" s="7" t="s">
        <v>45</v>
      </c>
      <c r="G1755" s="51" t="s">
        <v>1920</v>
      </c>
      <c r="H1755" s="51" t="s">
        <v>2705</v>
      </c>
      <c r="I1755" s="45">
        <v>0</v>
      </c>
      <c r="J1755" s="45">
        <v>118</v>
      </c>
      <c r="K1755" s="45">
        <v>0</v>
      </c>
      <c r="L1755" s="45">
        <v>0</v>
      </c>
      <c r="M1755" s="45">
        <v>0</v>
      </c>
      <c r="N1755" s="45">
        <v>0</v>
      </c>
      <c r="O1755" s="101">
        <v>247</v>
      </c>
      <c r="P1755" s="102">
        <v>7.4745030000000003</v>
      </c>
      <c r="Q1755" s="45" t="s">
        <v>2234</v>
      </c>
    </row>
    <row r="1756" spans="1:17" ht="48" x14ac:dyDescent="0.25">
      <c r="A1756" s="21">
        <v>38830</v>
      </c>
      <c r="B1756" s="21">
        <v>38830</v>
      </c>
      <c r="C1756" s="99">
        <v>2006</v>
      </c>
      <c r="D1756" s="351" t="s">
        <v>23</v>
      </c>
      <c r="E1756" s="22" t="s">
        <v>2706</v>
      </c>
      <c r="F1756" s="7" t="s">
        <v>82</v>
      </c>
      <c r="G1756" s="51" t="s">
        <v>1092</v>
      </c>
      <c r="H1756" s="104" t="s">
        <v>2707</v>
      </c>
      <c r="I1756" s="45">
        <v>6</v>
      </c>
      <c r="J1756" s="45">
        <v>26</v>
      </c>
      <c r="K1756" s="45">
        <v>0</v>
      </c>
      <c r="L1756" s="45">
        <v>0</v>
      </c>
      <c r="M1756" s="45">
        <v>0</v>
      </c>
      <c r="N1756" s="45">
        <v>0</v>
      </c>
      <c r="O1756" s="101">
        <v>0</v>
      </c>
      <c r="P1756" s="102">
        <v>0</v>
      </c>
      <c r="Q1756" s="35" t="s">
        <v>154</v>
      </c>
    </row>
    <row r="1757" spans="1:17" ht="84" x14ac:dyDescent="0.25">
      <c r="A1757" s="21">
        <v>38830</v>
      </c>
      <c r="B1757" s="21">
        <v>38830</v>
      </c>
      <c r="C1757" s="99">
        <v>2006</v>
      </c>
      <c r="D1757" s="351" t="s">
        <v>23</v>
      </c>
      <c r="E1757" s="22" t="s">
        <v>2691</v>
      </c>
      <c r="F1757" s="7" t="s">
        <v>49</v>
      </c>
      <c r="G1757" s="51" t="s">
        <v>49</v>
      </c>
      <c r="H1757" s="51" t="s">
        <v>2708</v>
      </c>
      <c r="I1757" s="45">
        <v>1</v>
      </c>
      <c r="J1757" s="45">
        <v>16</v>
      </c>
      <c r="K1757" s="45">
        <v>3</v>
      </c>
      <c r="L1757" s="45">
        <v>0</v>
      </c>
      <c r="M1757" s="45">
        <v>0</v>
      </c>
      <c r="N1757" s="45">
        <v>0</v>
      </c>
      <c r="O1757" s="101">
        <v>0</v>
      </c>
      <c r="P1757" s="102">
        <v>1.3991999999999999E-2</v>
      </c>
      <c r="Q1757" s="35" t="s">
        <v>154</v>
      </c>
    </row>
    <row r="1758" spans="1:17" ht="60" x14ac:dyDescent="0.25">
      <c r="A1758" s="21">
        <v>38842</v>
      </c>
      <c r="B1758" s="21">
        <v>38842</v>
      </c>
      <c r="C1758" s="99">
        <v>2006</v>
      </c>
      <c r="D1758" s="351" t="s">
        <v>23</v>
      </c>
      <c r="E1758" s="22" t="s">
        <v>2691</v>
      </c>
      <c r="F1758" s="7" t="s">
        <v>36</v>
      </c>
      <c r="G1758" s="51" t="s">
        <v>2709</v>
      </c>
      <c r="H1758" s="51" t="s">
        <v>2710</v>
      </c>
      <c r="I1758" s="45">
        <v>0</v>
      </c>
      <c r="J1758" s="45">
        <v>200</v>
      </c>
      <c r="K1758" s="45">
        <v>38</v>
      </c>
      <c r="L1758" s="45">
        <v>0</v>
      </c>
      <c r="M1758" s="45">
        <v>0</v>
      </c>
      <c r="N1758" s="45">
        <v>0</v>
      </c>
      <c r="O1758" s="101">
        <v>0</v>
      </c>
      <c r="P1758" s="102">
        <v>0.89292899999999997</v>
      </c>
      <c r="Q1758" s="35" t="s">
        <v>154</v>
      </c>
    </row>
    <row r="1759" spans="1:17" ht="60" x14ac:dyDescent="0.25">
      <c r="A1759" s="21">
        <v>38842</v>
      </c>
      <c r="B1759" s="21">
        <v>38842</v>
      </c>
      <c r="C1759" s="99">
        <v>2006</v>
      </c>
      <c r="D1759" s="351" t="s">
        <v>23</v>
      </c>
      <c r="E1759" s="22" t="s">
        <v>2706</v>
      </c>
      <c r="F1759" s="7" t="s">
        <v>72</v>
      </c>
      <c r="G1759" s="51" t="s">
        <v>2711</v>
      </c>
      <c r="H1759" s="51" t="s">
        <v>2712</v>
      </c>
      <c r="I1759" s="45">
        <v>3</v>
      </c>
      <c r="J1759" s="45">
        <v>3</v>
      </c>
      <c r="K1759" s="45">
        <v>0</v>
      </c>
      <c r="L1759" s="45">
        <v>0</v>
      </c>
      <c r="M1759" s="45">
        <v>0</v>
      </c>
      <c r="N1759" s="45">
        <v>0</v>
      </c>
      <c r="O1759" s="101">
        <v>0</v>
      </c>
      <c r="P1759" s="102">
        <v>0</v>
      </c>
      <c r="Q1759" s="35" t="s">
        <v>154</v>
      </c>
    </row>
    <row r="1760" spans="1:17" ht="96" x14ac:dyDescent="0.25">
      <c r="A1760" s="21">
        <v>38843</v>
      </c>
      <c r="B1760" s="21">
        <v>38843</v>
      </c>
      <c r="C1760" s="99">
        <v>2006</v>
      </c>
      <c r="D1760" s="351" t="s">
        <v>23</v>
      </c>
      <c r="E1760" s="22" t="s">
        <v>2700</v>
      </c>
      <c r="F1760" s="7" t="s">
        <v>75</v>
      </c>
      <c r="G1760" s="51" t="s">
        <v>2713</v>
      </c>
      <c r="H1760" s="51" t="s">
        <v>2714</v>
      </c>
      <c r="I1760" s="45">
        <v>0</v>
      </c>
      <c r="J1760" s="45">
        <v>466</v>
      </c>
      <c r="K1760" s="45">
        <v>0</v>
      </c>
      <c r="L1760" s="45">
        <v>0</v>
      </c>
      <c r="M1760" s="45">
        <v>0</v>
      </c>
      <c r="N1760" s="45">
        <v>0</v>
      </c>
      <c r="O1760" s="101">
        <v>878.5</v>
      </c>
      <c r="P1760" s="102">
        <v>3.54</v>
      </c>
      <c r="Q1760" s="35" t="s">
        <v>154</v>
      </c>
    </row>
    <row r="1761" spans="1:17" ht="84" x14ac:dyDescent="0.25">
      <c r="A1761" s="21">
        <v>38854</v>
      </c>
      <c r="B1761" s="21">
        <v>38854</v>
      </c>
      <c r="C1761" s="99">
        <v>2006</v>
      </c>
      <c r="D1761" s="351" t="s">
        <v>23</v>
      </c>
      <c r="E1761" s="22" t="s">
        <v>2700</v>
      </c>
      <c r="F1761" s="7" t="s">
        <v>62</v>
      </c>
      <c r="G1761" s="51" t="s">
        <v>165</v>
      </c>
      <c r="H1761" s="51" t="s">
        <v>2715</v>
      </c>
      <c r="I1761" s="45">
        <v>0</v>
      </c>
      <c r="J1761" s="45">
        <v>50</v>
      </c>
      <c r="K1761" s="45">
        <v>10</v>
      </c>
      <c r="L1761" s="45">
        <v>0</v>
      </c>
      <c r="M1761" s="45">
        <v>0</v>
      </c>
      <c r="N1761" s="45">
        <v>0</v>
      </c>
      <c r="O1761" s="101">
        <v>0</v>
      </c>
      <c r="P1761" s="102">
        <v>0.11627999999999999</v>
      </c>
      <c r="Q1761" s="35" t="s">
        <v>154</v>
      </c>
    </row>
    <row r="1762" spans="1:17" ht="24" x14ac:dyDescent="0.25">
      <c r="A1762" s="21">
        <v>38876</v>
      </c>
      <c r="B1762" s="21">
        <v>38876</v>
      </c>
      <c r="C1762" s="99">
        <v>2006</v>
      </c>
      <c r="D1762" s="351" t="s">
        <v>23</v>
      </c>
      <c r="E1762" s="22" t="s">
        <v>2706</v>
      </c>
      <c r="F1762" s="7" t="s">
        <v>40</v>
      </c>
      <c r="G1762" s="51" t="s">
        <v>2716</v>
      </c>
      <c r="H1762" s="51" t="s">
        <v>2717</v>
      </c>
      <c r="I1762" s="45">
        <v>1</v>
      </c>
      <c r="J1762" s="45">
        <v>1</v>
      </c>
      <c r="K1762" s="45">
        <v>0</v>
      </c>
      <c r="L1762" s="45">
        <v>0</v>
      </c>
      <c r="M1762" s="45">
        <v>0</v>
      </c>
      <c r="N1762" s="45">
        <v>0</v>
      </c>
      <c r="O1762" s="101">
        <v>0</v>
      </c>
      <c r="P1762" s="102">
        <v>0</v>
      </c>
      <c r="Q1762" s="35" t="s">
        <v>154</v>
      </c>
    </row>
    <row r="1763" spans="1:17" ht="48" x14ac:dyDescent="0.25">
      <c r="A1763" s="21">
        <v>38913</v>
      </c>
      <c r="B1763" s="21">
        <v>38913</v>
      </c>
      <c r="C1763" s="99">
        <v>2006</v>
      </c>
      <c r="D1763" s="351" t="s">
        <v>23</v>
      </c>
      <c r="E1763" s="22" t="s">
        <v>2706</v>
      </c>
      <c r="F1763" s="7" t="s">
        <v>58</v>
      </c>
      <c r="G1763" s="51" t="s">
        <v>2718</v>
      </c>
      <c r="H1763" s="51" t="s">
        <v>2719</v>
      </c>
      <c r="I1763" s="45">
        <v>2</v>
      </c>
      <c r="J1763" s="45">
        <v>2</v>
      </c>
      <c r="K1763" s="45">
        <v>0</v>
      </c>
      <c r="L1763" s="45">
        <v>0</v>
      </c>
      <c r="M1763" s="45">
        <v>0</v>
      </c>
      <c r="N1763" s="45">
        <v>0</v>
      </c>
      <c r="O1763" s="101">
        <v>0</v>
      </c>
      <c r="P1763" s="102">
        <v>0</v>
      </c>
      <c r="Q1763" s="35" t="s">
        <v>154</v>
      </c>
    </row>
    <row r="1764" spans="1:17" ht="48" x14ac:dyDescent="0.25">
      <c r="A1764" s="21">
        <v>38905</v>
      </c>
      <c r="B1764" s="21">
        <v>38905</v>
      </c>
      <c r="C1764" s="99">
        <v>2006</v>
      </c>
      <c r="D1764" s="351" t="s">
        <v>23</v>
      </c>
      <c r="E1764" s="28" t="s">
        <v>327</v>
      </c>
      <c r="F1764" s="7" t="s">
        <v>30</v>
      </c>
      <c r="G1764" s="51" t="s">
        <v>901</v>
      </c>
      <c r="H1764" s="51" t="s">
        <v>2720</v>
      </c>
      <c r="I1764" s="45">
        <v>10</v>
      </c>
      <c r="J1764" s="45">
        <v>10</v>
      </c>
      <c r="K1764" s="45">
        <v>0</v>
      </c>
      <c r="L1764" s="45">
        <v>0</v>
      </c>
      <c r="M1764" s="45">
        <v>0</v>
      </c>
      <c r="N1764" s="45">
        <v>0</v>
      </c>
      <c r="O1764" s="101">
        <v>0</v>
      </c>
      <c r="P1764" s="102">
        <v>0</v>
      </c>
      <c r="Q1764" s="35" t="s">
        <v>154</v>
      </c>
    </row>
    <row r="1765" spans="1:17" ht="72" x14ac:dyDescent="0.25">
      <c r="A1765" s="21">
        <v>38839</v>
      </c>
      <c r="B1765" s="21">
        <v>38839</v>
      </c>
      <c r="C1765" s="99">
        <v>2006</v>
      </c>
      <c r="D1765" s="351" t="s">
        <v>23</v>
      </c>
      <c r="E1765" s="22" t="s">
        <v>2700</v>
      </c>
      <c r="F1765" s="7" t="s">
        <v>56</v>
      </c>
      <c r="G1765" s="51" t="s">
        <v>495</v>
      </c>
      <c r="H1765" s="51" t="s">
        <v>2721</v>
      </c>
      <c r="I1765" s="45">
        <v>0</v>
      </c>
      <c r="J1765" s="45">
        <v>0</v>
      </c>
      <c r="K1765" s="45">
        <v>0</v>
      </c>
      <c r="L1765" s="45">
        <v>0</v>
      </c>
      <c r="M1765" s="45">
        <v>0</v>
      </c>
      <c r="N1765" s="45">
        <v>0</v>
      </c>
      <c r="O1765" s="101">
        <v>0</v>
      </c>
      <c r="P1765" s="102">
        <v>0</v>
      </c>
      <c r="Q1765" s="35" t="s">
        <v>154</v>
      </c>
    </row>
    <row r="1766" spans="1:17" ht="72" x14ac:dyDescent="0.25">
      <c r="A1766" s="21">
        <v>38886</v>
      </c>
      <c r="B1766" s="21">
        <v>38886</v>
      </c>
      <c r="C1766" s="99">
        <v>2006</v>
      </c>
      <c r="D1766" s="351" t="s">
        <v>23</v>
      </c>
      <c r="E1766" s="22" t="s">
        <v>2722</v>
      </c>
      <c r="F1766" s="7" t="s">
        <v>58</v>
      </c>
      <c r="G1766" s="51" t="s">
        <v>2723</v>
      </c>
      <c r="H1766" s="104" t="s">
        <v>2724</v>
      </c>
      <c r="I1766" s="45">
        <v>0</v>
      </c>
      <c r="J1766" s="45">
        <v>299</v>
      </c>
      <c r="K1766" s="45">
        <v>68</v>
      </c>
      <c r="L1766" s="45">
        <v>0</v>
      </c>
      <c r="M1766" s="45">
        <v>0</v>
      </c>
      <c r="N1766" s="45">
        <v>0</v>
      </c>
      <c r="O1766" s="101">
        <v>0</v>
      </c>
      <c r="P1766" s="102">
        <v>2.4281679999999999</v>
      </c>
      <c r="Q1766" s="35" t="s">
        <v>154</v>
      </c>
    </row>
    <row r="1767" spans="1:17" ht="36" x14ac:dyDescent="0.25">
      <c r="A1767" s="21">
        <v>38895</v>
      </c>
      <c r="B1767" s="21">
        <v>38895</v>
      </c>
      <c r="C1767" s="99">
        <v>2006</v>
      </c>
      <c r="D1767" s="351" t="s">
        <v>23</v>
      </c>
      <c r="E1767" s="22" t="s">
        <v>2700</v>
      </c>
      <c r="F1767" s="7" t="s">
        <v>84</v>
      </c>
      <c r="G1767" s="51" t="s">
        <v>2725</v>
      </c>
      <c r="H1767" s="51" t="s">
        <v>2726</v>
      </c>
      <c r="I1767" s="45">
        <v>0</v>
      </c>
      <c r="J1767" s="45">
        <v>700</v>
      </c>
      <c r="K1767" s="45">
        <v>140</v>
      </c>
      <c r="L1767" s="45">
        <v>0</v>
      </c>
      <c r="M1767" s="45">
        <v>0</v>
      </c>
      <c r="N1767" s="45">
        <v>0</v>
      </c>
      <c r="O1767" s="101">
        <v>0</v>
      </c>
      <c r="P1767" s="102">
        <v>0.65295999999999998</v>
      </c>
      <c r="Q1767" s="35" t="s">
        <v>154</v>
      </c>
    </row>
    <row r="1768" spans="1:17" ht="48" x14ac:dyDescent="0.25">
      <c r="A1768" s="21">
        <v>38937</v>
      </c>
      <c r="B1768" s="21">
        <v>38938</v>
      </c>
      <c r="C1768" s="99">
        <v>2006</v>
      </c>
      <c r="D1768" s="351" t="s">
        <v>23</v>
      </c>
      <c r="E1768" s="22" t="s">
        <v>2700</v>
      </c>
      <c r="F1768" s="7" t="s">
        <v>62</v>
      </c>
      <c r="G1768" s="51" t="s">
        <v>2727</v>
      </c>
      <c r="H1768" s="104" t="s">
        <v>2728</v>
      </c>
      <c r="I1768" s="45">
        <v>0</v>
      </c>
      <c r="J1768" s="100">
        <v>1058</v>
      </c>
      <c r="K1768" s="45">
        <v>0</v>
      </c>
      <c r="L1768" s="45">
        <v>0</v>
      </c>
      <c r="M1768" s="45">
        <v>0</v>
      </c>
      <c r="N1768" s="45">
        <v>0</v>
      </c>
      <c r="O1768" s="101">
        <v>2288.2600000000002</v>
      </c>
      <c r="P1768" s="102">
        <v>8.6909399999999994</v>
      </c>
      <c r="Q1768" s="35" t="s">
        <v>154</v>
      </c>
    </row>
    <row r="1769" spans="1:17" ht="36" x14ac:dyDescent="0.25">
      <c r="A1769" s="21">
        <v>38953</v>
      </c>
      <c r="B1769" s="21">
        <v>38953</v>
      </c>
      <c r="C1769" s="99">
        <v>2006</v>
      </c>
      <c r="D1769" s="351" t="s">
        <v>23</v>
      </c>
      <c r="E1769" s="22" t="s">
        <v>2706</v>
      </c>
      <c r="F1769" s="7" t="s">
        <v>82</v>
      </c>
      <c r="G1769" s="51" t="s">
        <v>2729</v>
      </c>
      <c r="H1769" s="51" t="s">
        <v>2730</v>
      </c>
      <c r="I1769" s="45">
        <v>1</v>
      </c>
      <c r="J1769" s="45">
        <v>1</v>
      </c>
      <c r="K1769" s="45">
        <v>0</v>
      </c>
      <c r="L1769" s="45">
        <v>0</v>
      </c>
      <c r="M1769" s="45">
        <v>0</v>
      </c>
      <c r="N1769" s="45">
        <v>0</v>
      </c>
      <c r="O1769" s="101">
        <v>0</v>
      </c>
      <c r="P1769" s="102">
        <v>0</v>
      </c>
      <c r="Q1769" s="35" t="s">
        <v>154</v>
      </c>
    </row>
    <row r="1770" spans="1:17" ht="24" x14ac:dyDescent="0.25">
      <c r="A1770" s="21">
        <v>39011</v>
      </c>
      <c r="B1770" s="21">
        <v>39011</v>
      </c>
      <c r="C1770" s="99">
        <v>2006</v>
      </c>
      <c r="D1770" s="351" t="s">
        <v>23</v>
      </c>
      <c r="E1770" s="22" t="s">
        <v>2706</v>
      </c>
      <c r="F1770" s="7" t="s">
        <v>56</v>
      </c>
      <c r="G1770" s="51" t="s">
        <v>2731</v>
      </c>
      <c r="H1770" s="51" t="s">
        <v>2732</v>
      </c>
      <c r="I1770" s="45">
        <v>1</v>
      </c>
      <c r="J1770" s="45">
        <v>1</v>
      </c>
      <c r="K1770" s="45">
        <v>0</v>
      </c>
      <c r="L1770" s="45">
        <v>0</v>
      </c>
      <c r="M1770" s="45">
        <v>0</v>
      </c>
      <c r="N1770" s="45">
        <v>0</v>
      </c>
      <c r="O1770" s="101">
        <v>0</v>
      </c>
      <c r="P1770" s="102">
        <v>0</v>
      </c>
      <c r="Q1770" s="35" t="s">
        <v>154</v>
      </c>
    </row>
    <row r="1771" spans="1:17" ht="24" x14ac:dyDescent="0.25">
      <c r="A1771" s="21">
        <v>39030</v>
      </c>
      <c r="B1771" s="21">
        <f>A1771</f>
        <v>39030</v>
      </c>
      <c r="C1771" s="99">
        <v>2006</v>
      </c>
      <c r="D1771" s="351" t="s">
        <v>23</v>
      </c>
      <c r="E1771" s="22" t="s">
        <v>2700</v>
      </c>
      <c r="F1771" s="7" t="s">
        <v>75</v>
      </c>
      <c r="G1771" s="51" t="s">
        <v>2733</v>
      </c>
      <c r="H1771" s="51" t="s">
        <v>2734</v>
      </c>
      <c r="I1771" s="45">
        <v>0</v>
      </c>
      <c r="J1771" s="45">
        <v>150</v>
      </c>
      <c r="K1771" s="45">
        <v>30</v>
      </c>
      <c r="L1771" s="45">
        <v>0</v>
      </c>
      <c r="M1771" s="45">
        <v>0</v>
      </c>
      <c r="N1771" s="45">
        <v>0</v>
      </c>
      <c r="O1771" s="101">
        <v>0</v>
      </c>
      <c r="P1771" s="102">
        <v>0.13991999999999999</v>
      </c>
      <c r="Q1771" s="35" t="s">
        <v>154</v>
      </c>
    </row>
    <row r="1772" spans="1:17" ht="24" x14ac:dyDescent="0.25">
      <c r="A1772" s="21">
        <v>39034</v>
      </c>
      <c r="B1772" s="21">
        <f>A1772</f>
        <v>39034</v>
      </c>
      <c r="C1772" s="99">
        <v>2006</v>
      </c>
      <c r="D1772" s="351" t="s">
        <v>23</v>
      </c>
      <c r="E1772" s="22" t="s">
        <v>2706</v>
      </c>
      <c r="F1772" s="7" t="s">
        <v>97</v>
      </c>
      <c r="G1772" s="51" t="s">
        <v>2735</v>
      </c>
      <c r="H1772" s="51" t="s">
        <v>2736</v>
      </c>
      <c r="I1772" s="45">
        <v>1</v>
      </c>
      <c r="J1772" s="45">
        <v>1</v>
      </c>
      <c r="K1772" s="45">
        <v>0</v>
      </c>
      <c r="L1772" s="45">
        <v>0</v>
      </c>
      <c r="M1772" s="45">
        <v>0</v>
      </c>
      <c r="N1772" s="45">
        <v>0</v>
      </c>
      <c r="O1772" s="101">
        <v>0</v>
      </c>
      <c r="P1772" s="102">
        <v>0</v>
      </c>
      <c r="Q1772" s="35" t="s">
        <v>154</v>
      </c>
    </row>
    <row r="1773" spans="1:17" ht="24" x14ac:dyDescent="0.25">
      <c r="A1773" s="21">
        <v>39054</v>
      </c>
      <c r="B1773" s="21">
        <f>A1773</f>
        <v>39054</v>
      </c>
      <c r="C1773" s="99">
        <v>2006</v>
      </c>
      <c r="D1773" s="351" t="s">
        <v>23</v>
      </c>
      <c r="E1773" s="22" t="s">
        <v>2691</v>
      </c>
      <c r="F1773" s="28" t="s">
        <v>210</v>
      </c>
      <c r="G1773" s="51" t="s">
        <v>2109</v>
      </c>
      <c r="H1773" s="51" t="s">
        <v>2737</v>
      </c>
      <c r="I1773" s="45">
        <v>0</v>
      </c>
      <c r="J1773" s="45">
        <v>85</v>
      </c>
      <c r="K1773" s="45">
        <v>17</v>
      </c>
      <c r="L1773" s="45">
        <v>0</v>
      </c>
      <c r="M1773" s="45">
        <v>0</v>
      </c>
      <c r="N1773" s="45">
        <v>0</v>
      </c>
      <c r="O1773" s="101">
        <v>0</v>
      </c>
      <c r="P1773" s="102">
        <v>7.9287999999999997E-2</v>
      </c>
      <c r="Q1773" s="35" t="s">
        <v>154</v>
      </c>
    </row>
    <row r="1774" spans="1:17" ht="48" x14ac:dyDescent="0.25">
      <c r="A1774" s="21">
        <v>39040</v>
      </c>
      <c r="B1774" s="21">
        <v>39055</v>
      </c>
      <c r="C1774" s="99">
        <v>2006</v>
      </c>
      <c r="D1774" s="351" t="s">
        <v>23</v>
      </c>
      <c r="E1774" s="22" t="s">
        <v>2691</v>
      </c>
      <c r="F1774" s="7" t="s">
        <v>30</v>
      </c>
      <c r="G1774" s="51" t="s">
        <v>2738</v>
      </c>
      <c r="H1774" s="51" t="s">
        <v>2739</v>
      </c>
      <c r="I1774" s="45">
        <v>6</v>
      </c>
      <c r="J1774" s="45">
        <v>6</v>
      </c>
      <c r="K1774" s="45">
        <v>0</v>
      </c>
      <c r="L1774" s="45">
        <v>0</v>
      </c>
      <c r="M1774" s="45">
        <v>0</v>
      </c>
      <c r="N1774" s="45">
        <v>0</v>
      </c>
      <c r="O1774" s="101">
        <v>0</v>
      </c>
      <c r="P1774" s="102">
        <v>0.47042</v>
      </c>
      <c r="Q1774" s="35" t="s">
        <v>154</v>
      </c>
    </row>
    <row r="1775" spans="1:17" ht="24" x14ac:dyDescent="0.25">
      <c r="A1775" s="105">
        <v>38718</v>
      </c>
      <c r="B1775" s="105">
        <v>39082</v>
      </c>
      <c r="C1775" s="99">
        <v>2006</v>
      </c>
      <c r="D1775" s="351" t="s">
        <v>23</v>
      </c>
      <c r="E1775" s="22" t="s">
        <v>42</v>
      </c>
      <c r="F1775" s="7" t="s">
        <v>30</v>
      </c>
      <c r="G1775" s="51" t="s">
        <v>2109</v>
      </c>
      <c r="H1775" s="51" t="s">
        <v>2740</v>
      </c>
      <c r="I1775" s="45">
        <v>4</v>
      </c>
      <c r="J1775" s="45">
        <f t="shared" ref="J1775:J1789" si="0">SUBTOTAL(9,I1775)</f>
        <v>4</v>
      </c>
      <c r="K1775" s="45">
        <v>0</v>
      </c>
      <c r="L1775" s="45">
        <v>0</v>
      </c>
      <c r="M1775" s="45">
        <v>0</v>
      </c>
      <c r="N1775" s="45">
        <v>0</v>
      </c>
      <c r="O1775" s="101">
        <v>0</v>
      </c>
      <c r="P1775" s="102">
        <v>0</v>
      </c>
      <c r="Q1775" s="35" t="s">
        <v>2218</v>
      </c>
    </row>
    <row r="1776" spans="1:17" ht="24" x14ac:dyDescent="0.25">
      <c r="A1776" s="105">
        <v>38718</v>
      </c>
      <c r="B1776" s="105">
        <v>39082</v>
      </c>
      <c r="C1776" s="99">
        <v>2006</v>
      </c>
      <c r="D1776" s="351" t="s">
        <v>23</v>
      </c>
      <c r="E1776" s="22" t="s">
        <v>42</v>
      </c>
      <c r="F1776" s="7" t="s">
        <v>45</v>
      </c>
      <c r="G1776" s="51" t="s">
        <v>2109</v>
      </c>
      <c r="H1776" s="51" t="s">
        <v>2741</v>
      </c>
      <c r="I1776" s="45">
        <v>7</v>
      </c>
      <c r="J1776" s="45">
        <f t="shared" si="0"/>
        <v>7</v>
      </c>
      <c r="K1776" s="45">
        <v>0</v>
      </c>
      <c r="L1776" s="45">
        <v>0</v>
      </c>
      <c r="M1776" s="45">
        <v>0</v>
      </c>
      <c r="N1776" s="45">
        <v>0</v>
      </c>
      <c r="O1776" s="101">
        <v>0</v>
      </c>
      <c r="P1776" s="102">
        <v>0</v>
      </c>
      <c r="Q1776" s="35" t="s">
        <v>2218</v>
      </c>
    </row>
    <row r="1777" spans="1:17" ht="24" x14ac:dyDescent="0.25">
      <c r="A1777" s="105">
        <v>38718</v>
      </c>
      <c r="B1777" s="105">
        <v>39082</v>
      </c>
      <c r="C1777" s="99">
        <v>2006</v>
      </c>
      <c r="D1777" s="351" t="s">
        <v>23</v>
      </c>
      <c r="E1777" s="22" t="s">
        <v>42</v>
      </c>
      <c r="F1777" s="7" t="s">
        <v>40</v>
      </c>
      <c r="G1777" s="51" t="s">
        <v>2109</v>
      </c>
      <c r="H1777" s="51" t="s">
        <v>2742</v>
      </c>
      <c r="I1777" s="45">
        <v>39</v>
      </c>
      <c r="J1777" s="45">
        <f t="shared" si="0"/>
        <v>39</v>
      </c>
      <c r="K1777" s="45">
        <v>0</v>
      </c>
      <c r="L1777" s="45">
        <v>0</v>
      </c>
      <c r="M1777" s="45">
        <v>0</v>
      </c>
      <c r="N1777" s="45">
        <v>0</v>
      </c>
      <c r="O1777" s="101">
        <v>0</v>
      </c>
      <c r="P1777" s="102">
        <v>0</v>
      </c>
      <c r="Q1777" s="35" t="s">
        <v>2218</v>
      </c>
    </row>
    <row r="1778" spans="1:17" ht="24" x14ac:dyDescent="0.25">
      <c r="A1778" s="105">
        <v>38718</v>
      </c>
      <c r="B1778" s="105">
        <v>39082</v>
      </c>
      <c r="C1778" s="99">
        <v>2006</v>
      </c>
      <c r="D1778" s="351" t="s">
        <v>23</v>
      </c>
      <c r="E1778" s="22" t="s">
        <v>42</v>
      </c>
      <c r="F1778" s="28" t="s">
        <v>157</v>
      </c>
      <c r="G1778" s="51" t="s">
        <v>2109</v>
      </c>
      <c r="H1778" s="51" t="s">
        <v>2743</v>
      </c>
      <c r="I1778" s="45">
        <v>1</v>
      </c>
      <c r="J1778" s="45">
        <f t="shared" si="0"/>
        <v>1</v>
      </c>
      <c r="K1778" s="45">
        <v>0</v>
      </c>
      <c r="L1778" s="45">
        <v>0</v>
      </c>
      <c r="M1778" s="45">
        <v>0</v>
      </c>
      <c r="N1778" s="45">
        <v>0</v>
      </c>
      <c r="O1778" s="101">
        <v>0</v>
      </c>
      <c r="P1778" s="102">
        <v>0</v>
      </c>
      <c r="Q1778" s="35" t="s">
        <v>2218</v>
      </c>
    </row>
    <row r="1779" spans="1:17" ht="24" x14ac:dyDescent="0.25">
      <c r="A1779" s="105">
        <v>38718</v>
      </c>
      <c r="B1779" s="105">
        <v>39082</v>
      </c>
      <c r="C1779" s="99">
        <v>2006</v>
      </c>
      <c r="D1779" s="351" t="s">
        <v>23</v>
      </c>
      <c r="E1779" s="22" t="s">
        <v>42</v>
      </c>
      <c r="F1779" s="7" t="s">
        <v>49</v>
      </c>
      <c r="G1779" s="51" t="s">
        <v>2109</v>
      </c>
      <c r="H1779" s="51" t="s">
        <v>2744</v>
      </c>
      <c r="I1779" s="45">
        <v>3</v>
      </c>
      <c r="J1779" s="45">
        <f t="shared" si="0"/>
        <v>3</v>
      </c>
      <c r="K1779" s="45">
        <v>0</v>
      </c>
      <c r="L1779" s="45">
        <v>0</v>
      </c>
      <c r="M1779" s="45">
        <v>0</v>
      </c>
      <c r="N1779" s="45">
        <v>0</v>
      </c>
      <c r="O1779" s="101">
        <v>0</v>
      </c>
      <c r="P1779" s="102">
        <v>0</v>
      </c>
      <c r="Q1779" s="35" t="s">
        <v>2218</v>
      </c>
    </row>
    <row r="1780" spans="1:17" ht="24" x14ac:dyDescent="0.25">
      <c r="A1780" s="105">
        <v>38718</v>
      </c>
      <c r="B1780" s="105">
        <v>39082</v>
      </c>
      <c r="C1780" s="99">
        <v>2006</v>
      </c>
      <c r="D1780" s="351" t="s">
        <v>23</v>
      </c>
      <c r="E1780" s="22" t="s">
        <v>42</v>
      </c>
      <c r="F1780" s="28" t="s">
        <v>160</v>
      </c>
      <c r="G1780" s="51" t="s">
        <v>2109</v>
      </c>
      <c r="H1780" s="51" t="s">
        <v>2745</v>
      </c>
      <c r="I1780" s="45">
        <v>6</v>
      </c>
      <c r="J1780" s="45">
        <f t="shared" si="0"/>
        <v>6</v>
      </c>
      <c r="K1780" s="45">
        <v>0</v>
      </c>
      <c r="L1780" s="45">
        <v>0</v>
      </c>
      <c r="M1780" s="45">
        <v>0</v>
      </c>
      <c r="N1780" s="45">
        <v>0</v>
      </c>
      <c r="O1780" s="101">
        <v>0</v>
      </c>
      <c r="P1780" s="102">
        <v>0</v>
      </c>
      <c r="Q1780" s="35" t="s">
        <v>2218</v>
      </c>
    </row>
    <row r="1781" spans="1:17" ht="24" x14ac:dyDescent="0.25">
      <c r="A1781" s="105">
        <v>38718</v>
      </c>
      <c r="B1781" s="105">
        <v>39082</v>
      </c>
      <c r="C1781" s="99">
        <v>2006</v>
      </c>
      <c r="D1781" s="351" t="s">
        <v>23</v>
      </c>
      <c r="E1781" s="22" t="s">
        <v>42</v>
      </c>
      <c r="F1781" s="7" t="s">
        <v>60</v>
      </c>
      <c r="G1781" s="51" t="s">
        <v>2109</v>
      </c>
      <c r="H1781" s="51" t="s">
        <v>2746</v>
      </c>
      <c r="I1781" s="45">
        <v>1</v>
      </c>
      <c r="J1781" s="45">
        <f t="shared" si="0"/>
        <v>1</v>
      </c>
      <c r="K1781" s="45">
        <v>0</v>
      </c>
      <c r="L1781" s="45">
        <v>0</v>
      </c>
      <c r="M1781" s="45">
        <v>0</v>
      </c>
      <c r="N1781" s="45">
        <v>0</v>
      </c>
      <c r="O1781" s="101">
        <v>0</v>
      </c>
      <c r="P1781" s="102">
        <v>0</v>
      </c>
      <c r="Q1781" s="35" t="s">
        <v>2218</v>
      </c>
    </row>
    <row r="1782" spans="1:17" ht="24" x14ac:dyDescent="0.25">
      <c r="A1782" s="105">
        <v>38718</v>
      </c>
      <c r="B1782" s="105">
        <v>39082</v>
      </c>
      <c r="C1782" s="99">
        <v>2006</v>
      </c>
      <c r="D1782" s="351" t="s">
        <v>23</v>
      </c>
      <c r="E1782" s="22" t="s">
        <v>42</v>
      </c>
      <c r="F1782" s="7" t="s">
        <v>53</v>
      </c>
      <c r="G1782" s="51" t="s">
        <v>2109</v>
      </c>
      <c r="H1782" s="51" t="s">
        <v>2747</v>
      </c>
      <c r="I1782" s="45">
        <v>2</v>
      </c>
      <c r="J1782" s="45">
        <f t="shared" si="0"/>
        <v>2</v>
      </c>
      <c r="K1782" s="45">
        <v>0</v>
      </c>
      <c r="L1782" s="45">
        <v>0</v>
      </c>
      <c r="M1782" s="45">
        <v>0</v>
      </c>
      <c r="N1782" s="45">
        <v>0</v>
      </c>
      <c r="O1782" s="101">
        <v>0</v>
      </c>
      <c r="P1782" s="102">
        <v>0</v>
      </c>
      <c r="Q1782" s="35" t="s">
        <v>2218</v>
      </c>
    </row>
    <row r="1783" spans="1:17" ht="24" x14ac:dyDescent="0.25">
      <c r="A1783" s="105">
        <v>38718</v>
      </c>
      <c r="B1783" s="105">
        <v>39082</v>
      </c>
      <c r="C1783" s="99">
        <v>2006</v>
      </c>
      <c r="D1783" s="351" t="s">
        <v>23</v>
      </c>
      <c r="E1783" s="22" t="s">
        <v>42</v>
      </c>
      <c r="F1783" s="7" t="s">
        <v>62</v>
      </c>
      <c r="G1783" s="51" t="s">
        <v>2109</v>
      </c>
      <c r="H1783" s="51" t="s">
        <v>2747</v>
      </c>
      <c r="I1783" s="45">
        <v>2</v>
      </c>
      <c r="J1783" s="45">
        <f t="shared" si="0"/>
        <v>2</v>
      </c>
      <c r="K1783" s="45">
        <v>0</v>
      </c>
      <c r="L1783" s="45">
        <v>0</v>
      </c>
      <c r="M1783" s="45">
        <v>0</v>
      </c>
      <c r="N1783" s="45">
        <v>0</v>
      </c>
      <c r="O1783" s="101">
        <v>0</v>
      </c>
      <c r="P1783" s="102">
        <v>0</v>
      </c>
      <c r="Q1783" s="35" t="s">
        <v>2218</v>
      </c>
    </row>
    <row r="1784" spans="1:17" ht="24" x14ac:dyDescent="0.25">
      <c r="A1784" s="105">
        <v>38718</v>
      </c>
      <c r="B1784" s="105">
        <v>39082</v>
      </c>
      <c r="C1784" s="99">
        <v>2006</v>
      </c>
      <c r="D1784" s="351" t="s">
        <v>23</v>
      </c>
      <c r="E1784" s="22" t="s">
        <v>42</v>
      </c>
      <c r="F1784" s="7" t="s">
        <v>68</v>
      </c>
      <c r="G1784" s="51" t="s">
        <v>2109</v>
      </c>
      <c r="H1784" s="51" t="s">
        <v>2744</v>
      </c>
      <c r="I1784" s="45">
        <v>3</v>
      </c>
      <c r="J1784" s="45">
        <f t="shared" si="0"/>
        <v>3</v>
      </c>
      <c r="K1784" s="45">
        <v>0</v>
      </c>
      <c r="L1784" s="45">
        <v>0</v>
      </c>
      <c r="M1784" s="45">
        <v>0</v>
      </c>
      <c r="N1784" s="45">
        <v>0</v>
      </c>
      <c r="O1784" s="101">
        <v>0</v>
      </c>
      <c r="P1784" s="102">
        <v>0</v>
      </c>
      <c r="Q1784" s="35" t="s">
        <v>2218</v>
      </c>
    </row>
    <row r="1785" spans="1:17" ht="24" x14ac:dyDescent="0.25">
      <c r="A1785" s="105">
        <v>38718</v>
      </c>
      <c r="B1785" s="105">
        <v>39082</v>
      </c>
      <c r="C1785" s="99">
        <v>2006</v>
      </c>
      <c r="D1785" s="351" t="s">
        <v>23</v>
      </c>
      <c r="E1785" s="22" t="s">
        <v>42</v>
      </c>
      <c r="F1785" s="7" t="s">
        <v>75</v>
      </c>
      <c r="G1785" s="51" t="s">
        <v>2109</v>
      </c>
      <c r="H1785" s="51" t="s">
        <v>2748</v>
      </c>
      <c r="I1785" s="45">
        <v>8</v>
      </c>
      <c r="J1785" s="45">
        <f t="shared" si="0"/>
        <v>8</v>
      </c>
      <c r="K1785" s="45">
        <v>0</v>
      </c>
      <c r="L1785" s="45">
        <v>0</v>
      </c>
      <c r="M1785" s="45">
        <v>0</v>
      </c>
      <c r="N1785" s="45">
        <v>0</v>
      </c>
      <c r="O1785" s="101">
        <v>0</v>
      </c>
      <c r="P1785" s="102">
        <v>0</v>
      </c>
      <c r="Q1785" s="35" t="s">
        <v>2218</v>
      </c>
    </row>
    <row r="1786" spans="1:17" ht="24" x14ac:dyDescent="0.25">
      <c r="A1786" s="105">
        <v>38718</v>
      </c>
      <c r="B1786" s="105">
        <v>39082</v>
      </c>
      <c r="C1786" s="99">
        <v>2006</v>
      </c>
      <c r="D1786" s="351" t="s">
        <v>23</v>
      </c>
      <c r="E1786" s="22" t="s">
        <v>42</v>
      </c>
      <c r="F1786" s="7" t="s">
        <v>87</v>
      </c>
      <c r="G1786" s="51" t="s">
        <v>2109</v>
      </c>
      <c r="H1786" s="51" t="s">
        <v>2749</v>
      </c>
      <c r="I1786" s="45">
        <v>14</v>
      </c>
      <c r="J1786" s="45">
        <f t="shared" si="0"/>
        <v>14</v>
      </c>
      <c r="K1786" s="45">
        <v>0</v>
      </c>
      <c r="L1786" s="45">
        <v>0</v>
      </c>
      <c r="M1786" s="45">
        <v>0</v>
      </c>
      <c r="N1786" s="45">
        <v>0</v>
      </c>
      <c r="O1786" s="101">
        <v>0</v>
      </c>
      <c r="P1786" s="102">
        <v>0</v>
      </c>
      <c r="Q1786" s="35" t="s">
        <v>2218</v>
      </c>
    </row>
    <row r="1787" spans="1:17" ht="24" x14ac:dyDescent="0.25">
      <c r="A1787" s="105">
        <v>38718</v>
      </c>
      <c r="B1787" s="105">
        <v>39082</v>
      </c>
      <c r="C1787" s="99">
        <v>2006</v>
      </c>
      <c r="D1787" s="351" t="s">
        <v>23</v>
      </c>
      <c r="E1787" s="22" t="s">
        <v>42</v>
      </c>
      <c r="F1787" s="7" t="s">
        <v>97</v>
      </c>
      <c r="G1787" s="51" t="s">
        <v>2109</v>
      </c>
      <c r="H1787" s="51" t="s">
        <v>2740</v>
      </c>
      <c r="I1787" s="45">
        <v>4</v>
      </c>
      <c r="J1787" s="45">
        <f t="shared" si="0"/>
        <v>4</v>
      </c>
      <c r="K1787" s="45">
        <v>0</v>
      </c>
      <c r="L1787" s="45">
        <v>0</v>
      </c>
      <c r="M1787" s="45">
        <v>0</v>
      </c>
      <c r="N1787" s="45">
        <v>0</v>
      </c>
      <c r="O1787" s="101">
        <v>0</v>
      </c>
      <c r="P1787" s="102">
        <v>0</v>
      </c>
      <c r="Q1787" s="35" t="s">
        <v>2218</v>
      </c>
    </row>
    <row r="1788" spans="1:17" ht="24" x14ac:dyDescent="0.25">
      <c r="A1788" s="105">
        <v>38718</v>
      </c>
      <c r="B1788" s="105">
        <v>39082</v>
      </c>
      <c r="C1788" s="99">
        <v>2006</v>
      </c>
      <c r="D1788" s="351" t="s">
        <v>23</v>
      </c>
      <c r="E1788" s="22" t="s">
        <v>42</v>
      </c>
      <c r="F1788" s="28" t="s">
        <v>210</v>
      </c>
      <c r="G1788" s="51" t="s">
        <v>2109</v>
      </c>
      <c r="H1788" s="51" t="s">
        <v>2740</v>
      </c>
      <c r="I1788" s="45">
        <v>4</v>
      </c>
      <c r="J1788" s="45">
        <f t="shared" si="0"/>
        <v>4</v>
      </c>
      <c r="K1788" s="45">
        <v>0</v>
      </c>
      <c r="L1788" s="45">
        <v>0</v>
      </c>
      <c r="M1788" s="45">
        <v>0</v>
      </c>
      <c r="N1788" s="45">
        <v>0</v>
      </c>
      <c r="O1788" s="101">
        <v>0</v>
      </c>
      <c r="P1788" s="102">
        <v>0</v>
      </c>
      <c r="Q1788" s="35" t="s">
        <v>2218</v>
      </c>
    </row>
    <row r="1789" spans="1:17" ht="24" x14ac:dyDescent="0.25">
      <c r="A1789" s="105">
        <v>38718</v>
      </c>
      <c r="B1789" s="105">
        <v>39082</v>
      </c>
      <c r="C1789" s="99">
        <v>2006</v>
      </c>
      <c r="D1789" s="351" t="s">
        <v>23</v>
      </c>
      <c r="E1789" s="22" t="s">
        <v>42</v>
      </c>
      <c r="F1789" s="7" t="s">
        <v>101</v>
      </c>
      <c r="G1789" s="51" t="s">
        <v>2109</v>
      </c>
      <c r="H1789" s="51" t="s">
        <v>2747</v>
      </c>
      <c r="I1789" s="45">
        <v>2</v>
      </c>
      <c r="J1789" s="45">
        <f t="shared" si="0"/>
        <v>2</v>
      </c>
      <c r="K1789" s="45">
        <v>0</v>
      </c>
      <c r="L1789" s="45">
        <v>0</v>
      </c>
      <c r="M1789" s="45">
        <v>0</v>
      </c>
      <c r="N1789" s="45">
        <v>0</v>
      </c>
      <c r="O1789" s="101">
        <v>0</v>
      </c>
      <c r="P1789" s="102">
        <v>0</v>
      </c>
      <c r="Q1789" s="35" t="s">
        <v>2218</v>
      </c>
    </row>
    <row r="1790" spans="1:17" ht="24" x14ac:dyDescent="0.25">
      <c r="A1790" s="105">
        <v>38718</v>
      </c>
      <c r="B1790" s="105">
        <v>39082</v>
      </c>
      <c r="C1790" s="99">
        <v>2006</v>
      </c>
      <c r="D1790" s="351" t="s">
        <v>23</v>
      </c>
      <c r="E1790" s="14" t="s">
        <v>24</v>
      </c>
      <c r="F1790" s="7" t="s">
        <v>62</v>
      </c>
      <c r="G1790" s="51" t="s">
        <v>2109</v>
      </c>
      <c r="H1790" s="51" t="s">
        <v>2750</v>
      </c>
      <c r="I1790" s="45">
        <v>0</v>
      </c>
      <c r="J1790" s="100">
        <v>1057</v>
      </c>
      <c r="K1790" s="45">
        <v>0</v>
      </c>
      <c r="L1790" s="45">
        <v>0</v>
      </c>
      <c r="M1790" s="45">
        <v>0</v>
      </c>
      <c r="N1790" s="45">
        <v>0</v>
      </c>
      <c r="O1790" s="101">
        <v>2624.53</v>
      </c>
      <c r="P1790" s="102">
        <v>10.248654999999999</v>
      </c>
      <c r="Q1790" s="45" t="s">
        <v>2234</v>
      </c>
    </row>
    <row r="1791" spans="1:17" ht="24" x14ac:dyDescent="0.25">
      <c r="A1791" s="105">
        <v>38718</v>
      </c>
      <c r="B1791" s="105">
        <v>39082</v>
      </c>
      <c r="C1791" s="99">
        <v>2006</v>
      </c>
      <c r="D1791" s="351" t="s">
        <v>23</v>
      </c>
      <c r="E1791" s="14" t="s">
        <v>24</v>
      </c>
      <c r="F1791" s="7" t="s">
        <v>75</v>
      </c>
      <c r="G1791" s="51" t="s">
        <v>2109</v>
      </c>
      <c r="H1791" s="51" t="s">
        <v>2751</v>
      </c>
      <c r="I1791" s="45">
        <v>0</v>
      </c>
      <c r="J1791" s="100">
        <v>5074</v>
      </c>
      <c r="K1791" s="45">
        <v>0</v>
      </c>
      <c r="L1791" s="45">
        <v>0</v>
      </c>
      <c r="M1791" s="45">
        <v>0</v>
      </c>
      <c r="N1791" s="45">
        <v>0</v>
      </c>
      <c r="O1791" s="101">
        <v>11880.27</v>
      </c>
      <c r="P1791" s="102">
        <v>45.109591000000002</v>
      </c>
      <c r="Q1791" s="45" t="s">
        <v>2234</v>
      </c>
    </row>
    <row r="1792" spans="1:17" ht="36" x14ac:dyDescent="0.25">
      <c r="A1792" s="105">
        <v>38718</v>
      </c>
      <c r="B1792" s="105">
        <v>39082</v>
      </c>
      <c r="C1792" s="99">
        <v>2006</v>
      </c>
      <c r="D1792" s="351" t="s">
        <v>23</v>
      </c>
      <c r="E1792" s="14" t="s">
        <v>24</v>
      </c>
      <c r="F1792" s="7" t="s">
        <v>77</v>
      </c>
      <c r="G1792" s="51" t="s">
        <v>2109</v>
      </c>
      <c r="H1792" s="51" t="s">
        <v>2752</v>
      </c>
      <c r="I1792" s="45">
        <v>0</v>
      </c>
      <c r="J1792" s="100">
        <v>2333</v>
      </c>
      <c r="K1792" s="45">
        <v>0</v>
      </c>
      <c r="L1792" s="45">
        <v>0</v>
      </c>
      <c r="M1792" s="45">
        <v>0</v>
      </c>
      <c r="N1792" s="45">
        <v>0</v>
      </c>
      <c r="O1792" s="101">
        <v>5225.83</v>
      </c>
      <c r="P1792" s="102">
        <v>19.864071899999999</v>
      </c>
      <c r="Q1792" s="45" t="s">
        <v>2234</v>
      </c>
    </row>
    <row r="1793" spans="1:17" ht="168" x14ac:dyDescent="0.25">
      <c r="A1793" s="56">
        <v>38793</v>
      </c>
      <c r="B1793" s="56">
        <v>38793</v>
      </c>
      <c r="C1793" s="99">
        <v>2006</v>
      </c>
      <c r="D1793" s="35" t="s">
        <v>17</v>
      </c>
      <c r="E1793" s="6" t="s">
        <v>1600</v>
      </c>
      <c r="F1793" s="7" t="s">
        <v>36</v>
      </c>
      <c r="G1793" s="57" t="s">
        <v>2753</v>
      </c>
      <c r="H1793" s="58" t="s">
        <v>2754</v>
      </c>
      <c r="I1793" s="58">
        <v>2</v>
      </c>
      <c r="J1793" s="45">
        <v>5</v>
      </c>
      <c r="K1793" s="45">
        <v>0</v>
      </c>
      <c r="L1793" s="45">
        <v>0</v>
      </c>
      <c r="M1793" s="45">
        <v>0</v>
      </c>
      <c r="N1793" s="45">
        <v>0</v>
      </c>
      <c r="O1793" s="58">
        <v>0</v>
      </c>
      <c r="P1793" s="106">
        <v>0</v>
      </c>
      <c r="Q1793" s="35" t="s">
        <v>154</v>
      </c>
    </row>
    <row r="1794" spans="1:17" ht="72" x14ac:dyDescent="0.25">
      <c r="A1794" s="56">
        <v>38845</v>
      </c>
      <c r="B1794" s="56">
        <v>38845</v>
      </c>
      <c r="C1794" s="99">
        <v>2006</v>
      </c>
      <c r="D1794" s="35" t="s">
        <v>17</v>
      </c>
      <c r="E1794" s="6" t="s">
        <v>2755</v>
      </c>
      <c r="F1794" s="7" t="s">
        <v>36</v>
      </c>
      <c r="G1794" s="57" t="s">
        <v>2756</v>
      </c>
      <c r="H1794" s="58" t="s">
        <v>2757</v>
      </c>
      <c r="I1794" s="58">
        <v>0</v>
      </c>
      <c r="J1794" s="58">
        <v>0</v>
      </c>
      <c r="K1794" s="58">
        <v>0</v>
      </c>
      <c r="L1794" s="58">
        <v>0</v>
      </c>
      <c r="M1794" s="45">
        <v>0</v>
      </c>
      <c r="N1794" s="45">
        <v>0</v>
      </c>
      <c r="O1794" s="58">
        <v>2</v>
      </c>
      <c r="P1794" s="106">
        <v>0.16</v>
      </c>
      <c r="Q1794" s="35" t="s">
        <v>154</v>
      </c>
    </row>
    <row r="1795" spans="1:17" ht="60" x14ac:dyDescent="0.25">
      <c r="A1795" s="56">
        <v>38854</v>
      </c>
      <c r="B1795" s="56">
        <v>38854</v>
      </c>
      <c r="C1795" s="99">
        <v>2006</v>
      </c>
      <c r="D1795" s="35" t="s">
        <v>17</v>
      </c>
      <c r="E1795" s="6" t="s">
        <v>1603</v>
      </c>
      <c r="F1795" s="7" t="s">
        <v>82</v>
      </c>
      <c r="G1795" s="57" t="s">
        <v>2758</v>
      </c>
      <c r="H1795" s="58" t="s">
        <v>2759</v>
      </c>
      <c r="I1795" s="58">
        <v>0</v>
      </c>
      <c r="J1795" s="58">
        <v>10</v>
      </c>
      <c r="K1795" s="58">
        <v>2</v>
      </c>
      <c r="L1795" s="58">
        <v>0</v>
      </c>
      <c r="M1795" s="45">
        <v>0</v>
      </c>
      <c r="N1795" s="45">
        <v>0</v>
      </c>
      <c r="O1795" s="58">
        <v>0</v>
      </c>
      <c r="P1795" s="106">
        <v>8.3398E-2</v>
      </c>
      <c r="Q1795" s="35" t="s">
        <v>154</v>
      </c>
    </row>
    <row r="1796" spans="1:17" ht="60" x14ac:dyDescent="0.25">
      <c r="A1796" s="56">
        <v>38902</v>
      </c>
      <c r="B1796" s="56">
        <v>38902</v>
      </c>
      <c r="C1796" s="99">
        <v>2006</v>
      </c>
      <c r="D1796" s="35" t="s">
        <v>17</v>
      </c>
      <c r="E1796" s="6" t="s">
        <v>1600</v>
      </c>
      <c r="F1796" s="7" t="s">
        <v>36</v>
      </c>
      <c r="G1796" s="57" t="s">
        <v>2760</v>
      </c>
      <c r="H1796" s="58" t="s">
        <v>2761</v>
      </c>
      <c r="I1796" s="58">
        <v>1</v>
      </c>
      <c r="J1796" s="58">
        <v>1</v>
      </c>
      <c r="K1796" s="58">
        <v>0</v>
      </c>
      <c r="L1796" s="58">
        <v>0</v>
      </c>
      <c r="M1796" s="45">
        <v>0</v>
      </c>
      <c r="N1796" s="45">
        <v>0</v>
      </c>
      <c r="O1796" s="58">
        <v>0</v>
      </c>
      <c r="P1796" s="106">
        <v>0</v>
      </c>
      <c r="Q1796" s="35" t="s">
        <v>154</v>
      </c>
    </row>
    <row r="1797" spans="1:17" ht="48" x14ac:dyDescent="0.25">
      <c r="A1797" s="56">
        <v>38931</v>
      </c>
      <c r="B1797" s="56">
        <v>38931</v>
      </c>
      <c r="C1797" s="99">
        <v>2006</v>
      </c>
      <c r="D1797" s="35" t="s">
        <v>17</v>
      </c>
      <c r="E1797" s="6" t="s">
        <v>2755</v>
      </c>
      <c r="F1797" s="7" t="s">
        <v>72</v>
      </c>
      <c r="G1797" s="57" t="s">
        <v>2762</v>
      </c>
      <c r="H1797" s="107" t="s">
        <v>2763</v>
      </c>
      <c r="I1797" s="58">
        <v>11</v>
      </c>
      <c r="J1797" s="58">
        <v>11</v>
      </c>
      <c r="K1797" s="58">
        <v>0</v>
      </c>
      <c r="L1797" s="58">
        <v>0</v>
      </c>
      <c r="M1797" s="45">
        <v>0</v>
      </c>
      <c r="N1797" s="45">
        <v>0</v>
      </c>
      <c r="O1797" s="58">
        <v>0</v>
      </c>
      <c r="P1797" s="106">
        <v>0</v>
      </c>
      <c r="Q1797" s="35" t="s">
        <v>154</v>
      </c>
    </row>
    <row r="1798" spans="1:17" ht="48" x14ac:dyDescent="0.25">
      <c r="A1798" s="56">
        <v>38955</v>
      </c>
      <c r="B1798" s="21">
        <f t="shared" ref="B1798:B1803" si="1">A1798</f>
        <v>38955</v>
      </c>
      <c r="C1798" s="99">
        <v>2006</v>
      </c>
      <c r="D1798" s="35" t="s">
        <v>17</v>
      </c>
      <c r="E1798" s="6" t="s">
        <v>1597</v>
      </c>
      <c r="F1798" s="28" t="s">
        <v>157</v>
      </c>
      <c r="G1798" s="57" t="s">
        <v>1609</v>
      </c>
      <c r="H1798" s="58" t="s">
        <v>2764</v>
      </c>
      <c r="I1798" s="58">
        <v>4</v>
      </c>
      <c r="J1798" s="58">
        <v>4</v>
      </c>
      <c r="K1798" s="58">
        <v>0</v>
      </c>
      <c r="L1798" s="58">
        <v>0</v>
      </c>
      <c r="M1798" s="45">
        <v>0</v>
      </c>
      <c r="N1798" s="45">
        <v>0</v>
      </c>
      <c r="O1798" s="58">
        <v>0</v>
      </c>
      <c r="P1798" s="106">
        <v>0</v>
      </c>
      <c r="Q1798" s="35" t="s">
        <v>154</v>
      </c>
    </row>
    <row r="1799" spans="1:17" ht="60" x14ac:dyDescent="0.25">
      <c r="A1799" s="56">
        <v>38966</v>
      </c>
      <c r="B1799" s="21">
        <f t="shared" si="1"/>
        <v>38966</v>
      </c>
      <c r="C1799" s="99">
        <v>2006</v>
      </c>
      <c r="D1799" s="35" t="s">
        <v>17</v>
      </c>
      <c r="E1799" s="6" t="s">
        <v>1597</v>
      </c>
      <c r="F1799" s="7" t="s">
        <v>49</v>
      </c>
      <c r="G1799" s="57" t="s">
        <v>2765</v>
      </c>
      <c r="H1799" s="107" t="s">
        <v>2766</v>
      </c>
      <c r="I1799" s="58">
        <v>10</v>
      </c>
      <c r="J1799" s="58">
        <v>13</v>
      </c>
      <c r="K1799" s="58">
        <v>5</v>
      </c>
      <c r="L1799" s="58">
        <v>0</v>
      </c>
      <c r="M1799" s="45">
        <v>0</v>
      </c>
      <c r="N1799" s="45">
        <v>0</v>
      </c>
      <c r="O1799" s="58">
        <v>0</v>
      </c>
      <c r="P1799" s="106">
        <v>0.20849500000000001</v>
      </c>
      <c r="Q1799" s="35" t="s">
        <v>154</v>
      </c>
    </row>
    <row r="1800" spans="1:17" ht="84" x14ac:dyDescent="0.25">
      <c r="A1800" s="56">
        <v>38972</v>
      </c>
      <c r="B1800" s="21">
        <f t="shared" si="1"/>
        <v>38972</v>
      </c>
      <c r="C1800" s="99">
        <v>2006</v>
      </c>
      <c r="D1800" s="35" t="s">
        <v>17</v>
      </c>
      <c r="E1800" s="6" t="s">
        <v>1597</v>
      </c>
      <c r="F1800" s="7" t="s">
        <v>75</v>
      </c>
      <c r="G1800" s="57" t="s">
        <v>2767</v>
      </c>
      <c r="H1800" s="107" t="s">
        <v>2768</v>
      </c>
      <c r="I1800" s="58">
        <v>0</v>
      </c>
      <c r="J1800" s="58">
        <v>120</v>
      </c>
      <c r="K1800" s="58">
        <v>3</v>
      </c>
      <c r="L1800" s="58">
        <v>0</v>
      </c>
      <c r="M1800" s="45">
        <v>0</v>
      </c>
      <c r="N1800" s="45">
        <v>0</v>
      </c>
      <c r="O1800" s="58">
        <v>0</v>
      </c>
      <c r="P1800" s="106">
        <v>0.40082099999999998</v>
      </c>
      <c r="Q1800" s="35" t="s">
        <v>154</v>
      </c>
    </row>
    <row r="1801" spans="1:17" ht="48" x14ac:dyDescent="0.25">
      <c r="A1801" s="56">
        <v>38984</v>
      </c>
      <c r="B1801" s="21">
        <f t="shared" si="1"/>
        <v>38984</v>
      </c>
      <c r="C1801" s="99">
        <v>2006</v>
      </c>
      <c r="D1801" s="35" t="s">
        <v>17</v>
      </c>
      <c r="E1801" s="6" t="s">
        <v>1600</v>
      </c>
      <c r="F1801" s="7" t="s">
        <v>58</v>
      </c>
      <c r="G1801" s="57" t="s">
        <v>2769</v>
      </c>
      <c r="H1801" s="58" t="s">
        <v>2770</v>
      </c>
      <c r="I1801" s="58">
        <v>0</v>
      </c>
      <c r="J1801" s="58">
        <v>0</v>
      </c>
      <c r="K1801" s="58">
        <v>0</v>
      </c>
      <c r="L1801" s="58">
        <v>0</v>
      </c>
      <c r="M1801" s="45">
        <v>0</v>
      </c>
      <c r="N1801" s="45">
        <v>0</v>
      </c>
      <c r="O1801" s="58">
        <v>0</v>
      </c>
      <c r="P1801" s="106">
        <v>7.1999999999999995E-2</v>
      </c>
      <c r="Q1801" s="35" t="s">
        <v>154</v>
      </c>
    </row>
    <row r="1802" spans="1:17" ht="48" x14ac:dyDescent="0.25">
      <c r="A1802" s="56">
        <v>38987</v>
      </c>
      <c r="B1802" s="21">
        <f t="shared" si="1"/>
        <v>38987</v>
      </c>
      <c r="C1802" s="99">
        <v>2006</v>
      </c>
      <c r="D1802" s="35" t="s">
        <v>17</v>
      </c>
      <c r="E1802" s="6" t="s">
        <v>1597</v>
      </c>
      <c r="F1802" s="7" t="s">
        <v>60</v>
      </c>
      <c r="G1802" s="57" t="s">
        <v>2771</v>
      </c>
      <c r="H1802" s="58" t="s">
        <v>2772</v>
      </c>
      <c r="I1802" s="58">
        <v>3</v>
      </c>
      <c r="J1802" s="58">
        <v>3</v>
      </c>
      <c r="K1802" s="58">
        <v>0</v>
      </c>
      <c r="L1802" s="58">
        <v>0</v>
      </c>
      <c r="M1802" s="45">
        <v>0</v>
      </c>
      <c r="N1802" s="45">
        <v>0</v>
      </c>
      <c r="O1802" s="58">
        <v>0</v>
      </c>
      <c r="P1802" s="106">
        <v>0</v>
      </c>
      <c r="Q1802" s="35" t="s">
        <v>154</v>
      </c>
    </row>
    <row r="1803" spans="1:17" ht="36" x14ac:dyDescent="0.25">
      <c r="A1803" s="56">
        <v>38987</v>
      </c>
      <c r="B1803" s="21">
        <f t="shared" si="1"/>
        <v>38987</v>
      </c>
      <c r="C1803" s="99">
        <v>2006</v>
      </c>
      <c r="D1803" s="35" t="s">
        <v>17</v>
      </c>
      <c r="E1803" s="6" t="s">
        <v>1600</v>
      </c>
      <c r="F1803" s="7" t="s">
        <v>56</v>
      </c>
      <c r="G1803" s="57" t="s">
        <v>358</v>
      </c>
      <c r="H1803" s="58" t="s">
        <v>2773</v>
      </c>
      <c r="I1803" s="58">
        <v>0</v>
      </c>
      <c r="J1803" s="58">
        <v>1</v>
      </c>
      <c r="K1803" s="58">
        <v>0</v>
      </c>
      <c r="L1803" s="58">
        <v>0</v>
      </c>
      <c r="M1803" s="45">
        <v>0</v>
      </c>
      <c r="N1803" s="45">
        <v>0</v>
      </c>
      <c r="O1803" s="58">
        <v>0</v>
      </c>
      <c r="P1803" s="106">
        <v>0</v>
      </c>
      <c r="Q1803" s="35" t="s">
        <v>154</v>
      </c>
    </row>
    <row r="1804" spans="1:17" ht="48" x14ac:dyDescent="0.25">
      <c r="A1804" s="56">
        <v>39048</v>
      </c>
      <c r="B1804" s="56">
        <v>39050</v>
      </c>
      <c r="C1804" s="99">
        <v>2006</v>
      </c>
      <c r="D1804" s="35" t="s">
        <v>17</v>
      </c>
      <c r="E1804" s="30" t="s">
        <v>122</v>
      </c>
      <c r="F1804" s="7" t="s">
        <v>33</v>
      </c>
      <c r="G1804" s="57" t="s">
        <v>2063</v>
      </c>
      <c r="H1804" s="58" t="s">
        <v>2774</v>
      </c>
      <c r="I1804" s="58">
        <v>0</v>
      </c>
      <c r="J1804" s="58">
        <v>0</v>
      </c>
      <c r="K1804" s="58">
        <v>0</v>
      </c>
      <c r="L1804" s="58">
        <v>0</v>
      </c>
      <c r="M1804" s="45">
        <v>0</v>
      </c>
      <c r="N1804" s="45">
        <v>0</v>
      </c>
      <c r="O1804" s="58">
        <v>0</v>
      </c>
      <c r="P1804" s="106">
        <v>0</v>
      </c>
      <c r="Q1804" s="35" t="s">
        <v>154</v>
      </c>
    </row>
    <row r="1805" spans="1:17" ht="72" x14ac:dyDescent="0.25">
      <c r="A1805" s="108">
        <v>38735</v>
      </c>
      <c r="B1805" s="108">
        <v>38735</v>
      </c>
      <c r="C1805" s="99">
        <v>2006</v>
      </c>
      <c r="D1805" s="35" t="s">
        <v>28</v>
      </c>
      <c r="E1805" s="30" t="s">
        <v>133</v>
      </c>
      <c r="F1805" s="25" t="s">
        <v>781</v>
      </c>
      <c r="G1805" s="44" t="s">
        <v>1580</v>
      </c>
      <c r="H1805" s="45" t="s">
        <v>2775</v>
      </c>
      <c r="I1805" s="45">
        <v>0</v>
      </c>
      <c r="J1805" s="45">
        <v>9</v>
      </c>
      <c r="K1805" s="45">
        <v>0</v>
      </c>
      <c r="L1805" s="45">
        <v>0</v>
      </c>
      <c r="M1805" s="45">
        <v>0</v>
      </c>
      <c r="N1805" s="45">
        <v>0</v>
      </c>
      <c r="O1805" s="45">
        <v>0</v>
      </c>
      <c r="P1805" s="102">
        <v>0</v>
      </c>
      <c r="Q1805" s="35" t="s">
        <v>154</v>
      </c>
    </row>
    <row r="1806" spans="1:17" ht="36" x14ac:dyDescent="0.25">
      <c r="A1806" s="108">
        <v>38736</v>
      </c>
      <c r="B1806" s="108">
        <v>38736</v>
      </c>
      <c r="C1806" s="99">
        <v>2006</v>
      </c>
      <c r="D1806" s="35" t="s">
        <v>28</v>
      </c>
      <c r="E1806" s="30" t="s">
        <v>133</v>
      </c>
      <c r="F1806" s="7" t="s">
        <v>53</v>
      </c>
      <c r="G1806" s="44" t="s">
        <v>2776</v>
      </c>
      <c r="H1806" s="44" t="s">
        <v>2777</v>
      </c>
      <c r="I1806" s="45">
        <v>2</v>
      </c>
      <c r="J1806" s="45">
        <v>2</v>
      </c>
      <c r="K1806" s="45">
        <v>0</v>
      </c>
      <c r="L1806" s="45">
        <v>0</v>
      </c>
      <c r="M1806" s="45">
        <v>0</v>
      </c>
      <c r="N1806" s="45">
        <v>0</v>
      </c>
      <c r="O1806" s="45">
        <v>0</v>
      </c>
      <c r="P1806" s="102">
        <v>0</v>
      </c>
      <c r="Q1806" s="35" t="s">
        <v>154</v>
      </c>
    </row>
    <row r="1807" spans="1:17" ht="36" x14ac:dyDescent="0.25">
      <c r="A1807" s="108">
        <v>38755</v>
      </c>
      <c r="B1807" s="108">
        <v>38755</v>
      </c>
      <c r="C1807" s="99">
        <v>2006</v>
      </c>
      <c r="D1807" s="35" t="s">
        <v>28</v>
      </c>
      <c r="E1807" s="30" t="s">
        <v>133</v>
      </c>
      <c r="F1807" s="7" t="s">
        <v>53</v>
      </c>
      <c r="G1807" s="44" t="s">
        <v>451</v>
      </c>
      <c r="H1807" s="44" t="s">
        <v>2778</v>
      </c>
      <c r="I1807" s="45">
        <v>3</v>
      </c>
      <c r="J1807" s="45">
        <v>3</v>
      </c>
      <c r="K1807" s="45">
        <v>0</v>
      </c>
      <c r="L1807" s="45">
        <v>0</v>
      </c>
      <c r="M1807" s="45">
        <v>0</v>
      </c>
      <c r="N1807" s="45">
        <v>0</v>
      </c>
      <c r="O1807" s="45">
        <v>0</v>
      </c>
      <c r="P1807" s="102">
        <v>0</v>
      </c>
      <c r="Q1807" s="35" t="s">
        <v>154</v>
      </c>
    </row>
    <row r="1808" spans="1:17" ht="72" x14ac:dyDescent="0.25">
      <c r="A1808" s="108">
        <v>38767</v>
      </c>
      <c r="B1808" s="108">
        <v>38767</v>
      </c>
      <c r="C1808" s="99">
        <v>2006</v>
      </c>
      <c r="D1808" s="35" t="s">
        <v>28</v>
      </c>
      <c r="E1808" s="30" t="s">
        <v>133</v>
      </c>
      <c r="F1808" s="7" t="s">
        <v>45</v>
      </c>
      <c r="G1808" s="44" t="s">
        <v>2779</v>
      </c>
      <c r="H1808" s="109" t="s">
        <v>2780</v>
      </c>
      <c r="I1808" s="45">
        <v>66</v>
      </c>
      <c r="J1808" s="45">
        <v>76</v>
      </c>
      <c r="K1808" s="45">
        <v>0</v>
      </c>
      <c r="L1808" s="45">
        <v>0</v>
      </c>
      <c r="M1808" s="45">
        <v>0</v>
      </c>
      <c r="N1808" s="45">
        <v>0</v>
      </c>
      <c r="O1808" s="45">
        <v>0</v>
      </c>
      <c r="P1808" s="102">
        <v>0</v>
      </c>
      <c r="Q1808" s="35" t="s">
        <v>154</v>
      </c>
    </row>
    <row r="1809" spans="1:17" ht="48" x14ac:dyDescent="0.25">
      <c r="A1809" s="108">
        <v>38771</v>
      </c>
      <c r="B1809" s="108">
        <v>38771</v>
      </c>
      <c r="C1809" s="99">
        <v>2006</v>
      </c>
      <c r="D1809" s="35" t="s">
        <v>28</v>
      </c>
      <c r="E1809" s="30" t="s">
        <v>133</v>
      </c>
      <c r="F1809" s="7" t="s">
        <v>75</v>
      </c>
      <c r="G1809" s="44" t="s">
        <v>2781</v>
      </c>
      <c r="H1809" s="44" t="s">
        <v>2782</v>
      </c>
      <c r="I1809" s="45">
        <v>1</v>
      </c>
      <c r="J1809" s="45">
        <v>2</v>
      </c>
      <c r="K1809" s="45">
        <v>0</v>
      </c>
      <c r="L1809" s="45">
        <v>0</v>
      </c>
      <c r="M1809" s="45">
        <v>0</v>
      </c>
      <c r="N1809" s="45">
        <v>0</v>
      </c>
      <c r="O1809" s="45">
        <v>0</v>
      </c>
      <c r="P1809" s="102">
        <v>0</v>
      </c>
      <c r="Q1809" s="35" t="s">
        <v>154</v>
      </c>
    </row>
    <row r="1810" spans="1:17" ht="48" x14ac:dyDescent="0.25">
      <c r="A1810" s="108">
        <v>38771</v>
      </c>
      <c r="B1810" s="108">
        <v>38771</v>
      </c>
      <c r="C1810" s="99">
        <v>2006</v>
      </c>
      <c r="D1810" s="35" t="s">
        <v>28</v>
      </c>
      <c r="E1810" s="30" t="s">
        <v>133</v>
      </c>
      <c r="F1810" s="7" t="s">
        <v>53</v>
      </c>
      <c r="G1810" s="44" t="s">
        <v>2224</v>
      </c>
      <c r="H1810" s="44" t="s">
        <v>2783</v>
      </c>
      <c r="I1810" s="45">
        <v>0</v>
      </c>
      <c r="J1810" s="45">
        <v>3</v>
      </c>
      <c r="K1810" s="45">
        <v>0</v>
      </c>
      <c r="L1810" s="45">
        <v>0</v>
      </c>
      <c r="M1810" s="45">
        <v>0</v>
      </c>
      <c r="N1810" s="45">
        <v>0</v>
      </c>
      <c r="O1810" s="45">
        <v>0</v>
      </c>
      <c r="P1810" s="102">
        <v>0</v>
      </c>
      <c r="Q1810" s="35" t="s">
        <v>154</v>
      </c>
    </row>
    <row r="1811" spans="1:17" ht="60" x14ac:dyDescent="0.25">
      <c r="A1811" s="108">
        <v>38784</v>
      </c>
      <c r="B1811" s="108">
        <v>38784</v>
      </c>
      <c r="C1811" s="99">
        <v>2006</v>
      </c>
      <c r="D1811" s="35" t="s">
        <v>28</v>
      </c>
      <c r="E1811" s="30" t="s">
        <v>133</v>
      </c>
      <c r="F1811" s="7" t="s">
        <v>53</v>
      </c>
      <c r="G1811" s="44" t="s">
        <v>2784</v>
      </c>
      <c r="H1811" s="109" t="s">
        <v>2785</v>
      </c>
      <c r="I1811" s="45">
        <v>4</v>
      </c>
      <c r="J1811" s="45">
        <v>11</v>
      </c>
      <c r="K1811" s="45">
        <v>0</v>
      </c>
      <c r="L1811" s="45">
        <v>0</v>
      </c>
      <c r="M1811" s="45">
        <v>0</v>
      </c>
      <c r="N1811" s="45">
        <v>0</v>
      </c>
      <c r="O1811" s="45">
        <v>0</v>
      </c>
      <c r="P1811" s="102">
        <v>3.5999999999999997E-2</v>
      </c>
      <c r="Q1811" s="35" t="s">
        <v>154</v>
      </c>
    </row>
    <row r="1812" spans="1:17" ht="36" x14ac:dyDescent="0.25">
      <c r="A1812" s="108">
        <v>38793</v>
      </c>
      <c r="B1812" s="108">
        <v>38793</v>
      </c>
      <c r="C1812" s="99">
        <v>2006</v>
      </c>
      <c r="D1812" s="35" t="s">
        <v>28</v>
      </c>
      <c r="E1812" s="30" t="s">
        <v>133</v>
      </c>
      <c r="F1812" s="7" t="s">
        <v>56</v>
      </c>
      <c r="G1812" s="44" t="s">
        <v>2786</v>
      </c>
      <c r="H1812" s="44" t="s">
        <v>2787</v>
      </c>
      <c r="I1812" s="45">
        <v>1</v>
      </c>
      <c r="J1812" s="45">
        <v>2</v>
      </c>
      <c r="K1812" s="45">
        <v>0</v>
      </c>
      <c r="L1812" s="45">
        <v>0</v>
      </c>
      <c r="M1812" s="45">
        <v>0</v>
      </c>
      <c r="N1812" s="45">
        <v>0</v>
      </c>
      <c r="O1812" s="45">
        <v>0</v>
      </c>
      <c r="P1812" s="102">
        <v>0</v>
      </c>
      <c r="Q1812" s="35" t="s">
        <v>154</v>
      </c>
    </row>
    <row r="1813" spans="1:17" ht="48" x14ac:dyDescent="0.25">
      <c r="A1813" s="108">
        <v>38800</v>
      </c>
      <c r="B1813" s="108">
        <v>38800</v>
      </c>
      <c r="C1813" s="99">
        <v>2006</v>
      </c>
      <c r="D1813" s="35" t="s">
        <v>28</v>
      </c>
      <c r="E1813" s="30" t="s">
        <v>133</v>
      </c>
      <c r="F1813" s="28" t="s">
        <v>157</v>
      </c>
      <c r="G1813" s="44" t="s">
        <v>1190</v>
      </c>
      <c r="H1813" s="44" t="s">
        <v>2788</v>
      </c>
      <c r="I1813" s="45">
        <v>0</v>
      </c>
      <c r="J1813" s="45">
        <v>0</v>
      </c>
      <c r="K1813" s="45">
        <v>0</v>
      </c>
      <c r="L1813" s="45">
        <v>0</v>
      </c>
      <c r="M1813" s="45">
        <v>0</v>
      </c>
      <c r="N1813" s="45">
        <v>0</v>
      </c>
      <c r="O1813" s="45">
        <v>0</v>
      </c>
      <c r="P1813" s="102">
        <v>0</v>
      </c>
      <c r="Q1813" s="35" t="s">
        <v>154</v>
      </c>
    </row>
    <row r="1814" spans="1:17" ht="36" x14ac:dyDescent="0.25">
      <c r="A1814" s="108">
        <v>38806</v>
      </c>
      <c r="B1814" s="108">
        <v>38806</v>
      </c>
      <c r="C1814" s="99">
        <v>2006</v>
      </c>
      <c r="D1814" s="35" t="s">
        <v>28</v>
      </c>
      <c r="E1814" s="30" t="s">
        <v>133</v>
      </c>
      <c r="F1814" s="7" t="s">
        <v>45</v>
      </c>
      <c r="G1814" s="44" t="s">
        <v>2789</v>
      </c>
      <c r="H1814" s="44" t="s">
        <v>2790</v>
      </c>
      <c r="I1814" s="45">
        <v>0</v>
      </c>
      <c r="J1814" s="45">
        <v>1</v>
      </c>
      <c r="K1814" s="45">
        <v>0</v>
      </c>
      <c r="L1814" s="45">
        <v>0</v>
      </c>
      <c r="M1814" s="45">
        <v>0</v>
      </c>
      <c r="N1814" s="45">
        <v>0</v>
      </c>
      <c r="O1814" s="45">
        <v>0</v>
      </c>
      <c r="P1814" s="102">
        <v>0</v>
      </c>
      <c r="Q1814" s="35" t="s">
        <v>154</v>
      </c>
    </row>
    <row r="1815" spans="1:17" ht="48" x14ac:dyDescent="0.25">
      <c r="A1815" s="108">
        <v>38822</v>
      </c>
      <c r="B1815" s="108">
        <v>38822</v>
      </c>
      <c r="C1815" s="99">
        <v>2006</v>
      </c>
      <c r="D1815" s="35" t="s">
        <v>28</v>
      </c>
      <c r="E1815" s="30" t="s">
        <v>133</v>
      </c>
      <c r="F1815" s="7" t="s">
        <v>97</v>
      </c>
      <c r="G1815" s="44" t="s">
        <v>97</v>
      </c>
      <c r="H1815" s="44" t="s">
        <v>2791</v>
      </c>
      <c r="I1815" s="45">
        <v>0</v>
      </c>
      <c r="J1815" s="45">
        <v>1</v>
      </c>
      <c r="K1815" s="45">
        <v>0</v>
      </c>
      <c r="L1815" s="45">
        <v>0</v>
      </c>
      <c r="M1815" s="45">
        <v>0</v>
      </c>
      <c r="N1815" s="45">
        <v>0</v>
      </c>
      <c r="O1815" s="45">
        <v>0</v>
      </c>
      <c r="P1815" s="102">
        <v>0</v>
      </c>
      <c r="Q1815" s="35" t="s">
        <v>154</v>
      </c>
    </row>
    <row r="1816" spans="1:17" ht="24" x14ac:dyDescent="0.25">
      <c r="A1816" s="108">
        <v>38826</v>
      </c>
      <c r="B1816" s="108">
        <v>38826</v>
      </c>
      <c r="C1816" s="99">
        <v>2006</v>
      </c>
      <c r="D1816" s="35" t="s">
        <v>28</v>
      </c>
      <c r="E1816" s="30" t="s">
        <v>133</v>
      </c>
      <c r="F1816" s="7" t="s">
        <v>56</v>
      </c>
      <c r="G1816" s="44" t="s">
        <v>2792</v>
      </c>
      <c r="H1816" s="44" t="s">
        <v>2793</v>
      </c>
      <c r="I1816" s="45">
        <v>0</v>
      </c>
      <c r="J1816" s="45">
        <v>4</v>
      </c>
      <c r="K1816" s="45">
        <v>1</v>
      </c>
      <c r="L1816" s="45">
        <v>0</v>
      </c>
      <c r="M1816" s="45">
        <v>0</v>
      </c>
      <c r="N1816" s="45">
        <v>0</v>
      </c>
      <c r="O1816" s="45">
        <v>0</v>
      </c>
      <c r="P1816" s="102">
        <v>4.1699E-2</v>
      </c>
      <c r="Q1816" s="35" t="s">
        <v>154</v>
      </c>
    </row>
    <row r="1817" spans="1:17" ht="72" x14ac:dyDescent="0.25">
      <c r="A1817" s="108">
        <v>38847</v>
      </c>
      <c r="B1817" s="108">
        <v>38847</v>
      </c>
      <c r="C1817" s="99">
        <v>2006</v>
      </c>
      <c r="D1817" s="35" t="s">
        <v>28</v>
      </c>
      <c r="E1817" s="30" t="s">
        <v>133</v>
      </c>
      <c r="F1817" s="7" t="s">
        <v>40</v>
      </c>
      <c r="G1817" s="44" t="s">
        <v>830</v>
      </c>
      <c r="H1817" s="44" t="s">
        <v>2794</v>
      </c>
      <c r="I1817" s="45">
        <v>1</v>
      </c>
      <c r="J1817" s="45">
        <v>58</v>
      </c>
      <c r="K1817" s="45">
        <v>10</v>
      </c>
      <c r="L1817" s="45">
        <v>0</v>
      </c>
      <c r="M1817" s="45">
        <v>0</v>
      </c>
      <c r="N1817" s="45">
        <v>0</v>
      </c>
      <c r="O1817" s="45">
        <v>0</v>
      </c>
      <c r="P1817" s="102">
        <v>0.11627999999999999</v>
      </c>
      <c r="Q1817" s="35" t="s">
        <v>154</v>
      </c>
    </row>
    <row r="1818" spans="1:17" ht="36" x14ac:dyDescent="0.25">
      <c r="A1818" s="108">
        <v>38870</v>
      </c>
      <c r="B1818" s="108">
        <v>38870</v>
      </c>
      <c r="C1818" s="99">
        <v>2006</v>
      </c>
      <c r="D1818" s="35" t="s">
        <v>28</v>
      </c>
      <c r="E1818" s="30" t="s">
        <v>133</v>
      </c>
      <c r="F1818" s="7" t="s">
        <v>56</v>
      </c>
      <c r="G1818" s="44" t="s">
        <v>2795</v>
      </c>
      <c r="H1818" s="44" t="s">
        <v>2796</v>
      </c>
      <c r="I1818" s="45">
        <v>0</v>
      </c>
      <c r="J1818" s="45">
        <v>1</v>
      </c>
      <c r="K1818" s="45">
        <v>0</v>
      </c>
      <c r="L1818" s="45">
        <v>0</v>
      </c>
      <c r="M1818" s="45">
        <v>0</v>
      </c>
      <c r="N1818" s="45">
        <v>0</v>
      </c>
      <c r="O1818" s="45">
        <v>0</v>
      </c>
      <c r="P1818" s="102">
        <v>0</v>
      </c>
      <c r="Q1818" s="35" t="s">
        <v>154</v>
      </c>
    </row>
    <row r="1819" spans="1:17" ht="48" x14ac:dyDescent="0.25">
      <c r="A1819" s="108">
        <v>38882</v>
      </c>
      <c r="B1819" s="108">
        <v>38882</v>
      </c>
      <c r="C1819" s="99">
        <v>2006</v>
      </c>
      <c r="D1819" s="35" t="s">
        <v>28</v>
      </c>
      <c r="E1819" s="30" t="s">
        <v>133</v>
      </c>
      <c r="F1819" s="7" t="s">
        <v>60</v>
      </c>
      <c r="G1819" s="44" t="s">
        <v>2797</v>
      </c>
      <c r="H1819" s="44" t="s">
        <v>2798</v>
      </c>
      <c r="I1819" s="45">
        <v>2</v>
      </c>
      <c r="J1819" s="45">
        <v>10</v>
      </c>
      <c r="K1819" s="45">
        <v>1</v>
      </c>
      <c r="L1819" s="45">
        <v>0</v>
      </c>
      <c r="M1819" s="45">
        <v>0</v>
      </c>
      <c r="N1819" s="45">
        <v>0</v>
      </c>
      <c r="O1819" s="45">
        <v>0</v>
      </c>
      <c r="P1819" s="102">
        <v>1.1627999999999999E-2</v>
      </c>
      <c r="Q1819" s="35" t="s">
        <v>154</v>
      </c>
    </row>
    <row r="1820" spans="1:17" ht="24" x14ac:dyDescent="0.25">
      <c r="A1820" s="108">
        <v>38889</v>
      </c>
      <c r="B1820" s="108">
        <v>38889</v>
      </c>
      <c r="C1820" s="99">
        <v>2006</v>
      </c>
      <c r="D1820" s="35" t="s">
        <v>28</v>
      </c>
      <c r="E1820" s="30" t="s">
        <v>133</v>
      </c>
      <c r="F1820" s="7" t="s">
        <v>45</v>
      </c>
      <c r="G1820" s="44" t="s">
        <v>2799</v>
      </c>
      <c r="H1820" s="44" t="s">
        <v>2800</v>
      </c>
      <c r="I1820" s="45">
        <v>0</v>
      </c>
      <c r="J1820" s="45">
        <v>7</v>
      </c>
      <c r="K1820" s="45">
        <v>0</v>
      </c>
      <c r="L1820" s="45">
        <v>0</v>
      </c>
      <c r="M1820" s="45">
        <v>0</v>
      </c>
      <c r="N1820" s="45">
        <v>0</v>
      </c>
      <c r="O1820" s="45">
        <v>0</v>
      </c>
      <c r="P1820" s="102">
        <v>0</v>
      </c>
      <c r="Q1820" s="35" t="s">
        <v>154</v>
      </c>
    </row>
    <row r="1821" spans="1:17" ht="48" x14ac:dyDescent="0.25">
      <c r="A1821" s="108">
        <v>38896</v>
      </c>
      <c r="B1821" s="108">
        <v>38896</v>
      </c>
      <c r="C1821" s="99">
        <v>2006</v>
      </c>
      <c r="D1821" s="35" t="s">
        <v>28</v>
      </c>
      <c r="E1821" s="30" t="s">
        <v>133</v>
      </c>
      <c r="F1821" s="7" t="s">
        <v>53</v>
      </c>
      <c r="G1821" s="44" t="s">
        <v>1316</v>
      </c>
      <c r="H1821" s="44" t="s">
        <v>2801</v>
      </c>
      <c r="I1821" s="45">
        <v>0</v>
      </c>
      <c r="J1821" s="45">
        <v>25</v>
      </c>
      <c r="K1821" s="45">
        <v>0</v>
      </c>
      <c r="L1821" s="45">
        <v>0</v>
      </c>
      <c r="M1821" s="45">
        <v>0</v>
      </c>
      <c r="N1821" s="45">
        <v>0</v>
      </c>
      <c r="O1821" s="45">
        <v>0</v>
      </c>
      <c r="P1821" s="102">
        <v>0</v>
      </c>
      <c r="Q1821" s="35" t="s">
        <v>154</v>
      </c>
    </row>
    <row r="1822" spans="1:17" ht="36" x14ac:dyDescent="0.25">
      <c r="A1822" s="108">
        <v>38897</v>
      </c>
      <c r="B1822" s="108">
        <v>38897</v>
      </c>
      <c r="C1822" s="99">
        <v>2006</v>
      </c>
      <c r="D1822" s="35" t="s">
        <v>28</v>
      </c>
      <c r="E1822" s="30" t="s">
        <v>133</v>
      </c>
      <c r="F1822" s="7" t="s">
        <v>72</v>
      </c>
      <c r="G1822" s="109" t="s">
        <v>2802</v>
      </c>
      <c r="H1822" s="44" t="s">
        <v>2803</v>
      </c>
      <c r="I1822" s="45">
        <v>2</v>
      </c>
      <c r="J1822" s="45">
        <v>3</v>
      </c>
      <c r="K1822" s="45">
        <v>0</v>
      </c>
      <c r="L1822" s="45">
        <v>0</v>
      </c>
      <c r="M1822" s="45">
        <v>0</v>
      </c>
      <c r="N1822" s="45">
        <v>0</v>
      </c>
      <c r="O1822" s="45">
        <v>0</v>
      </c>
      <c r="P1822" s="102">
        <v>0</v>
      </c>
      <c r="Q1822" s="35" t="s">
        <v>154</v>
      </c>
    </row>
    <row r="1823" spans="1:17" ht="48" x14ac:dyDescent="0.25">
      <c r="A1823" s="108">
        <v>38909</v>
      </c>
      <c r="B1823" s="108">
        <v>38909</v>
      </c>
      <c r="C1823" s="99">
        <v>2006</v>
      </c>
      <c r="D1823" s="35" t="s">
        <v>28</v>
      </c>
      <c r="E1823" s="30" t="s">
        <v>133</v>
      </c>
      <c r="F1823" s="7" t="s">
        <v>68</v>
      </c>
      <c r="G1823" s="44" t="s">
        <v>1121</v>
      </c>
      <c r="H1823" s="44" t="s">
        <v>2804</v>
      </c>
      <c r="I1823" s="45">
        <v>1</v>
      </c>
      <c r="J1823" s="45">
        <v>1</v>
      </c>
      <c r="K1823" s="45">
        <v>0</v>
      </c>
      <c r="L1823" s="45">
        <v>0</v>
      </c>
      <c r="M1823" s="45">
        <v>0</v>
      </c>
      <c r="N1823" s="45">
        <v>0</v>
      </c>
      <c r="O1823" s="45">
        <v>0</v>
      </c>
      <c r="P1823" s="102">
        <v>0</v>
      </c>
      <c r="Q1823" s="35" t="s">
        <v>154</v>
      </c>
    </row>
    <row r="1824" spans="1:17" ht="36" x14ac:dyDescent="0.25">
      <c r="A1824" s="108">
        <v>38915</v>
      </c>
      <c r="B1824" s="108">
        <v>38915</v>
      </c>
      <c r="C1824" s="99">
        <v>2006</v>
      </c>
      <c r="D1824" s="35" t="s">
        <v>28</v>
      </c>
      <c r="E1824" s="30" t="s">
        <v>133</v>
      </c>
      <c r="F1824" s="7" t="s">
        <v>53</v>
      </c>
      <c r="G1824" s="44" t="s">
        <v>2805</v>
      </c>
      <c r="H1824" s="44" t="s">
        <v>2806</v>
      </c>
      <c r="I1824" s="45">
        <v>0</v>
      </c>
      <c r="J1824" s="45">
        <v>6</v>
      </c>
      <c r="K1824" s="45">
        <v>0</v>
      </c>
      <c r="L1824" s="45">
        <v>0</v>
      </c>
      <c r="M1824" s="45">
        <v>0</v>
      </c>
      <c r="N1824" s="45">
        <v>0</v>
      </c>
      <c r="O1824" s="45">
        <v>0</v>
      </c>
      <c r="P1824" s="102">
        <v>0</v>
      </c>
      <c r="Q1824" s="35" t="s">
        <v>154</v>
      </c>
    </row>
    <row r="1825" spans="1:17" ht="48" x14ac:dyDescent="0.25">
      <c r="A1825" s="108">
        <v>38919</v>
      </c>
      <c r="B1825" s="108">
        <v>38919</v>
      </c>
      <c r="C1825" s="99">
        <v>2006</v>
      </c>
      <c r="D1825" s="35" t="s">
        <v>28</v>
      </c>
      <c r="E1825" s="30" t="s">
        <v>133</v>
      </c>
      <c r="F1825" s="7" t="s">
        <v>56</v>
      </c>
      <c r="G1825" s="44" t="s">
        <v>646</v>
      </c>
      <c r="H1825" s="44" t="s">
        <v>2807</v>
      </c>
      <c r="I1825" s="45">
        <v>0</v>
      </c>
      <c r="J1825" s="45">
        <v>8</v>
      </c>
      <c r="K1825" s="45">
        <v>5</v>
      </c>
      <c r="L1825" s="45">
        <v>0</v>
      </c>
      <c r="M1825" s="45">
        <v>0</v>
      </c>
      <c r="N1825" s="45">
        <v>0</v>
      </c>
      <c r="O1825" s="45">
        <v>0</v>
      </c>
      <c r="P1825" s="102">
        <v>0.13014000000000001</v>
      </c>
      <c r="Q1825" s="35" t="s">
        <v>154</v>
      </c>
    </row>
    <row r="1826" spans="1:17" ht="36" x14ac:dyDescent="0.25">
      <c r="A1826" s="21">
        <v>38940</v>
      </c>
      <c r="B1826" s="21">
        <f t="shared" ref="B1826:B1836" si="2">A1826</f>
        <v>38940</v>
      </c>
      <c r="C1826" s="99">
        <v>2006</v>
      </c>
      <c r="D1826" s="35" t="s">
        <v>28</v>
      </c>
      <c r="E1826" s="30" t="s">
        <v>133</v>
      </c>
      <c r="F1826" s="7" t="s">
        <v>58</v>
      </c>
      <c r="G1826" s="44" t="s">
        <v>1582</v>
      </c>
      <c r="H1826" s="44" t="s">
        <v>2808</v>
      </c>
      <c r="I1826" s="45">
        <v>0</v>
      </c>
      <c r="J1826" s="45">
        <v>3</v>
      </c>
      <c r="K1826" s="45">
        <v>0</v>
      </c>
      <c r="L1826" s="45">
        <v>0</v>
      </c>
      <c r="M1826" s="45">
        <v>0</v>
      </c>
      <c r="N1826" s="45">
        <v>0</v>
      </c>
      <c r="O1826" s="45">
        <v>0</v>
      </c>
      <c r="P1826" s="102">
        <v>0</v>
      </c>
      <c r="Q1826" s="35" t="s">
        <v>154</v>
      </c>
    </row>
    <row r="1827" spans="1:17" ht="24" x14ac:dyDescent="0.25">
      <c r="A1827" s="21">
        <v>38946</v>
      </c>
      <c r="B1827" s="21">
        <f t="shared" si="2"/>
        <v>38946</v>
      </c>
      <c r="C1827" s="99">
        <v>2006</v>
      </c>
      <c r="D1827" s="35" t="s">
        <v>28</v>
      </c>
      <c r="E1827" s="30" t="s">
        <v>133</v>
      </c>
      <c r="F1827" s="7" t="s">
        <v>58</v>
      </c>
      <c r="G1827" s="44" t="s">
        <v>1582</v>
      </c>
      <c r="H1827" s="44" t="s">
        <v>2809</v>
      </c>
      <c r="I1827" s="45">
        <v>0</v>
      </c>
      <c r="J1827" s="45">
        <v>1</v>
      </c>
      <c r="K1827" s="45">
        <v>0</v>
      </c>
      <c r="L1827" s="45">
        <v>0</v>
      </c>
      <c r="M1827" s="45">
        <v>0</v>
      </c>
      <c r="N1827" s="45">
        <v>0</v>
      </c>
      <c r="O1827" s="45">
        <v>0</v>
      </c>
      <c r="P1827" s="102">
        <v>0</v>
      </c>
      <c r="Q1827" s="35" t="s">
        <v>154</v>
      </c>
    </row>
    <row r="1828" spans="1:17" ht="48" x14ac:dyDescent="0.25">
      <c r="A1828" s="21">
        <v>38947</v>
      </c>
      <c r="B1828" s="21">
        <f t="shared" si="2"/>
        <v>38947</v>
      </c>
      <c r="C1828" s="99">
        <v>2006</v>
      </c>
      <c r="D1828" s="35" t="s">
        <v>28</v>
      </c>
      <c r="E1828" s="30" t="s">
        <v>133</v>
      </c>
      <c r="F1828" s="7" t="s">
        <v>53</v>
      </c>
      <c r="G1828" s="44" t="s">
        <v>2776</v>
      </c>
      <c r="H1828" s="44" t="s">
        <v>2810</v>
      </c>
      <c r="I1828" s="45">
        <v>0</v>
      </c>
      <c r="J1828" s="45">
        <v>1</v>
      </c>
      <c r="K1828" s="45">
        <v>0</v>
      </c>
      <c r="L1828" s="45">
        <v>0</v>
      </c>
      <c r="M1828" s="45">
        <v>0</v>
      </c>
      <c r="N1828" s="45">
        <v>0</v>
      </c>
      <c r="O1828" s="45">
        <v>0</v>
      </c>
      <c r="P1828" s="102">
        <v>0.27</v>
      </c>
      <c r="Q1828" s="35" t="s">
        <v>154</v>
      </c>
    </row>
    <row r="1829" spans="1:17" ht="48" x14ac:dyDescent="0.25">
      <c r="A1829" s="21">
        <v>38958</v>
      </c>
      <c r="B1829" s="21">
        <f t="shared" si="2"/>
        <v>38958</v>
      </c>
      <c r="C1829" s="99">
        <v>2006</v>
      </c>
      <c r="D1829" s="35" t="s">
        <v>28</v>
      </c>
      <c r="E1829" s="30" t="s">
        <v>133</v>
      </c>
      <c r="F1829" s="7" t="s">
        <v>82</v>
      </c>
      <c r="G1829" s="44" t="s">
        <v>2811</v>
      </c>
      <c r="H1829" s="44" t="s">
        <v>2812</v>
      </c>
      <c r="I1829" s="45">
        <v>0</v>
      </c>
      <c r="J1829" s="45">
        <v>3</v>
      </c>
      <c r="K1829" s="45">
        <v>1</v>
      </c>
      <c r="L1829" s="45">
        <v>0</v>
      </c>
      <c r="M1829" s="45">
        <v>0</v>
      </c>
      <c r="N1829" s="45">
        <v>0</v>
      </c>
      <c r="O1829" s="45">
        <v>0</v>
      </c>
      <c r="P1829" s="102">
        <v>1.1627999999999999E-2</v>
      </c>
      <c r="Q1829" s="35" t="s">
        <v>154</v>
      </c>
    </row>
    <row r="1830" spans="1:17" ht="48" x14ac:dyDescent="0.25">
      <c r="A1830" s="21">
        <v>38981</v>
      </c>
      <c r="B1830" s="21">
        <f t="shared" si="2"/>
        <v>38981</v>
      </c>
      <c r="C1830" s="99">
        <v>2006</v>
      </c>
      <c r="D1830" s="35" t="s">
        <v>28</v>
      </c>
      <c r="E1830" s="30" t="s">
        <v>133</v>
      </c>
      <c r="F1830" s="7" t="s">
        <v>91</v>
      </c>
      <c r="G1830" s="44" t="s">
        <v>2315</v>
      </c>
      <c r="H1830" s="44" t="s">
        <v>2813</v>
      </c>
      <c r="I1830" s="45">
        <v>1</v>
      </c>
      <c r="J1830" s="45">
        <v>2</v>
      </c>
      <c r="K1830" s="45">
        <v>0</v>
      </c>
      <c r="L1830" s="45">
        <v>0</v>
      </c>
      <c r="M1830" s="45">
        <v>0</v>
      </c>
      <c r="N1830" s="45">
        <v>0</v>
      </c>
      <c r="O1830" s="45">
        <v>0</v>
      </c>
      <c r="P1830" s="102">
        <v>0.27</v>
      </c>
      <c r="Q1830" s="35" t="s">
        <v>154</v>
      </c>
    </row>
    <row r="1831" spans="1:17" ht="84" x14ac:dyDescent="0.25">
      <c r="A1831" s="21">
        <v>39007</v>
      </c>
      <c r="B1831" s="21">
        <f t="shared" si="2"/>
        <v>39007</v>
      </c>
      <c r="C1831" s="99">
        <v>2006</v>
      </c>
      <c r="D1831" s="35" t="s">
        <v>28</v>
      </c>
      <c r="E1831" s="30" t="s">
        <v>133</v>
      </c>
      <c r="F1831" s="28" t="s">
        <v>210</v>
      </c>
      <c r="G1831" s="44" t="s">
        <v>921</v>
      </c>
      <c r="H1831" s="109" t="s">
        <v>2814</v>
      </c>
      <c r="I1831" s="45">
        <v>7</v>
      </c>
      <c r="J1831" s="45">
        <v>20</v>
      </c>
      <c r="K1831" s="45">
        <v>0</v>
      </c>
      <c r="L1831" s="45">
        <v>0</v>
      </c>
      <c r="M1831" s="45">
        <v>0</v>
      </c>
      <c r="N1831" s="45">
        <v>0</v>
      </c>
      <c r="O1831" s="45">
        <v>0</v>
      </c>
      <c r="P1831" s="102">
        <v>0</v>
      </c>
      <c r="Q1831" s="35" t="s">
        <v>154</v>
      </c>
    </row>
    <row r="1832" spans="1:17" ht="36" x14ac:dyDescent="0.25">
      <c r="A1832" s="21">
        <v>39007</v>
      </c>
      <c r="B1832" s="21">
        <f t="shared" si="2"/>
        <v>39007</v>
      </c>
      <c r="C1832" s="99">
        <v>2006</v>
      </c>
      <c r="D1832" s="35" t="s">
        <v>28</v>
      </c>
      <c r="E1832" s="30" t="s">
        <v>133</v>
      </c>
      <c r="F1832" s="7" t="s">
        <v>53</v>
      </c>
      <c r="G1832" s="44" t="s">
        <v>2815</v>
      </c>
      <c r="H1832" s="109" t="s">
        <v>2816</v>
      </c>
      <c r="I1832" s="45">
        <v>4</v>
      </c>
      <c r="J1832" s="45">
        <v>7</v>
      </c>
      <c r="K1832" s="45">
        <v>0</v>
      </c>
      <c r="L1832" s="45">
        <v>0</v>
      </c>
      <c r="M1832" s="45">
        <v>0</v>
      </c>
      <c r="N1832" s="45">
        <v>0</v>
      </c>
      <c r="O1832" s="45">
        <v>0</v>
      </c>
      <c r="P1832" s="102">
        <v>0</v>
      </c>
      <c r="Q1832" s="35" t="s">
        <v>154</v>
      </c>
    </row>
    <row r="1833" spans="1:17" ht="36" x14ac:dyDescent="0.25">
      <c r="A1833" s="21">
        <v>39049</v>
      </c>
      <c r="B1833" s="21">
        <f t="shared" si="2"/>
        <v>39049</v>
      </c>
      <c r="C1833" s="99">
        <v>2006</v>
      </c>
      <c r="D1833" s="35" t="s">
        <v>28</v>
      </c>
      <c r="E1833" s="30" t="s">
        <v>133</v>
      </c>
      <c r="F1833" s="28" t="s">
        <v>160</v>
      </c>
      <c r="G1833" s="44" t="s">
        <v>2817</v>
      </c>
      <c r="H1833" s="44" t="s">
        <v>2818</v>
      </c>
      <c r="I1833" s="45">
        <v>0</v>
      </c>
      <c r="J1833" s="45">
        <v>1</v>
      </c>
      <c r="K1833" s="45">
        <v>0</v>
      </c>
      <c r="L1833" s="45">
        <v>0</v>
      </c>
      <c r="M1833" s="45">
        <v>0</v>
      </c>
      <c r="N1833" s="45">
        <v>0</v>
      </c>
      <c r="O1833" s="45">
        <v>0</v>
      </c>
      <c r="P1833" s="102">
        <v>0</v>
      </c>
      <c r="Q1833" s="35" t="s">
        <v>154</v>
      </c>
    </row>
    <row r="1834" spans="1:17" ht="24" x14ac:dyDescent="0.25">
      <c r="A1834" s="21">
        <v>39056</v>
      </c>
      <c r="B1834" s="21">
        <f t="shared" si="2"/>
        <v>39056</v>
      </c>
      <c r="C1834" s="99">
        <v>2006</v>
      </c>
      <c r="D1834" s="35" t="s">
        <v>28</v>
      </c>
      <c r="E1834" s="30" t="s">
        <v>133</v>
      </c>
      <c r="F1834" s="7" t="s">
        <v>97</v>
      </c>
      <c r="G1834" s="44" t="s">
        <v>489</v>
      </c>
      <c r="H1834" s="44" t="s">
        <v>2819</v>
      </c>
      <c r="I1834" s="45">
        <v>0</v>
      </c>
      <c r="J1834" s="45">
        <v>2</v>
      </c>
      <c r="K1834" s="45">
        <v>0</v>
      </c>
      <c r="L1834" s="45">
        <v>0</v>
      </c>
      <c r="M1834" s="45">
        <v>0</v>
      </c>
      <c r="N1834" s="45">
        <v>0</v>
      </c>
      <c r="O1834" s="45">
        <v>0</v>
      </c>
      <c r="P1834" s="102">
        <v>0</v>
      </c>
      <c r="Q1834" s="35" t="s">
        <v>154</v>
      </c>
    </row>
    <row r="1835" spans="1:17" ht="36" x14ac:dyDescent="0.25">
      <c r="A1835" s="21">
        <v>39065</v>
      </c>
      <c r="B1835" s="21">
        <f t="shared" si="2"/>
        <v>39065</v>
      </c>
      <c r="C1835" s="99">
        <v>2006</v>
      </c>
      <c r="D1835" s="35" t="s">
        <v>28</v>
      </c>
      <c r="E1835" s="30" t="s">
        <v>133</v>
      </c>
      <c r="F1835" s="7" t="s">
        <v>87</v>
      </c>
      <c r="G1835" s="44" t="s">
        <v>2608</v>
      </c>
      <c r="H1835" s="44" t="s">
        <v>2820</v>
      </c>
      <c r="I1835" s="45">
        <v>0</v>
      </c>
      <c r="J1835" s="45">
        <v>1</v>
      </c>
      <c r="K1835" s="45">
        <v>0</v>
      </c>
      <c r="L1835" s="45">
        <v>0</v>
      </c>
      <c r="M1835" s="45">
        <v>0</v>
      </c>
      <c r="N1835" s="45">
        <v>0</v>
      </c>
      <c r="O1835" s="45">
        <v>0</v>
      </c>
      <c r="P1835" s="102">
        <v>0.34200000000000003</v>
      </c>
      <c r="Q1835" s="35" t="s">
        <v>154</v>
      </c>
    </row>
    <row r="1836" spans="1:17" ht="36" x14ac:dyDescent="0.25">
      <c r="A1836" s="21">
        <v>39078</v>
      </c>
      <c r="B1836" s="21">
        <f t="shared" si="2"/>
        <v>39078</v>
      </c>
      <c r="C1836" s="99">
        <v>2006</v>
      </c>
      <c r="D1836" s="35" t="s">
        <v>28</v>
      </c>
      <c r="E1836" s="30" t="s">
        <v>133</v>
      </c>
      <c r="F1836" s="7" t="s">
        <v>53</v>
      </c>
      <c r="G1836" s="44" t="s">
        <v>20</v>
      </c>
      <c r="H1836" s="44" t="s">
        <v>2821</v>
      </c>
      <c r="I1836" s="45">
        <v>2</v>
      </c>
      <c r="J1836" s="45">
        <v>3</v>
      </c>
      <c r="K1836" s="45">
        <v>0</v>
      </c>
      <c r="L1836" s="45">
        <v>0</v>
      </c>
      <c r="M1836" s="45">
        <v>0</v>
      </c>
      <c r="N1836" s="45">
        <v>0</v>
      </c>
      <c r="O1836" s="45">
        <v>0</v>
      </c>
      <c r="P1836" s="102">
        <v>0</v>
      </c>
      <c r="Q1836" s="35" t="s">
        <v>154</v>
      </c>
    </row>
    <row r="1837" spans="1:17" ht="72" x14ac:dyDescent="0.25">
      <c r="A1837" s="108">
        <v>38745</v>
      </c>
      <c r="B1837" s="108">
        <v>38745</v>
      </c>
      <c r="C1837" s="99">
        <v>2006</v>
      </c>
      <c r="D1837" s="35" t="s">
        <v>28</v>
      </c>
      <c r="E1837" s="6" t="s">
        <v>369</v>
      </c>
      <c r="F1837" s="28" t="s">
        <v>160</v>
      </c>
      <c r="G1837" s="51" t="s">
        <v>2822</v>
      </c>
      <c r="H1837" s="104" t="s">
        <v>2823</v>
      </c>
      <c r="I1837" s="46">
        <v>0</v>
      </c>
      <c r="J1837" s="46">
        <v>0</v>
      </c>
      <c r="K1837" s="46">
        <v>0</v>
      </c>
      <c r="L1837" s="46">
        <v>0</v>
      </c>
      <c r="M1837" s="45">
        <v>0</v>
      </c>
      <c r="N1837" s="45">
        <v>0</v>
      </c>
      <c r="O1837" s="46">
        <v>0</v>
      </c>
      <c r="P1837" s="102">
        <v>0.27507999999999999</v>
      </c>
      <c r="Q1837" s="35" t="s">
        <v>154</v>
      </c>
    </row>
    <row r="1838" spans="1:17" ht="48" x14ac:dyDescent="0.25">
      <c r="A1838" s="108">
        <v>38753</v>
      </c>
      <c r="B1838" s="108">
        <v>38753</v>
      </c>
      <c r="C1838" s="99">
        <v>2006</v>
      </c>
      <c r="D1838" s="35" t="s">
        <v>28</v>
      </c>
      <c r="E1838" s="6" t="s">
        <v>369</v>
      </c>
      <c r="F1838" s="28" t="s">
        <v>160</v>
      </c>
      <c r="G1838" s="51" t="s">
        <v>2824</v>
      </c>
      <c r="H1838" s="51" t="s">
        <v>2825</v>
      </c>
      <c r="I1838" s="46">
        <v>0</v>
      </c>
      <c r="J1838" s="46">
        <v>1</v>
      </c>
      <c r="K1838" s="46">
        <v>0</v>
      </c>
      <c r="L1838" s="46">
        <v>0</v>
      </c>
      <c r="M1838" s="45">
        <v>0</v>
      </c>
      <c r="N1838" s="45">
        <v>0</v>
      </c>
      <c r="O1838" s="46">
        <v>0</v>
      </c>
      <c r="P1838" s="102">
        <v>7.0000000000000007E-2</v>
      </c>
      <c r="Q1838" s="35" t="s">
        <v>154</v>
      </c>
    </row>
    <row r="1839" spans="1:17" ht="36" x14ac:dyDescent="0.25">
      <c r="A1839" s="108">
        <v>38763</v>
      </c>
      <c r="B1839" s="108">
        <v>38763</v>
      </c>
      <c r="C1839" s="99">
        <v>2006</v>
      </c>
      <c r="D1839" s="35" t="s">
        <v>28</v>
      </c>
      <c r="E1839" s="6" t="s">
        <v>369</v>
      </c>
      <c r="F1839" s="28" t="s">
        <v>210</v>
      </c>
      <c r="G1839" s="51" t="s">
        <v>2826</v>
      </c>
      <c r="H1839" s="104" t="s">
        <v>2827</v>
      </c>
      <c r="I1839" s="46">
        <v>0</v>
      </c>
      <c r="J1839" s="46">
        <v>0</v>
      </c>
      <c r="K1839" s="46">
        <v>0</v>
      </c>
      <c r="L1839" s="46">
        <v>0</v>
      </c>
      <c r="M1839" s="45">
        <v>0</v>
      </c>
      <c r="N1839" s="45">
        <v>0</v>
      </c>
      <c r="O1839" s="46">
        <v>0</v>
      </c>
      <c r="P1839" s="102">
        <v>2.75E-2</v>
      </c>
      <c r="Q1839" s="35" t="s">
        <v>154</v>
      </c>
    </row>
    <row r="1840" spans="1:17" ht="60" x14ac:dyDescent="0.25">
      <c r="A1840" s="108">
        <v>38771</v>
      </c>
      <c r="B1840" s="108">
        <v>38771</v>
      </c>
      <c r="C1840" s="99">
        <v>2006</v>
      </c>
      <c r="D1840" s="35" t="s">
        <v>28</v>
      </c>
      <c r="E1840" s="6" t="s">
        <v>369</v>
      </c>
      <c r="F1840" s="28" t="s">
        <v>210</v>
      </c>
      <c r="G1840" s="51" t="s">
        <v>2828</v>
      </c>
      <c r="H1840" s="51" t="s">
        <v>2829</v>
      </c>
      <c r="I1840" s="46">
        <v>0</v>
      </c>
      <c r="J1840" s="46">
        <v>0</v>
      </c>
      <c r="K1840" s="46">
        <v>0</v>
      </c>
      <c r="L1840" s="46">
        <v>0</v>
      </c>
      <c r="M1840" s="45">
        <v>0</v>
      </c>
      <c r="N1840" s="45">
        <v>0</v>
      </c>
      <c r="O1840" s="46">
        <v>0</v>
      </c>
      <c r="P1840" s="102">
        <v>1.1363000000000001</v>
      </c>
      <c r="Q1840" s="35" t="s">
        <v>154</v>
      </c>
    </row>
    <row r="1841" spans="1:17" ht="48" x14ac:dyDescent="0.25">
      <c r="A1841" s="108">
        <v>38864</v>
      </c>
      <c r="B1841" s="108">
        <v>38864</v>
      </c>
      <c r="C1841" s="99">
        <v>2006</v>
      </c>
      <c r="D1841" s="35" t="s">
        <v>28</v>
      </c>
      <c r="E1841" s="6" t="s">
        <v>369</v>
      </c>
      <c r="F1841" s="7" t="s">
        <v>36</v>
      </c>
      <c r="G1841" s="104" t="s">
        <v>1830</v>
      </c>
      <c r="H1841" s="51" t="s">
        <v>2830</v>
      </c>
      <c r="I1841" s="46">
        <v>0</v>
      </c>
      <c r="J1841" s="46">
        <v>0</v>
      </c>
      <c r="K1841" s="46">
        <v>0</v>
      </c>
      <c r="L1841" s="46">
        <v>0</v>
      </c>
      <c r="M1841" s="45">
        <v>0</v>
      </c>
      <c r="N1841" s="45">
        <v>0</v>
      </c>
      <c r="O1841" s="46">
        <v>0</v>
      </c>
      <c r="P1841" s="102">
        <v>9.3200000000000005E-2</v>
      </c>
      <c r="Q1841" s="35" t="s">
        <v>154</v>
      </c>
    </row>
    <row r="1842" spans="1:17" ht="48" x14ac:dyDescent="0.25">
      <c r="A1842" s="108">
        <v>38872</v>
      </c>
      <c r="B1842" s="108">
        <v>38872</v>
      </c>
      <c r="C1842" s="99">
        <v>2006</v>
      </c>
      <c r="D1842" s="35" t="s">
        <v>28</v>
      </c>
      <c r="E1842" s="6" t="s">
        <v>369</v>
      </c>
      <c r="F1842" s="7" t="s">
        <v>91</v>
      </c>
      <c r="G1842" s="51" t="s">
        <v>2321</v>
      </c>
      <c r="H1842" s="51" t="s">
        <v>2831</v>
      </c>
      <c r="I1842" s="46">
        <v>0</v>
      </c>
      <c r="J1842" s="46">
        <v>0</v>
      </c>
      <c r="K1842" s="46">
        <v>0</v>
      </c>
      <c r="L1842" s="46">
        <v>0</v>
      </c>
      <c r="M1842" s="45">
        <v>0</v>
      </c>
      <c r="N1842" s="45">
        <v>0</v>
      </c>
      <c r="O1842" s="46">
        <v>0</v>
      </c>
      <c r="P1842" s="102">
        <v>6.87</v>
      </c>
      <c r="Q1842" s="35" t="s">
        <v>154</v>
      </c>
    </row>
    <row r="1843" spans="1:17" ht="72" x14ac:dyDescent="0.25">
      <c r="A1843" s="108">
        <v>38890</v>
      </c>
      <c r="B1843" s="108">
        <v>38890</v>
      </c>
      <c r="C1843" s="99">
        <v>2006</v>
      </c>
      <c r="D1843" s="35" t="s">
        <v>28</v>
      </c>
      <c r="E1843" s="6" t="s">
        <v>369</v>
      </c>
      <c r="F1843" s="7" t="s">
        <v>60</v>
      </c>
      <c r="G1843" s="51" t="s">
        <v>908</v>
      </c>
      <c r="H1843" s="104" t="s">
        <v>2832</v>
      </c>
      <c r="I1843" s="46">
        <v>0</v>
      </c>
      <c r="J1843" s="46">
        <v>64</v>
      </c>
      <c r="K1843" s="46">
        <v>0</v>
      </c>
      <c r="L1843" s="46">
        <v>0</v>
      </c>
      <c r="M1843" s="45">
        <v>0</v>
      </c>
      <c r="N1843" s="45">
        <v>0</v>
      </c>
      <c r="O1843" s="46">
        <v>0</v>
      </c>
      <c r="P1843" s="102">
        <v>0</v>
      </c>
      <c r="Q1843" s="35" t="s">
        <v>154</v>
      </c>
    </row>
    <row r="1844" spans="1:17" ht="36" x14ac:dyDescent="0.25">
      <c r="A1844" s="21">
        <v>38904</v>
      </c>
      <c r="B1844" s="21">
        <f>A1844</f>
        <v>38904</v>
      </c>
      <c r="C1844" s="99">
        <v>2006</v>
      </c>
      <c r="D1844" s="35" t="s">
        <v>28</v>
      </c>
      <c r="E1844" s="6" t="s">
        <v>369</v>
      </c>
      <c r="F1844" s="25" t="s">
        <v>781</v>
      </c>
      <c r="G1844" s="51" t="s">
        <v>2337</v>
      </c>
      <c r="H1844" s="51" t="s">
        <v>2833</v>
      </c>
      <c r="I1844" s="46">
        <v>0</v>
      </c>
      <c r="J1844" s="46">
        <v>0</v>
      </c>
      <c r="K1844" s="46">
        <v>0</v>
      </c>
      <c r="L1844" s="46">
        <v>0</v>
      </c>
      <c r="M1844" s="45">
        <v>0</v>
      </c>
      <c r="N1844" s="45">
        <v>0</v>
      </c>
      <c r="O1844" s="46">
        <v>0</v>
      </c>
      <c r="P1844" s="102">
        <v>1.65E-3</v>
      </c>
      <c r="Q1844" s="35" t="s">
        <v>154</v>
      </c>
    </row>
    <row r="1845" spans="1:17" ht="48" x14ac:dyDescent="0.25">
      <c r="A1845" s="108">
        <v>38909</v>
      </c>
      <c r="B1845" s="108">
        <v>38909</v>
      </c>
      <c r="C1845" s="99">
        <v>2006</v>
      </c>
      <c r="D1845" s="35" t="s">
        <v>28</v>
      </c>
      <c r="E1845" s="6" t="s">
        <v>369</v>
      </c>
      <c r="F1845" s="7" t="s">
        <v>87</v>
      </c>
      <c r="G1845" s="51" t="s">
        <v>2608</v>
      </c>
      <c r="H1845" s="51" t="s">
        <v>2834</v>
      </c>
      <c r="I1845" s="46">
        <v>0</v>
      </c>
      <c r="J1845" s="46">
        <v>5</v>
      </c>
      <c r="K1845" s="46">
        <v>0</v>
      </c>
      <c r="L1845" s="46">
        <v>0</v>
      </c>
      <c r="M1845" s="45">
        <v>0</v>
      </c>
      <c r="N1845" s="45">
        <v>0</v>
      </c>
      <c r="O1845" s="46">
        <v>0</v>
      </c>
      <c r="P1845" s="102">
        <v>0</v>
      </c>
      <c r="Q1845" s="35" t="s">
        <v>154</v>
      </c>
    </row>
    <row r="1846" spans="1:17" ht="36" x14ac:dyDescent="0.25">
      <c r="A1846" s="21">
        <v>38945</v>
      </c>
      <c r="B1846" s="21">
        <f>A1846</f>
        <v>38945</v>
      </c>
      <c r="C1846" s="99">
        <v>2006</v>
      </c>
      <c r="D1846" s="35" t="s">
        <v>28</v>
      </c>
      <c r="E1846" s="6" t="s">
        <v>369</v>
      </c>
      <c r="F1846" s="28" t="s">
        <v>210</v>
      </c>
      <c r="G1846" s="51" t="s">
        <v>210</v>
      </c>
      <c r="H1846" s="104" t="s">
        <v>2835</v>
      </c>
      <c r="I1846" s="46">
        <v>0</v>
      </c>
      <c r="J1846" s="46">
        <v>0</v>
      </c>
      <c r="K1846" s="46">
        <v>0</v>
      </c>
      <c r="L1846" s="46">
        <v>0</v>
      </c>
      <c r="M1846" s="45">
        <v>0</v>
      </c>
      <c r="N1846" s="45">
        <v>0</v>
      </c>
      <c r="O1846" s="46">
        <v>0</v>
      </c>
      <c r="P1846" s="102">
        <v>2.3999999999999998E-3</v>
      </c>
      <c r="Q1846" s="35" t="s">
        <v>154</v>
      </c>
    </row>
    <row r="1847" spans="1:17" ht="36" x14ac:dyDescent="0.25">
      <c r="A1847" s="21">
        <v>39014</v>
      </c>
      <c r="B1847" s="21">
        <f>A1847</f>
        <v>39014</v>
      </c>
      <c r="C1847" s="99">
        <v>2006</v>
      </c>
      <c r="D1847" s="35" t="s">
        <v>28</v>
      </c>
      <c r="E1847" s="6" t="s">
        <v>369</v>
      </c>
      <c r="F1847" s="7" t="s">
        <v>56</v>
      </c>
      <c r="G1847" s="51" t="s">
        <v>1160</v>
      </c>
      <c r="H1847" s="51" t="s">
        <v>2836</v>
      </c>
      <c r="I1847" s="46">
        <v>0</v>
      </c>
      <c r="J1847" s="46">
        <v>0</v>
      </c>
      <c r="K1847" s="46">
        <v>0</v>
      </c>
      <c r="L1847" s="46">
        <v>0</v>
      </c>
      <c r="M1847" s="45">
        <v>0</v>
      </c>
      <c r="N1847" s="45">
        <v>0</v>
      </c>
      <c r="O1847" s="46">
        <v>0</v>
      </c>
      <c r="P1847" s="102">
        <v>7.1999999999999995E-2</v>
      </c>
      <c r="Q1847" s="35" t="s">
        <v>154</v>
      </c>
    </row>
    <row r="1848" spans="1:17" ht="36" x14ac:dyDescent="0.25">
      <c r="A1848" s="21">
        <v>38762</v>
      </c>
      <c r="B1848" s="21">
        <v>38762</v>
      </c>
      <c r="C1848" s="99">
        <v>2006</v>
      </c>
      <c r="D1848" s="35" t="s">
        <v>28</v>
      </c>
      <c r="E1848" s="30" t="s">
        <v>125</v>
      </c>
      <c r="F1848" s="28" t="s">
        <v>210</v>
      </c>
      <c r="G1848" s="44" t="s">
        <v>921</v>
      </c>
      <c r="H1848" s="44" t="s">
        <v>2837</v>
      </c>
      <c r="I1848" s="45">
        <v>2</v>
      </c>
      <c r="J1848" s="45">
        <v>2</v>
      </c>
      <c r="K1848" s="45">
        <v>0</v>
      </c>
      <c r="L1848" s="45">
        <v>0</v>
      </c>
      <c r="M1848" s="45">
        <v>0</v>
      </c>
      <c r="N1848" s="45">
        <v>0</v>
      </c>
      <c r="O1848" s="45">
        <v>0</v>
      </c>
      <c r="P1848" s="102">
        <v>0</v>
      </c>
      <c r="Q1848" s="35" t="s">
        <v>154</v>
      </c>
    </row>
    <row r="1849" spans="1:17" ht="48" x14ac:dyDescent="0.25">
      <c r="A1849" s="21">
        <v>38783</v>
      </c>
      <c r="B1849" s="21">
        <v>38783</v>
      </c>
      <c r="C1849" s="99">
        <v>2006</v>
      </c>
      <c r="D1849" s="35" t="s">
        <v>28</v>
      </c>
      <c r="E1849" s="30" t="s">
        <v>125</v>
      </c>
      <c r="F1849" s="7" t="s">
        <v>65</v>
      </c>
      <c r="G1849" s="44" t="s">
        <v>1632</v>
      </c>
      <c r="H1849" s="44" t="s">
        <v>2838</v>
      </c>
      <c r="I1849" s="45">
        <v>0</v>
      </c>
      <c r="J1849" s="45">
        <v>1</v>
      </c>
      <c r="K1849" s="45">
        <v>0</v>
      </c>
      <c r="L1849" s="45">
        <v>0</v>
      </c>
      <c r="M1849" s="45">
        <v>0</v>
      </c>
      <c r="N1849" s="45">
        <v>0</v>
      </c>
      <c r="O1849" s="45">
        <v>0</v>
      </c>
      <c r="P1849" s="102">
        <v>0</v>
      </c>
      <c r="Q1849" s="35" t="s">
        <v>154</v>
      </c>
    </row>
    <row r="1850" spans="1:17" ht="36" x14ac:dyDescent="0.25">
      <c r="A1850" s="21">
        <v>38884</v>
      </c>
      <c r="B1850" s="21">
        <v>38884</v>
      </c>
      <c r="C1850" s="99">
        <v>2006</v>
      </c>
      <c r="D1850" s="35" t="s">
        <v>28</v>
      </c>
      <c r="E1850" s="30" t="s">
        <v>125</v>
      </c>
      <c r="F1850" s="7" t="s">
        <v>91</v>
      </c>
      <c r="G1850" s="44" t="s">
        <v>2321</v>
      </c>
      <c r="H1850" s="44" t="s">
        <v>2839</v>
      </c>
      <c r="I1850" s="45">
        <v>0</v>
      </c>
      <c r="J1850" s="45">
        <v>450</v>
      </c>
      <c r="K1850" s="45">
        <v>0</v>
      </c>
      <c r="L1850" s="45">
        <v>0</v>
      </c>
      <c r="M1850" s="45">
        <v>0</v>
      </c>
      <c r="N1850" s="45">
        <v>0</v>
      </c>
      <c r="O1850" s="45">
        <v>0</v>
      </c>
      <c r="P1850" s="102">
        <v>0</v>
      </c>
      <c r="Q1850" s="35" t="s">
        <v>154</v>
      </c>
    </row>
    <row r="1851" spans="1:17" ht="36" x14ac:dyDescent="0.25">
      <c r="A1851" s="21">
        <v>38893</v>
      </c>
      <c r="B1851" s="21">
        <f>A1851</f>
        <v>38893</v>
      </c>
      <c r="C1851" s="99">
        <v>2006</v>
      </c>
      <c r="D1851" s="35" t="s">
        <v>28</v>
      </c>
      <c r="E1851" s="30" t="s">
        <v>125</v>
      </c>
      <c r="F1851" s="25" t="s">
        <v>781</v>
      </c>
      <c r="G1851" s="44" t="s">
        <v>2840</v>
      </c>
      <c r="H1851" s="44" t="s">
        <v>2841</v>
      </c>
      <c r="I1851" s="45">
        <v>0</v>
      </c>
      <c r="J1851" s="45">
        <v>0</v>
      </c>
      <c r="K1851" s="45">
        <v>0</v>
      </c>
      <c r="L1851" s="45">
        <v>0</v>
      </c>
      <c r="M1851" s="45">
        <v>0</v>
      </c>
      <c r="N1851" s="45">
        <v>0</v>
      </c>
      <c r="O1851" s="45">
        <v>1.2</v>
      </c>
      <c r="P1851" s="102">
        <v>0</v>
      </c>
      <c r="Q1851" s="35" t="s">
        <v>154</v>
      </c>
    </row>
    <row r="1852" spans="1:17" ht="36" x14ac:dyDescent="0.25">
      <c r="A1852" s="21">
        <v>38907</v>
      </c>
      <c r="B1852" s="21">
        <v>38907</v>
      </c>
      <c r="C1852" s="99">
        <v>2006</v>
      </c>
      <c r="D1852" s="35" t="s">
        <v>28</v>
      </c>
      <c r="E1852" s="30" t="s">
        <v>125</v>
      </c>
      <c r="F1852" s="25" t="s">
        <v>781</v>
      </c>
      <c r="G1852" s="44" t="s">
        <v>2842</v>
      </c>
      <c r="H1852" s="44" t="s">
        <v>2843</v>
      </c>
      <c r="I1852" s="45">
        <v>0</v>
      </c>
      <c r="J1852" s="45">
        <v>0</v>
      </c>
      <c r="K1852" s="45">
        <v>0</v>
      </c>
      <c r="L1852" s="45">
        <v>0</v>
      </c>
      <c r="M1852" s="45">
        <v>0</v>
      </c>
      <c r="N1852" s="45">
        <v>0</v>
      </c>
      <c r="O1852" s="45">
        <v>0</v>
      </c>
      <c r="P1852" s="102">
        <v>2.1999999999999999E-2</v>
      </c>
      <c r="Q1852" s="35" t="s">
        <v>154</v>
      </c>
    </row>
    <row r="1853" spans="1:17" ht="72" x14ac:dyDescent="0.25">
      <c r="A1853" s="21">
        <v>38918</v>
      </c>
      <c r="B1853" s="21">
        <f>A1853</f>
        <v>38918</v>
      </c>
      <c r="C1853" s="99">
        <v>2006</v>
      </c>
      <c r="D1853" s="35" t="s">
        <v>28</v>
      </c>
      <c r="E1853" s="30" t="s">
        <v>125</v>
      </c>
      <c r="F1853" s="7" t="s">
        <v>84</v>
      </c>
      <c r="G1853" s="44" t="s">
        <v>2844</v>
      </c>
      <c r="H1853" s="44" t="s">
        <v>2845</v>
      </c>
      <c r="I1853" s="45">
        <v>0</v>
      </c>
      <c r="J1853" s="45">
        <v>250</v>
      </c>
      <c r="K1853" s="45">
        <v>0</v>
      </c>
      <c r="L1853" s="45">
        <v>0</v>
      </c>
      <c r="M1853" s="45">
        <v>0</v>
      </c>
      <c r="N1853" s="45">
        <v>0</v>
      </c>
      <c r="O1853" s="45">
        <v>0</v>
      </c>
      <c r="P1853" s="102">
        <v>0</v>
      </c>
      <c r="Q1853" s="35" t="s">
        <v>154</v>
      </c>
    </row>
    <row r="1854" spans="1:17" ht="84" x14ac:dyDescent="0.25">
      <c r="A1854" s="21">
        <v>38953</v>
      </c>
      <c r="B1854" s="21">
        <f>A1854</f>
        <v>38953</v>
      </c>
      <c r="C1854" s="99">
        <v>2006</v>
      </c>
      <c r="D1854" s="35" t="s">
        <v>28</v>
      </c>
      <c r="E1854" s="30" t="s">
        <v>125</v>
      </c>
      <c r="F1854" s="7" t="s">
        <v>84</v>
      </c>
      <c r="G1854" s="44" t="s">
        <v>2846</v>
      </c>
      <c r="H1854" s="109" t="s">
        <v>2847</v>
      </c>
      <c r="I1854" s="45">
        <v>1</v>
      </c>
      <c r="J1854" s="100">
        <v>1559</v>
      </c>
      <c r="K1854" s="45">
        <v>0</v>
      </c>
      <c r="L1854" s="45">
        <v>0</v>
      </c>
      <c r="M1854" s="45">
        <v>0</v>
      </c>
      <c r="N1854" s="45">
        <v>0</v>
      </c>
      <c r="O1854" s="45">
        <v>0</v>
      </c>
      <c r="P1854" s="102">
        <v>0</v>
      </c>
      <c r="Q1854" s="35" t="s">
        <v>154</v>
      </c>
    </row>
    <row r="1855" spans="1:17" ht="48" x14ac:dyDescent="0.25">
      <c r="A1855" s="21">
        <v>39044</v>
      </c>
      <c r="B1855" s="21">
        <f>A1855</f>
        <v>39044</v>
      </c>
      <c r="C1855" s="99">
        <v>2006</v>
      </c>
      <c r="D1855" s="35" t="s">
        <v>28</v>
      </c>
      <c r="E1855" s="30" t="s">
        <v>125</v>
      </c>
      <c r="F1855" s="28" t="s">
        <v>157</v>
      </c>
      <c r="G1855" s="44" t="s">
        <v>1062</v>
      </c>
      <c r="H1855" s="44" t="s">
        <v>2848</v>
      </c>
      <c r="I1855" s="45">
        <v>0</v>
      </c>
      <c r="J1855" s="45">
        <v>20</v>
      </c>
      <c r="K1855" s="45">
        <v>0</v>
      </c>
      <c r="L1855" s="45">
        <v>0</v>
      </c>
      <c r="M1855" s="45">
        <v>0</v>
      </c>
      <c r="N1855" s="45">
        <v>0</v>
      </c>
      <c r="O1855" s="45">
        <v>0</v>
      </c>
      <c r="P1855" s="102">
        <v>0</v>
      </c>
      <c r="Q1855" s="35" t="s">
        <v>154</v>
      </c>
    </row>
    <row r="1856" spans="1:17" ht="60" x14ac:dyDescent="0.25">
      <c r="A1856" s="108">
        <v>38718</v>
      </c>
      <c r="B1856" s="108">
        <v>38718</v>
      </c>
      <c r="C1856" s="99">
        <v>2006</v>
      </c>
      <c r="D1856" s="35" t="s">
        <v>28</v>
      </c>
      <c r="E1856" s="6" t="s">
        <v>149</v>
      </c>
      <c r="F1856" s="7" t="s">
        <v>53</v>
      </c>
      <c r="G1856" s="51" t="s">
        <v>847</v>
      </c>
      <c r="H1856" s="110" t="s">
        <v>2849</v>
      </c>
      <c r="I1856" s="99">
        <v>0</v>
      </c>
      <c r="J1856" s="99">
        <v>100</v>
      </c>
      <c r="K1856" s="99">
        <v>0</v>
      </c>
      <c r="L1856" s="43">
        <v>0</v>
      </c>
      <c r="M1856" s="45">
        <v>0</v>
      </c>
      <c r="N1856" s="45">
        <v>0</v>
      </c>
      <c r="O1856" s="46">
        <v>0</v>
      </c>
      <c r="P1856" s="102">
        <v>0</v>
      </c>
      <c r="Q1856" s="35" t="s">
        <v>154</v>
      </c>
    </row>
    <row r="1857" spans="1:17" ht="36" x14ac:dyDescent="0.25">
      <c r="A1857" s="108">
        <v>38722</v>
      </c>
      <c r="B1857" s="108">
        <v>38722</v>
      </c>
      <c r="C1857" s="99">
        <v>2006</v>
      </c>
      <c r="D1857" s="35" t="s">
        <v>28</v>
      </c>
      <c r="E1857" s="6" t="s">
        <v>149</v>
      </c>
      <c r="F1857" s="7" t="s">
        <v>62</v>
      </c>
      <c r="G1857" s="51" t="s">
        <v>165</v>
      </c>
      <c r="H1857" s="110" t="s">
        <v>2850</v>
      </c>
      <c r="I1857" s="99">
        <v>0</v>
      </c>
      <c r="J1857" s="99">
        <v>75</v>
      </c>
      <c r="K1857" s="99">
        <v>15</v>
      </c>
      <c r="L1857" s="43">
        <v>0</v>
      </c>
      <c r="M1857" s="45">
        <v>0</v>
      </c>
      <c r="N1857" s="45">
        <v>0</v>
      </c>
      <c r="O1857" s="46">
        <v>0</v>
      </c>
      <c r="P1857" s="102">
        <v>0.62548499999999996</v>
      </c>
      <c r="Q1857" s="35" t="s">
        <v>154</v>
      </c>
    </row>
    <row r="1858" spans="1:17" ht="48" x14ac:dyDescent="0.25">
      <c r="A1858" s="108">
        <v>38724</v>
      </c>
      <c r="B1858" s="108">
        <v>38724</v>
      </c>
      <c r="C1858" s="99">
        <v>2006</v>
      </c>
      <c r="D1858" s="35" t="s">
        <v>28</v>
      </c>
      <c r="E1858" s="6" t="s">
        <v>149</v>
      </c>
      <c r="F1858" s="7" t="s">
        <v>56</v>
      </c>
      <c r="G1858" s="51" t="s">
        <v>358</v>
      </c>
      <c r="H1858" s="110" t="s">
        <v>2851</v>
      </c>
      <c r="I1858" s="99">
        <v>0</v>
      </c>
      <c r="J1858" s="99">
        <v>2</v>
      </c>
      <c r="K1858" s="99">
        <v>0</v>
      </c>
      <c r="L1858" s="43">
        <v>0</v>
      </c>
      <c r="M1858" s="45">
        <v>0</v>
      </c>
      <c r="N1858" s="45">
        <v>0</v>
      </c>
      <c r="O1858" s="46">
        <v>0</v>
      </c>
      <c r="P1858" s="102">
        <v>0</v>
      </c>
      <c r="Q1858" s="35" t="s">
        <v>154</v>
      </c>
    </row>
    <row r="1859" spans="1:17" ht="48" x14ac:dyDescent="0.25">
      <c r="A1859" s="108">
        <v>38726</v>
      </c>
      <c r="B1859" s="108">
        <v>38726</v>
      </c>
      <c r="C1859" s="99">
        <v>2006</v>
      </c>
      <c r="D1859" s="35" t="s">
        <v>28</v>
      </c>
      <c r="E1859" s="6" t="s">
        <v>149</v>
      </c>
      <c r="F1859" s="7" t="s">
        <v>68</v>
      </c>
      <c r="G1859" s="51" t="s">
        <v>2852</v>
      </c>
      <c r="H1859" s="110" t="s">
        <v>2853</v>
      </c>
      <c r="I1859" s="99">
        <v>0</v>
      </c>
      <c r="J1859" s="99">
        <v>2</v>
      </c>
      <c r="K1859" s="99">
        <v>0</v>
      </c>
      <c r="L1859" s="43">
        <v>0</v>
      </c>
      <c r="M1859" s="45">
        <v>0</v>
      </c>
      <c r="N1859" s="45">
        <v>0</v>
      </c>
      <c r="O1859" s="46">
        <v>0</v>
      </c>
      <c r="P1859" s="102">
        <v>0</v>
      </c>
      <c r="Q1859" s="35" t="s">
        <v>154</v>
      </c>
    </row>
    <row r="1860" spans="1:17" ht="72" x14ac:dyDescent="0.25">
      <c r="A1860" s="108">
        <v>38727</v>
      </c>
      <c r="B1860" s="108">
        <v>38727</v>
      </c>
      <c r="C1860" s="99">
        <v>2006</v>
      </c>
      <c r="D1860" s="35" t="s">
        <v>28</v>
      </c>
      <c r="E1860" s="6" t="s">
        <v>149</v>
      </c>
      <c r="F1860" s="28" t="s">
        <v>210</v>
      </c>
      <c r="G1860" s="51" t="s">
        <v>2854</v>
      </c>
      <c r="H1860" s="110" t="s">
        <v>2855</v>
      </c>
      <c r="I1860" s="99">
        <v>6</v>
      </c>
      <c r="J1860" s="99">
        <v>8</v>
      </c>
      <c r="K1860" s="99">
        <v>1</v>
      </c>
      <c r="L1860" s="43">
        <v>0</v>
      </c>
      <c r="M1860" s="45">
        <v>0</v>
      </c>
      <c r="N1860" s="45">
        <v>0</v>
      </c>
      <c r="O1860" s="46">
        <v>0</v>
      </c>
      <c r="P1860" s="102">
        <v>4.1699E-2</v>
      </c>
      <c r="Q1860" s="35" t="s">
        <v>154</v>
      </c>
    </row>
    <row r="1861" spans="1:17" ht="84" x14ac:dyDescent="0.25">
      <c r="A1861" s="108">
        <v>38732</v>
      </c>
      <c r="B1861" s="108">
        <v>38732</v>
      </c>
      <c r="C1861" s="99">
        <v>2006</v>
      </c>
      <c r="D1861" s="35" t="s">
        <v>28</v>
      </c>
      <c r="E1861" s="6" t="s">
        <v>149</v>
      </c>
      <c r="F1861" s="7" t="s">
        <v>65</v>
      </c>
      <c r="G1861" s="51" t="s">
        <v>1632</v>
      </c>
      <c r="H1861" s="110" t="s">
        <v>2856</v>
      </c>
      <c r="I1861" s="99">
        <v>0</v>
      </c>
      <c r="J1861" s="99">
        <v>0</v>
      </c>
      <c r="K1861" s="99">
        <v>0</v>
      </c>
      <c r="L1861" s="43">
        <v>0</v>
      </c>
      <c r="M1861" s="45">
        <v>0</v>
      </c>
      <c r="N1861" s="45">
        <v>0</v>
      </c>
      <c r="O1861" s="46">
        <v>0</v>
      </c>
      <c r="P1861" s="102">
        <v>0</v>
      </c>
      <c r="Q1861" s="35" t="s">
        <v>154</v>
      </c>
    </row>
    <row r="1862" spans="1:17" ht="24" x14ac:dyDescent="0.25">
      <c r="A1862" s="108">
        <v>38746</v>
      </c>
      <c r="B1862" s="108">
        <v>38746</v>
      </c>
      <c r="C1862" s="99">
        <v>2006</v>
      </c>
      <c r="D1862" s="35" t="s">
        <v>28</v>
      </c>
      <c r="E1862" s="6" t="s">
        <v>149</v>
      </c>
      <c r="F1862" s="7" t="s">
        <v>91</v>
      </c>
      <c r="G1862" s="51" t="s">
        <v>2857</v>
      </c>
      <c r="H1862" s="51" t="s">
        <v>2858</v>
      </c>
      <c r="I1862" s="99">
        <v>0</v>
      </c>
      <c r="J1862" s="99">
        <v>0</v>
      </c>
      <c r="K1862" s="99">
        <v>0</v>
      </c>
      <c r="L1862" s="99">
        <v>0</v>
      </c>
      <c r="M1862" s="45">
        <v>0</v>
      </c>
      <c r="N1862" s="45">
        <v>0</v>
      </c>
      <c r="O1862" s="43">
        <v>0</v>
      </c>
      <c r="P1862" s="102">
        <v>0</v>
      </c>
      <c r="Q1862" s="35" t="s">
        <v>154</v>
      </c>
    </row>
    <row r="1863" spans="1:17" ht="72" x14ac:dyDescent="0.25">
      <c r="A1863" s="108">
        <v>38756</v>
      </c>
      <c r="B1863" s="108">
        <v>38756</v>
      </c>
      <c r="C1863" s="99">
        <v>2006</v>
      </c>
      <c r="D1863" s="35" t="s">
        <v>28</v>
      </c>
      <c r="E1863" s="6" t="s">
        <v>149</v>
      </c>
      <c r="F1863" s="7" t="s">
        <v>30</v>
      </c>
      <c r="G1863" s="51" t="s">
        <v>1078</v>
      </c>
      <c r="H1863" s="104" t="s">
        <v>2859</v>
      </c>
      <c r="I1863" s="99">
        <v>0</v>
      </c>
      <c r="J1863" s="99">
        <v>262</v>
      </c>
      <c r="K1863" s="99">
        <v>60</v>
      </c>
      <c r="L1863" s="99">
        <v>0</v>
      </c>
      <c r="M1863" s="45">
        <v>0</v>
      </c>
      <c r="N1863" s="45">
        <v>0</v>
      </c>
      <c r="O1863" s="43">
        <v>0</v>
      </c>
      <c r="P1863" s="102">
        <v>2.5019399999999998</v>
      </c>
      <c r="Q1863" s="35" t="s">
        <v>154</v>
      </c>
    </row>
    <row r="1864" spans="1:17" ht="84" x14ac:dyDescent="0.25">
      <c r="A1864" s="108">
        <v>38767</v>
      </c>
      <c r="B1864" s="108">
        <v>38767</v>
      </c>
      <c r="C1864" s="99">
        <v>2006</v>
      </c>
      <c r="D1864" s="35" t="s">
        <v>28</v>
      </c>
      <c r="E1864" s="6" t="s">
        <v>149</v>
      </c>
      <c r="F1864" s="28" t="s">
        <v>157</v>
      </c>
      <c r="G1864" s="25" t="s">
        <v>1062</v>
      </c>
      <c r="H1864" s="29" t="s">
        <v>2860</v>
      </c>
      <c r="I1864" s="46">
        <v>0</v>
      </c>
      <c r="J1864" s="46">
        <v>18</v>
      </c>
      <c r="K1864" s="46" t="s">
        <v>2861</v>
      </c>
      <c r="L1864" s="46">
        <v>0</v>
      </c>
      <c r="M1864" s="45">
        <v>0</v>
      </c>
      <c r="N1864" s="45">
        <v>0</v>
      </c>
      <c r="O1864" s="46">
        <v>0</v>
      </c>
      <c r="P1864" s="102">
        <v>0.29189300000000001</v>
      </c>
      <c r="Q1864" s="35" t="s">
        <v>154</v>
      </c>
    </row>
    <row r="1865" spans="1:17" ht="36" x14ac:dyDescent="0.25">
      <c r="A1865" s="108">
        <v>38770</v>
      </c>
      <c r="B1865" s="108">
        <v>38770</v>
      </c>
      <c r="C1865" s="99">
        <v>2006</v>
      </c>
      <c r="D1865" s="35" t="s">
        <v>28</v>
      </c>
      <c r="E1865" s="6" t="s">
        <v>149</v>
      </c>
      <c r="F1865" s="28" t="s">
        <v>163</v>
      </c>
      <c r="G1865" s="25" t="s">
        <v>2862</v>
      </c>
      <c r="H1865" s="25" t="s">
        <v>2863</v>
      </c>
      <c r="I1865" s="46">
        <v>0</v>
      </c>
      <c r="J1865" s="46">
        <v>35</v>
      </c>
      <c r="K1865" s="46">
        <v>1</v>
      </c>
      <c r="L1865" s="46">
        <v>0</v>
      </c>
      <c r="M1865" s="45">
        <v>0</v>
      </c>
      <c r="N1865" s="45">
        <v>0</v>
      </c>
      <c r="O1865" s="46">
        <v>0</v>
      </c>
      <c r="P1865" s="102">
        <v>0</v>
      </c>
      <c r="Q1865" s="35" t="s">
        <v>154</v>
      </c>
    </row>
    <row r="1866" spans="1:17" ht="36" x14ac:dyDescent="0.25">
      <c r="A1866" s="108">
        <v>38818</v>
      </c>
      <c r="B1866" s="108">
        <v>38818</v>
      </c>
      <c r="C1866" s="99">
        <v>2006</v>
      </c>
      <c r="D1866" s="35" t="s">
        <v>28</v>
      </c>
      <c r="E1866" s="6" t="s">
        <v>149</v>
      </c>
      <c r="F1866" s="28" t="s">
        <v>157</v>
      </c>
      <c r="G1866" s="25" t="s">
        <v>206</v>
      </c>
      <c r="H1866" s="25" t="s">
        <v>2864</v>
      </c>
      <c r="I1866" s="46">
        <v>0</v>
      </c>
      <c r="J1866" s="46">
        <v>0</v>
      </c>
      <c r="K1866" s="46">
        <v>0</v>
      </c>
      <c r="L1866" s="46">
        <v>0</v>
      </c>
      <c r="M1866" s="45">
        <v>0</v>
      </c>
      <c r="N1866" s="45">
        <v>0</v>
      </c>
      <c r="O1866" s="46">
        <v>0</v>
      </c>
      <c r="P1866" s="102">
        <v>0</v>
      </c>
      <c r="Q1866" s="35" t="s">
        <v>154</v>
      </c>
    </row>
    <row r="1867" spans="1:17" ht="36" x14ac:dyDescent="0.25">
      <c r="A1867" s="108">
        <v>38818</v>
      </c>
      <c r="B1867" s="108">
        <v>38818</v>
      </c>
      <c r="C1867" s="99">
        <v>2006</v>
      </c>
      <c r="D1867" s="35" t="s">
        <v>28</v>
      </c>
      <c r="E1867" s="6" t="s">
        <v>149</v>
      </c>
      <c r="F1867" s="7" t="s">
        <v>53</v>
      </c>
      <c r="G1867" s="25" t="s">
        <v>878</v>
      </c>
      <c r="H1867" s="25" t="s">
        <v>2865</v>
      </c>
      <c r="I1867" s="46">
        <v>0</v>
      </c>
      <c r="J1867" s="46">
        <v>4</v>
      </c>
      <c r="K1867" s="46">
        <v>0</v>
      </c>
      <c r="L1867" s="46">
        <v>0</v>
      </c>
      <c r="M1867" s="45">
        <v>0</v>
      </c>
      <c r="N1867" s="45">
        <v>0</v>
      </c>
      <c r="O1867" s="46">
        <v>0</v>
      </c>
      <c r="P1867" s="102">
        <v>0</v>
      </c>
      <c r="Q1867" s="35" t="s">
        <v>154</v>
      </c>
    </row>
    <row r="1868" spans="1:17" ht="108" x14ac:dyDescent="0.25">
      <c r="A1868" s="108">
        <v>38821</v>
      </c>
      <c r="B1868" s="108">
        <v>38821</v>
      </c>
      <c r="C1868" s="99">
        <v>2006</v>
      </c>
      <c r="D1868" s="35" t="s">
        <v>28</v>
      </c>
      <c r="E1868" s="6" t="s">
        <v>149</v>
      </c>
      <c r="F1868" s="7" t="s">
        <v>45</v>
      </c>
      <c r="G1868" s="25" t="s">
        <v>2866</v>
      </c>
      <c r="H1868" s="25" t="s">
        <v>2867</v>
      </c>
      <c r="I1868" s="46">
        <v>0</v>
      </c>
      <c r="J1868" s="46">
        <v>600</v>
      </c>
      <c r="K1868" s="46">
        <v>120</v>
      </c>
      <c r="L1868" s="46">
        <v>0</v>
      </c>
      <c r="M1868" s="45">
        <v>0</v>
      </c>
      <c r="N1868" s="45">
        <v>0</v>
      </c>
      <c r="O1868" s="46">
        <v>0</v>
      </c>
      <c r="P1868" s="102">
        <v>5.0038799999999997</v>
      </c>
      <c r="Q1868" s="35" t="s">
        <v>154</v>
      </c>
    </row>
    <row r="1869" spans="1:17" ht="60" x14ac:dyDescent="0.25">
      <c r="A1869" s="108">
        <v>38828</v>
      </c>
      <c r="B1869" s="108">
        <v>38828</v>
      </c>
      <c r="C1869" s="99">
        <v>2006</v>
      </c>
      <c r="D1869" s="35" t="s">
        <v>28</v>
      </c>
      <c r="E1869" s="6" t="s">
        <v>149</v>
      </c>
      <c r="F1869" s="28" t="s">
        <v>157</v>
      </c>
      <c r="G1869" s="25" t="s">
        <v>1832</v>
      </c>
      <c r="H1869" s="25" t="s">
        <v>2868</v>
      </c>
      <c r="I1869" s="46">
        <v>0</v>
      </c>
      <c r="J1869" s="46">
        <v>60</v>
      </c>
      <c r="K1869" s="46">
        <v>0</v>
      </c>
      <c r="L1869" s="46">
        <v>0</v>
      </c>
      <c r="M1869" s="45">
        <v>0</v>
      </c>
      <c r="N1869" s="45">
        <v>0</v>
      </c>
      <c r="O1869" s="46">
        <v>0</v>
      </c>
      <c r="P1869" s="102">
        <v>0</v>
      </c>
      <c r="Q1869" s="35" t="s">
        <v>154</v>
      </c>
    </row>
    <row r="1870" spans="1:17" ht="36" x14ac:dyDescent="0.25">
      <c r="A1870" s="108">
        <v>38830</v>
      </c>
      <c r="B1870" s="108">
        <v>38830</v>
      </c>
      <c r="C1870" s="99">
        <v>2006</v>
      </c>
      <c r="D1870" s="35" t="s">
        <v>28</v>
      </c>
      <c r="E1870" s="6" t="s">
        <v>149</v>
      </c>
      <c r="F1870" s="7" t="s">
        <v>62</v>
      </c>
      <c r="G1870" s="25" t="s">
        <v>165</v>
      </c>
      <c r="H1870" s="25" t="s">
        <v>2869</v>
      </c>
      <c r="I1870" s="46">
        <v>3</v>
      </c>
      <c r="J1870" s="46">
        <v>3</v>
      </c>
      <c r="K1870" s="46">
        <v>1</v>
      </c>
      <c r="L1870" s="46">
        <v>0</v>
      </c>
      <c r="M1870" s="45">
        <v>0</v>
      </c>
      <c r="N1870" s="45">
        <v>0</v>
      </c>
      <c r="O1870" s="46">
        <v>0</v>
      </c>
      <c r="P1870" s="102">
        <v>4.1699E-2</v>
      </c>
      <c r="Q1870" s="35" t="s">
        <v>154</v>
      </c>
    </row>
    <row r="1871" spans="1:17" ht="48" x14ac:dyDescent="0.25">
      <c r="A1871" s="108">
        <v>38846</v>
      </c>
      <c r="B1871" s="108">
        <v>38846</v>
      </c>
      <c r="C1871" s="99">
        <v>2006</v>
      </c>
      <c r="D1871" s="35" t="s">
        <v>28</v>
      </c>
      <c r="E1871" s="6" t="s">
        <v>149</v>
      </c>
      <c r="F1871" s="7" t="s">
        <v>65</v>
      </c>
      <c r="G1871" s="25" t="s">
        <v>1511</v>
      </c>
      <c r="H1871" s="29" t="s">
        <v>2870</v>
      </c>
      <c r="I1871" s="46">
        <v>0</v>
      </c>
      <c r="J1871" s="46">
        <v>354</v>
      </c>
      <c r="K1871" s="46">
        <v>0</v>
      </c>
      <c r="L1871" s="46">
        <v>0</v>
      </c>
      <c r="M1871" s="45">
        <v>0</v>
      </c>
      <c r="N1871" s="45">
        <v>0</v>
      </c>
      <c r="O1871" s="46">
        <v>0</v>
      </c>
      <c r="P1871" s="102">
        <v>0</v>
      </c>
      <c r="Q1871" s="35" t="s">
        <v>154</v>
      </c>
    </row>
    <row r="1872" spans="1:17" ht="60" x14ac:dyDescent="0.25">
      <c r="A1872" s="108">
        <v>38851</v>
      </c>
      <c r="B1872" s="108">
        <v>38851</v>
      </c>
      <c r="C1872" s="99">
        <v>2006</v>
      </c>
      <c r="D1872" s="35" t="s">
        <v>28</v>
      </c>
      <c r="E1872" s="6" t="s">
        <v>149</v>
      </c>
      <c r="F1872" s="7" t="s">
        <v>56</v>
      </c>
      <c r="G1872" s="25" t="s">
        <v>1160</v>
      </c>
      <c r="H1872" s="25" t="s">
        <v>2871</v>
      </c>
      <c r="I1872" s="46">
        <v>0</v>
      </c>
      <c r="J1872" s="46">
        <v>0</v>
      </c>
      <c r="K1872" s="46">
        <v>0</v>
      </c>
      <c r="L1872" s="46">
        <v>0</v>
      </c>
      <c r="M1872" s="45">
        <v>0</v>
      </c>
      <c r="N1872" s="45">
        <v>0</v>
      </c>
      <c r="O1872" s="46">
        <v>0</v>
      </c>
      <c r="P1872" s="102">
        <v>0</v>
      </c>
      <c r="Q1872" s="35" t="s">
        <v>154</v>
      </c>
    </row>
    <row r="1873" spans="1:17" ht="36" x14ac:dyDescent="0.25">
      <c r="A1873" s="108">
        <v>38854</v>
      </c>
      <c r="B1873" s="108">
        <v>38854</v>
      </c>
      <c r="C1873" s="99">
        <v>2006</v>
      </c>
      <c r="D1873" s="35" t="s">
        <v>28</v>
      </c>
      <c r="E1873" s="6" t="s">
        <v>149</v>
      </c>
      <c r="F1873" s="7" t="s">
        <v>60</v>
      </c>
      <c r="G1873" s="25" t="s">
        <v>1605</v>
      </c>
      <c r="H1873" s="29" t="s">
        <v>2872</v>
      </c>
      <c r="I1873" s="46">
        <v>0</v>
      </c>
      <c r="J1873" s="46">
        <v>3</v>
      </c>
      <c r="K1873" s="46">
        <v>0</v>
      </c>
      <c r="L1873" s="46">
        <v>0</v>
      </c>
      <c r="M1873" s="45">
        <v>0</v>
      </c>
      <c r="N1873" s="45">
        <v>0</v>
      </c>
      <c r="O1873" s="46">
        <v>0</v>
      </c>
      <c r="P1873" s="102">
        <v>0</v>
      </c>
      <c r="Q1873" s="35" t="s">
        <v>154</v>
      </c>
    </row>
    <row r="1874" spans="1:17" ht="108" x14ac:dyDescent="0.25">
      <c r="A1874" s="108">
        <v>38857</v>
      </c>
      <c r="B1874" s="108">
        <v>38857</v>
      </c>
      <c r="C1874" s="99">
        <v>2006</v>
      </c>
      <c r="D1874" s="35" t="s">
        <v>28</v>
      </c>
      <c r="E1874" s="6" t="s">
        <v>149</v>
      </c>
      <c r="F1874" s="7" t="s">
        <v>62</v>
      </c>
      <c r="G1874" s="25" t="s">
        <v>2873</v>
      </c>
      <c r="H1874" s="25" t="s">
        <v>2874</v>
      </c>
      <c r="I1874" s="46">
        <v>1</v>
      </c>
      <c r="J1874" s="46">
        <v>2</v>
      </c>
      <c r="K1874" s="46">
        <v>0</v>
      </c>
      <c r="L1874" s="46">
        <v>0</v>
      </c>
      <c r="M1874" s="45">
        <v>0</v>
      </c>
      <c r="N1874" s="45">
        <v>0</v>
      </c>
      <c r="O1874" s="46">
        <v>0</v>
      </c>
      <c r="P1874" s="102">
        <v>0</v>
      </c>
      <c r="Q1874" s="35" t="s">
        <v>154</v>
      </c>
    </row>
    <row r="1875" spans="1:17" ht="72" x14ac:dyDescent="0.25">
      <c r="A1875" s="108">
        <v>38867</v>
      </c>
      <c r="B1875" s="108">
        <v>38867</v>
      </c>
      <c r="C1875" s="99">
        <v>2006</v>
      </c>
      <c r="D1875" s="35" t="s">
        <v>28</v>
      </c>
      <c r="E1875" s="6" t="s">
        <v>149</v>
      </c>
      <c r="F1875" s="7" t="s">
        <v>56</v>
      </c>
      <c r="G1875" s="25" t="s">
        <v>1160</v>
      </c>
      <c r="H1875" s="25" t="s">
        <v>2875</v>
      </c>
      <c r="I1875" s="46">
        <v>0</v>
      </c>
      <c r="J1875" s="46">
        <v>1</v>
      </c>
      <c r="K1875" s="46">
        <v>0</v>
      </c>
      <c r="L1875" s="46">
        <v>0</v>
      </c>
      <c r="M1875" s="45">
        <v>0</v>
      </c>
      <c r="N1875" s="45">
        <v>0</v>
      </c>
      <c r="O1875" s="46">
        <v>0</v>
      </c>
      <c r="P1875" s="102">
        <v>0</v>
      </c>
      <c r="Q1875" s="35" t="s">
        <v>154</v>
      </c>
    </row>
    <row r="1876" spans="1:17" ht="36" x14ac:dyDescent="0.25">
      <c r="A1876" s="21">
        <v>38896</v>
      </c>
      <c r="B1876" s="21">
        <f>A1876</f>
        <v>38896</v>
      </c>
      <c r="C1876" s="99">
        <v>2006</v>
      </c>
      <c r="D1876" s="35" t="s">
        <v>28</v>
      </c>
      <c r="E1876" s="6" t="s">
        <v>149</v>
      </c>
      <c r="F1876" s="7" t="s">
        <v>53</v>
      </c>
      <c r="G1876" s="25" t="s">
        <v>1316</v>
      </c>
      <c r="H1876" s="25" t="s">
        <v>2876</v>
      </c>
      <c r="I1876" s="46">
        <v>0</v>
      </c>
      <c r="J1876" s="46">
        <v>25</v>
      </c>
      <c r="K1876" s="46">
        <v>0</v>
      </c>
      <c r="L1876" s="46">
        <v>0</v>
      </c>
      <c r="M1876" s="45">
        <v>0</v>
      </c>
      <c r="N1876" s="45">
        <v>0</v>
      </c>
      <c r="O1876" s="46">
        <v>0</v>
      </c>
      <c r="P1876" s="102">
        <v>0</v>
      </c>
      <c r="Q1876" s="35" t="s">
        <v>154</v>
      </c>
    </row>
    <row r="1877" spans="1:17" ht="48" x14ac:dyDescent="0.25">
      <c r="A1877" s="108">
        <v>38919</v>
      </c>
      <c r="B1877" s="108">
        <v>38919</v>
      </c>
      <c r="C1877" s="99">
        <v>2006</v>
      </c>
      <c r="D1877" s="35" t="s">
        <v>28</v>
      </c>
      <c r="E1877" s="6" t="s">
        <v>149</v>
      </c>
      <c r="F1877" s="28" t="s">
        <v>157</v>
      </c>
      <c r="G1877" s="25" t="s">
        <v>1190</v>
      </c>
      <c r="H1877" s="25" t="s">
        <v>2877</v>
      </c>
      <c r="I1877" s="46">
        <v>0</v>
      </c>
      <c r="J1877" s="46">
        <v>0</v>
      </c>
      <c r="K1877" s="46">
        <v>0</v>
      </c>
      <c r="L1877" s="46">
        <v>0</v>
      </c>
      <c r="M1877" s="45">
        <v>0</v>
      </c>
      <c r="N1877" s="45">
        <v>0</v>
      </c>
      <c r="O1877" s="46">
        <v>0</v>
      </c>
      <c r="P1877" s="102">
        <v>0</v>
      </c>
      <c r="Q1877" s="35" t="s">
        <v>154</v>
      </c>
    </row>
    <row r="1878" spans="1:17" ht="48" x14ac:dyDescent="0.25">
      <c r="A1878" s="21">
        <v>38939</v>
      </c>
      <c r="B1878" s="21">
        <f t="shared" ref="B1878:B1883" si="3">A1878</f>
        <v>38939</v>
      </c>
      <c r="C1878" s="99">
        <v>2006</v>
      </c>
      <c r="D1878" s="35" t="s">
        <v>28</v>
      </c>
      <c r="E1878" s="6" t="s">
        <v>149</v>
      </c>
      <c r="F1878" s="7" t="s">
        <v>68</v>
      </c>
      <c r="G1878" s="25" t="s">
        <v>1121</v>
      </c>
      <c r="H1878" s="25" t="s">
        <v>2878</v>
      </c>
      <c r="I1878" s="46">
        <v>0</v>
      </c>
      <c r="J1878" s="46">
        <v>11</v>
      </c>
      <c r="K1878" s="46">
        <v>0</v>
      </c>
      <c r="L1878" s="46">
        <v>0</v>
      </c>
      <c r="M1878" s="45">
        <v>0</v>
      </c>
      <c r="N1878" s="45">
        <v>0</v>
      </c>
      <c r="O1878" s="46">
        <v>0</v>
      </c>
      <c r="P1878" s="102">
        <v>0</v>
      </c>
      <c r="Q1878" s="35" t="s">
        <v>154</v>
      </c>
    </row>
    <row r="1879" spans="1:17" ht="48" x14ac:dyDescent="0.25">
      <c r="A1879" s="21">
        <v>38944</v>
      </c>
      <c r="B1879" s="21">
        <f t="shared" si="3"/>
        <v>38944</v>
      </c>
      <c r="C1879" s="99">
        <v>2006</v>
      </c>
      <c r="D1879" s="35" t="s">
        <v>28</v>
      </c>
      <c r="E1879" s="6" t="s">
        <v>149</v>
      </c>
      <c r="F1879" s="7" t="s">
        <v>56</v>
      </c>
      <c r="G1879" s="25" t="s">
        <v>646</v>
      </c>
      <c r="H1879" s="25" t="s">
        <v>2879</v>
      </c>
      <c r="I1879" s="46">
        <v>0</v>
      </c>
      <c r="J1879" s="46">
        <v>162</v>
      </c>
      <c r="K1879" s="46">
        <v>0</v>
      </c>
      <c r="L1879" s="46">
        <v>0</v>
      </c>
      <c r="M1879" s="45">
        <v>0</v>
      </c>
      <c r="N1879" s="45">
        <v>0</v>
      </c>
      <c r="O1879" s="46">
        <v>0</v>
      </c>
      <c r="P1879" s="102">
        <v>0</v>
      </c>
      <c r="Q1879" s="35" t="s">
        <v>154</v>
      </c>
    </row>
    <row r="1880" spans="1:17" ht="24" x14ac:dyDescent="0.25">
      <c r="A1880" s="21">
        <v>38978</v>
      </c>
      <c r="B1880" s="21">
        <f t="shared" si="3"/>
        <v>38978</v>
      </c>
      <c r="C1880" s="99">
        <v>2006</v>
      </c>
      <c r="D1880" s="35" t="s">
        <v>28</v>
      </c>
      <c r="E1880" s="6" t="s">
        <v>149</v>
      </c>
      <c r="F1880" s="7" t="s">
        <v>58</v>
      </c>
      <c r="G1880" s="25" t="s">
        <v>1582</v>
      </c>
      <c r="H1880" s="25" t="s">
        <v>2880</v>
      </c>
      <c r="I1880" s="46">
        <v>0</v>
      </c>
      <c r="J1880" s="46">
        <v>4</v>
      </c>
      <c r="K1880" s="46">
        <v>0</v>
      </c>
      <c r="L1880" s="46">
        <v>0</v>
      </c>
      <c r="M1880" s="45">
        <v>0</v>
      </c>
      <c r="N1880" s="45">
        <v>0</v>
      </c>
      <c r="O1880" s="46">
        <v>0</v>
      </c>
      <c r="P1880" s="102">
        <v>0</v>
      </c>
      <c r="Q1880" s="35" t="s">
        <v>154</v>
      </c>
    </row>
    <row r="1881" spans="1:17" ht="36" x14ac:dyDescent="0.25">
      <c r="A1881" s="21">
        <v>39001</v>
      </c>
      <c r="B1881" s="21">
        <f t="shared" si="3"/>
        <v>39001</v>
      </c>
      <c r="C1881" s="99">
        <v>2006</v>
      </c>
      <c r="D1881" s="35" t="s">
        <v>28</v>
      </c>
      <c r="E1881" s="6" t="s">
        <v>149</v>
      </c>
      <c r="F1881" s="7" t="s">
        <v>84</v>
      </c>
      <c r="G1881" s="25" t="s">
        <v>1453</v>
      </c>
      <c r="H1881" s="25" t="s">
        <v>2881</v>
      </c>
      <c r="I1881" s="46">
        <v>0</v>
      </c>
      <c r="J1881" s="46">
        <v>11</v>
      </c>
      <c r="K1881" s="46">
        <v>0</v>
      </c>
      <c r="L1881" s="46">
        <v>0</v>
      </c>
      <c r="M1881" s="45">
        <v>0</v>
      </c>
      <c r="N1881" s="45">
        <v>0</v>
      </c>
      <c r="O1881" s="46">
        <v>0</v>
      </c>
      <c r="P1881" s="102">
        <v>0</v>
      </c>
      <c r="Q1881" s="35" t="s">
        <v>154</v>
      </c>
    </row>
    <row r="1882" spans="1:17" ht="36" x14ac:dyDescent="0.25">
      <c r="A1882" s="21">
        <v>39001</v>
      </c>
      <c r="B1882" s="21">
        <f t="shared" si="3"/>
        <v>39001</v>
      </c>
      <c r="C1882" s="99">
        <v>2006</v>
      </c>
      <c r="D1882" s="35" t="s">
        <v>28</v>
      </c>
      <c r="E1882" s="6" t="s">
        <v>149</v>
      </c>
      <c r="F1882" s="7" t="s">
        <v>58</v>
      </c>
      <c r="G1882" s="25" t="s">
        <v>1194</v>
      </c>
      <c r="H1882" s="25" t="s">
        <v>2882</v>
      </c>
      <c r="I1882" s="46">
        <v>0</v>
      </c>
      <c r="J1882" s="46">
        <v>37</v>
      </c>
      <c r="K1882" s="46">
        <v>7</v>
      </c>
      <c r="L1882" s="46">
        <v>0</v>
      </c>
      <c r="M1882" s="45">
        <v>0</v>
      </c>
      <c r="N1882" s="45">
        <v>0</v>
      </c>
      <c r="O1882" s="46">
        <v>0</v>
      </c>
      <c r="P1882" s="102">
        <v>0.29189300000000001</v>
      </c>
      <c r="Q1882" s="35" t="s">
        <v>154</v>
      </c>
    </row>
    <row r="1883" spans="1:17" ht="48" x14ac:dyDescent="0.25">
      <c r="A1883" s="21">
        <v>39062</v>
      </c>
      <c r="B1883" s="21">
        <f t="shared" si="3"/>
        <v>39062</v>
      </c>
      <c r="C1883" s="99">
        <v>2006</v>
      </c>
      <c r="D1883" s="35" t="s">
        <v>28</v>
      </c>
      <c r="E1883" s="6" t="s">
        <v>149</v>
      </c>
      <c r="F1883" s="7" t="s">
        <v>30</v>
      </c>
      <c r="G1883" s="25" t="s">
        <v>1078</v>
      </c>
      <c r="H1883" s="25" t="s">
        <v>2883</v>
      </c>
      <c r="I1883" s="46">
        <v>3</v>
      </c>
      <c r="J1883" s="46">
        <v>4</v>
      </c>
      <c r="K1883" s="46">
        <v>0</v>
      </c>
      <c r="L1883" s="46">
        <v>0</v>
      </c>
      <c r="M1883" s="45">
        <v>0</v>
      </c>
      <c r="N1883" s="45">
        <v>0</v>
      </c>
      <c r="O1883" s="46">
        <v>0</v>
      </c>
      <c r="P1883" s="102">
        <v>0</v>
      </c>
      <c r="Q1883" s="35" t="s">
        <v>154</v>
      </c>
    </row>
    <row r="1884" spans="1:17" ht="48" x14ac:dyDescent="0.25">
      <c r="A1884" s="105">
        <v>38718</v>
      </c>
      <c r="B1884" s="105">
        <v>39082</v>
      </c>
      <c r="C1884" s="99">
        <v>2006</v>
      </c>
      <c r="D1884" s="35" t="s">
        <v>28</v>
      </c>
      <c r="E1884" s="14" t="s">
        <v>29</v>
      </c>
      <c r="F1884" s="7" t="s">
        <v>25</v>
      </c>
      <c r="G1884" s="25" t="s">
        <v>2109</v>
      </c>
      <c r="H1884" s="25" t="s">
        <v>2884</v>
      </c>
      <c r="I1884" s="46">
        <v>0</v>
      </c>
      <c r="J1884" s="46">
        <v>0</v>
      </c>
      <c r="K1884" s="46">
        <v>0</v>
      </c>
      <c r="L1884" s="46">
        <v>0</v>
      </c>
      <c r="M1884" s="45">
        <v>0</v>
      </c>
      <c r="N1884" s="45">
        <v>0</v>
      </c>
      <c r="O1884" s="46">
        <v>681.5</v>
      </c>
      <c r="P1884" s="102">
        <v>0.68149999999999999</v>
      </c>
      <c r="Q1884" s="35" t="s">
        <v>154</v>
      </c>
    </row>
    <row r="1885" spans="1:17" ht="48" x14ac:dyDescent="0.25">
      <c r="A1885" s="105">
        <v>38718</v>
      </c>
      <c r="B1885" s="105">
        <v>39082</v>
      </c>
      <c r="C1885" s="99">
        <v>2006</v>
      </c>
      <c r="D1885" s="35" t="s">
        <v>28</v>
      </c>
      <c r="E1885" s="14" t="s">
        <v>29</v>
      </c>
      <c r="F1885" s="7" t="s">
        <v>30</v>
      </c>
      <c r="G1885" s="25" t="s">
        <v>2109</v>
      </c>
      <c r="H1885" s="25" t="s">
        <v>2884</v>
      </c>
      <c r="I1885" s="46">
        <v>0</v>
      </c>
      <c r="J1885" s="46">
        <v>0</v>
      </c>
      <c r="K1885" s="46">
        <v>0</v>
      </c>
      <c r="L1885" s="46">
        <v>0</v>
      </c>
      <c r="M1885" s="45">
        <v>0</v>
      </c>
      <c r="N1885" s="45">
        <v>0</v>
      </c>
      <c r="O1885" s="46">
        <v>13737.7</v>
      </c>
      <c r="P1885" s="102">
        <v>13.7377</v>
      </c>
      <c r="Q1885" s="35" t="s">
        <v>154</v>
      </c>
    </row>
    <row r="1886" spans="1:17" ht="48" x14ac:dyDescent="0.25">
      <c r="A1886" s="105">
        <v>38718</v>
      </c>
      <c r="B1886" s="105">
        <v>39082</v>
      </c>
      <c r="C1886" s="99">
        <v>2006</v>
      </c>
      <c r="D1886" s="35" t="s">
        <v>28</v>
      </c>
      <c r="E1886" s="14" t="s">
        <v>29</v>
      </c>
      <c r="F1886" s="7" t="s">
        <v>33</v>
      </c>
      <c r="G1886" s="25" t="s">
        <v>2109</v>
      </c>
      <c r="H1886" s="25" t="s">
        <v>2884</v>
      </c>
      <c r="I1886" s="46">
        <v>0</v>
      </c>
      <c r="J1886" s="46">
        <v>0</v>
      </c>
      <c r="K1886" s="46">
        <v>0</v>
      </c>
      <c r="L1886" s="46">
        <v>0</v>
      </c>
      <c r="M1886" s="45">
        <v>0</v>
      </c>
      <c r="N1886" s="45">
        <v>0</v>
      </c>
      <c r="O1886" s="46">
        <v>62</v>
      </c>
      <c r="P1886" s="102">
        <v>6.2E-2</v>
      </c>
      <c r="Q1886" s="35" t="s">
        <v>154</v>
      </c>
    </row>
    <row r="1887" spans="1:17" ht="48" x14ac:dyDescent="0.25">
      <c r="A1887" s="105">
        <v>38718</v>
      </c>
      <c r="B1887" s="105">
        <v>39082</v>
      </c>
      <c r="C1887" s="99">
        <v>2006</v>
      </c>
      <c r="D1887" s="35" t="s">
        <v>28</v>
      </c>
      <c r="E1887" s="14" t="s">
        <v>29</v>
      </c>
      <c r="F1887" s="28" t="s">
        <v>151</v>
      </c>
      <c r="G1887" s="25" t="s">
        <v>2109</v>
      </c>
      <c r="H1887" s="25" t="s">
        <v>2884</v>
      </c>
      <c r="I1887" s="46">
        <v>0</v>
      </c>
      <c r="J1887" s="46">
        <v>0</v>
      </c>
      <c r="K1887" s="46">
        <v>0</v>
      </c>
      <c r="L1887" s="46">
        <v>0</v>
      </c>
      <c r="M1887" s="45">
        <v>0</v>
      </c>
      <c r="N1887" s="45">
        <v>0</v>
      </c>
      <c r="O1887" s="46">
        <v>2655</v>
      </c>
      <c r="P1887" s="102">
        <v>2.6549999999999998</v>
      </c>
      <c r="Q1887" s="35" t="s">
        <v>154</v>
      </c>
    </row>
    <row r="1888" spans="1:17" ht="48" x14ac:dyDescent="0.25">
      <c r="A1888" s="105">
        <v>38718</v>
      </c>
      <c r="B1888" s="105">
        <v>39082</v>
      </c>
      <c r="C1888" s="99">
        <v>2006</v>
      </c>
      <c r="D1888" s="35" t="s">
        <v>28</v>
      </c>
      <c r="E1888" s="14" t="s">
        <v>29</v>
      </c>
      <c r="F1888" s="7" t="s">
        <v>45</v>
      </c>
      <c r="G1888" s="25" t="s">
        <v>2109</v>
      </c>
      <c r="H1888" s="25" t="s">
        <v>2884</v>
      </c>
      <c r="I1888" s="46">
        <v>0</v>
      </c>
      <c r="J1888" s="46">
        <v>21</v>
      </c>
      <c r="K1888" s="46">
        <v>0</v>
      </c>
      <c r="L1888" s="46">
        <v>0</v>
      </c>
      <c r="M1888" s="45">
        <v>0</v>
      </c>
      <c r="N1888" s="45">
        <v>0</v>
      </c>
      <c r="O1888" s="46">
        <v>24475.41</v>
      </c>
      <c r="P1888" s="102">
        <v>24.47541</v>
      </c>
      <c r="Q1888" s="35" t="s">
        <v>154</v>
      </c>
    </row>
    <row r="1889" spans="1:17" ht="48" x14ac:dyDescent="0.25">
      <c r="A1889" s="105">
        <v>38718</v>
      </c>
      <c r="B1889" s="105">
        <v>39082</v>
      </c>
      <c r="C1889" s="99">
        <v>2006</v>
      </c>
      <c r="D1889" s="35" t="s">
        <v>28</v>
      </c>
      <c r="E1889" s="14" t="s">
        <v>29</v>
      </c>
      <c r="F1889" s="7" t="s">
        <v>47</v>
      </c>
      <c r="G1889" s="25" t="s">
        <v>2109</v>
      </c>
      <c r="H1889" s="25" t="s">
        <v>2884</v>
      </c>
      <c r="I1889" s="46">
        <v>0</v>
      </c>
      <c r="J1889" s="46">
        <v>0</v>
      </c>
      <c r="K1889" s="46">
        <v>0</v>
      </c>
      <c r="L1889" s="46">
        <v>0</v>
      </c>
      <c r="M1889" s="45">
        <v>0</v>
      </c>
      <c r="N1889" s="45">
        <v>0</v>
      </c>
      <c r="O1889" s="46">
        <v>812.5</v>
      </c>
      <c r="P1889" s="102">
        <v>0.8125</v>
      </c>
      <c r="Q1889" s="157" t="s">
        <v>2387</v>
      </c>
    </row>
    <row r="1890" spans="1:17" ht="48" x14ac:dyDescent="0.25">
      <c r="A1890" s="105">
        <v>38718</v>
      </c>
      <c r="B1890" s="105">
        <v>39082</v>
      </c>
      <c r="C1890" s="99">
        <v>2006</v>
      </c>
      <c r="D1890" s="35" t="s">
        <v>28</v>
      </c>
      <c r="E1890" s="14" t="s">
        <v>29</v>
      </c>
      <c r="F1890" s="7" t="s">
        <v>36</v>
      </c>
      <c r="G1890" s="25" t="s">
        <v>2109</v>
      </c>
      <c r="H1890" s="25" t="s">
        <v>2884</v>
      </c>
      <c r="I1890" s="46">
        <v>0</v>
      </c>
      <c r="J1890" s="46">
        <v>0</v>
      </c>
      <c r="K1890" s="46">
        <v>0</v>
      </c>
      <c r="L1890" s="46">
        <v>0</v>
      </c>
      <c r="M1890" s="45">
        <v>0</v>
      </c>
      <c r="N1890" s="45">
        <v>0</v>
      </c>
      <c r="O1890" s="46">
        <v>10485.02</v>
      </c>
      <c r="P1890" s="102">
        <v>10.48502</v>
      </c>
      <c r="Q1890" s="157" t="s">
        <v>2387</v>
      </c>
    </row>
    <row r="1891" spans="1:17" ht="48" x14ac:dyDescent="0.25">
      <c r="A1891" s="105">
        <v>38718</v>
      </c>
      <c r="B1891" s="105">
        <v>39082</v>
      </c>
      <c r="C1891" s="99">
        <v>2006</v>
      </c>
      <c r="D1891" s="35" t="s">
        <v>28</v>
      </c>
      <c r="E1891" s="14" t="s">
        <v>29</v>
      </c>
      <c r="F1891" s="7" t="s">
        <v>40</v>
      </c>
      <c r="G1891" s="25" t="s">
        <v>2109</v>
      </c>
      <c r="H1891" s="25" t="s">
        <v>2884</v>
      </c>
      <c r="I1891" s="46">
        <v>0</v>
      </c>
      <c r="J1891" s="46">
        <v>0</v>
      </c>
      <c r="K1891" s="46">
        <v>0</v>
      </c>
      <c r="L1891" s="46">
        <v>0</v>
      </c>
      <c r="M1891" s="45">
        <v>0</v>
      </c>
      <c r="N1891" s="45">
        <v>0</v>
      </c>
      <c r="O1891" s="46">
        <v>18504.66</v>
      </c>
      <c r="P1891" s="102">
        <v>18.504660000000001</v>
      </c>
      <c r="Q1891" s="157" t="s">
        <v>2387</v>
      </c>
    </row>
    <row r="1892" spans="1:17" ht="48" x14ac:dyDescent="0.25">
      <c r="A1892" s="105">
        <v>38718</v>
      </c>
      <c r="B1892" s="105">
        <v>39082</v>
      </c>
      <c r="C1892" s="99">
        <v>2006</v>
      </c>
      <c r="D1892" s="35" t="s">
        <v>28</v>
      </c>
      <c r="E1892" s="14" t="s">
        <v>29</v>
      </c>
      <c r="F1892" s="28" t="s">
        <v>157</v>
      </c>
      <c r="G1892" s="25" t="s">
        <v>2109</v>
      </c>
      <c r="H1892" s="25" t="s">
        <v>2884</v>
      </c>
      <c r="I1892" s="46">
        <v>0</v>
      </c>
      <c r="J1892" s="46">
        <v>0</v>
      </c>
      <c r="K1892" s="46">
        <v>0</v>
      </c>
      <c r="L1892" s="46">
        <v>0</v>
      </c>
      <c r="M1892" s="45">
        <v>0</v>
      </c>
      <c r="N1892" s="45">
        <v>0</v>
      </c>
      <c r="O1892" s="46">
        <v>1694.06</v>
      </c>
      <c r="P1892" s="102">
        <v>1.6940599999999999</v>
      </c>
      <c r="Q1892" s="157" t="s">
        <v>2387</v>
      </c>
    </row>
    <row r="1893" spans="1:17" ht="48" x14ac:dyDescent="0.25">
      <c r="A1893" s="105">
        <v>38718</v>
      </c>
      <c r="B1893" s="105">
        <v>39082</v>
      </c>
      <c r="C1893" s="99">
        <v>2006</v>
      </c>
      <c r="D1893" s="35" t="s">
        <v>28</v>
      </c>
      <c r="E1893" s="14" t="s">
        <v>29</v>
      </c>
      <c r="F1893" s="7" t="s">
        <v>49</v>
      </c>
      <c r="G1893" s="25" t="s">
        <v>2109</v>
      </c>
      <c r="H1893" s="25" t="s">
        <v>2884</v>
      </c>
      <c r="I1893" s="46">
        <v>0</v>
      </c>
      <c r="J1893" s="46">
        <v>0</v>
      </c>
      <c r="K1893" s="46">
        <v>0</v>
      </c>
      <c r="L1893" s="46">
        <v>0</v>
      </c>
      <c r="M1893" s="45">
        <v>0</v>
      </c>
      <c r="N1893" s="45">
        <v>0</v>
      </c>
      <c r="O1893" s="46">
        <v>13228</v>
      </c>
      <c r="P1893" s="102">
        <v>13.228</v>
      </c>
      <c r="Q1893" s="157" t="s">
        <v>2387</v>
      </c>
    </row>
    <row r="1894" spans="1:17" ht="48" x14ac:dyDescent="0.25">
      <c r="A1894" s="105">
        <v>38718</v>
      </c>
      <c r="B1894" s="105">
        <v>39082</v>
      </c>
      <c r="C1894" s="99">
        <v>2006</v>
      </c>
      <c r="D1894" s="35" t="s">
        <v>28</v>
      </c>
      <c r="E1894" s="14" t="s">
        <v>29</v>
      </c>
      <c r="F1894" s="7" t="s">
        <v>56</v>
      </c>
      <c r="G1894" s="25" t="s">
        <v>2109</v>
      </c>
      <c r="H1894" s="25" t="s">
        <v>2884</v>
      </c>
      <c r="I1894" s="46">
        <v>0</v>
      </c>
      <c r="J1894" s="46">
        <v>0</v>
      </c>
      <c r="K1894" s="46">
        <v>0</v>
      </c>
      <c r="L1894" s="46">
        <v>0</v>
      </c>
      <c r="M1894" s="45">
        <v>0</v>
      </c>
      <c r="N1894" s="45">
        <v>0</v>
      </c>
      <c r="O1894" s="46">
        <v>934</v>
      </c>
      <c r="P1894" s="102">
        <v>0.93400000000000005</v>
      </c>
      <c r="Q1894" s="157" t="s">
        <v>2387</v>
      </c>
    </row>
    <row r="1895" spans="1:17" ht="48" x14ac:dyDescent="0.25">
      <c r="A1895" s="105">
        <v>38718</v>
      </c>
      <c r="B1895" s="105">
        <v>39082</v>
      </c>
      <c r="C1895" s="99">
        <v>2006</v>
      </c>
      <c r="D1895" s="35" t="s">
        <v>28</v>
      </c>
      <c r="E1895" s="14" t="s">
        <v>29</v>
      </c>
      <c r="F1895" s="7" t="s">
        <v>58</v>
      </c>
      <c r="G1895" s="25" t="s">
        <v>2109</v>
      </c>
      <c r="H1895" s="25" t="s">
        <v>2884</v>
      </c>
      <c r="I1895" s="46">
        <v>0</v>
      </c>
      <c r="J1895" s="46">
        <v>0</v>
      </c>
      <c r="K1895" s="46">
        <v>0</v>
      </c>
      <c r="L1895" s="46">
        <v>0</v>
      </c>
      <c r="M1895" s="45">
        <v>0</v>
      </c>
      <c r="N1895" s="45">
        <v>0</v>
      </c>
      <c r="O1895" s="46">
        <v>6961.5</v>
      </c>
      <c r="P1895" s="102">
        <v>6.9615</v>
      </c>
      <c r="Q1895" s="157" t="s">
        <v>2387</v>
      </c>
    </row>
    <row r="1896" spans="1:17" ht="48" x14ac:dyDescent="0.25">
      <c r="A1896" s="105">
        <v>38718</v>
      </c>
      <c r="B1896" s="105">
        <v>39082</v>
      </c>
      <c r="C1896" s="99">
        <v>2006</v>
      </c>
      <c r="D1896" s="35" t="s">
        <v>28</v>
      </c>
      <c r="E1896" s="14" t="s">
        <v>29</v>
      </c>
      <c r="F1896" s="28" t="s">
        <v>160</v>
      </c>
      <c r="G1896" s="25" t="s">
        <v>2109</v>
      </c>
      <c r="H1896" s="25" t="s">
        <v>2884</v>
      </c>
      <c r="I1896" s="46">
        <v>0</v>
      </c>
      <c r="J1896" s="46">
        <v>0</v>
      </c>
      <c r="K1896" s="46">
        <v>0</v>
      </c>
      <c r="L1896" s="46">
        <v>0</v>
      </c>
      <c r="M1896" s="45">
        <v>0</v>
      </c>
      <c r="N1896" s="45">
        <v>0</v>
      </c>
      <c r="O1896" s="46">
        <v>1448.98</v>
      </c>
      <c r="P1896" s="102">
        <v>1.4489799999999999</v>
      </c>
      <c r="Q1896" s="157" t="s">
        <v>2387</v>
      </c>
    </row>
    <row r="1897" spans="1:17" ht="48" x14ac:dyDescent="0.25">
      <c r="A1897" s="105">
        <v>38718</v>
      </c>
      <c r="B1897" s="105">
        <v>39082</v>
      </c>
      <c r="C1897" s="99">
        <v>2006</v>
      </c>
      <c r="D1897" s="35" t="s">
        <v>28</v>
      </c>
      <c r="E1897" s="14" t="s">
        <v>29</v>
      </c>
      <c r="F1897" s="7" t="s">
        <v>60</v>
      </c>
      <c r="G1897" s="25" t="s">
        <v>2109</v>
      </c>
      <c r="H1897" s="25" t="s">
        <v>2884</v>
      </c>
      <c r="I1897" s="46">
        <v>0</v>
      </c>
      <c r="J1897" s="46">
        <v>0</v>
      </c>
      <c r="K1897" s="46">
        <v>0</v>
      </c>
      <c r="L1897" s="46">
        <v>0</v>
      </c>
      <c r="M1897" s="45">
        <v>0</v>
      </c>
      <c r="N1897" s="45">
        <v>0</v>
      </c>
      <c r="O1897" s="46">
        <v>15810</v>
      </c>
      <c r="P1897" s="102">
        <v>15.81</v>
      </c>
      <c r="Q1897" s="157" t="s">
        <v>2387</v>
      </c>
    </row>
    <row r="1898" spans="1:17" ht="48" x14ac:dyDescent="0.25">
      <c r="A1898" s="105">
        <v>38718</v>
      </c>
      <c r="B1898" s="105">
        <v>39082</v>
      </c>
      <c r="C1898" s="99">
        <v>2006</v>
      </c>
      <c r="D1898" s="35" t="s">
        <v>28</v>
      </c>
      <c r="E1898" s="14" t="s">
        <v>29</v>
      </c>
      <c r="F1898" s="7" t="s">
        <v>53</v>
      </c>
      <c r="G1898" s="25" t="s">
        <v>2109</v>
      </c>
      <c r="H1898" s="25" t="s">
        <v>2884</v>
      </c>
      <c r="I1898" s="46">
        <v>0</v>
      </c>
      <c r="J1898" s="46">
        <v>0</v>
      </c>
      <c r="K1898" s="46">
        <v>0</v>
      </c>
      <c r="L1898" s="46">
        <v>0</v>
      </c>
      <c r="M1898" s="45">
        <v>0</v>
      </c>
      <c r="N1898" s="45">
        <v>0</v>
      </c>
      <c r="O1898" s="46">
        <v>7072.8</v>
      </c>
      <c r="P1898" s="102">
        <v>7.0277599999999998</v>
      </c>
      <c r="Q1898" s="157" t="s">
        <v>2387</v>
      </c>
    </row>
    <row r="1899" spans="1:17" ht="48" x14ac:dyDescent="0.25">
      <c r="A1899" s="105">
        <v>38718</v>
      </c>
      <c r="B1899" s="105">
        <v>39082</v>
      </c>
      <c r="C1899" s="99">
        <v>2006</v>
      </c>
      <c r="D1899" s="35" t="s">
        <v>28</v>
      </c>
      <c r="E1899" s="14" t="s">
        <v>29</v>
      </c>
      <c r="F1899" s="7" t="s">
        <v>62</v>
      </c>
      <c r="G1899" s="25" t="s">
        <v>2109</v>
      </c>
      <c r="H1899" s="25" t="s">
        <v>2884</v>
      </c>
      <c r="I1899" s="46">
        <v>0</v>
      </c>
      <c r="J1899" s="46">
        <v>0</v>
      </c>
      <c r="K1899" s="46">
        <v>0</v>
      </c>
      <c r="L1899" s="46">
        <v>0</v>
      </c>
      <c r="M1899" s="45">
        <v>0</v>
      </c>
      <c r="N1899" s="45">
        <v>0</v>
      </c>
      <c r="O1899" s="46">
        <v>13175.55</v>
      </c>
      <c r="P1899" s="102">
        <v>13.175549999999999</v>
      </c>
      <c r="Q1899" s="157" t="s">
        <v>2387</v>
      </c>
    </row>
    <row r="1900" spans="1:17" ht="48" x14ac:dyDescent="0.25">
      <c r="A1900" s="105">
        <v>38718</v>
      </c>
      <c r="B1900" s="105">
        <v>39082</v>
      </c>
      <c r="C1900" s="99">
        <v>2006</v>
      </c>
      <c r="D1900" s="35" t="s">
        <v>28</v>
      </c>
      <c r="E1900" s="14" t="s">
        <v>29</v>
      </c>
      <c r="F1900" s="7" t="s">
        <v>65</v>
      </c>
      <c r="G1900" s="25" t="s">
        <v>2109</v>
      </c>
      <c r="H1900" s="25" t="s">
        <v>2884</v>
      </c>
      <c r="I1900" s="46">
        <v>0</v>
      </c>
      <c r="J1900" s="46">
        <v>0</v>
      </c>
      <c r="K1900" s="46">
        <v>0</v>
      </c>
      <c r="L1900" s="46">
        <v>0</v>
      </c>
      <c r="M1900" s="45">
        <v>0</v>
      </c>
      <c r="N1900" s="45">
        <v>0</v>
      </c>
      <c r="O1900" s="46">
        <v>888.3</v>
      </c>
      <c r="P1900" s="102">
        <v>0.88829999999999998</v>
      </c>
      <c r="Q1900" s="157" t="s">
        <v>2387</v>
      </c>
    </row>
    <row r="1901" spans="1:17" ht="48" x14ac:dyDescent="0.25">
      <c r="A1901" s="105">
        <v>38718</v>
      </c>
      <c r="B1901" s="105">
        <v>39082</v>
      </c>
      <c r="C1901" s="99">
        <v>2006</v>
      </c>
      <c r="D1901" s="35" t="s">
        <v>28</v>
      </c>
      <c r="E1901" s="14" t="s">
        <v>29</v>
      </c>
      <c r="F1901" s="7" t="s">
        <v>67</v>
      </c>
      <c r="G1901" s="25" t="s">
        <v>2109</v>
      </c>
      <c r="H1901" s="25" t="s">
        <v>2884</v>
      </c>
      <c r="I1901" s="46">
        <v>0</v>
      </c>
      <c r="J1901" s="46">
        <v>0</v>
      </c>
      <c r="K1901" s="46">
        <v>0</v>
      </c>
      <c r="L1901" s="46">
        <v>0</v>
      </c>
      <c r="M1901" s="45">
        <v>0</v>
      </c>
      <c r="N1901" s="45">
        <v>0</v>
      </c>
      <c r="O1901" s="46">
        <v>2923</v>
      </c>
      <c r="P1901" s="102">
        <v>2.923</v>
      </c>
      <c r="Q1901" s="157" t="s">
        <v>2387</v>
      </c>
    </row>
    <row r="1902" spans="1:17" ht="48" x14ac:dyDescent="0.25">
      <c r="A1902" s="105">
        <v>38718</v>
      </c>
      <c r="B1902" s="105">
        <v>39082</v>
      </c>
      <c r="C1902" s="99">
        <v>2006</v>
      </c>
      <c r="D1902" s="35" t="s">
        <v>28</v>
      </c>
      <c r="E1902" s="14" t="s">
        <v>29</v>
      </c>
      <c r="F1902" s="7" t="s">
        <v>68</v>
      </c>
      <c r="G1902" s="25" t="s">
        <v>2109</v>
      </c>
      <c r="H1902" s="25" t="s">
        <v>2884</v>
      </c>
      <c r="I1902" s="46">
        <v>0</v>
      </c>
      <c r="J1902" s="46">
        <v>0</v>
      </c>
      <c r="K1902" s="46">
        <v>0</v>
      </c>
      <c r="L1902" s="46">
        <v>0</v>
      </c>
      <c r="M1902" s="45">
        <v>0</v>
      </c>
      <c r="N1902" s="45">
        <v>0</v>
      </c>
      <c r="O1902" s="46">
        <v>2000.45</v>
      </c>
      <c r="P1902" s="102">
        <v>2.0004499999999998</v>
      </c>
      <c r="Q1902" s="157" t="s">
        <v>2387</v>
      </c>
    </row>
    <row r="1903" spans="1:17" ht="48" x14ac:dyDescent="0.25">
      <c r="A1903" s="105">
        <v>38718</v>
      </c>
      <c r="B1903" s="105">
        <v>39082</v>
      </c>
      <c r="C1903" s="99">
        <v>2006</v>
      </c>
      <c r="D1903" s="35" t="s">
        <v>28</v>
      </c>
      <c r="E1903" s="14" t="s">
        <v>29</v>
      </c>
      <c r="F1903" s="7" t="s">
        <v>72</v>
      </c>
      <c r="G1903" s="25" t="s">
        <v>2109</v>
      </c>
      <c r="H1903" s="25" t="s">
        <v>2884</v>
      </c>
      <c r="I1903" s="46">
        <v>4</v>
      </c>
      <c r="J1903" s="46">
        <v>4</v>
      </c>
      <c r="K1903" s="46">
        <v>0</v>
      </c>
      <c r="L1903" s="46">
        <v>0</v>
      </c>
      <c r="M1903" s="45">
        <v>0</v>
      </c>
      <c r="N1903" s="45">
        <v>0</v>
      </c>
      <c r="O1903" s="46">
        <v>13096.75</v>
      </c>
      <c r="P1903" s="102">
        <v>13.09675</v>
      </c>
      <c r="Q1903" s="157" t="s">
        <v>2387</v>
      </c>
    </row>
    <row r="1904" spans="1:17" ht="48" x14ac:dyDescent="0.25">
      <c r="A1904" s="105">
        <v>38718</v>
      </c>
      <c r="B1904" s="105">
        <v>39082</v>
      </c>
      <c r="C1904" s="99">
        <v>2006</v>
      </c>
      <c r="D1904" s="35" t="s">
        <v>28</v>
      </c>
      <c r="E1904" s="14" t="s">
        <v>29</v>
      </c>
      <c r="F1904" s="7" t="s">
        <v>75</v>
      </c>
      <c r="G1904" s="25" t="s">
        <v>2109</v>
      </c>
      <c r="H1904" s="25" t="s">
        <v>2884</v>
      </c>
      <c r="I1904" s="46">
        <v>0</v>
      </c>
      <c r="J1904" s="46">
        <v>0</v>
      </c>
      <c r="K1904" s="46">
        <v>0</v>
      </c>
      <c r="L1904" s="46">
        <v>0</v>
      </c>
      <c r="M1904" s="45">
        <v>0</v>
      </c>
      <c r="N1904" s="45">
        <v>0</v>
      </c>
      <c r="O1904" s="46">
        <v>3306.3</v>
      </c>
      <c r="P1904" s="102">
        <v>3.3062999999999998</v>
      </c>
      <c r="Q1904" s="157" t="s">
        <v>2387</v>
      </c>
    </row>
    <row r="1905" spans="1:17" ht="48" x14ac:dyDescent="0.25">
      <c r="A1905" s="105">
        <v>38718</v>
      </c>
      <c r="B1905" s="105">
        <v>39082</v>
      </c>
      <c r="C1905" s="99">
        <v>2006</v>
      </c>
      <c r="D1905" s="35" t="s">
        <v>28</v>
      </c>
      <c r="E1905" s="14" t="s">
        <v>29</v>
      </c>
      <c r="F1905" s="7" t="s">
        <v>77</v>
      </c>
      <c r="G1905" s="25" t="s">
        <v>2109</v>
      </c>
      <c r="H1905" s="25" t="s">
        <v>2884</v>
      </c>
      <c r="I1905" s="46">
        <v>0</v>
      </c>
      <c r="J1905" s="46">
        <v>0</v>
      </c>
      <c r="K1905" s="46">
        <v>0</v>
      </c>
      <c r="L1905" s="46">
        <v>0</v>
      </c>
      <c r="M1905" s="45">
        <v>0</v>
      </c>
      <c r="N1905" s="45">
        <v>0</v>
      </c>
      <c r="O1905" s="46">
        <v>347</v>
      </c>
      <c r="P1905" s="102">
        <v>0.34699999999999998</v>
      </c>
      <c r="Q1905" s="157" t="s">
        <v>2387</v>
      </c>
    </row>
    <row r="1906" spans="1:17" ht="48" x14ac:dyDescent="0.25">
      <c r="A1906" s="105">
        <v>38718</v>
      </c>
      <c r="B1906" s="105">
        <v>39082</v>
      </c>
      <c r="C1906" s="99">
        <v>2006</v>
      </c>
      <c r="D1906" s="35" t="s">
        <v>28</v>
      </c>
      <c r="E1906" s="14" t="s">
        <v>29</v>
      </c>
      <c r="F1906" s="7" t="s">
        <v>80</v>
      </c>
      <c r="G1906" s="25" t="s">
        <v>2109</v>
      </c>
      <c r="H1906" s="25" t="s">
        <v>2884</v>
      </c>
      <c r="I1906" s="46">
        <v>1</v>
      </c>
      <c r="J1906" s="46">
        <v>1</v>
      </c>
      <c r="K1906" s="46">
        <v>0</v>
      </c>
      <c r="L1906" s="46">
        <v>0</v>
      </c>
      <c r="M1906" s="45">
        <v>0</v>
      </c>
      <c r="N1906" s="45">
        <v>0</v>
      </c>
      <c r="O1906" s="46">
        <v>53618.5</v>
      </c>
      <c r="P1906" s="102">
        <v>53.618499999999997</v>
      </c>
      <c r="Q1906" s="157" t="s">
        <v>2387</v>
      </c>
    </row>
    <row r="1907" spans="1:17" ht="48" x14ac:dyDescent="0.25">
      <c r="A1907" s="105">
        <v>38718</v>
      </c>
      <c r="B1907" s="105">
        <v>39082</v>
      </c>
      <c r="C1907" s="99">
        <v>2006</v>
      </c>
      <c r="D1907" s="35" t="s">
        <v>28</v>
      </c>
      <c r="E1907" s="14" t="s">
        <v>29</v>
      </c>
      <c r="F1907" s="7" t="s">
        <v>82</v>
      </c>
      <c r="G1907" s="25" t="s">
        <v>2109</v>
      </c>
      <c r="H1907" s="25" t="s">
        <v>2884</v>
      </c>
      <c r="I1907" s="46">
        <v>0</v>
      </c>
      <c r="J1907" s="46">
        <v>0</v>
      </c>
      <c r="K1907" s="46">
        <v>0</v>
      </c>
      <c r="L1907" s="46">
        <v>0</v>
      </c>
      <c r="M1907" s="45">
        <v>0</v>
      </c>
      <c r="N1907" s="45">
        <v>0</v>
      </c>
      <c r="O1907" s="46">
        <v>2746.5</v>
      </c>
      <c r="P1907" s="102">
        <v>2.7465000000000002</v>
      </c>
      <c r="Q1907" s="157" t="s">
        <v>2387</v>
      </c>
    </row>
    <row r="1908" spans="1:17" ht="48" x14ac:dyDescent="0.25">
      <c r="A1908" s="105">
        <v>38718</v>
      </c>
      <c r="B1908" s="105">
        <v>39082</v>
      </c>
      <c r="C1908" s="99">
        <v>2006</v>
      </c>
      <c r="D1908" s="35" t="s">
        <v>28</v>
      </c>
      <c r="E1908" s="14" t="s">
        <v>29</v>
      </c>
      <c r="F1908" s="7" t="s">
        <v>84</v>
      </c>
      <c r="G1908" s="25" t="s">
        <v>2109</v>
      </c>
      <c r="H1908" s="25" t="s">
        <v>2884</v>
      </c>
      <c r="I1908" s="46">
        <v>0</v>
      </c>
      <c r="J1908" s="46">
        <v>0</v>
      </c>
      <c r="K1908" s="46">
        <v>0</v>
      </c>
      <c r="L1908" s="46">
        <v>0</v>
      </c>
      <c r="M1908" s="45">
        <v>0</v>
      </c>
      <c r="N1908" s="45">
        <v>0</v>
      </c>
      <c r="O1908" s="46">
        <v>5687.5</v>
      </c>
      <c r="P1908" s="102">
        <v>5.6875</v>
      </c>
      <c r="Q1908" s="157" t="s">
        <v>2387</v>
      </c>
    </row>
    <row r="1909" spans="1:17" ht="48" x14ac:dyDescent="0.25">
      <c r="A1909" s="105">
        <v>38718</v>
      </c>
      <c r="B1909" s="105">
        <v>39082</v>
      </c>
      <c r="C1909" s="99">
        <v>2006</v>
      </c>
      <c r="D1909" s="35" t="s">
        <v>28</v>
      </c>
      <c r="E1909" s="14" t="s">
        <v>29</v>
      </c>
      <c r="F1909" s="7" t="s">
        <v>87</v>
      </c>
      <c r="G1909" s="25" t="s">
        <v>2109</v>
      </c>
      <c r="H1909" s="25" t="s">
        <v>2884</v>
      </c>
      <c r="I1909" s="46">
        <v>0</v>
      </c>
      <c r="J1909" s="46">
        <v>0</v>
      </c>
      <c r="K1909" s="46">
        <v>0</v>
      </c>
      <c r="L1909" s="46">
        <v>0</v>
      </c>
      <c r="M1909" s="45">
        <v>0</v>
      </c>
      <c r="N1909" s="45">
        <v>0</v>
      </c>
      <c r="O1909" s="46">
        <v>8505.5</v>
      </c>
      <c r="P1909" s="102">
        <v>8.5054999999999996</v>
      </c>
      <c r="Q1909" s="157" t="s">
        <v>2387</v>
      </c>
    </row>
    <row r="1910" spans="1:17" ht="48" x14ac:dyDescent="0.25">
      <c r="A1910" s="105">
        <v>38718</v>
      </c>
      <c r="B1910" s="105">
        <v>39082</v>
      </c>
      <c r="C1910" s="99">
        <v>2006</v>
      </c>
      <c r="D1910" s="35" t="s">
        <v>28</v>
      </c>
      <c r="E1910" s="14" t="s">
        <v>29</v>
      </c>
      <c r="F1910" s="25" t="s">
        <v>781</v>
      </c>
      <c r="G1910" s="25" t="s">
        <v>2109</v>
      </c>
      <c r="H1910" s="25" t="s">
        <v>2884</v>
      </c>
      <c r="I1910" s="46">
        <v>0</v>
      </c>
      <c r="J1910" s="46">
        <v>0</v>
      </c>
      <c r="K1910" s="46">
        <v>0</v>
      </c>
      <c r="L1910" s="46">
        <v>0</v>
      </c>
      <c r="M1910" s="45">
        <v>0</v>
      </c>
      <c r="N1910" s="45">
        <v>0</v>
      </c>
      <c r="O1910" s="46">
        <v>1</v>
      </c>
      <c r="P1910" s="102">
        <v>1E-3</v>
      </c>
      <c r="Q1910" s="157" t="s">
        <v>2387</v>
      </c>
    </row>
    <row r="1911" spans="1:17" ht="48" x14ac:dyDescent="0.25">
      <c r="A1911" s="105">
        <v>38718</v>
      </c>
      <c r="B1911" s="105">
        <v>39082</v>
      </c>
      <c r="C1911" s="99">
        <v>2006</v>
      </c>
      <c r="D1911" s="35" t="s">
        <v>28</v>
      </c>
      <c r="E1911" s="14" t="s">
        <v>29</v>
      </c>
      <c r="F1911" s="7" t="s">
        <v>97</v>
      </c>
      <c r="G1911" s="25" t="s">
        <v>2109</v>
      </c>
      <c r="H1911" s="25" t="s">
        <v>2884</v>
      </c>
      <c r="I1911" s="46">
        <v>1</v>
      </c>
      <c r="J1911" s="46">
        <v>1</v>
      </c>
      <c r="K1911" s="46">
        <v>0</v>
      </c>
      <c r="L1911" s="46">
        <v>0</v>
      </c>
      <c r="M1911" s="45">
        <v>0</v>
      </c>
      <c r="N1911" s="45">
        <v>0</v>
      </c>
      <c r="O1911" s="46">
        <v>4393</v>
      </c>
      <c r="P1911" s="102">
        <v>4.3929999999999998</v>
      </c>
      <c r="Q1911" s="157" t="s">
        <v>2387</v>
      </c>
    </row>
    <row r="1912" spans="1:17" ht="48" x14ac:dyDescent="0.25">
      <c r="A1912" s="105">
        <v>38718</v>
      </c>
      <c r="B1912" s="105">
        <v>39082</v>
      </c>
      <c r="C1912" s="99">
        <v>2006</v>
      </c>
      <c r="D1912" s="35" t="s">
        <v>28</v>
      </c>
      <c r="E1912" s="14" t="s">
        <v>29</v>
      </c>
      <c r="F1912" s="7" t="s">
        <v>91</v>
      </c>
      <c r="G1912" s="25" t="s">
        <v>2109</v>
      </c>
      <c r="H1912" s="25" t="s">
        <v>2884</v>
      </c>
      <c r="I1912" s="46">
        <v>0</v>
      </c>
      <c r="J1912" s="46">
        <v>0</v>
      </c>
      <c r="K1912" s="46">
        <v>0</v>
      </c>
      <c r="L1912" s="46">
        <v>0</v>
      </c>
      <c r="M1912" s="45">
        <v>0</v>
      </c>
      <c r="N1912" s="45">
        <v>0</v>
      </c>
      <c r="O1912" s="46">
        <v>945.5</v>
      </c>
      <c r="P1912" s="102">
        <v>0.94550000000000001</v>
      </c>
      <c r="Q1912" s="157" t="s">
        <v>2387</v>
      </c>
    </row>
    <row r="1913" spans="1:17" ht="48" x14ac:dyDescent="0.25">
      <c r="A1913" s="105">
        <v>38718</v>
      </c>
      <c r="B1913" s="105">
        <v>39082</v>
      </c>
      <c r="C1913" s="99">
        <v>2006</v>
      </c>
      <c r="D1913" s="35" t="s">
        <v>28</v>
      </c>
      <c r="E1913" s="14" t="s">
        <v>29</v>
      </c>
      <c r="F1913" s="28" t="s">
        <v>210</v>
      </c>
      <c r="G1913" s="25" t="s">
        <v>2109</v>
      </c>
      <c r="H1913" s="25" t="s">
        <v>2884</v>
      </c>
      <c r="I1913" s="46">
        <v>0</v>
      </c>
      <c r="J1913" s="46">
        <v>0</v>
      </c>
      <c r="K1913" s="46">
        <v>0</v>
      </c>
      <c r="L1913" s="46">
        <v>0</v>
      </c>
      <c r="M1913" s="45">
        <v>0</v>
      </c>
      <c r="N1913" s="45">
        <v>0</v>
      </c>
      <c r="O1913" s="46">
        <v>1305</v>
      </c>
      <c r="P1913" s="102">
        <v>1.3049999999999999</v>
      </c>
      <c r="Q1913" s="157" t="s">
        <v>2387</v>
      </c>
    </row>
    <row r="1914" spans="1:17" ht="48" x14ac:dyDescent="0.25">
      <c r="A1914" s="105">
        <v>38718</v>
      </c>
      <c r="B1914" s="105">
        <v>39082</v>
      </c>
      <c r="C1914" s="99">
        <v>2006</v>
      </c>
      <c r="D1914" s="35" t="s">
        <v>28</v>
      </c>
      <c r="E1914" s="14" t="s">
        <v>29</v>
      </c>
      <c r="F1914" s="28" t="s">
        <v>163</v>
      </c>
      <c r="G1914" s="25" t="s">
        <v>2109</v>
      </c>
      <c r="H1914" s="25" t="s">
        <v>2884</v>
      </c>
      <c r="I1914" s="46">
        <v>0</v>
      </c>
      <c r="J1914" s="46">
        <v>0</v>
      </c>
      <c r="K1914" s="46">
        <v>0</v>
      </c>
      <c r="L1914" s="46">
        <v>0</v>
      </c>
      <c r="M1914" s="45">
        <v>0</v>
      </c>
      <c r="N1914" s="45">
        <v>0</v>
      </c>
      <c r="O1914" s="46">
        <v>9389</v>
      </c>
      <c r="P1914" s="102">
        <v>9.3889999999999993</v>
      </c>
      <c r="Q1914" s="157" t="s">
        <v>2387</v>
      </c>
    </row>
    <row r="1915" spans="1:17" ht="48" x14ac:dyDescent="0.25">
      <c r="A1915" s="105">
        <v>38718</v>
      </c>
      <c r="B1915" s="105">
        <v>39082</v>
      </c>
      <c r="C1915" s="99">
        <v>2006</v>
      </c>
      <c r="D1915" s="35" t="s">
        <v>28</v>
      </c>
      <c r="E1915" s="14" t="s">
        <v>29</v>
      </c>
      <c r="F1915" s="7" t="s">
        <v>101</v>
      </c>
      <c r="G1915" s="25" t="s">
        <v>2109</v>
      </c>
      <c r="H1915" s="25" t="s">
        <v>2884</v>
      </c>
      <c r="I1915" s="46">
        <v>0</v>
      </c>
      <c r="J1915" s="46">
        <v>0</v>
      </c>
      <c r="K1915" s="46">
        <v>0</v>
      </c>
      <c r="L1915" s="46">
        <v>0</v>
      </c>
      <c r="M1915" s="45">
        <v>0</v>
      </c>
      <c r="N1915" s="45">
        <v>0</v>
      </c>
      <c r="O1915" s="46">
        <v>2972.07</v>
      </c>
      <c r="P1915" s="102">
        <v>2.97207</v>
      </c>
      <c r="Q1915" s="359" t="s">
        <v>2387</v>
      </c>
    </row>
    <row r="1916" spans="1:17" ht="72" x14ac:dyDescent="0.25">
      <c r="A1916" s="21">
        <v>38726</v>
      </c>
      <c r="B1916" s="21">
        <v>38726</v>
      </c>
      <c r="C1916" s="99">
        <v>2006</v>
      </c>
      <c r="D1916" s="24" t="s">
        <v>141</v>
      </c>
      <c r="E1916" s="30" t="s">
        <v>142</v>
      </c>
      <c r="F1916" s="7" t="s">
        <v>87</v>
      </c>
      <c r="G1916" s="44" t="s">
        <v>2259</v>
      </c>
      <c r="H1916" s="44" t="s">
        <v>2885</v>
      </c>
      <c r="I1916" s="45">
        <v>0</v>
      </c>
      <c r="J1916" s="45">
        <v>1</v>
      </c>
      <c r="K1916" s="45">
        <v>0</v>
      </c>
      <c r="L1916" s="46">
        <v>0</v>
      </c>
      <c r="M1916" s="45">
        <v>0</v>
      </c>
      <c r="N1916" s="45">
        <v>0</v>
      </c>
      <c r="O1916" s="46">
        <v>0</v>
      </c>
      <c r="P1916" s="102">
        <v>0.29949999999999999</v>
      </c>
      <c r="Q1916" s="35" t="s">
        <v>154</v>
      </c>
    </row>
    <row r="1917" spans="1:17" ht="72" x14ac:dyDescent="0.25">
      <c r="A1917" s="21">
        <v>38730</v>
      </c>
      <c r="B1917" s="21">
        <v>38730</v>
      </c>
      <c r="C1917" s="99">
        <v>2006</v>
      </c>
      <c r="D1917" s="24" t="s">
        <v>141</v>
      </c>
      <c r="E1917" s="30" t="s">
        <v>142</v>
      </c>
      <c r="F1917" s="7" t="s">
        <v>60</v>
      </c>
      <c r="G1917" s="44" t="s">
        <v>2886</v>
      </c>
      <c r="H1917" s="44" t="s">
        <v>2887</v>
      </c>
      <c r="I1917" s="45">
        <v>0</v>
      </c>
      <c r="J1917" s="45">
        <v>1</v>
      </c>
      <c r="K1917" s="45">
        <v>0</v>
      </c>
      <c r="L1917" s="46">
        <v>0</v>
      </c>
      <c r="M1917" s="45">
        <v>0</v>
      </c>
      <c r="N1917" s="45">
        <v>0</v>
      </c>
      <c r="O1917" s="46">
        <v>0</v>
      </c>
      <c r="P1917" s="102">
        <v>0.45</v>
      </c>
      <c r="Q1917" s="35" t="s">
        <v>154</v>
      </c>
    </row>
    <row r="1918" spans="1:17" ht="48" x14ac:dyDescent="0.25">
      <c r="A1918" s="21">
        <v>38731</v>
      </c>
      <c r="B1918" s="21">
        <v>38731</v>
      </c>
      <c r="C1918" s="99">
        <v>2006</v>
      </c>
      <c r="D1918" s="24" t="s">
        <v>141</v>
      </c>
      <c r="E1918" s="30" t="s">
        <v>142</v>
      </c>
      <c r="F1918" s="7" t="s">
        <v>53</v>
      </c>
      <c r="G1918" s="44" t="s">
        <v>2888</v>
      </c>
      <c r="H1918" s="44" t="s">
        <v>2889</v>
      </c>
      <c r="I1918" s="45">
        <v>0</v>
      </c>
      <c r="J1918" s="45">
        <v>0</v>
      </c>
      <c r="K1918" s="45">
        <v>0</v>
      </c>
      <c r="L1918" s="46">
        <v>0</v>
      </c>
      <c r="M1918" s="45">
        <v>0</v>
      </c>
      <c r="N1918" s="45">
        <v>0</v>
      </c>
      <c r="O1918" s="46">
        <v>0</v>
      </c>
      <c r="P1918" s="102">
        <v>0</v>
      </c>
      <c r="Q1918" s="35" t="s">
        <v>154</v>
      </c>
    </row>
    <row r="1919" spans="1:17" ht="48" x14ac:dyDescent="0.25">
      <c r="A1919" s="21">
        <v>38740</v>
      </c>
      <c r="B1919" s="21">
        <v>38740</v>
      </c>
      <c r="C1919" s="99">
        <v>2006</v>
      </c>
      <c r="D1919" s="24" t="s">
        <v>141</v>
      </c>
      <c r="E1919" s="30" t="s">
        <v>142</v>
      </c>
      <c r="F1919" s="7" t="s">
        <v>45</v>
      </c>
      <c r="G1919" s="44" t="s">
        <v>2890</v>
      </c>
      <c r="H1919" s="44" t="s">
        <v>2891</v>
      </c>
      <c r="I1919" s="45">
        <v>0</v>
      </c>
      <c r="J1919" s="45">
        <v>3</v>
      </c>
      <c r="K1919" s="45">
        <v>0</v>
      </c>
      <c r="L1919" s="46">
        <v>0</v>
      </c>
      <c r="M1919" s="45">
        <v>0</v>
      </c>
      <c r="N1919" s="45">
        <v>0</v>
      </c>
      <c r="O1919" s="46">
        <v>0</v>
      </c>
      <c r="P1919" s="102">
        <v>1</v>
      </c>
      <c r="Q1919" s="35" t="s">
        <v>154</v>
      </c>
    </row>
    <row r="1920" spans="1:17" ht="48" x14ac:dyDescent="0.25">
      <c r="A1920" s="21">
        <v>38742</v>
      </c>
      <c r="B1920" s="21">
        <v>38742</v>
      </c>
      <c r="C1920" s="99">
        <v>2006</v>
      </c>
      <c r="D1920" s="24" t="s">
        <v>141</v>
      </c>
      <c r="E1920" s="30" t="s">
        <v>142</v>
      </c>
      <c r="F1920" s="7" t="s">
        <v>45</v>
      </c>
      <c r="G1920" s="44" t="s">
        <v>259</v>
      </c>
      <c r="H1920" s="44" t="s">
        <v>2892</v>
      </c>
      <c r="I1920" s="45">
        <v>0</v>
      </c>
      <c r="J1920" s="45">
        <v>17</v>
      </c>
      <c r="K1920" s="45">
        <v>0</v>
      </c>
      <c r="L1920" s="46">
        <v>0</v>
      </c>
      <c r="M1920" s="45">
        <v>0</v>
      </c>
      <c r="N1920" s="45">
        <v>0</v>
      </c>
      <c r="O1920" s="46">
        <v>0</v>
      </c>
      <c r="P1920" s="102">
        <v>0.6</v>
      </c>
      <c r="Q1920" s="35" t="s">
        <v>154</v>
      </c>
    </row>
    <row r="1921" spans="1:17" ht="48" x14ac:dyDescent="0.25">
      <c r="A1921" s="21">
        <v>38747</v>
      </c>
      <c r="B1921" s="21">
        <v>38747</v>
      </c>
      <c r="C1921" s="99">
        <v>2006</v>
      </c>
      <c r="D1921" s="24" t="s">
        <v>141</v>
      </c>
      <c r="E1921" s="30" t="s">
        <v>142</v>
      </c>
      <c r="F1921" s="7" t="s">
        <v>56</v>
      </c>
      <c r="G1921" s="44" t="s">
        <v>1160</v>
      </c>
      <c r="H1921" s="44" t="s">
        <v>2893</v>
      </c>
      <c r="I1921" s="45">
        <v>0</v>
      </c>
      <c r="J1921" s="45">
        <v>1</v>
      </c>
      <c r="K1921" s="45">
        <v>0</v>
      </c>
      <c r="L1921" s="46">
        <v>0</v>
      </c>
      <c r="M1921" s="45">
        <v>0</v>
      </c>
      <c r="N1921" s="45">
        <v>0</v>
      </c>
      <c r="O1921" s="46">
        <v>0</v>
      </c>
      <c r="P1921" s="102">
        <v>2.6154760000000001</v>
      </c>
      <c r="Q1921" s="35" t="s">
        <v>154</v>
      </c>
    </row>
    <row r="1922" spans="1:17" ht="60" x14ac:dyDescent="0.25">
      <c r="A1922" s="21">
        <v>38753</v>
      </c>
      <c r="B1922" s="21">
        <v>38753</v>
      </c>
      <c r="C1922" s="99">
        <v>2006</v>
      </c>
      <c r="D1922" s="24" t="s">
        <v>141</v>
      </c>
      <c r="E1922" s="30" t="s">
        <v>142</v>
      </c>
      <c r="F1922" s="7" t="s">
        <v>91</v>
      </c>
      <c r="G1922" s="44" t="s">
        <v>1479</v>
      </c>
      <c r="H1922" s="109" t="s">
        <v>2894</v>
      </c>
      <c r="I1922" s="45">
        <v>12</v>
      </c>
      <c r="J1922" s="45">
        <v>12</v>
      </c>
      <c r="K1922" s="45">
        <v>0</v>
      </c>
      <c r="L1922" s="46">
        <v>0</v>
      </c>
      <c r="M1922" s="45">
        <v>0</v>
      </c>
      <c r="N1922" s="45">
        <v>0</v>
      </c>
      <c r="O1922" s="46">
        <v>0</v>
      </c>
      <c r="P1922" s="102">
        <v>7.1999999999999995E-2</v>
      </c>
      <c r="Q1922" s="35" t="s">
        <v>154</v>
      </c>
    </row>
    <row r="1923" spans="1:17" ht="60" x14ac:dyDescent="0.25">
      <c r="A1923" s="21">
        <v>38757</v>
      </c>
      <c r="B1923" s="21">
        <v>38757</v>
      </c>
      <c r="C1923" s="99">
        <v>2006</v>
      </c>
      <c r="D1923" s="24" t="s">
        <v>141</v>
      </c>
      <c r="E1923" s="30" t="s">
        <v>142</v>
      </c>
      <c r="F1923" s="7" t="s">
        <v>56</v>
      </c>
      <c r="G1923" s="44" t="s">
        <v>1426</v>
      </c>
      <c r="H1923" s="44" t="s">
        <v>2895</v>
      </c>
      <c r="I1923" s="45">
        <v>9</v>
      </c>
      <c r="J1923" s="45">
        <v>19</v>
      </c>
      <c r="K1923" s="45">
        <v>0</v>
      </c>
      <c r="L1923" s="46">
        <v>0</v>
      </c>
      <c r="M1923" s="45">
        <v>0</v>
      </c>
      <c r="N1923" s="45">
        <v>0</v>
      </c>
      <c r="O1923" s="46">
        <v>0</v>
      </c>
      <c r="P1923" s="102">
        <v>0.30599999999999999</v>
      </c>
      <c r="Q1923" s="35" t="s">
        <v>154</v>
      </c>
    </row>
    <row r="1924" spans="1:17" ht="36" x14ac:dyDescent="0.25">
      <c r="A1924" s="21">
        <v>38757</v>
      </c>
      <c r="B1924" s="21">
        <v>38757</v>
      </c>
      <c r="C1924" s="99">
        <v>2006</v>
      </c>
      <c r="D1924" s="24" t="s">
        <v>141</v>
      </c>
      <c r="E1924" s="30" t="s">
        <v>142</v>
      </c>
      <c r="F1924" s="7" t="s">
        <v>60</v>
      </c>
      <c r="G1924" s="44" t="s">
        <v>2896</v>
      </c>
      <c r="H1924" s="44" t="s">
        <v>2897</v>
      </c>
      <c r="I1924" s="45">
        <v>1</v>
      </c>
      <c r="J1924" s="45">
        <v>3</v>
      </c>
      <c r="K1924" s="45">
        <v>0</v>
      </c>
      <c r="L1924" s="46">
        <v>0</v>
      </c>
      <c r="M1924" s="45">
        <v>0</v>
      </c>
      <c r="N1924" s="45">
        <v>0</v>
      </c>
      <c r="O1924" s="46">
        <v>0</v>
      </c>
      <c r="P1924" s="102">
        <v>0</v>
      </c>
      <c r="Q1924" s="35" t="s">
        <v>154</v>
      </c>
    </row>
    <row r="1925" spans="1:17" ht="48" x14ac:dyDescent="0.25">
      <c r="A1925" s="21">
        <v>38760</v>
      </c>
      <c r="B1925" s="21">
        <v>38760</v>
      </c>
      <c r="C1925" s="99">
        <v>2006</v>
      </c>
      <c r="D1925" s="24" t="s">
        <v>141</v>
      </c>
      <c r="E1925" s="30" t="s">
        <v>142</v>
      </c>
      <c r="F1925" s="7" t="s">
        <v>53</v>
      </c>
      <c r="G1925" s="44" t="s">
        <v>1826</v>
      </c>
      <c r="H1925" s="44" t="s">
        <v>2898</v>
      </c>
      <c r="I1925" s="45">
        <v>7</v>
      </c>
      <c r="J1925" s="45">
        <v>11</v>
      </c>
      <c r="K1925" s="45">
        <v>0</v>
      </c>
      <c r="L1925" s="46">
        <v>0</v>
      </c>
      <c r="M1925" s="45">
        <v>0</v>
      </c>
      <c r="N1925" s="45">
        <v>0</v>
      </c>
      <c r="O1925" s="46">
        <v>0</v>
      </c>
      <c r="P1925" s="102">
        <v>3.5999999999999997E-2</v>
      </c>
      <c r="Q1925" s="35" t="s">
        <v>154</v>
      </c>
    </row>
    <row r="1926" spans="1:17" ht="48" x14ac:dyDescent="0.25">
      <c r="A1926" s="21">
        <v>38761</v>
      </c>
      <c r="B1926" s="21">
        <v>38761</v>
      </c>
      <c r="C1926" s="99">
        <v>2006</v>
      </c>
      <c r="D1926" s="24" t="s">
        <v>141</v>
      </c>
      <c r="E1926" s="30" t="s">
        <v>142</v>
      </c>
      <c r="F1926" s="7" t="s">
        <v>36</v>
      </c>
      <c r="G1926" s="44" t="s">
        <v>1830</v>
      </c>
      <c r="H1926" s="109" t="s">
        <v>2899</v>
      </c>
      <c r="I1926" s="45">
        <v>0</v>
      </c>
      <c r="J1926" s="45">
        <v>1</v>
      </c>
      <c r="K1926" s="45">
        <v>0</v>
      </c>
      <c r="L1926" s="46">
        <v>0</v>
      </c>
      <c r="M1926" s="45">
        <v>0</v>
      </c>
      <c r="N1926" s="45">
        <v>0</v>
      </c>
      <c r="O1926" s="46">
        <v>0</v>
      </c>
      <c r="P1926" s="102">
        <v>0.27</v>
      </c>
      <c r="Q1926" s="35" t="s">
        <v>154</v>
      </c>
    </row>
    <row r="1927" spans="1:17" ht="60" x14ac:dyDescent="0.25">
      <c r="A1927" s="21">
        <v>38762</v>
      </c>
      <c r="B1927" s="21">
        <v>38762</v>
      </c>
      <c r="C1927" s="99">
        <v>2006</v>
      </c>
      <c r="D1927" s="24" t="s">
        <v>141</v>
      </c>
      <c r="E1927" s="30" t="s">
        <v>142</v>
      </c>
      <c r="F1927" s="7" t="s">
        <v>30</v>
      </c>
      <c r="G1927" s="44" t="s">
        <v>1078</v>
      </c>
      <c r="H1927" s="44" t="s">
        <v>2900</v>
      </c>
      <c r="I1927" s="45">
        <v>1</v>
      </c>
      <c r="J1927" s="45">
        <v>12</v>
      </c>
      <c r="K1927" s="45">
        <v>0</v>
      </c>
      <c r="L1927" s="46">
        <v>0</v>
      </c>
      <c r="M1927" s="45">
        <v>0</v>
      </c>
      <c r="N1927" s="45">
        <v>0</v>
      </c>
      <c r="O1927" s="46">
        <v>0</v>
      </c>
      <c r="P1927" s="102">
        <v>0.6</v>
      </c>
      <c r="Q1927" s="35" t="s">
        <v>154</v>
      </c>
    </row>
    <row r="1928" spans="1:17" ht="48" x14ac:dyDescent="0.25">
      <c r="A1928" s="21">
        <v>38763</v>
      </c>
      <c r="B1928" s="21">
        <v>38763</v>
      </c>
      <c r="C1928" s="99">
        <v>2006</v>
      </c>
      <c r="D1928" s="24" t="s">
        <v>141</v>
      </c>
      <c r="E1928" s="30" t="s">
        <v>142</v>
      </c>
      <c r="F1928" s="7" t="s">
        <v>56</v>
      </c>
      <c r="G1928" s="44" t="s">
        <v>2512</v>
      </c>
      <c r="H1928" s="44" t="s">
        <v>2901</v>
      </c>
      <c r="I1928" s="45">
        <v>25</v>
      </c>
      <c r="J1928" s="45">
        <v>40</v>
      </c>
      <c r="K1928" s="45">
        <v>0</v>
      </c>
      <c r="L1928" s="46">
        <v>0</v>
      </c>
      <c r="M1928" s="45">
        <v>0</v>
      </c>
      <c r="N1928" s="45">
        <v>0</v>
      </c>
      <c r="O1928" s="46">
        <v>0</v>
      </c>
      <c r="P1928" s="102">
        <v>0.6</v>
      </c>
      <c r="Q1928" s="35" t="s">
        <v>154</v>
      </c>
    </row>
    <row r="1929" spans="1:17" ht="60" x14ac:dyDescent="0.25">
      <c r="A1929" s="21">
        <v>38768</v>
      </c>
      <c r="B1929" s="21">
        <v>38768</v>
      </c>
      <c r="C1929" s="99">
        <v>2006</v>
      </c>
      <c r="D1929" s="24" t="s">
        <v>141</v>
      </c>
      <c r="E1929" s="30" t="s">
        <v>142</v>
      </c>
      <c r="F1929" s="7" t="s">
        <v>56</v>
      </c>
      <c r="G1929" s="44" t="s">
        <v>1160</v>
      </c>
      <c r="H1929" s="44" t="s">
        <v>2902</v>
      </c>
      <c r="I1929" s="45">
        <v>1</v>
      </c>
      <c r="J1929" s="45">
        <v>1</v>
      </c>
      <c r="K1929" s="45">
        <v>0</v>
      </c>
      <c r="L1929" s="46">
        <v>0</v>
      </c>
      <c r="M1929" s="45">
        <v>0</v>
      </c>
      <c r="N1929" s="45">
        <v>0</v>
      </c>
      <c r="O1929" s="46">
        <v>0</v>
      </c>
      <c r="P1929" s="102">
        <v>0.27</v>
      </c>
      <c r="Q1929" s="35" t="s">
        <v>154</v>
      </c>
    </row>
    <row r="1930" spans="1:17" ht="24" x14ac:dyDescent="0.25">
      <c r="A1930" s="21">
        <v>38769</v>
      </c>
      <c r="B1930" s="21">
        <v>38769</v>
      </c>
      <c r="C1930" s="99">
        <v>2006</v>
      </c>
      <c r="D1930" s="24" t="s">
        <v>141</v>
      </c>
      <c r="E1930" s="30" t="s">
        <v>142</v>
      </c>
      <c r="F1930" s="7" t="s">
        <v>45</v>
      </c>
      <c r="G1930" s="44" t="s">
        <v>2903</v>
      </c>
      <c r="H1930" s="44" t="s">
        <v>2904</v>
      </c>
      <c r="I1930" s="45">
        <v>0</v>
      </c>
      <c r="J1930" s="45">
        <v>47</v>
      </c>
      <c r="K1930" s="45">
        <v>0</v>
      </c>
      <c r="L1930" s="46">
        <v>0</v>
      </c>
      <c r="M1930" s="45">
        <v>0</v>
      </c>
      <c r="N1930" s="45">
        <v>0</v>
      </c>
      <c r="O1930" s="46">
        <v>0</v>
      </c>
      <c r="P1930" s="102">
        <v>0.6</v>
      </c>
      <c r="Q1930" s="35" t="s">
        <v>154</v>
      </c>
    </row>
    <row r="1931" spans="1:17" ht="36" x14ac:dyDescent="0.25">
      <c r="A1931" s="21">
        <v>38770</v>
      </c>
      <c r="B1931" s="21">
        <v>38770</v>
      </c>
      <c r="C1931" s="99">
        <v>2006</v>
      </c>
      <c r="D1931" s="24" t="s">
        <v>141</v>
      </c>
      <c r="E1931" s="30" t="s">
        <v>142</v>
      </c>
      <c r="F1931" s="28" t="s">
        <v>210</v>
      </c>
      <c r="G1931" s="44" t="s">
        <v>893</v>
      </c>
      <c r="H1931" s="44" t="s">
        <v>2905</v>
      </c>
      <c r="I1931" s="45">
        <v>0</v>
      </c>
      <c r="J1931" s="45">
        <v>7</v>
      </c>
      <c r="K1931" s="45">
        <v>0</v>
      </c>
      <c r="L1931" s="46">
        <v>0</v>
      </c>
      <c r="M1931" s="45">
        <v>0</v>
      </c>
      <c r="N1931" s="45">
        <v>0</v>
      </c>
      <c r="O1931" s="46">
        <v>0</v>
      </c>
      <c r="P1931" s="102">
        <v>0.64800000000000002</v>
      </c>
      <c r="Q1931" s="35" t="s">
        <v>154</v>
      </c>
    </row>
    <row r="1932" spans="1:17" ht="48" x14ac:dyDescent="0.25">
      <c r="A1932" s="21">
        <v>38772</v>
      </c>
      <c r="B1932" s="21">
        <v>38772</v>
      </c>
      <c r="C1932" s="99">
        <v>2006</v>
      </c>
      <c r="D1932" s="24" t="s">
        <v>141</v>
      </c>
      <c r="E1932" s="30" t="s">
        <v>142</v>
      </c>
      <c r="F1932" s="7" t="s">
        <v>56</v>
      </c>
      <c r="G1932" s="44" t="s">
        <v>2906</v>
      </c>
      <c r="H1932" s="44" t="s">
        <v>2907</v>
      </c>
      <c r="I1932" s="45">
        <v>5</v>
      </c>
      <c r="J1932" s="45">
        <v>7</v>
      </c>
      <c r="K1932" s="45">
        <v>0</v>
      </c>
      <c r="L1932" s="46">
        <v>0</v>
      </c>
      <c r="M1932" s="45">
        <v>0</v>
      </c>
      <c r="N1932" s="45">
        <v>0</v>
      </c>
      <c r="O1932" s="46">
        <v>0</v>
      </c>
      <c r="P1932" s="102">
        <v>0.108</v>
      </c>
      <c r="Q1932" s="35" t="s">
        <v>154</v>
      </c>
    </row>
    <row r="1933" spans="1:17" ht="48" x14ac:dyDescent="0.25">
      <c r="A1933" s="21">
        <v>38773</v>
      </c>
      <c r="B1933" s="21">
        <v>38773</v>
      </c>
      <c r="C1933" s="99">
        <v>2006</v>
      </c>
      <c r="D1933" s="24" t="s">
        <v>141</v>
      </c>
      <c r="E1933" s="22" t="s">
        <v>420</v>
      </c>
      <c r="F1933" s="28" t="s">
        <v>157</v>
      </c>
      <c r="G1933" s="44" t="s">
        <v>716</v>
      </c>
      <c r="H1933" s="44" t="s">
        <v>2908</v>
      </c>
      <c r="I1933" s="45">
        <v>0</v>
      </c>
      <c r="J1933" s="45">
        <v>0</v>
      </c>
      <c r="K1933" s="45">
        <v>0</v>
      </c>
      <c r="L1933" s="46">
        <v>0</v>
      </c>
      <c r="M1933" s="45">
        <v>0</v>
      </c>
      <c r="N1933" s="45">
        <v>0</v>
      </c>
      <c r="O1933" s="46">
        <v>0</v>
      </c>
      <c r="P1933" s="102">
        <v>0</v>
      </c>
      <c r="Q1933" s="35" t="s">
        <v>154</v>
      </c>
    </row>
    <row r="1934" spans="1:17" ht="36" x14ac:dyDescent="0.25">
      <c r="A1934" s="21">
        <v>38773</v>
      </c>
      <c r="B1934" s="21">
        <v>38773</v>
      </c>
      <c r="C1934" s="99">
        <v>2006</v>
      </c>
      <c r="D1934" s="24" t="s">
        <v>141</v>
      </c>
      <c r="E1934" s="30" t="s">
        <v>142</v>
      </c>
      <c r="F1934" s="7" t="s">
        <v>53</v>
      </c>
      <c r="G1934" s="44" t="s">
        <v>1896</v>
      </c>
      <c r="H1934" s="44" t="s">
        <v>2909</v>
      </c>
      <c r="I1934" s="45">
        <v>1</v>
      </c>
      <c r="J1934" s="45">
        <v>21</v>
      </c>
      <c r="K1934" s="45">
        <v>0</v>
      </c>
      <c r="L1934" s="46">
        <v>0</v>
      </c>
      <c r="M1934" s="45">
        <v>0</v>
      </c>
      <c r="N1934" s="45">
        <v>0</v>
      </c>
      <c r="O1934" s="46">
        <v>0</v>
      </c>
      <c r="P1934" s="102">
        <v>0.97</v>
      </c>
      <c r="Q1934" s="35" t="s">
        <v>154</v>
      </c>
    </row>
    <row r="1935" spans="1:17" ht="48" x14ac:dyDescent="0.25">
      <c r="A1935" s="21">
        <v>38774</v>
      </c>
      <c r="B1935" s="21">
        <v>38774</v>
      </c>
      <c r="C1935" s="99">
        <v>2006</v>
      </c>
      <c r="D1935" s="24" t="s">
        <v>141</v>
      </c>
      <c r="E1935" s="30" t="s">
        <v>142</v>
      </c>
      <c r="F1935" s="7" t="s">
        <v>60</v>
      </c>
      <c r="G1935" s="44" t="s">
        <v>924</v>
      </c>
      <c r="H1935" s="44" t="s">
        <v>2910</v>
      </c>
      <c r="I1935" s="45">
        <v>4</v>
      </c>
      <c r="J1935" s="45">
        <v>70</v>
      </c>
      <c r="K1935" s="45">
        <v>0</v>
      </c>
      <c r="L1935" s="46">
        <v>0</v>
      </c>
      <c r="M1935" s="45">
        <v>0</v>
      </c>
      <c r="N1935" s="45">
        <v>0</v>
      </c>
      <c r="O1935" s="46">
        <v>0</v>
      </c>
      <c r="P1935" s="102">
        <v>1.47</v>
      </c>
      <c r="Q1935" s="35" t="s">
        <v>154</v>
      </c>
    </row>
    <row r="1936" spans="1:17" ht="60" x14ac:dyDescent="0.25">
      <c r="A1936" s="21">
        <v>38788</v>
      </c>
      <c r="B1936" s="21">
        <v>38788</v>
      </c>
      <c r="C1936" s="99">
        <v>2006</v>
      </c>
      <c r="D1936" s="24" t="s">
        <v>141</v>
      </c>
      <c r="E1936" s="30" t="s">
        <v>142</v>
      </c>
      <c r="F1936" s="28" t="s">
        <v>210</v>
      </c>
      <c r="G1936" s="44" t="s">
        <v>2911</v>
      </c>
      <c r="H1936" s="44" t="s">
        <v>2912</v>
      </c>
      <c r="I1936" s="45">
        <v>1</v>
      </c>
      <c r="J1936" s="45">
        <v>3</v>
      </c>
      <c r="K1936" s="45">
        <v>0</v>
      </c>
      <c r="L1936" s="46">
        <v>0</v>
      </c>
      <c r="M1936" s="45">
        <v>0</v>
      </c>
      <c r="N1936" s="45">
        <v>0</v>
      </c>
      <c r="O1936" s="46">
        <v>0</v>
      </c>
      <c r="P1936" s="102">
        <v>0</v>
      </c>
      <c r="Q1936" s="35" t="s">
        <v>154</v>
      </c>
    </row>
    <row r="1937" spans="1:17" ht="36" x14ac:dyDescent="0.25">
      <c r="A1937" s="21">
        <v>38790</v>
      </c>
      <c r="B1937" s="21">
        <v>38790</v>
      </c>
      <c r="C1937" s="99">
        <v>2006</v>
      </c>
      <c r="D1937" s="24" t="s">
        <v>141</v>
      </c>
      <c r="E1937" s="30" t="s">
        <v>142</v>
      </c>
      <c r="F1937" s="7" t="s">
        <v>58</v>
      </c>
      <c r="G1937" s="44" t="s">
        <v>1194</v>
      </c>
      <c r="H1937" s="44" t="s">
        <v>2913</v>
      </c>
      <c r="I1937" s="45">
        <v>0</v>
      </c>
      <c r="J1937" s="45">
        <v>16</v>
      </c>
      <c r="K1937" s="45">
        <v>0</v>
      </c>
      <c r="L1937" s="46">
        <v>0</v>
      </c>
      <c r="M1937" s="45">
        <v>0</v>
      </c>
      <c r="N1937" s="45">
        <v>0</v>
      </c>
      <c r="O1937" s="46">
        <v>0</v>
      </c>
      <c r="P1937" s="102">
        <v>0.6</v>
      </c>
      <c r="Q1937" s="35" t="s">
        <v>154</v>
      </c>
    </row>
    <row r="1938" spans="1:17" ht="36" x14ac:dyDescent="0.25">
      <c r="A1938" s="21">
        <v>38797</v>
      </c>
      <c r="B1938" s="21">
        <v>38797</v>
      </c>
      <c r="C1938" s="99">
        <v>2006</v>
      </c>
      <c r="D1938" s="24" t="s">
        <v>141</v>
      </c>
      <c r="E1938" s="30" t="s">
        <v>142</v>
      </c>
      <c r="F1938" s="7" t="s">
        <v>65</v>
      </c>
      <c r="G1938" s="44" t="s">
        <v>418</v>
      </c>
      <c r="H1938" s="44" t="s">
        <v>2914</v>
      </c>
      <c r="I1938" s="45">
        <v>0</v>
      </c>
      <c r="J1938" s="45">
        <v>11</v>
      </c>
      <c r="K1938" s="45">
        <v>0</v>
      </c>
      <c r="L1938" s="46">
        <v>0</v>
      </c>
      <c r="M1938" s="45">
        <v>0</v>
      </c>
      <c r="N1938" s="45">
        <v>0</v>
      </c>
      <c r="O1938" s="46">
        <v>0</v>
      </c>
      <c r="P1938" s="102">
        <v>0.6</v>
      </c>
      <c r="Q1938" s="35" t="s">
        <v>154</v>
      </c>
    </row>
    <row r="1939" spans="1:17" ht="48" x14ac:dyDescent="0.25">
      <c r="A1939" s="21">
        <v>38799</v>
      </c>
      <c r="B1939" s="21">
        <v>38799</v>
      </c>
      <c r="C1939" s="99">
        <v>2006</v>
      </c>
      <c r="D1939" s="24" t="s">
        <v>141</v>
      </c>
      <c r="E1939" s="30" t="s">
        <v>142</v>
      </c>
      <c r="F1939" s="7" t="s">
        <v>101</v>
      </c>
      <c r="G1939" s="44" t="s">
        <v>101</v>
      </c>
      <c r="H1939" s="44" t="s">
        <v>2915</v>
      </c>
      <c r="I1939" s="45">
        <v>2</v>
      </c>
      <c r="J1939" s="45">
        <v>2</v>
      </c>
      <c r="K1939" s="45">
        <v>0</v>
      </c>
      <c r="L1939" s="46">
        <v>0</v>
      </c>
      <c r="M1939" s="45">
        <v>0</v>
      </c>
      <c r="N1939" s="45">
        <v>0</v>
      </c>
      <c r="O1939" s="46">
        <v>0</v>
      </c>
      <c r="P1939" s="102">
        <v>3.5999999999999997E-2</v>
      </c>
      <c r="Q1939" s="35" t="s">
        <v>154</v>
      </c>
    </row>
    <row r="1940" spans="1:17" ht="48" x14ac:dyDescent="0.25">
      <c r="A1940" s="21">
        <v>38801</v>
      </c>
      <c r="B1940" s="21">
        <v>38801</v>
      </c>
      <c r="C1940" s="99">
        <v>2006</v>
      </c>
      <c r="D1940" s="24" t="s">
        <v>141</v>
      </c>
      <c r="E1940" s="30" t="s">
        <v>142</v>
      </c>
      <c r="F1940" s="28" t="s">
        <v>157</v>
      </c>
      <c r="G1940" s="44" t="s">
        <v>1190</v>
      </c>
      <c r="H1940" s="44" t="s">
        <v>2916</v>
      </c>
      <c r="I1940" s="45">
        <v>0</v>
      </c>
      <c r="J1940" s="45">
        <v>8</v>
      </c>
      <c r="K1940" s="45">
        <v>0</v>
      </c>
      <c r="L1940" s="46">
        <v>0</v>
      </c>
      <c r="M1940" s="45">
        <v>0</v>
      </c>
      <c r="N1940" s="45">
        <v>0</v>
      </c>
      <c r="O1940" s="46">
        <v>0</v>
      </c>
      <c r="P1940" s="102">
        <v>1</v>
      </c>
      <c r="Q1940" s="35" t="s">
        <v>154</v>
      </c>
    </row>
    <row r="1941" spans="1:17" ht="24" x14ac:dyDescent="0.25">
      <c r="A1941" s="21">
        <v>38803</v>
      </c>
      <c r="B1941" s="21">
        <v>38803</v>
      </c>
      <c r="C1941" s="99">
        <v>2006</v>
      </c>
      <c r="D1941" s="24" t="s">
        <v>141</v>
      </c>
      <c r="E1941" s="30" t="s">
        <v>142</v>
      </c>
      <c r="F1941" s="7" t="s">
        <v>82</v>
      </c>
      <c r="G1941" s="44" t="s">
        <v>82</v>
      </c>
      <c r="H1941" s="44" t="s">
        <v>2917</v>
      </c>
      <c r="I1941" s="45">
        <v>2</v>
      </c>
      <c r="J1941" s="45">
        <v>2</v>
      </c>
      <c r="K1941" s="45">
        <v>0</v>
      </c>
      <c r="L1941" s="46">
        <v>0</v>
      </c>
      <c r="M1941" s="45">
        <v>0</v>
      </c>
      <c r="N1941" s="45">
        <v>0</v>
      </c>
      <c r="O1941" s="46">
        <v>0</v>
      </c>
      <c r="P1941" s="102">
        <v>1</v>
      </c>
      <c r="Q1941" s="35" t="s">
        <v>154</v>
      </c>
    </row>
    <row r="1942" spans="1:17" ht="72" x14ac:dyDescent="0.25">
      <c r="A1942" s="21">
        <v>38804</v>
      </c>
      <c r="B1942" s="21">
        <v>38804</v>
      </c>
      <c r="C1942" s="99">
        <v>2006</v>
      </c>
      <c r="D1942" s="24" t="s">
        <v>141</v>
      </c>
      <c r="E1942" s="30" t="s">
        <v>142</v>
      </c>
      <c r="F1942" s="28" t="s">
        <v>151</v>
      </c>
      <c r="G1942" s="44" t="s">
        <v>2918</v>
      </c>
      <c r="H1942" s="109" t="s">
        <v>2919</v>
      </c>
      <c r="I1942" s="45">
        <v>0</v>
      </c>
      <c r="J1942" s="45">
        <v>8</v>
      </c>
      <c r="K1942" s="45">
        <v>0</v>
      </c>
      <c r="L1942" s="46">
        <v>0</v>
      </c>
      <c r="M1942" s="45">
        <v>0</v>
      </c>
      <c r="N1942" s="45">
        <v>0</v>
      </c>
      <c r="O1942" s="46">
        <v>0</v>
      </c>
      <c r="P1942" s="102">
        <v>3.8</v>
      </c>
      <c r="Q1942" s="35" t="s">
        <v>154</v>
      </c>
    </row>
    <row r="1943" spans="1:17" ht="72" x14ac:dyDescent="0.25">
      <c r="A1943" s="21">
        <v>38808</v>
      </c>
      <c r="B1943" s="21">
        <v>38808</v>
      </c>
      <c r="C1943" s="99">
        <v>2006</v>
      </c>
      <c r="D1943" s="24" t="s">
        <v>141</v>
      </c>
      <c r="E1943" s="30" t="s">
        <v>142</v>
      </c>
      <c r="F1943" s="7" t="s">
        <v>53</v>
      </c>
      <c r="G1943" s="44" t="s">
        <v>1304</v>
      </c>
      <c r="H1943" s="44" t="s">
        <v>2920</v>
      </c>
      <c r="I1943" s="45">
        <v>6</v>
      </c>
      <c r="J1943" s="45">
        <v>32</v>
      </c>
      <c r="K1943" s="45">
        <v>0</v>
      </c>
      <c r="L1943" s="46">
        <v>0</v>
      </c>
      <c r="M1943" s="45">
        <v>0</v>
      </c>
      <c r="N1943" s="45">
        <v>0</v>
      </c>
      <c r="O1943" s="46">
        <v>0</v>
      </c>
      <c r="P1943" s="102">
        <v>0.6</v>
      </c>
      <c r="Q1943" s="35" t="s">
        <v>154</v>
      </c>
    </row>
    <row r="1944" spans="1:17" ht="48" x14ac:dyDescent="0.25">
      <c r="A1944" s="21">
        <v>38810</v>
      </c>
      <c r="B1944" s="21">
        <f>A1944</f>
        <v>38810</v>
      </c>
      <c r="C1944" s="99">
        <v>2006</v>
      </c>
      <c r="D1944" s="24" t="s">
        <v>141</v>
      </c>
      <c r="E1944" s="30" t="s">
        <v>142</v>
      </c>
      <c r="F1944" s="7" t="s">
        <v>30</v>
      </c>
      <c r="G1944" s="44" t="s">
        <v>1078</v>
      </c>
      <c r="H1944" s="44" t="s">
        <v>2921</v>
      </c>
      <c r="I1944" s="45">
        <v>0</v>
      </c>
      <c r="J1944" s="45">
        <v>0</v>
      </c>
      <c r="K1944" s="45">
        <v>0</v>
      </c>
      <c r="L1944" s="46">
        <v>0</v>
      </c>
      <c r="M1944" s="45">
        <v>0</v>
      </c>
      <c r="N1944" s="45">
        <v>0</v>
      </c>
      <c r="O1944" s="46">
        <v>0</v>
      </c>
      <c r="P1944" s="102">
        <v>0.27013999999999999</v>
      </c>
      <c r="Q1944" s="35" t="s">
        <v>154</v>
      </c>
    </row>
    <row r="1945" spans="1:17" ht="48" x14ac:dyDescent="0.25">
      <c r="A1945" s="21">
        <v>38814</v>
      </c>
      <c r="B1945" s="21">
        <v>38814</v>
      </c>
      <c r="C1945" s="99">
        <v>2006</v>
      </c>
      <c r="D1945" s="24" t="s">
        <v>141</v>
      </c>
      <c r="E1945" s="30" t="s">
        <v>142</v>
      </c>
      <c r="F1945" s="7" t="s">
        <v>58</v>
      </c>
      <c r="G1945" s="44" t="s">
        <v>2922</v>
      </c>
      <c r="H1945" s="44" t="s">
        <v>2923</v>
      </c>
      <c r="I1945" s="45">
        <v>1</v>
      </c>
      <c r="J1945" s="45">
        <v>13</v>
      </c>
      <c r="K1945" s="45">
        <v>0</v>
      </c>
      <c r="L1945" s="46">
        <v>0</v>
      </c>
      <c r="M1945" s="45">
        <v>0</v>
      </c>
      <c r="N1945" s="45">
        <v>0</v>
      </c>
      <c r="O1945" s="46">
        <v>0</v>
      </c>
      <c r="P1945" s="102">
        <v>3.5999999999999997E-2</v>
      </c>
      <c r="Q1945" s="35" t="s">
        <v>154</v>
      </c>
    </row>
    <row r="1946" spans="1:17" ht="84" x14ac:dyDescent="0.25">
      <c r="A1946" s="21">
        <v>38815</v>
      </c>
      <c r="B1946" s="21">
        <v>38815</v>
      </c>
      <c r="C1946" s="99">
        <v>2006</v>
      </c>
      <c r="D1946" s="24" t="s">
        <v>141</v>
      </c>
      <c r="E1946" s="30" t="s">
        <v>142</v>
      </c>
      <c r="F1946" s="7" t="s">
        <v>36</v>
      </c>
      <c r="G1946" s="44" t="s">
        <v>2924</v>
      </c>
      <c r="H1946" s="44" t="s">
        <v>2925</v>
      </c>
      <c r="I1946" s="45">
        <v>13</v>
      </c>
      <c r="J1946" s="45">
        <v>36</v>
      </c>
      <c r="K1946" s="45">
        <v>0</v>
      </c>
      <c r="L1946" s="46">
        <v>0</v>
      </c>
      <c r="M1946" s="45">
        <v>0</v>
      </c>
      <c r="N1946" s="45">
        <v>0</v>
      </c>
      <c r="O1946" s="46">
        <v>0</v>
      </c>
      <c r="P1946" s="102">
        <v>0.87</v>
      </c>
      <c r="Q1946" s="35" t="s">
        <v>154</v>
      </c>
    </row>
    <row r="1947" spans="1:17" ht="36" x14ac:dyDescent="0.25">
      <c r="A1947" s="21">
        <v>38816</v>
      </c>
      <c r="B1947" s="21">
        <v>38816</v>
      </c>
      <c r="C1947" s="99">
        <v>2006</v>
      </c>
      <c r="D1947" s="24" t="s">
        <v>141</v>
      </c>
      <c r="E1947" s="30" t="s">
        <v>142</v>
      </c>
      <c r="F1947" s="7" t="s">
        <v>47</v>
      </c>
      <c r="G1947" s="44" t="s">
        <v>2926</v>
      </c>
      <c r="H1947" s="44" t="s">
        <v>2927</v>
      </c>
      <c r="I1947" s="45">
        <v>5</v>
      </c>
      <c r="J1947" s="45">
        <v>26</v>
      </c>
      <c r="K1947" s="45">
        <v>0</v>
      </c>
      <c r="L1947" s="46">
        <v>0</v>
      </c>
      <c r="M1947" s="45">
        <v>0</v>
      </c>
      <c r="N1947" s="45">
        <v>0</v>
      </c>
      <c r="O1947" s="46">
        <v>0</v>
      </c>
      <c r="P1947" s="102">
        <v>0.6</v>
      </c>
      <c r="Q1947" s="35" t="s">
        <v>154</v>
      </c>
    </row>
    <row r="1948" spans="1:17" ht="48" x14ac:dyDescent="0.25">
      <c r="A1948" s="21">
        <v>38816</v>
      </c>
      <c r="B1948" s="21">
        <v>38816</v>
      </c>
      <c r="C1948" s="99">
        <v>2006</v>
      </c>
      <c r="D1948" s="24" t="s">
        <v>141</v>
      </c>
      <c r="E1948" s="30" t="s">
        <v>142</v>
      </c>
      <c r="F1948" s="7" t="s">
        <v>60</v>
      </c>
      <c r="G1948" s="44" t="s">
        <v>2928</v>
      </c>
      <c r="H1948" s="44" t="s">
        <v>2929</v>
      </c>
      <c r="I1948" s="45">
        <v>5</v>
      </c>
      <c r="J1948" s="45">
        <v>9</v>
      </c>
      <c r="K1948" s="45">
        <v>0</v>
      </c>
      <c r="L1948" s="46">
        <v>0</v>
      </c>
      <c r="M1948" s="45">
        <v>0</v>
      </c>
      <c r="N1948" s="45">
        <v>0</v>
      </c>
      <c r="O1948" s="46">
        <v>0</v>
      </c>
      <c r="P1948" s="102">
        <v>3.5999999999999997E-2</v>
      </c>
      <c r="Q1948" s="35" t="s">
        <v>154</v>
      </c>
    </row>
    <row r="1949" spans="1:17" ht="60" x14ac:dyDescent="0.25">
      <c r="A1949" s="21">
        <v>38817</v>
      </c>
      <c r="B1949" s="21">
        <v>38817</v>
      </c>
      <c r="C1949" s="99">
        <v>2006</v>
      </c>
      <c r="D1949" s="24" t="s">
        <v>141</v>
      </c>
      <c r="E1949" s="30" t="s">
        <v>142</v>
      </c>
      <c r="F1949" s="7" t="s">
        <v>87</v>
      </c>
      <c r="G1949" s="44" t="s">
        <v>2930</v>
      </c>
      <c r="H1949" s="44" t="s">
        <v>2931</v>
      </c>
      <c r="I1949" s="45">
        <v>0</v>
      </c>
      <c r="J1949" s="45">
        <v>1</v>
      </c>
      <c r="K1949" s="45">
        <v>0</v>
      </c>
      <c r="L1949" s="46">
        <v>0</v>
      </c>
      <c r="M1949" s="45">
        <v>0</v>
      </c>
      <c r="N1949" s="45">
        <v>0</v>
      </c>
      <c r="O1949" s="46">
        <v>0</v>
      </c>
      <c r="P1949" s="102">
        <v>2.7480000000000002</v>
      </c>
      <c r="Q1949" s="35" t="s">
        <v>154</v>
      </c>
    </row>
    <row r="1950" spans="1:17" ht="36" x14ac:dyDescent="0.25">
      <c r="A1950" s="21">
        <v>38818</v>
      </c>
      <c r="B1950" s="21">
        <v>38818</v>
      </c>
      <c r="C1950" s="99">
        <v>2006</v>
      </c>
      <c r="D1950" s="24" t="s">
        <v>141</v>
      </c>
      <c r="E1950" s="30" t="s">
        <v>142</v>
      </c>
      <c r="F1950" s="7" t="s">
        <v>62</v>
      </c>
      <c r="G1950" s="44" t="s">
        <v>165</v>
      </c>
      <c r="H1950" s="44" t="s">
        <v>2932</v>
      </c>
      <c r="I1950" s="45">
        <v>0</v>
      </c>
      <c r="J1950" s="45">
        <v>3</v>
      </c>
      <c r="K1950" s="45">
        <v>0</v>
      </c>
      <c r="L1950" s="46">
        <v>0</v>
      </c>
      <c r="M1950" s="45">
        <v>0</v>
      </c>
      <c r="N1950" s="45">
        <v>0</v>
      </c>
      <c r="O1950" s="46">
        <v>0</v>
      </c>
      <c r="P1950" s="102">
        <v>1</v>
      </c>
      <c r="Q1950" s="35" t="s">
        <v>154</v>
      </c>
    </row>
    <row r="1951" spans="1:17" ht="84" x14ac:dyDescent="0.25">
      <c r="A1951" s="21">
        <v>38819</v>
      </c>
      <c r="B1951" s="21">
        <v>38819</v>
      </c>
      <c r="C1951" s="99">
        <v>2006</v>
      </c>
      <c r="D1951" s="24" t="s">
        <v>141</v>
      </c>
      <c r="E1951" s="22" t="s">
        <v>2933</v>
      </c>
      <c r="F1951" s="7" t="s">
        <v>58</v>
      </c>
      <c r="G1951" s="44" t="s">
        <v>2934</v>
      </c>
      <c r="H1951" s="44" t="s">
        <v>2935</v>
      </c>
      <c r="I1951" s="45">
        <v>2</v>
      </c>
      <c r="J1951" s="45">
        <v>19</v>
      </c>
      <c r="K1951" s="45">
        <v>0</v>
      </c>
      <c r="L1951" s="46">
        <v>0</v>
      </c>
      <c r="M1951" s="45">
        <v>0</v>
      </c>
      <c r="N1951" s="45">
        <v>0</v>
      </c>
      <c r="O1951" s="46">
        <v>0</v>
      </c>
      <c r="P1951" s="102">
        <v>0</v>
      </c>
      <c r="Q1951" s="35" t="s">
        <v>154</v>
      </c>
    </row>
    <row r="1952" spans="1:17" ht="72" x14ac:dyDescent="0.25">
      <c r="A1952" s="21">
        <v>38820</v>
      </c>
      <c r="B1952" s="21">
        <v>38820</v>
      </c>
      <c r="C1952" s="99">
        <v>2006</v>
      </c>
      <c r="D1952" s="24" t="s">
        <v>141</v>
      </c>
      <c r="E1952" s="42" t="s">
        <v>447</v>
      </c>
      <c r="F1952" s="28" t="s">
        <v>157</v>
      </c>
      <c r="G1952" s="44" t="s">
        <v>2936</v>
      </c>
      <c r="H1952" s="109" t="s">
        <v>2937</v>
      </c>
      <c r="I1952" s="45">
        <v>0</v>
      </c>
      <c r="J1952" s="45">
        <v>0</v>
      </c>
      <c r="K1952" s="45">
        <v>0</v>
      </c>
      <c r="L1952" s="46">
        <v>0</v>
      </c>
      <c r="M1952" s="45">
        <v>0</v>
      </c>
      <c r="N1952" s="45">
        <v>0</v>
      </c>
      <c r="O1952" s="46">
        <v>0</v>
      </c>
      <c r="P1952" s="102">
        <v>0</v>
      </c>
      <c r="Q1952" s="35" t="s">
        <v>154</v>
      </c>
    </row>
    <row r="1953" spans="1:17" ht="60" x14ac:dyDescent="0.25">
      <c r="A1953" s="21">
        <v>38824</v>
      </c>
      <c r="B1953" s="21">
        <v>38824</v>
      </c>
      <c r="C1953" s="99">
        <v>2006</v>
      </c>
      <c r="D1953" s="24" t="s">
        <v>141</v>
      </c>
      <c r="E1953" s="30" t="s">
        <v>142</v>
      </c>
      <c r="F1953" s="28" t="s">
        <v>210</v>
      </c>
      <c r="G1953" s="44" t="s">
        <v>2938</v>
      </c>
      <c r="H1953" s="109" t="s">
        <v>2939</v>
      </c>
      <c r="I1953" s="45">
        <v>57</v>
      </c>
      <c r="J1953" s="45">
        <v>60</v>
      </c>
      <c r="K1953" s="45">
        <v>0</v>
      </c>
      <c r="L1953" s="46">
        <v>0</v>
      </c>
      <c r="M1953" s="45">
        <v>0</v>
      </c>
      <c r="N1953" s="45">
        <v>0</v>
      </c>
      <c r="O1953" s="46">
        <v>0</v>
      </c>
      <c r="P1953" s="102">
        <v>0.6</v>
      </c>
      <c r="Q1953" s="35" t="s">
        <v>154</v>
      </c>
    </row>
    <row r="1954" spans="1:17" ht="48" x14ac:dyDescent="0.25">
      <c r="A1954" s="21">
        <v>38833</v>
      </c>
      <c r="B1954" s="21">
        <v>38833</v>
      </c>
      <c r="C1954" s="99">
        <v>2006</v>
      </c>
      <c r="D1954" s="24" t="s">
        <v>141</v>
      </c>
      <c r="E1954" s="30" t="s">
        <v>142</v>
      </c>
      <c r="F1954" s="7" t="s">
        <v>36</v>
      </c>
      <c r="G1954" s="44" t="s">
        <v>854</v>
      </c>
      <c r="H1954" s="44" t="s">
        <v>2940</v>
      </c>
      <c r="I1954" s="45">
        <v>8</v>
      </c>
      <c r="J1954" s="45">
        <v>85</v>
      </c>
      <c r="K1954" s="45">
        <v>0</v>
      </c>
      <c r="L1954" s="46">
        <v>0</v>
      </c>
      <c r="M1954" s="45">
        <v>0</v>
      </c>
      <c r="N1954" s="45">
        <v>0</v>
      </c>
      <c r="O1954" s="46">
        <v>0</v>
      </c>
      <c r="P1954" s="102">
        <v>0.6</v>
      </c>
      <c r="Q1954" s="35" t="s">
        <v>154</v>
      </c>
    </row>
    <row r="1955" spans="1:17" ht="60" x14ac:dyDescent="0.25">
      <c r="A1955" s="21">
        <v>38835</v>
      </c>
      <c r="B1955" s="21">
        <f>A1955</f>
        <v>38835</v>
      </c>
      <c r="C1955" s="99">
        <v>2006</v>
      </c>
      <c r="D1955" s="24" t="s">
        <v>141</v>
      </c>
      <c r="E1955" s="42" t="s">
        <v>447</v>
      </c>
      <c r="F1955" s="28" t="s">
        <v>157</v>
      </c>
      <c r="G1955" s="44" t="s">
        <v>2941</v>
      </c>
      <c r="H1955" s="44" t="s">
        <v>2942</v>
      </c>
      <c r="I1955" s="45">
        <v>0</v>
      </c>
      <c r="J1955" s="45">
        <v>0</v>
      </c>
      <c r="K1955" s="45">
        <v>0</v>
      </c>
      <c r="L1955" s="46">
        <v>0</v>
      </c>
      <c r="M1955" s="45">
        <v>0</v>
      </c>
      <c r="N1955" s="45">
        <v>0</v>
      </c>
      <c r="O1955" s="46">
        <v>0</v>
      </c>
      <c r="P1955" s="102">
        <v>0</v>
      </c>
      <c r="Q1955" s="35" t="s">
        <v>154</v>
      </c>
    </row>
    <row r="1956" spans="1:17" ht="60" x14ac:dyDescent="0.25">
      <c r="A1956" s="21">
        <v>38838</v>
      </c>
      <c r="B1956" s="21">
        <v>38838</v>
      </c>
      <c r="C1956" s="99">
        <v>2006</v>
      </c>
      <c r="D1956" s="24" t="s">
        <v>141</v>
      </c>
      <c r="E1956" s="42" t="s">
        <v>447</v>
      </c>
      <c r="F1956" s="28" t="s">
        <v>157</v>
      </c>
      <c r="G1956" s="44" t="s">
        <v>2943</v>
      </c>
      <c r="H1956" s="109" t="s">
        <v>2944</v>
      </c>
      <c r="I1956" s="45">
        <v>0</v>
      </c>
      <c r="J1956" s="45">
        <v>0</v>
      </c>
      <c r="K1956" s="45">
        <v>0</v>
      </c>
      <c r="L1956" s="46">
        <v>0</v>
      </c>
      <c r="M1956" s="45">
        <v>0</v>
      </c>
      <c r="N1956" s="45">
        <v>0</v>
      </c>
      <c r="O1956" s="46">
        <v>0</v>
      </c>
      <c r="P1956" s="102">
        <v>0</v>
      </c>
      <c r="Q1956" s="35" t="s">
        <v>154</v>
      </c>
    </row>
    <row r="1957" spans="1:17" ht="60" x14ac:dyDescent="0.25">
      <c r="A1957" s="21">
        <v>38839</v>
      </c>
      <c r="B1957" s="21">
        <v>38839</v>
      </c>
      <c r="C1957" s="99">
        <v>2006</v>
      </c>
      <c r="D1957" s="24" t="s">
        <v>141</v>
      </c>
      <c r="E1957" s="30" t="s">
        <v>142</v>
      </c>
      <c r="F1957" s="28" t="s">
        <v>157</v>
      </c>
      <c r="G1957" s="44" t="s">
        <v>1872</v>
      </c>
      <c r="H1957" s="44" t="s">
        <v>2945</v>
      </c>
      <c r="I1957" s="45">
        <v>0</v>
      </c>
      <c r="J1957" s="45">
        <v>2</v>
      </c>
      <c r="K1957" s="45">
        <v>0</v>
      </c>
      <c r="L1957" s="46">
        <v>0</v>
      </c>
      <c r="M1957" s="45">
        <v>0</v>
      </c>
      <c r="N1957" s="45">
        <v>0</v>
      </c>
      <c r="O1957" s="46">
        <v>0</v>
      </c>
      <c r="P1957" s="102">
        <v>0.27</v>
      </c>
      <c r="Q1957" s="35" t="s">
        <v>154</v>
      </c>
    </row>
    <row r="1958" spans="1:17" ht="48" x14ac:dyDescent="0.25">
      <c r="A1958" s="21">
        <v>38839</v>
      </c>
      <c r="B1958" s="21">
        <v>38839</v>
      </c>
      <c r="C1958" s="99">
        <v>2006</v>
      </c>
      <c r="D1958" s="24" t="s">
        <v>141</v>
      </c>
      <c r="E1958" s="30" t="s">
        <v>142</v>
      </c>
      <c r="F1958" s="7" t="s">
        <v>56</v>
      </c>
      <c r="G1958" s="44" t="s">
        <v>646</v>
      </c>
      <c r="H1958" s="44" t="s">
        <v>2946</v>
      </c>
      <c r="I1958" s="45">
        <v>1</v>
      </c>
      <c r="J1958" s="45">
        <v>11</v>
      </c>
      <c r="K1958" s="45">
        <v>0</v>
      </c>
      <c r="L1958" s="46">
        <v>0</v>
      </c>
      <c r="M1958" s="45">
        <v>0</v>
      </c>
      <c r="N1958" s="45">
        <v>0</v>
      </c>
      <c r="O1958" s="46">
        <v>0</v>
      </c>
      <c r="P1958" s="102">
        <v>3.5999999999999997E-2</v>
      </c>
      <c r="Q1958" s="35" t="s">
        <v>154</v>
      </c>
    </row>
    <row r="1959" spans="1:17" ht="108" x14ac:dyDescent="0.25">
      <c r="A1959" s="21">
        <v>38840</v>
      </c>
      <c r="B1959" s="21">
        <v>38840</v>
      </c>
      <c r="C1959" s="99">
        <v>2006</v>
      </c>
      <c r="D1959" s="24" t="s">
        <v>141</v>
      </c>
      <c r="E1959" s="42" t="s">
        <v>447</v>
      </c>
      <c r="F1959" s="7" t="s">
        <v>53</v>
      </c>
      <c r="G1959" s="44" t="s">
        <v>2947</v>
      </c>
      <c r="H1959" s="109" t="s">
        <v>2948</v>
      </c>
      <c r="I1959" s="45">
        <v>2</v>
      </c>
      <c r="J1959" s="45">
        <v>43</v>
      </c>
      <c r="K1959" s="45">
        <v>0</v>
      </c>
      <c r="L1959" s="46">
        <v>0</v>
      </c>
      <c r="M1959" s="45">
        <v>0</v>
      </c>
      <c r="N1959" s="45">
        <v>0</v>
      </c>
      <c r="O1959" s="46">
        <v>0</v>
      </c>
      <c r="P1959" s="102">
        <v>0</v>
      </c>
      <c r="Q1959" s="35" t="s">
        <v>154</v>
      </c>
    </row>
    <row r="1960" spans="1:17" ht="60" x14ac:dyDescent="0.25">
      <c r="A1960" s="21">
        <v>38843</v>
      </c>
      <c r="B1960" s="21">
        <v>38843</v>
      </c>
      <c r="C1960" s="99">
        <v>2006</v>
      </c>
      <c r="D1960" s="24" t="s">
        <v>141</v>
      </c>
      <c r="E1960" s="30" t="s">
        <v>142</v>
      </c>
      <c r="F1960" s="7" t="s">
        <v>82</v>
      </c>
      <c r="G1960" s="44" t="s">
        <v>2949</v>
      </c>
      <c r="H1960" s="44" t="s">
        <v>2950</v>
      </c>
      <c r="I1960" s="45">
        <v>26</v>
      </c>
      <c r="J1960" s="45">
        <v>44</v>
      </c>
      <c r="K1960" s="45">
        <v>0</v>
      </c>
      <c r="L1960" s="46">
        <v>0</v>
      </c>
      <c r="M1960" s="45">
        <v>0</v>
      </c>
      <c r="N1960" s="45">
        <v>0</v>
      </c>
      <c r="O1960" s="46">
        <v>0</v>
      </c>
      <c r="P1960" s="102">
        <v>0.6</v>
      </c>
      <c r="Q1960" s="35" t="s">
        <v>154</v>
      </c>
    </row>
    <row r="1961" spans="1:17" ht="24" x14ac:dyDescent="0.25">
      <c r="A1961" s="21">
        <v>38858</v>
      </c>
      <c r="B1961" s="21">
        <v>38858</v>
      </c>
      <c r="C1961" s="99">
        <v>2006</v>
      </c>
      <c r="D1961" s="24" t="s">
        <v>141</v>
      </c>
      <c r="E1961" s="22" t="s">
        <v>2951</v>
      </c>
      <c r="F1961" s="7" t="s">
        <v>65</v>
      </c>
      <c r="G1961" s="44" t="s">
        <v>2952</v>
      </c>
      <c r="H1961" s="44" t="s">
        <v>2953</v>
      </c>
      <c r="I1961" s="45">
        <v>1</v>
      </c>
      <c r="J1961" s="45">
        <v>0</v>
      </c>
      <c r="K1961" s="45">
        <v>0</v>
      </c>
      <c r="L1961" s="46">
        <v>0</v>
      </c>
      <c r="M1961" s="45">
        <v>0</v>
      </c>
      <c r="N1961" s="45">
        <v>0</v>
      </c>
      <c r="O1961" s="46">
        <v>0</v>
      </c>
      <c r="P1961" s="102">
        <v>0</v>
      </c>
      <c r="Q1961" s="35" t="s">
        <v>154</v>
      </c>
    </row>
    <row r="1962" spans="1:17" ht="36" x14ac:dyDescent="0.25">
      <c r="A1962" s="21">
        <v>38859</v>
      </c>
      <c r="B1962" s="21">
        <v>38859</v>
      </c>
      <c r="C1962" s="99">
        <v>2006</v>
      </c>
      <c r="D1962" s="24" t="s">
        <v>141</v>
      </c>
      <c r="E1962" s="30" t="s">
        <v>142</v>
      </c>
      <c r="F1962" s="7" t="s">
        <v>77</v>
      </c>
      <c r="G1962" s="44" t="s">
        <v>2954</v>
      </c>
      <c r="H1962" s="44" t="s">
        <v>2955</v>
      </c>
      <c r="I1962" s="45">
        <v>7</v>
      </c>
      <c r="J1962" s="45">
        <v>9</v>
      </c>
      <c r="K1962" s="45">
        <v>0</v>
      </c>
      <c r="L1962" s="46">
        <v>0</v>
      </c>
      <c r="M1962" s="45">
        <v>0</v>
      </c>
      <c r="N1962" s="45">
        <v>0</v>
      </c>
      <c r="O1962" s="46">
        <v>0</v>
      </c>
      <c r="P1962" s="102">
        <v>3.5999999999999997E-2</v>
      </c>
      <c r="Q1962" s="35" t="s">
        <v>154</v>
      </c>
    </row>
    <row r="1963" spans="1:17" ht="48" x14ac:dyDescent="0.25">
      <c r="A1963" s="21">
        <v>38859</v>
      </c>
      <c r="B1963" s="21">
        <v>38859</v>
      </c>
      <c r="C1963" s="99">
        <v>2006</v>
      </c>
      <c r="D1963" s="24" t="s">
        <v>141</v>
      </c>
      <c r="E1963" s="41" t="s">
        <v>1965</v>
      </c>
      <c r="F1963" s="7" t="s">
        <v>45</v>
      </c>
      <c r="G1963" s="44" t="s">
        <v>1696</v>
      </c>
      <c r="H1963" s="44" t="s">
        <v>2956</v>
      </c>
      <c r="I1963" s="45">
        <v>1</v>
      </c>
      <c r="J1963" s="45">
        <v>5</v>
      </c>
      <c r="K1963" s="45">
        <v>0</v>
      </c>
      <c r="L1963" s="46">
        <v>0</v>
      </c>
      <c r="M1963" s="45">
        <v>0</v>
      </c>
      <c r="N1963" s="45">
        <v>0</v>
      </c>
      <c r="O1963" s="46">
        <v>0</v>
      </c>
      <c r="P1963" s="102">
        <v>0</v>
      </c>
      <c r="Q1963" s="35" t="s">
        <v>154</v>
      </c>
    </row>
    <row r="1964" spans="1:17" ht="48" x14ac:dyDescent="0.25">
      <c r="A1964" s="21">
        <v>38865</v>
      </c>
      <c r="B1964" s="21">
        <v>38865</v>
      </c>
      <c r="C1964" s="99">
        <v>2006</v>
      </c>
      <c r="D1964" s="24" t="s">
        <v>141</v>
      </c>
      <c r="E1964" s="30" t="s">
        <v>142</v>
      </c>
      <c r="F1964" s="7" t="s">
        <v>56</v>
      </c>
      <c r="G1964" s="44" t="s">
        <v>2957</v>
      </c>
      <c r="H1964" s="44" t="s">
        <v>2958</v>
      </c>
      <c r="I1964" s="45">
        <v>1</v>
      </c>
      <c r="J1964" s="45">
        <v>42</v>
      </c>
      <c r="K1964" s="45">
        <v>0</v>
      </c>
      <c r="L1964" s="46">
        <v>0</v>
      </c>
      <c r="M1964" s="45">
        <v>0</v>
      </c>
      <c r="N1964" s="45">
        <v>0</v>
      </c>
      <c r="O1964" s="46">
        <v>0</v>
      </c>
      <c r="P1964" s="102">
        <v>0.6</v>
      </c>
      <c r="Q1964" s="35" t="s">
        <v>154</v>
      </c>
    </row>
    <row r="1965" spans="1:17" ht="36" x14ac:dyDescent="0.25">
      <c r="A1965" s="21">
        <v>38866</v>
      </c>
      <c r="B1965" s="21">
        <v>38866</v>
      </c>
      <c r="C1965" s="99">
        <v>2006</v>
      </c>
      <c r="D1965" s="24" t="s">
        <v>141</v>
      </c>
      <c r="E1965" s="22" t="s">
        <v>2959</v>
      </c>
      <c r="F1965" s="28" t="s">
        <v>157</v>
      </c>
      <c r="G1965" s="44" t="s">
        <v>2943</v>
      </c>
      <c r="H1965" s="44" t="s">
        <v>2960</v>
      </c>
      <c r="I1965" s="45">
        <v>0</v>
      </c>
      <c r="J1965" s="45">
        <v>3</v>
      </c>
      <c r="K1965" s="45">
        <v>0</v>
      </c>
      <c r="L1965" s="46">
        <v>0</v>
      </c>
      <c r="M1965" s="45">
        <v>0</v>
      </c>
      <c r="N1965" s="45">
        <v>0</v>
      </c>
      <c r="O1965" s="46">
        <v>0</v>
      </c>
      <c r="P1965" s="102">
        <v>0</v>
      </c>
      <c r="Q1965" s="35" t="s">
        <v>154</v>
      </c>
    </row>
    <row r="1966" spans="1:17" ht="36" x14ac:dyDescent="0.25">
      <c r="A1966" s="21">
        <v>38867</v>
      </c>
      <c r="B1966" s="21">
        <v>38867</v>
      </c>
      <c r="C1966" s="99">
        <v>2006</v>
      </c>
      <c r="D1966" s="24" t="s">
        <v>141</v>
      </c>
      <c r="E1966" s="30" t="s">
        <v>142</v>
      </c>
      <c r="F1966" s="7" t="s">
        <v>40</v>
      </c>
      <c r="G1966" s="44" t="s">
        <v>830</v>
      </c>
      <c r="H1966" s="44" t="s">
        <v>2961</v>
      </c>
      <c r="I1966" s="45">
        <v>3</v>
      </c>
      <c r="J1966" s="45">
        <v>3</v>
      </c>
      <c r="K1966" s="45">
        <v>0</v>
      </c>
      <c r="L1966" s="46">
        <v>0</v>
      </c>
      <c r="M1966" s="45">
        <v>0</v>
      </c>
      <c r="N1966" s="45">
        <v>0</v>
      </c>
      <c r="O1966" s="46">
        <v>0</v>
      </c>
      <c r="P1966" s="102">
        <v>1</v>
      </c>
      <c r="Q1966" s="35" t="s">
        <v>154</v>
      </c>
    </row>
    <row r="1967" spans="1:17" ht="48" x14ac:dyDescent="0.25">
      <c r="A1967" s="21">
        <v>38871</v>
      </c>
      <c r="B1967" s="21">
        <v>38871</v>
      </c>
      <c r="C1967" s="99">
        <v>2006</v>
      </c>
      <c r="D1967" s="24" t="s">
        <v>141</v>
      </c>
      <c r="E1967" s="30" t="s">
        <v>142</v>
      </c>
      <c r="F1967" s="28" t="s">
        <v>157</v>
      </c>
      <c r="G1967" s="44" t="s">
        <v>716</v>
      </c>
      <c r="H1967" s="44" t="s">
        <v>2962</v>
      </c>
      <c r="I1967" s="45">
        <v>0</v>
      </c>
      <c r="J1967" s="45">
        <v>0</v>
      </c>
      <c r="K1967" s="45">
        <v>0</v>
      </c>
      <c r="L1967" s="46">
        <v>0</v>
      </c>
      <c r="M1967" s="45">
        <v>0</v>
      </c>
      <c r="N1967" s="45">
        <v>0</v>
      </c>
      <c r="O1967" s="46">
        <v>0</v>
      </c>
      <c r="P1967" s="102">
        <v>0.27</v>
      </c>
      <c r="Q1967" s="35" t="s">
        <v>154</v>
      </c>
    </row>
    <row r="1968" spans="1:17" ht="60" x14ac:dyDescent="0.25">
      <c r="A1968" s="21">
        <v>38871</v>
      </c>
      <c r="B1968" s="21">
        <v>38871</v>
      </c>
      <c r="C1968" s="99">
        <v>2006</v>
      </c>
      <c r="D1968" s="24" t="s">
        <v>141</v>
      </c>
      <c r="E1968" s="30" t="s">
        <v>142</v>
      </c>
      <c r="F1968" s="7" t="s">
        <v>101</v>
      </c>
      <c r="G1968" s="44" t="s">
        <v>101</v>
      </c>
      <c r="H1968" s="44" t="s">
        <v>2963</v>
      </c>
      <c r="I1968" s="45">
        <v>0</v>
      </c>
      <c r="J1968" s="45">
        <v>1</v>
      </c>
      <c r="K1968" s="45">
        <v>0</v>
      </c>
      <c r="L1968" s="46">
        <v>0</v>
      </c>
      <c r="M1968" s="45">
        <v>0</v>
      </c>
      <c r="N1968" s="45">
        <v>0</v>
      </c>
      <c r="O1968" s="46">
        <v>0</v>
      </c>
      <c r="P1968" s="102">
        <v>0.27</v>
      </c>
      <c r="Q1968" s="35" t="s">
        <v>154</v>
      </c>
    </row>
    <row r="1969" spans="1:17" ht="144" x14ac:dyDescent="0.25">
      <c r="A1969" s="56">
        <v>38873</v>
      </c>
      <c r="B1969" s="56">
        <v>38873</v>
      </c>
      <c r="C1969" s="99">
        <v>2006</v>
      </c>
      <c r="D1969" s="24" t="s">
        <v>141</v>
      </c>
      <c r="E1969" s="22" t="s">
        <v>2964</v>
      </c>
      <c r="F1969" s="28" t="s">
        <v>157</v>
      </c>
      <c r="G1969" s="57" t="s">
        <v>1190</v>
      </c>
      <c r="H1969" s="111" t="s">
        <v>2965</v>
      </c>
      <c r="I1969" s="58">
        <v>0</v>
      </c>
      <c r="J1969" s="58">
        <v>0</v>
      </c>
      <c r="K1969" s="58">
        <v>0</v>
      </c>
      <c r="L1969" s="58">
        <v>0</v>
      </c>
      <c r="M1969" s="45">
        <v>0</v>
      </c>
      <c r="N1969" s="45">
        <v>0</v>
      </c>
      <c r="O1969" s="58">
        <v>0</v>
      </c>
      <c r="P1969" s="106">
        <v>23.66</v>
      </c>
      <c r="Q1969" s="35" t="s">
        <v>154</v>
      </c>
    </row>
    <row r="1970" spans="1:17" ht="36" x14ac:dyDescent="0.25">
      <c r="A1970" s="21">
        <v>38874</v>
      </c>
      <c r="B1970" s="21">
        <v>38874</v>
      </c>
      <c r="C1970" s="99">
        <v>2006</v>
      </c>
      <c r="D1970" s="24" t="s">
        <v>141</v>
      </c>
      <c r="E1970" s="30" t="s">
        <v>142</v>
      </c>
      <c r="F1970" s="7" t="s">
        <v>53</v>
      </c>
      <c r="G1970" s="44" t="s">
        <v>2966</v>
      </c>
      <c r="H1970" s="44" t="s">
        <v>2967</v>
      </c>
      <c r="I1970" s="45">
        <v>2</v>
      </c>
      <c r="J1970" s="45">
        <v>2</v>
      </c>
      <c r="K1970" s="45">
        <v>0</v>
      </c>
      <c r="L1970" s="46">
        <v>0</v>
      </c>
      <c r="M1970" s="45">
        <v>0</v>
      </c>
      <c r="N1970" s="45">
        <v>0</v>
      </c>
      <c r="O1970" s="46">
        <v>0</v>
      </c>
      <c r="P1970" s="102">
        <v>1</v>
      </c>
      <c r="Q1970" s="35" t="s">
        <v>154</v>
      </c>
    </row>
    <row r="1971" spans="1:17" ht="36" x14ac:dyDescent="0.25">
      <c r="A1971" s="21">
        <v>38892</v>
      </c>
      <c r="B1971" s="21">
        <v>38892</v>
      </c>
      <c r="C1971" s="99">
        <v>2006</v>
      </c>
      <c r="D1971" s="24" t="s">
        <v>141</v>
      </c>
      <c r="E1971" s="30" t="s">
        <v>142</v>
      </c>
      <c r="F1971" s="7" t="s">
        <v>53</v>
      </c>
      <c r="G1971" s="44" t="s">
        <v>2968</v>
      </c>
      <c r="H1971" s="109" t="s">
        <v>2969</v>
      </c>
      <c r="I1971" s="45">
        <v>4</v>
      </c>
      <c r="J1971" s="45">
        <v>4</v>
      </c>
      <c r="K1971" s="45">
        <v>0</v>
      </c>
      <c r="L1971" s="46">
        <v>0</v>
      </c>
      <c r="M1971" s="45">
        <v>0</v>
      </c>
      <c r="N1971" s="45">
        <v>0</v>
      </c>
      <c r="O1971" s="46">
        <v>0</v>
      </c>
      <c r="P1971" s="102">
        <v>1</v>
      </c>
      <c r="Q1971" s="35" t="s">
        <v>154</v>
      </c>
    </row>
    <row r="1972" spans="1:17" ht="36" x14ac:dyDescent="0.25">
      <c r="A1972" s="21">
        <v>38897</v>
      </c>
      <c r="B1972" s="21">
        <v>38897</v>
      </c>
      <c r="C1972" s="99">
        <v>2006</v>
      </c>
      <c r="D1972" s="24" t="s">
        <v>141</v>
      </c>
      <c r="E1972" s="30" t="s">
        <v>142</v>
      </c>
      <c r="F1972" s="28" t="s">
        <v>157</v>
      </c>
      <c r="G1972" s="44" t="s">
        <v>1089</v>
      </c>
      <c r="H1972" s="44" t="s">
        <v>2970</v>
      </c>
      <c r="I1972" s="45">
        <v>0</v>
      </c>
      <c r="J1972" s="45">
        <v>20</v>
      </c>
      <c r="K1972" s="45">
        <v>0</v>
      </c>
      <c r="L1972" s="46">
        <v>0</v>
      </c>
      <c r="M1972" s="45">
        <v>0</v>
      </c>
      <c r="N1972" s="45">
        <v>0</v>
      </c>
      <c r="O1972" s="46">
        <v>0</v>
      </c>
      <c r="P1972" s="102">
        <v>0</v>
      </c>
      <c r="Q1972" s="35" t="s">
        <v>154</v>
      </c>
    </row>
    <row r="1973" spans="1:17" ht="48" x14ac:dyDescent="0.25">
      <c r="A1973" s="21">
        <v>38898</v>
      </c>
      <c r="B1973" s="21">
        <v>38898</v>
      </c>
      <c r="C1973" s="99">
        <v>2006</v>
      </c>
      <c r="D1973" s="24" t="s">
        <v>141</v>
      </c>
      <c r="E1973" s="30" t="s">
        <v>142</v>
      </c>
      <c r="F1973" s="7" t="s">
        <v>91</v>
      </c>
      <c r="G1973" s="44" t="s">
        <v>1595</v>
      </c>
      <c r="H1973" s="44" t="s">
        <v>2971</v>
      </c>
      <c r="I1973" s="45">
        <v>0</v>
      </c>
      <c r="J1973" s="45">
        <v>0</v>
      </c>
      <c r="K1973" s="45">
        <v>0</v>
      </c>
      <c r="L1973" s="46">
        <v>0</v>
      </c>
      <c r="M1973" s="45">
        <v>0</v>
      </c>
      <c r="N1973" s="45">
        <v>0</v>
      </c>
      <c r="O1973" s="46">
        <v>0</v>
      </c>
      <c r="P1973" s="102">
        <v>3.22</v>
      </c>
      <c r="Q1973" s="35" t="s">
        <v>154</v>
      </c>
    </row>
    <row r="1974" spans="1:17" ht="36" x14ac:dyDescent="0.25">
      <c r="A1974" s="21">
        <v>38906</v>
      </c>
      <c r="B1974" s="21">
        <v>38906</v>
      </c>
      <c r="C1974" s="99">
        <v>2006</v>
      </c>
      <c r="D1974" s="24" t="s">
        <v>141</v>
      </c>
      <c r="E1974" s="42" t="s">
        <v>447</v>
      </c>
      <c r="F1974" s="28" t="s">
        <v>157</v>
      </c>
      <c r="G1974" s="44" t="s">
        <v>2943</v>
      </c>
      <c r="H1974" s="44" t="s">
        <v>2972</v>
      </c>
      <c r="I1974" s="45">
        <v>0</v>
      </c>
      <c r="J1974" s="45">
        <v>0</v>
      </c>
      <c r="K1974" s="45">
        <v>0</v>
      </c>
      <c r="L1974" s="46">
        <v>0</v>
      </c>
      <c r="M1974" s="45">
        <v>0</v>
      </c>
      <c r="N1974" s="45">
        <v>0</v>
      </c>
      <c r="O1974" s="46">
        <v>0</v>
      </c>
      <c r="P1974" s="102">
        <v>0</v>
      </c>
      <c r="Q1974" s="35" t="s">
        <v>154</v>
      </c>
    </row>
    <row r="1975" spans="1:17" ht="36" x14ac:dyDescent="0.25">
      <c r="A1975" s="21">
        <v>38906</v>
      </c>
      <c r="B1975" s="21">
        <v>38906</v>
      </c>
      <c r="C1975" s="99">
        <v>2006</v>
      </c>
      <c r="D1975" s="24" t="s">
        <v>141</v>
      </c>
      <c r="E1975" s="30" t="s">
        <v>142</v>
      </c>
      <c r="F1975" s="7" t="s">
        <v>67</v>
      </c>
      <c r="G1975" s="44" t="s">
        <v>2973</v>
      </c>
      <c r="H1975" s="44" t="s">
        <v>2974</v>
      </c>
      <c r="I1975" s="45">
        <v>5</v>
      </c>
      <c r="J1975" s="45">
        <v>5</v>
      </c>
      <c r="K1975" s="45">
        <v>0</v>
      </c>
      <c r="L1975" s="46">
        <v>0</v>
      </c>
      <c r="M1975" s="45">
        <v>0</v>
      </c>
      <c r="N1975" s="45">
        <v>0</v>
      </c>
      <c r="O1975" s="46">
        <v>0</v>
      </c>
      <c r="P1975" s="102">
        <v>1</v>
      </c>
      <c r="Q1975" s="35" t="s">
        <v>154</v>
      </c>
    </row>
    <row r="1976" spans="1:17" ht="36" x14ac:dyDescent="0.25">
      <c r="A1976" s="56">
        <v>38984</v>
      </c>
      <c r="B1976" s="21">
        <f>A1976</f>
        <v>38984</v>
      </c>
      <c r="C1976" s="99">
        <v>2006</v>
      </c>
      <c r="D1976" s="24" t="s">
        <v>141</v>
      </c>
      <c r="E1976" s="22" t="s">
        <v>1597</v>
      </c>
      <c r="F1976" s="7" t="s">
        <v>53</v>
      </c>
      <c r="G1976" s="111" t="s">
        <v>2975</v>
      </c>
      <c r="H1976" s="57" t="s">
        <v>2976</v>
      </c>
      <c r="I1976" s="58">
        <v>0</v>
      </c>
      <c r="J1976" s="58">
        <v>8</v>
      </c>
      <c r="K1976" s="58">
        <v>0</v>
      </c>
      <c r="L1976" s="58">
        <v>0</v>
      </c>
      <c r="M1976" s="45">
        <v>0</v>
      </c>
      <c r="N1976" s="45">
        <v>0</v>
      </c>
      <c r="O1976" s="58">
        <v>0</v>
      </c>
      <c r="P1976" s="106">
        <v>0</v>
      </c>
      <c r="Q1976" s="35" t="s">
        <v>154</v>
      </c>
    </row>
    <row r="1977" spans="1:17" ht="48" x14ac:dyDescent="0.25">
      <c r="A1977" s="21">
        <v>38907</v>
      </c>
      <c r="B1977" s="21">
        <v>38907</v>
      </c>
      <c r="C1977" s="99">
        <v>2006</v>
      </c>
      <c r="D1977" s="24" t="s">
        <v>141</v>
      </c>
      <c r="E1977" s="30" t="s">
        <v>142</v>
      </c>
      <c r="F1977" s="7" t="s">
        <v>97</v>
      </c>
      <c r="G1977" s="44" t="s">
        <v>2977</v>
      </c>
      <c r="H1977" s="44" t="s">
        <v>2978</v>
      </c>
      <c r="I1977" s="45">
        <v>0</v>
      </c>
      <c r="J1977" s="45">
        <v>0</v>
      </c>
      <c r="K1977" s="45">
        <v>0</v>
      </c>
      <c r="L1977" s="46">
        <v>0</v>
      </c>
      <c r="M1977" s="45">
        <v>0</v>
      </c>
      <c r="N1977" s="45">
        <v>0</v>
      </c>
      <c r="O1977" s="46">
        <v>0</v>
      </c>
      <c r="P1977" s="102">
        <v>0.27</v>
      </c>
      <c r="Q1977" s="35" t="s">
        <v>154</v>
      </c>
    </row>
    <row r="1978" spans="1:17" ht="60" x14ac:dyDescent="0.25">
      <c r="A1978" s="21">
        <v>38907</v>
      </c>
      <c r="B1978" s="21">
        <v>38907</v>
      </c>
      <c r="C1978" s="99">
        <v>2006</v>
      </c>
      <c r="D1978" s="24" t="s">
        <v>141</v>
      </c>
      <c r="E1978" s="30" t="s">
        <v>142</v>
      </c>
      <c r="F1978" s="7" t="s">
        <v>87</v>
      </c>
      <c r="G1978" s="44" t="s">
        <v>2141</v>
      </c>
      <c r="H1978" s="44" t="s">
        <v>2979</v>
      </c>
      <c r="I1978" s="45">
        <v>5</v>
      </c>
      <c r="J1978" s="45">
        <v>30</v>
      </c>
      <c r="K1978" s="45">
        <v>0</v>
      </c>
      <c r="L1978" s="46">
        <v>0</v>
      </c>
      <c r="M1978" s="45">
        <v>0</v>
      </c>
      <c r="N1978" s="45">
        <v>0</v>
      </c>
      <c r="O1978" s="46">
        <v>0</v>
      </c>
      <c r="P1978" s="102">
        <v>0.6</v>
      </c>
      <c r="Q1978" s="35" t="s">
        <v>154</v>
      </c>
    </row>
    <row r="1979" spans="1:17" ht="36" x14ac:dyDescent="0.25">
      <c r="A1979" s="21">
        <v>38907</v>
      </c>
      <c r="B1979" s="21">
        <v>38907</v>
      </c>
      <c r="C1979" s="99">
        <v>2006</v>
      </c>
      <c r="D1979" s="24" t="s">
        <v>141</v>
      </c>
      <c r="E1979" s="30" t="s">
        <v>142</v>
      </c>
      <c r="F1979" s="7" t="s">
        <v>84</v>
      </c>
      <c r="G1979" s="44" t="s">
        <v>2980</v>
      </c>
      <c r="H1979" s="44" t="s">
        <v>2981</v>
      </c>
      <c r="I1979" s="45">
        <v>6</v>
      </c>
      <c r="J1979" s="45">
        <v>6</v>
      </c>
      <c r="K1979" s="45">
        <v>0</v>
      </c>
      <c r="L1979" s="46">
        <v>0</v>
      </c>
      <c r="M1979" s="45">
        <v>0</v>
      </c>
      <c r="N1979" s="45">
        <v>0</v>
      </c>
      <c r="O1979" s="46">
        <v>0</v>
      </c>
      <c r="P1979" s="102">
        <v>1</v>
      </c>
      <c r="Q1979" s="35" t="s">
        <v>154</v>
      </c>
    </row>
    <row r="1980" spans="1:17" ht="36" x14ac:dyDescent="0.25">
      <c r="A1980" s="21">
        <v>38910</v>
      </c>
      <c r="B1980" s="21">
        <v>38910</v>
      </c>
      <c r="C1980" s="99">
        <v>2006</v>
      </c>
      <c r="D1980" s="24" t="s">
        <v>141</v>
      </c>
      <c r="E1980" s="30" t="s">
        <v>142</v>
      </c>
      <c r="F1980" s="7" t="s">
        <v>60</v>
      </c>
      <c r="G1980" s="44" t="s">
        <v>2982</v>
      </c>
      <c r="H1980" s="44" t="s">
        <v>2983</v>
      </c>
      <c r="I1980" s="45">
        <v>0</v>
      </c>
      <c r="J1980" s="45">
        <v>7</v>
      </c>
      <c r="K1980" s="45">
        <v>0</v>
      </c>
      <c r="L1980" s="46">
        <v>0</v>
      </c>
      <c r="M1980" s="45">
        <v>0</v>
      </c>
      <c r="N1980" s="45">
        <v>0</v>
      </c>
      <c r="O1980" s="46">
        <v>0</v>
      </c>
      <c r="P1980" s="102">
        <v>0.6</v>
      </c>
      <c r="Q1980" s="35" t="s">
        <v>154</v>
      </c>
    </row>
    <row r="1981" spans="1:17" ht="48" x14ac:dyDescent="0.25">
      <c r="A1981" s="21">
        <v>38914</v>
      </c>
      <c r="B1981" s="21">
        <v>38914</v>
      </c>
      <c r="C1981" s="99">
        <v>2006</v>
      </c>
      <c r="D1981" s="24" t="s">
        <v>141</v>
      </c>
      <c r="E1981" s="42" t="s">
        <v>447</v>
      </c>
      <c r="F1981" s="28" t="s">
        <v>157</v>
      </c>
      <c r="G1981" s="109" t="s">
        <v>526</v>
      </c>
      <c r="H1981" s="44" t="s">
        <v>2984</v>
      </c>
      <c r="I1981" s="45">
        <v>0</v>
      </c>
      <c r="J1981" s="45">
        <v>0</v>
      </c>
      <c r="K1981" s="45">
        <v>0</v>
      </c>
      <c r="L1981" s="46">
        <v>0</v>
      </c>
      <c r="M1981" s="45">
        <v>0</v>
      </c>
      <c r="N1981" s="45">
        <v>0</v>
      </c>
      <c r="O1981" s="46">
        <v>0</v>
      </c>
      <c r="P1981" s="102">
        <v>0</v>
      </c>
      <c r="Q1981" s="35" t="s">
        <v>154</v>
      </c>
    </row>
    <row r="1982" spans="1:17" ht="72" x14ac:dyDescent="0.25">
      <c r="A1982" s="21">
        <v>38914</v>
      </c>
      <c r="B1982" s="21">
        <v>38914</v>
      </c>
      <c r="C1982" s="99">
        <v>2006</v>
      </c>
      <c r="D1982" s="24" t="s">
        <v>141</v>
      </c>
      <c r="E1982" s="42" t="s">
        <v>447</v>
      </c>
      <c r="F1982" s="28" t="s">
        <v>157</v>
      </c>
      <c r="G1982" s="44" t="s">
        <v>2985</v>
      </c>
      <c r="H1982" s="109" t="s">
        <v>2986</v>
      </c>
      <c r="I1982" s="45">
        <v>0</v>
      </c>
      <c r="J1982" s="45">
        <v>0</v>
      </c>
      <c r="K1982" s="45">
        <v>0</v>
      </c>
      <c r="L1982" s="45">
        <v>0</v>
      </c>
      <c r="M1982" s="45">
        <v>0</v>
      </c>
      <c r="N1982" s="45">
        <v>0</v>
      </c>
      <c r="O1982" s="45">
        <v>0</v>
      </c>
      <c r="P1982" s="102">
        <v>0</v>
      </c>
      <c r="Q1982" s="35" t="s">
        <v>154</v>
      </c>
    </row>
    <row r="1983" spans="1:17" ht="48" x14ac:dyDescent="0.25">
      <c r="A1983" s="21">
        <v>38915</v>
      </c>
      <c r="B1983" s="21">
        <v>38915</v>
      </c>
      <c r="C1983" s="99">
        <v>2006</v>
      </c>
      <c r="D1983" s="24" t="s">
        <v>141</v>
      </c>
      <c r="E1983" s="30" t="s">
        <v>142</v>
      </c>
      <c r="F1983" s="7" t="s">
        <v>65</v>
      </c>
      <c r="G1983" s="44" t="s">
        <v>2987</v>
      </c>
      <c r="H1983" s="44" t="s">
        <v>2988</v>
      </c>
      <c r="I1983" s="45">
        <v>2</v>
      </c>
      <c r="J1983" s="45">
        <v>32</v>
      </c>
      <c r="K1983" s="45">
        <v>0</v>
      </c>
      <c r="L1983" s="45">
        <v>0</v>
      </c>
      <c r="M1983" s="45">
        <v>0</v>
      </c>
      <c r="N1983" s="45">
        <v>0</v>
      </c>
      <c r="O1983" s="45">
        <v>0</v>
      </c>
      <c r="P1983" s="102">
        <v>0.6</v>
      </c>
      <c r="Q1983" s="35" t="s">
        <v>154</v>
      </c>
    </row>
    <row r="1984" spans="1:17" ht="48" x14ac:dyDescent="0.25">
      <c r="A1984" s="21">
        <v>38915</v>
      </c>
      <c r="B1984" s="21">
        <v>38915</v>
      </c>
      <c r="C1984" s="99">
        <v>2006</v>
      </c>
      <c r="D1984" s="24" t="s">
        <v>141</v>
      </c>
      <c r="E1984" s="30" t="s">
        <v>142</v>
      </c>
      <c r="F1984" s="7" t="s">
        <v>87</v>
      </c>
      <c r="G1984" s="44" t="s">
        <v>2989</v>
      </c>
      <c r="H1984" s="44" t="s">
        <v>2990</v>
      </c>
      <c r="I1984" s="45">
        <v>0</v>
      </c>
      <c r="J1984" s="45">
        <v>1</v>
      </c>
      <c r="K1984" s="45">
        <v>0</v>
      </c>
      <c r="L1984" s="45">
        <v>0</v>
      </c>
      <c r="M1984" s="45">
        <v>0</v>
      </c>
      <c r="N1984" s="45">
        <v>0</v>
      </c>
      <c r="O1984" s="45">
        <v>0</v>
      </c>
      <c r="P1984" s="102">
        <v>0.27</v>
      </c>
      <c r="Q1984" s="35" t="s">
        <v>154</v>
      </c>
    </row>
    <row r="1985" spans="1:17" ht="48" x14ac:dyDescent="0.25">
      <c r="A1985" s="21">
        <v>38922</v>
      </c>
      <c r="B1985" s="21">
        <v>38922</v>
      </c>
      <c r="C1985" s="99">
        <v>2006</v>
      </c>
      <c r="D1985" s="24" t="s">
        <v>141</v>
      </c>
      <c r="E1985" s="30" t="s">
        <v>142</v>
      </c>
      <c r="F1985" s="7" t="s">
        <v>58</v>
      </c>
      <c r="G1985" s="44" t="s">
        <v>2991</v>
      </c>
      <c r="H1985" s="44" t="s">
        <v>2992</v>
      </c>
      <c r="I1985" s="45">
        <v>2</v>
      </c>
      <c r="J1985" s="45">
        <v>12</v>
      </c>
      <c r="K1985" s="45">
        <v>0</v>
      </c>
      <c r="L1985" s="45">
        <v>0</v>
      </c>
      <c r="M1985" s="45">
        <v>0</v>
      </c>
      <c r="N1985" s="45">
        <v>0</v>
      </c>
      <c r="O1985" s="45">
        <v>0</v>
      </c>
      <c r="P1985" s="102">
        <v>0.6</v>
      </c>
      <c r="Q1985" s="35" t="s">
        <v>154</v>
      </c>
    </row>
    <row r="1986" spans="1:17" ht="72" x14ac:dyDescent="0.25">
      <c r="A1986" s="21">
        <v>38922</v>
      </c>
      <c r="B1986" s="21">
        <v>38922</v>
      </c>
      <c r="C1986" s="99">
        <v>2006</v>
      </c>
      <c r="D1986" s="24" t="s">
        <v>141</v>
      </c>
      <c r="E1986" s="30" t="s">
        <v>142</v>
      </c>
      <c r="F1986" s="7" t="s">
        <v>58</v>
      </c>
      <c r="G1986" s="44" t="s">
        <v>1194</v>
      </c>
      <c r="H1986" s="44" t="s">
        <v>2993</v>
      </c>
      <c r="I1986" s="45">
        <v>3</v>
      </c>
      <c r="J1986" s="45">
        <v>6</v>
      </c>
      <c r="K1986" s="45">
        <v>0</v>
      </c>
      <c r="L1986" s="45">
        <v>0</v>
      </c>
      <c r="M1986" s="45">
        <v>0</v>
      </c>
      <c r="N1986" s="45">
        <v>0</v>
      </c>
      <c r="O1986" s="45">
        <v>0</v>
      </c>
      <c r="P1986" s="102">
        <v>0.27</v>
      </c>
      <c r="Q1986" s="35" t="s">
        <v>154</v>
      </c>
    </row>
    <row r="1987" spans="1:17" ht="48" x14ac:dyDescent="0.25">
      <c r="A1987" s="21">
        <v>38923</v>
      </c>
      <c r="B1987" s="21">
        <v>38923</v>
      </c>
      <c r="C1987" s="99">
        <v>2006</v>
      </c>
      <c r="D1987" s="24" t="s">
        <v>141</v>
      </c>
      <c r="E1987" s="30" t="s">
        <v>142</v>
      </c>
      <c r="F1987" s="7" t="s">
        <v>65</v>
      </c>
      <c r="G1987" s="44" t="s">
        <v>2994</v>
      </c>
      <c r="H1987" s="44" t="s">
        <v>2995</v>
      </c>
      <c r="I1987" s="45">
        <v>3</v>
      </c>
      <c r="J1987" s="45">
        <v>15</v>
      </c>
      <c r="K1987" s="45">
        <v>0</v>
      </c>
      <c r="L1987" s="45">
        <v>0</v>
      </c>
      <c r="M1987" s="45">
        <v>0</v>
      </c>
      <c r="N1987" s="45">
        <v>0</v>
      </c>
      <c r="O1987" s="45">
        <v>0</v>
      </c>
      <c r="P1987" s="102">
        <v>3.5999999999999997E-2</v>
      </c>
      <c r="Q1987" s="35" t="s">
        <v>154</v>
      </c>
    </row>
    <row r="1988" spans="1:17" ht="84" x14ac:dyDescent="0.25">
      <c r="A1988" s="21">
        <v>38928</v>
      </c>
      <c r="B1988" s="21">
        <v>38928</v>
      </c>
      <c r="C1988" s="99">
        <v>2006</v>
      </c>
      <c r="D1988" s="24" t="s">
        <v>141</v>
      </c>
      <c r="E1988" s="42" t="s">
        <v>447</v>
      </c>
      <c r="F1988" s="28" t="s">
        <v>157</v>
      </c>
      <c r="G1988" s="44" t="s">
        <v>2985</v>
      </c>
      <c r="H1988" s="44" t="s">
        <v>2996</v>
      </c>
      <c r="I1988" s="45">
        <v>0</v>
      </c>
      <c r="J1988" s="45">
        <v>0</v>
      </c>
      <c r="K1988" s="45">
        <v>0</v>
      </c>
      <c r="L1988" s="45">
        <v>0</v>
      </c>
      <c r="M1988" s="45">
        <v>0</v>
      </c>
      <c r="N1988" s="45">
        <v>0</v>
      </c>
      <c r="O1988" s="45">
        <v>0</v>
      </c>
      <c r="P1988" s="102">
        <v>0</v>
      </c>
      <c r="Q1988" s="35" t="s">
        <v>154</v>
      </c>
    </row>
    <row r="1989" spans="1:17" ht="48" x14ac:dyDescent="0.25">
      <c r="A1989" s="21">
        <v>38932</v>
      </c>
      <c r="B1989" s="21">
        <f t="shared" ref="B1989:B2025" si="4">A1989</f>
        <v>38932</v>
      </c>
      <c r="C1989" s="99">
        <v>2006</v>
      </c>
      <c r="D1989" s="24" t="s">
        <v>141</v>
      </c>
      <c r="E1989" s="30" t="s">
        <v>142</v>
      </c>
      <c r="F1989" s="7" t="s">
        <v>53</v>
      </c>
      <c r="G1989" s="44" t="s">
        <v>2997</v>
      </c>
      <c r="H1989" s="44" t="s">
        <v>2998</v>
      </c>
      <c r="I1989" s="45">
        <v>0</v>
      </c>
      <c r="J1989" s="45">
        <v>9</v>
      </c>
      <c r="K1989" s="45">
        <v>0</v>
      </c>
      <c r="L1989" s="45">
        <v>0</v>
      </c>
      <c r="M1989" s="45">
        <v>0</v>
      </c>
      <c r="N1989" s="45">
        <v>0</v>
      </c>
      <c r="O1989" s="45">
        <v>0</v>
      </c>
      <c r="P1989" s="102">
        <v>0.6</v>
      </c>
      <c r="Q1989" s="35" t="s">
        <v>154</v>
      </c>
    </row>
    <row r="1990" spans="1:17" ht="48" x14ac:dyDescent="0.25">
      <c r="A1990" s="21">
        <v>38937</v>
      </c>
      <c r="B1990" s="21">
        <f t="shared" si="4"/>
        <v>38937</v>
      </c>
      <c r="C1990" s="99">
        <v>2006</v>
      </c>
      <c r="D1990" s="24" t="s">
        <v>141</v>
      </c>
      <c r="E1990" s="30" t="s">
        <v>142</v>
      </c>
      <c r="F1990" s="7" t="s">
        <v>25</v>
      </c>
      <c r="G1990" s="44" t="s">
        <v>1584</v>
      </c>
      <c r="H1990" s="109" t="s">
        <v>2999</v>
      </c>
      <c r="I1990" s="45">
        <v>0</v>
      </c>
      <c r="J1990" s="45">
        <v>4</v>
      </c>
      <c r="K1990" s="45">
        <v>0</v>
      </c>
      <c r="L1990" s="45">
        <v>0</v>
      </c>
      <c r="M1990" s="45">
        <v>0</v>
      </c>
      <c r="N1990" s="45">
        <v>0</v>
      </c>
      <c r="O1990" s="45">
        <v>0</v>
      </c>
      <c r="P1990" s="102">
        <v>1</v>
      </c>
      <c r="Q1990" s="35" t="s">
        <v>154</v>
      </c>
    </row>
    <row r="1991" spans="1:17" ht="48" x14ac:dyDescent="0.25">
      <c r="A1991" s="21">
        <v>38940</v>
      </c>
      <c r="B1991" s="21">
        <f t="shared" si="4"/>
        <v>38940</v>
      </c>
      <c r="C1991" s="99">
        <v>2006</v>
      </c>
      <c r="D1991" s="24" t="s">
        <v>141</v>
      </c>
      <c r="E1991" s="30" t="s">
        <v>142</v>
      </c>
      <c r="F1991" s="7" t="s">
        <v>36</v>
      </c>
      <c r="G1991" s="44" t="s">
        <v>1830</v>
      </c>
      <c r="H1991" s="44" t="s">
        <v>3000</v>
      </c>
      <c r="I1991" s="45">
        <v>3</v>
      </c>
      <c r="J1991" s="45">
        <v>30</v>
      </c>
      <c r="K1991" s="45">
        <v>0</v>
      </c>
      <c r="L1991" s="45">
        <v>0</v>
      </c>
      <c r="M1991" s="45">
        <v>0</v>
      </c>
      <c r="N1991" s="45">
        <v>0</v>
      </c>
      <c r="O1991" s="45">
        <v>0</v>
      </c>
      <c r="P1991" s="102">
        <v>0.27</v>
      </c>
      <c r="Q1991" s="35" t="s">
        <v>154</v>
      </c>
    </row>
    <row r="1992" spans="1:17" ht="36" x14ac:dyDescent="0.25">
      <c r="A1992" s="21">
        <v>38940</v>
      </c>
      <c r="B1992" s="21">
        <f t="shared" si="4"/>
        <v>38940</v>
      </c>
      <c r="C1992" s="99">
        <v>2006</v>
      </c>
      <c r="D1992" s="24" t="s">
        <v>141</v>
      </c>
      <c r="E1992" s="22" t="s">
        <v>2959</v>
      </c>
      <c r="F1992" s="28" t="s">
        <v>157</v>
      </c>
      <c r="G1992" s="44" t="s">
        <v>2943</v>
      </c>
      <c r="H1992" s="44" t="s">
        <v>3001</v>
      </c>
      <c r="I1992" s="45">
        <v>1</v>
      </c>
      <c r="J1992" s="45">
        <v>4</v>
      </c>
      <c r="K1992" s="45">
        <v>0</v>
      </c>
      <c r="L1992" s="45">
        <v>0</v>
      </c>
      <c r="M1992" s="45">
        <v>0</v>
      </c>
      <c r="N1992" s="45">
        <v>0</v>
      </c>
      <c r="O1992" s="45">
        <v>0</v>
      </c>
      <c r="P1992" s="102">
        <v>0</v>
      </c>
      <c r="Q1992" s="35" t="s">
        <v>154</v>
      </c>
    </row>
    <row r="1993" spans="1:17" ht="36" x14ac:dyDescent="0.25">
      <c r="A1993" s="21">
        <v>38945</v>
      </c>
      <c r="B1993" s="21">
        <f t="shared" si="4"/>
        <v>38945</v>
      </c>
      <c r="C1993" s="99">
        <v>2006</v>
      </c>
      <c r="D1993" s="24" t="s">
        <v>141</v>
      </c>
      <c r="E1993" s="30" t="s">
        <v>142</v>
      </c>
      <c r="F1993" s="7" t="s">
        <v>56</v>
      </c>
      <c r="G1993" s="44" t="s">
        <v>711</v>
      </c>
      <c r="H1993" s="44" t="s">
        <v>3002</v>
      </c>
      <c r="I1993" s="45">
        <v>0</v>
      </c>
      <c r="J1993" s="45">
        <v>48</v>
      </c>
      <c r="K1993" s="45">
        <v>0</v>
      </c>
      <c r="L1993" s="45">
        <v>0</v>
      </c>
      <c r="M1993" s="45">
        <v>0</v>
      </c>
      <c r="N1993" s="45">
        <v>0</v>
      </c>
      <c r="O1993" s="45">
        <v>0</v>
      </c>
      <c r="P1993" s="102">
        <v>0.6</v>
      </c>
      <c r="Q1993" s="35" t="s">
        <v>154</v>
      </c>
    </row>
    <row r="1994" spans="1:17" ht="48" x14ac:dyDescent="0.25">
      <c r="A1994" s="21">
        <v>38964</v>
      </c>
      <c r="B1994" s="21">
        <f t="shared" si="4"/>
        <v>38964</v>
      </c>
      <c r="C1994" s="99">
        <v>2006</v>
      </c>
      <c r="D1994" s="24" t="s">
        <v>141</v>
      </c>
      <c r="E1994" s="30" t="s">
        <v>142</v>
      </c>
      <c r="F1994" s="28" t="s">
        <v>210</v>
      </c>
      <c r="G1994" s="44" t="s">
        <v>3003</v>
      </c>
      <c r="H1994" s="44" t="s">
        <v>3004</v>
      </c>
      <c r="I1994" s="45">
        <v>1</v>
      </c>
      <c r="J1994" s="45">
        <v>3</v>
      </c>
      <c r="K1994" s="45">
        <v>0</v>
      </c>
      <c r="L1994" s="45">
        <v>0</v>
      </c>
      <c r="M1994" s="45">
        <v>0</v>
      </c>
      <c r="N1994" s="45">
        <v>0</v>
      </c>
      <c r="O1994" s="45">
        <v>0</v>
      </c>
      <c r="P1994" s="102">
        <v>0</v>
      </c>
      <c r="Q1994" s="35" t="s">
        <v>154</v>
      </c>
    </row>
    <row r="1995" spans="1:17" ht="36" x14ac:dyDescent="0.25">
      <c r="A1995" s="21">
        <v>38965</v>
      </c>
      <c r="B1995" s="21">
        <f t="shared" si="4"/>
        <v>38965</v>
      </c>
      <c r="C1995" s="99">
        <v>2006</v>
      </c>
      <c r="D1995" s="24" t="s">
        <v>141</v>
      </c>
      <c r="E1995" s="30" t="s">
        <v>142</v>
      </c>
      <c r="F1995" s="7" t="s">
        <v>87</v>
      </c>
      <c r="G1995" s="44" t="s">
        <v>2608</v>
      </c>
      <c r="H1995" s="44" t="s">
        <v>3005</v>
      </c>
      <c r="I1995" s="45">
        <v>0</v>
      </c>
      <c r="J1995" s="45">
        <v>0</v>
      </c>
      <c r="K1995" s="45">
        <v>0</v>
      </c>
      <c r="L1995" s="45">
        <v>0</v>
      </c>
      <c r="M1995" s="45">
        <v>0</v>
      </c>
      <c r="N1995" s="45">
        <v>0</v>
      </c>
      <c r="O1995" s="45">
        <v>0</v>
      </c>
      <c r="P1995" s="102">
        <v>0.45</v>
      </c>
      <c r="Q1995" s="35" t="s">
        <v>154</v>
      </c>
    </row>
    <row r="1996" spans="1:17" ht="72" x14ac:dyDescent="0.25">
      <c r="A1996" s="56">
        <v>38967</v>
      </c>
      <c r="B1996" s="21">
        <f t="shared" si="4"/>
        <v>38967</v>
      </c>
      <c r="C1996" s="99">
        <v>2006</v>
      </c>
      <c r="D1996" s="24" t="s">
        <v>141</v>
      </c>
      <c r="E1996" s="22" t="s">
        <v>1597</v>
      </c>
      <c r="F1996" s="7" t="s">
        <v>75</v>
      </c>
      <c r="G1996" s="57" t="s">
        <v>3006</v>
      </c>
      <c r="H1996" s="111" t="s">
        <v>3007</v>
      </c>
      <c r="I1996" s="58">
        <v>4</v>
      </c>
      <c r="J1996" s="58">
        <v>19</v>
      </c>
      <c r="K1996" s="58">
        <v>0</v>
      </c>
      <c r="L1996" s="58">
        <v>0</v>
      </c>
      <c r="M1996" s="45">
        <v>0</v>
      </c>
      <c r="N1996" s="45">
        <v>0</v>
      </c>
      <c r="O1996" s="58">
        <v>0</v>
      </c>
      <c r="P1996" s="106">
        <v>0</v>
      </c>
      <c r="Q1996" s="35" t="s">
        <v>154</v>
      </c>
    </row>
    <row r="1997" spans="1:17" ht="60" x14ac:dyDescent="0.25">
      <c r="A1997" s="21">
        <v>38967</v>
      </c>
      <c r="B1997" s="21">
        <f t="shared" si="4"/>
        <v>38967</v>
      </c>
      <c r="C1997" s="99">
        <v>2006</v>
      </c>
      <c r="D1997" s="24" t="s">
        <v>141</v>
      </c>
      <c r="E1997" s="30" t="s">
        <v>142</v>
      </c>
      <c r="F1997" s="7" t="s">
        <v>40</v>
      </c>
      <c r="G1997" s="44" t="s">
        <v>58</v>
      </c>
      <c r="H1997" s="44" t="s">
        <v>3008</v>
      </c>
      <c r="I1997" s="45">
        <v>1</v>
      </c>
      <c r="J1997" s="45">
        <v>4</v>
      </c>
      <c r="K1997" s="45">
        <v>0</v>
      </c>
      <c r="L1997" s="45">
        <v>0</v>
      </c>
      <c r="M1997" s="45">
        <v>0</v>
      </c>
      <c r="N1997" s="45">
        <v>0</v>
      </c>
      <c r="O1997" s="45">
        <v>0</v>
      </c>
      <c r="P1997" s="102">
        <v>0</v>
      </c>
      <c r="Q1997" s="35" t="s">
        <v>154</v>
      </c>
    </row>
    <row r="1998" spans="1:17" ht="48" x14ac:dyDescent="0.25">
      <c r="A1998" s="21">
        <v>38973</v>
      </c>
      <c r="B1998" s="21">
        <f t="shared" si="4"/>
        <v>38973</v>
      </c>
      <c r="C1998" s="99">
        <v>2006</v>
      </c>
      <c r="D1998" s="24" t="s">
        <v>141</v>
      </c>
      <c r="E1998" s="22" t="s">
        <v>3009</v>
      </c>
      <c r="F1998" s="7" t="s">
        <v>36</v>
      </c>
      <c r="G1998" s="44" t="s">
        <v>3010</v>
      </c>
      <c r="H1998" s="44" t="s">
        <v>3011</v>
      </c>
      <c r="I1998" s="45">
        <v>1</v>
      </c>
      <c r="J1998" s="45">
        <v>1</v>
      </c>
      <c r="K1998" s="45">
        <v>0</v>
      </c>
      <c r="L1998" s="45">
        <v>0</v>
      </c>
      <c r="M1998" s="45">
        <v>0</v>
      </c>
      <c r="N1998" s="45">
        <v>0</v>
      </c>
      <c r="O1998" s="45">
        <v>0</v>
      </c>
      <c r="P1998" s="102">
        <v>0</v>
      </c>
      <c r="Q1998" s="35" t="s">
        <v>154</v>
      </c>
    </row>
    <row r="1999" spans="1:17" ht="36" x14ac:dyDescent="0.25">
      <c r="A1999" s="21">
        <v>38974</v>
      </c>
      <c r="B1999" s="21">
        <f t="shared" si="4"/>
        <v>38974</v>
      </c>
      <c r="C1999" s="99">
        <v>2006</v>
      </c>
      <c r="D1999" s="24" t="s">
        <v>141</v>
      </c>
      <c r="E1999" s="30" t="s">
        <v>142</v>
      </c>
      <c r="F1999" s="28" t="s">
        <v>210</v>
      </c>
      <c r="G1999" s="44" t="s">
        <v>653</v>
      </c>
      <c r="H1999" s="44" t="s">
        <v>3012</v>
      </c>
      <c r="I1999" s="45">
        <v>0</v>
      </c>
      <c r="J1999" s="45">
        <v>25</v>
      </c>
      <c r="K1999" s="45">
        <v>0</v>
      </c>
      <c r="L1999" s="45">
        <v>0</v>
      </c>
      <c r="M1999" s="45">
        <v>0</v>
      </c>
      <c r="N1999" s="45">
        <v>0</v>
      </c>
      <c r="O1999" s="45">
        <v>0</v>
      </c>
      <c r="P1999" s="102">
        <v>0.6</v>
      </c>
      <c r="Q1999" s="35" t="s">
        <v>154</v>
      </c>
    </row>
    <row r="2000" spans="1:17" ht="36" x14ac:dyDescent="0.25">
      <c r="A2000" s="21">
        <v>38976</v>
      </c>
      <c r="B2000" s="21">
        <f t="shared" si="4"/>
        <v>38976</v>
      </c>
      <c r="C2000" s="99">
        <v>2006</v>
      </c>
      <c r="D2000" s="24" t="s">
        <v>141</v>
      </c>
      <c r="E2000" s="30" t="s">
        <v>142</v>
      </c>
      <c r="F2000" s="7" t="s">
        <v>56</v>
      </c>
      <c r="G2000" s="44" t="s">
        <v>1509</v>
      </c>
      <c r="H2000" s="109" t="s">
        <v>3013</v>
      </c>
      <c r="I2000" s="45">
        <v>0</v>
      </c>
      <c r="J2000" s="45">
        <v>2</v>
      </c>
      <c r="K2000" s="45">
        <v>0</v>
      </c>
      <c r="L2000" s="45">
        <v>0</v>
      </c>
      <c r="M2000" s="45">
        <v>0</v>
      </c>
      <c r="N2000" s="45">
        <v>0</v>
      </c>
      <c r="O2000" s="45">
        <v>0</v>
      </c>
      <c r="P2000" s="102">
        <v>0.27</v>
      </c>
      <c r="Q2000" s="35" t="s">
        <v>154</v>
      </c>
    </row>
    <row r="2001" spans="1:17" ht="72" x14ac:dyDescent="0.25">
      <c r="A2001" s="21">
        <v>38976</v>
      </c>
      <c r="B2001" s="21">
        <f t="shared" si="4"/>
        <v>38976</v>
      </c>
      <c r="C2001" s="99">
        <v>2006</v>
      </c>
      <c r="D2001" s="24" t="s">
        <v>141</v>
      </c>
      <c r="E2001" s="42" t="s">
        <v>447</v>
      </c>
      <c r="F2001" s="7" t="s">
        <v>36</v>
      </c>
      <c r="G2001" s="44" t="s">
        <v>3014</v>
      </c>
      <c r="H2001" s="44" t="s">
        <v>3015</v>
      </c>
      <c r="I2001" s="45">
        <v>0</v>
      </c>
      <c r="J2001" s="45">
        <v>11</v>
      </c>
      <c r="K2001" s="45">
        <v>0</v>
      </c>
      <c r="L2001" s="45">
        <v>0</v>
      </c>
      <c r="M2001" s="45">
        <v>0</v>
      </c>
      <c r="N2001" s="45">
        <v>0</v>
      </c>
      <c r="O2001" s="45">
        <v>0</v>
      </c>
      <c r="P2001" s="102">
        <v>0</v>
      </c>
      <c r="Q2001" s="35" t="s">
        <v>154</v>
      </c>
    </row>
    <row r="2002" spans="1:17" ht="48" x14ac:dyDescent="0.25">
      <c r="A2002" s="21">
        <v>38979</v>
      </c>
      <c r="B2002" s="21">
        <f t="shared" si="4"/>
        <v>38979</v>
      </c>
      <c r="C2002" s="99">
        <v>2006</v>
      </c>
      <c r="D2002" s="24" t="s">
        <v>141</v>
      </c>
      <c r="E2002" s="30" t="s">
        <v>142</v>
      </c>
      <c r="F2002" s="7" t="s">
        <v>84</v>
      </c>
      <c r="G2002" s="44" t="s">
        <v>2980</v>
      </c>
      <c r="H2002" s="44" t="s">
        <v>3016</v>
      </c>
      <c r="I2002" s="45">
        <v>1</v>
      </c>
      <c r="J2002" s="45">
        <v>1</v>
      </c>
      <c r="K2002" s="45">
        <v>0</v>
      </c>
      <c r="L2002" s="45">
        <v>0</v>
      </c>
      <c r="M2002" s="45">
        <v>0</v>
      </c>
      <c r="N2002" s="45">
        <v>0</v>
      </c>
      <c r="O2002" s="45">
        <v>0</v>
      </c>
      <c r="P2002" s="102">
        <v>1</v>
      </c>
      <c r="Q2002" s="35" t="s">
        <v>154</v>
      </c>
    </row>
    <row r="2003" spans="1:17" ht="24" x14ac:dyDescent="0.25">
      <c r="A2003" s="21">
        <v>38981</v>
      </c>
      <c r="B2003" s="21">
        <f t="shared" si="4"/>
        <v>38981</v>
      </c>
      <c r="C2003" s="99">
        <v>2006</v>
      </c>
      <c r="D2003" s="24" t="s">
        <v>141</v>
      </c>
      <c r="E2003" s="30" t="s">
        <v>142</v>
      </c>
      <c r="F2003" s="7" t="s">
        <v>65</v>
      </c>
      <c r="G2003" s="44" t="s">
        <v>2952</v>
      </c>
      <c r="H2003" s="44" t="s">
        <v>3017</v>
      </c>
      <c r="I2003" s="45">
        <v>0</v>
      </c>
      <c r="J2003" s="45">
        <v>1</v>
      </c>
      <c r="K2003" s="45">
        <v>0</v>
      </c>
      <c r="L2003" s="45">
        <v>0</v>
      </c>
      <c r="M2003" s="45">
        <v>0</v>
      </c>
      <c r="N2003" s="45">
        <v>0</v>
      </c>
      <c r="O2003" s="45">
        <v>0</v>
      </c>
      <c r="P2003" s="102">
        <v>1</v>
      </c>
      <c r="Q2003" s="35" t="s">
        <v>154</v>
      </c>
    </row>
    <row r="2004" spans="1:17" ht="84" x14ac:dyDescent="0.25">
      <c r="A2004" s="21">
        <v>38989</v>
      </c>
      <c r="B2004" s="21">
        <f t="shared" si="4"/>
        <v>38989</v>
      </c>
      <c r="C2004" s="99">
        <v>2006</v>
      </c>
      <c r="D2004" s="24" t="s">
        <v>141</v>
      </c>
      <c r="E2004" s="30" t="s">
        <v>142</v>
      </c>
      <c r="F2004" s="7" t="s">
        <v>60</v>
      </c>
      <c r="G2004" s="44" t="s">
        <v>908</v>
      </c>
      <c r="H2004" s="44" t="s">
        <v>3018</v>
      </c>
      <c r="I2004" s="45">
        <v>0</v>
      </c>
      <c r="J2004" s="45">
        <v>35</v>
      </c>
      <c r="K2004" s="45">
        <v>2</v>
      </c>
      <c r="L2004" s="45">
        <v>0</v>
      </c>
      <c r="M2004" s="45">
        <v>0</v>
      </c>
      <c r="N2004" s="45">
        <v>0</v>
      </c>
      <c r="O2004" s="45">
        <v>0</v>
      </c>
      <c r="P2004" s="102">
        <v>2.3255999999999999E-2</v>
      </c>
      <c r="Q2004" s="35" t="s">
        <v>154</v>
      </c>
    </row>
    <row r="2005" spans="1:17" ht="48" x14ac:dyDescent="0.25">
      <c r="A2005" s="21">
        <v>38997</v>
      </c>
      <c r="B2005" s="21">
        <f t="shared" si="4"/>
        <v>38997</v>
      </c>
      <c r="C2005" s="99">
        <v>2006</v>
      </c>
      <c r="D2005" s="24" t="s">
        <v>141</v>
      </c>
      <c r="E2005" s="30" t="s">
        <v>142</v>
      </c>
      <c r="F2005" s="7" t="s">
        <v>91</v>
      </c>
      <c r="G2005" s="44" t="s">
        <v>803</v>
      </c>
      <c r="H2005" s="44" t="s">
        <v>3019</v>
      </c>
      <c r="I2005" s="45">
        <v>7</v>
      </c>
      <c r="J2005" s="45">
        <v>28</v>
      </c>
      <c r="K2005" s="45">
        <v>0</v>
      </c>
      <c r="L2005" s="45">
        <v>0</v>
      </c>
      <c r="M2005" s="45">
        <v>0</v>
      </c>
      <c r="N2005" s="45">
        <v>0</v>
      </c>
      <c r="O2005" s="45">
        <v>0</v>
      </c>
      <c r="P2005" s="102">
        <v>0.6</v>
      </c>
      <c r="Q2005" s="35" t="s">
        <v>154</v>
      </c>
    </row>
    <row r="2006" spans="1:17" ht="36" x14ac:dyDescent="0.25">
      <c r="A2006" s="21">
        <v>39001</v>
      </c>
      <c r="B2006" s="21">
        <f t="shared" si="4"/>
        <v>39001</v>
      </c>
      <c r="C2006" s="99">
        <v>2006</v>
      </c>
      <c r="D2006" s="24" t="s">
        <v>141</v>
      </c>
      <c r="E2006" s="30" t="s">
        <v>142</v>
      </c>
      <c r="F2006" s="28" t="s">
        <v>160</v>
      </c>
      <c r="G2006" s="44" t="s">
        <v>3020</v>
      </c>
      <c r="H2006" s="44" t="s">
        <v>3021</v>
      </c>
      <c r="I2006" s="45">
        <v>0</v>
      </c>
      <c r="J2006" s="45">
        <v>0</v>
      </c>
      <c r="K2006" s="45">
        <v>0</v>
      </c>
      <c r="L2006" s="45">
        <v>0</v>
      </c>
      <c r="M2006" s="45">
        <v>0</v>
      </c>
      <c r="N2006" s="45">
        <v>0</v>
      </c>
      <c r="O2006" s="45">
        <v>0</v>
      </c>
      <c r="P2006" s="102">
        <v>0.39800000000000002</v>
      </c>
      <c r="Q2006" s="35" t="s">
        <v>154</v>
      </c>
    </row>
    <row r="2007" spans="1:17" ht="48" x14ac:dyDescent="0.25">
      <c r="A2007" s="21">
        <v>39007</v>
      </c>
      <c r="B2007" s="21">
        <f t="shared" si="4"/>
        <v>39007</v>
      </c>
      <c r="C2007" s="99">
        <v>2006</v>
      </c>
      <c r="D2007" s="24" t="s">
        <v>141</v>
      </c>
      <c r="E2007" s="30" t="s">
        <v>142</v>
      </c>
      <c r="F2007" s="7" t="s">
        <v>67</v>
      </c>
      <c r="G2007" s="44" t="s">
        <v>2973</v>
      </c>
      <c r="H2007" s="44" t="s">
        <v>3022</v>
      </c>
      <c r="I2007" s="45">
        <v>13</v>
      </c>
      <c r="J2007" s="45">
        <v>13</v>
      </c>
      <c r="K2007" s="45">
        <v>0</v>
      </c>
      <c r="L2007" s="45">
        <v>0</v>
      </c>
      <c r="M2007" s="45">
        <v>0</v>
      </c>
      <c r="N2007" s="45">
        <v>0</v>
      </c>
      <c r="O2007" s="45">
        <v>0</v>
      </c>
      <c r="P2007" s="102">
        <v>0.6</v>
      </c>
      <c r="Q2007" s="35" t="s">
        <v>154</v>
      </c>
    </row>
    <row r="2008" spans="1:17" ht="24" x14ac:dyDescent="0.25">
      <c r="A2008" s="21">
        <v>39022</v>
      </c>
      <c r="B2008" s="21">
        <f t="shared" si="4"/>
        <v>39022</v>
      </c>
      <c r="C2008" s="99">
        <v>2006</v>
      </c>
      <c r="D2008" s="24" t="s">
        <v>141</v>
      </c>
      <c r="E2008" s="30" t="s">
        <v>142</v>
      </c>
      <c r="F2008" s="28" t="s">
        <v>210</v>
      </c>
      <c r="G2008" s="44" t="s">
        <v>653</v>
      </c>
      <c r="H2008" s="44" t="s">
        <v>3023</v>
      </c>
      <c r="I2008" s="45">
        <v>7</v>
      </c>
      <c r="J2008" s="45">
        <v>7</v>
      </c>
      <c r="K2008" s="45">
        <v>0</v>
      </c>
      <c r="L2008" s="45">
        <v>0</v>
      </c>
      <c r="M2008" s="45">
        <v>0</v>
      </c>
      <c r="N2008" s="45">
        <v>0</v>
      </c>
      <c r="O2008" s="45">
        <v>0</v>
      </c>
      <c r="P2008" s="102">
        <v>0.6</v>
      </c>
      <c r="Q2008" s="35" t="s">
        <v>154</v>
      </c>
    </row>
    <row r="2009" spans="1:17" ht="36" x14ac:dyDescent="0.25">
      <c r="A2009" s="21">
        <v>39023</v>
      </c>
      <c r="B2009" s="21">
        <f t="shared" si="4"/>
        <v>39023</v>
      </c>
      <c r="C2009" s="99">
        <v>2006</v>
      </c>
      <c r="D2009" s="24" t="s">
        <v>141</v>
      </c>
      <c r="E2009" s="30" t="s">
        <v>142</v>
      </c>
      <c r="F2009" s="28" t="s">
        <v>210</v>
      </c>
      <c r="G2009" s="44" t="s">
        <v>1935</v>
      </c>
      <c r="H2009" s="44" t="s">
        <v>3024</v>
      </c>
      <c r="I2009" s="45">
        <v>1</v>
      </c>
      <c r="J2009" s="45">
        <v>2</v>
      </c>
      <c r="K2009" s="45">
        <v>0</v>
      </c>
      <c r="L2009" s="45">
        <v>0</v>
      </c>
      <c r="M2009" s="45">
        <v>0</v>
      </c>
      <c r="N2009" s="45">
        <v>0</v>
      </c>
      <c r="O2009" s="45">
        <v>0</v>
      </c>
      <c r="P2009" s="102">
        <v>0.27</v>
      </c>
      <c r="Q2009" s="35" t="s">
        <v>154</v>
      </c>
    </row>
    <row r="2010" spans="1:17" ht="60" x14ac:dyDescent="0.25">
      <c r="A2010" s="21">
        <v>39033</v>
      </c>
      <c r="B2010" s="21">
        <f t="shared" si="4"/>
        <v>39033</v>
      </c>
      <c r="C2010" s="99">
        <v>2006</v>
      </c>
      <c r="D2010" s="24" t="s">
        <v>141</v>
      </c>
      <c r="E2010" s="42" t="s">
        <v>447</v>
      </c>
      <c r="F2010" s="28" t="s">
        <v>157</v>
      </c>
      <c r="G2010" s="44" t="s">
        <v>526</v>
      </c>
      <c r="H2010" s="44" t="s">
        <v>3025</v>
      </c>
      <c r="I2010" s="45">
        <v>0</v>
      </c>
      <c r="J2010" s="45">
        <v>1226</v>
      </c>
      <c r="K2010" s="45">
        <v>0</v>
      </c>
      <c r="L2010" s="45">
        <v>0</v>
      </c>
      <c r="M2010" s="45">
        <v>0</v>
      </c>
      <c r="N2010" s="45">
        <v>0</v>
      </c>
      <c r="O2010" s="45">
        <v>0</v>
      </c>
      <c r="P2010" s="102">
        <v>0</v>
      </c>
      <c r="Q2010" s="35" t="s">
        <v>154</v>
      </c>
    </row>
    <row r="2011" spans="1:17" ht="36" x14ac:dyDescent="0.25">
      <c r="A2011" s="21">
        <v>39034</v>
      </c>
      <c r="B2011" s="21">
        <f t="shared" si="4"/>
        <v>39034</v>
      </c>
      <c r="C2011" s="99">
        <v>2006</v>
      </c>
      <c r="D2011" s="24" t="s">
        <v>141</v>
      </c>
      <c r="E2011" s="30" t="s">
        <v>142</v>
      </c>
      <c r="F2011" s="7" t="s">
        <v>49</v>
      </c>
      <c r="G2011" s="44" t="s">
        <v>3026</v>
      </c>
      <c r="H2011" s="44" t="s">
        <v>3027</v>
      </c>
      <c r="I2011" s="45">
        <v>0</v>
      </c>
      <c r="J2011" s="45">
        <v>1</v>
      </c>
      <c r="K2011" s="45">
        <v>0</v>
      </c>
      <c r="L2011" s="45">
        <v>0</v>
      </c>
      <c r="M2011" s="45">
        <v>0</v>
      </c>
      <c r="N2011" s="45">
        <v>0</v>
      </c>
      <c r="O2011" s="45">
        <v>0</v>
      </c>
      <c r="P2011" s="102">
        <v>0.27</v>
      </c>
      <c r="Q2011" s="35" t="s">
        <v>154</v>
      </c>
    </row>
    <row r="2012" spans="1:17" ht="48" x14ac:dyDescent="0.25">
      <c r="A2012" s="21">
        <v>39034</v>
      </c>
      <c r="B2012" s="21">
        <f t="shared" si="4"/>
        <v>39034</v>
      </c>
      <c r="C2012" s="99">
        <v>2006</v>
      </c>
      <c r="D2012" s="24" t="s">
        <v>141</v>
      </c>
      <c r="E2012" s="30" t="s">
        <v>142</v>
      </c>
      <c r="F2012" s="7" t="s">
        <v>80</v>
      </c>
      <c r="G2012" s="44" t="s">
        <v>3028</v>
      </c>
      <c r="H2012" s="44" t="s">
        <v>3029</v>
      </c>
      <c r="I2012" s="45">
        <v>8</v>
      </c>
      <c r="J2012" s="45">
        <v>28</v>
      </c>
      <c r="K2012" s="45">
        <v>0</v>
      </c>
      <c r="L2012" s="45">
        <v>0</v>
      </c>
      <c r="M2012" s="45">
        <v>0</v>
      </c>
      <c r="N2012" s="45">
        <v>0</v>
      </c>
      <c r="O2012" s="45">
        <v>0</v>
      </c>
      <c r="P2012" s="102">
        <v>3.5999999999999997E-2</v>
      </c>
      <c r="Q2012" s="35" t="s">
        <v>154</v>
      </c>
    </row>
    <row r="2013" spans="1:17" ht="48" x14ac:dyDescent="0.25">
      <c r="A2013" s="21">
        <v>39034</v>
      </c>
      <c r="B2013" s="21">
        <f t="shared" si="4"/>
        <v>39034</v>
      </c>
      <c r="C2013" s="99">
        <v>2006</v>
      </c>
      <c r="D2013" s="24" t="s">
        <v>141</v>
      </c>
      <c r="E2013" s="30" t="s">
        <v>142</v>
      </c>
      <c r="F2013" s="28" t="s">
        <v>157</v>
      </c>
      <c r="G2013" s="44" t="s">
        <v>2943</v>
      </c>
      <c r="H2013" s="44" t="s">
        <v>3030</v>
      </c>
      <c r="I2013" s="45">
        <v>0</v>
      </c>
      <c r="J2013" s="45">
        <v>15</v>
      </c>
      <c r="K2013" s="45">
        <v>0</v>
      </c>
      <c r="L2013" s="45">
        <v>0</v>
      </c>
      <c r="M2013" s="45">
        <v>0</v>
      </c>
      <c r="N2013" s="45">
        <v>0</v>
      </c>
      <c r="O2013" s="45">
        <v>0</v>
      </c>
      <c r="P2013" s="102">
        <v>0</v>
      </c>
      <c r="Q2013" s="35" t="s">
        <v>154</v>
      </c>
    </row>
    <row r="2014" spans="1:17" ht="36" x14ac:dyDescent="0.25">
      <c r="A2014" s="21">
        <v>39035</v>
      </c>
      <c r="B2014" s="21">
        <f t="shared" si="4"/>
        <v>39035</v>
      </c>
      <c r="C2014" s="99">
        <v>2006</v>
      </c>
      <c r="D2014" s="24" t="s">
        <v>141</v>
      </c>
      <c r="E2014" s="30" t="s">
        <v>142</v>
      </c>
      <c r="F2014" s="28" t="s">
        <v>160</v>
      </c>
      <c r="G2014" s="44" t="s">
        <v>428</v>
      </c>
      <c r="H2014" s="44" t="s">
        <v>3031</v>
      </c>
      <c r="I2014" s="45">
        <v>0</v>
      </c>
      <c r="J2014" s="45">
        <v>0</v>
      </c>
      <c r="K2014" s="45">
        <v>0</v>
      </c>
      <c r="L2014" s="45">
        <v>0</v>
      </c>
      <c r="M2014" s="45">
        <v>0</v>
      </c>
      <c r="N2014" s="45">
        <v>0</v>
      </c>
      <c r="O2014" s="45">
        <v>0</v>
      </c>
      <c r="P2014" s="102">
        <v>1</v>
      </c>
      <c r="Q2014" s="35" t="s">
        <v>154</v>
      </c>
    </row>
    <row r="2015" spans="1:17" ht="24" x14ac:dyDescent="0.25">
      <c r="A2015" s="21">
        <v>39047</v>
      </c>
      <c r="B2015" s="21">
        <f t="shared" si="4"/>
        <v>39047</v>
      </c>
      <c r="C2015" s="99">
        <v>2006</v>
      </c>
      <c r="D2015" s="24" t="s">
        <v>141</v>
      </c>
      <c r="E2015" s="30" t="s">
        <v>142</v>
      </c>
      <c r="F2015" s="7" t="s">
        <v>77</v>
      </c>
      <c r="G2015" s="44" t="s">
        <v>681</v>
      </c>
      <c r="H2015" s="44" t="s">
        <v>3032</v>
      </c>
      <c r="I2015" s="45">
        <v>0</v>
      </c>
      <c r="J2015" s="45">
        <v>26</v>
      </c>
      <c r="K2015" s="45">
        <v>0</v>
      </c>
      <c r="L2015" s="45">
        <v>0</v>
      </c>
      <c r="M2015" s="45">
        <v>0</v>
      </c>
      <c r="N2015" s="45">
        <v>0</v>
      </c>
      <c r="O2015" s="45">
        <v>0</v>
      </c>
      <c r="P2015" s="102">
        <v>0</v>
      </c>
      <c r="Q2015" s="35" t="s">
        <v>154</v>
      </c>
    </row>
    <row r="2016" spans="1:17" ht="24" x14ac:dyDescent="0.25">
      <c r="A2016" s="21">
        <v>39048</v>
      </c>
      <c r="B2016" s="21">
        <f t="shared" si="4"/>
        <v>39048</v>
      </c>
      <c r="C2016" s="99">
        <v>2006</v>
      </c>
      <c r="D2016" s="24" t="s">
        <v>141</v>
      </c>
      <c r="E2016" s="30" t="s">
        <v>142</v>
      </c>
      <c r="F2016" s="7" t="s">
        <v>53</v>
      </c>
      <c r="G2016" s="44" t="s">
        <v>2309</v>
      </c>
      <c r="H2016" s="44" t="s">
        <v>3033</v>
      </c>
      <c r="I2016" s="45">
        <v>0</v>
      </c>
      <c r="J2016" s="45">
        <v>17</v>
      </c>
      <c r="K2016" s="45">
        <v>0</v>
      </c>
      <c r="L2016" s="45">
        <v>0</v>
      </c>
      <c r="M2016" s="45">
        <v>0</v>
      </c>
      <c r="N2016" s="45">
        <v>0</v>
      </c>
      <c r="O2016" s="45">
        <v>0</v>
      </c>
      <c r="P2016" s="102">
        <v>0.27</v>
      </c>
      <c r="Q2016" s="35" t="s">
        <v>154</v>
      </c>
    </row>
    <row r="2017" spans="1:17" ht="36" x14ac:dyDescent="0.25">
      <c r="A2017" s="21">
        <v>39050</v>
      </c>
      <c r="B2017" s="21">
        <f t="shared" si="4"/>
        <v>39050</v>
      </c>
      <c r="C2017" s="99">
        <v>2006</v>
      </c>
      <c r="D2017" s="24" t="s">
        <v>141</v>
      </c>
      <c r="E2017" s="30" t="s">
        <v>142</v>
      </c>
      <c r="F2017" s="7" t="s">
        <v>53</v>
      </c>
      <c r="G2017" s="44" t="s">
        <v>2287</v>
      </c>
      <c r="H2017" s="44" t="s">
        <v>3034</v>
      </c>
      <c r="I2017" s="45">
        <v>0</v>
      </c>
      <c r="J2017" s="45">
        <v>0</v>
      </c>
      <c r="K2017" s="45">
        <v>0</v>
      </c>
      <c r="L2017" s="45">
        <v>0</v>
      </c>
      <c r="M2017" s="45">
        <v>0</v>
      </c>
      <c r="N2017" s="45">
        <v>0</v>
      </c>
      <c r="O2017" s="45">
        <v>0</v>
      </c>
      <c r="P2017" s="102">
        <v>0.41</v>
      </c>
      <c r="Q2017" s="35" t="s">
        <v>154</v>
      </c>
    </row>
    <row r="2018" spans="1:17" ht="84" x14ac:dyDescent="0.25">
      <c r="A2018" s="21">
        <v>39051</v>
      </c>
      <c r="B2018" s="21">
        <f t="shared" si="4"/>
        <v>39051</v>
      </c>
      <c r="C2018" s="99">
        <v>2006</v>
      </c>
      <c r="D2018" s="24" t="s">
        <v>141</v>
      </c>
      <c r="E2018" s="30" t="s">
        <v>142</v>
      </c>
      <c r="F2018" s="7" t="s">
        <v>72</v>
      </c>
      <c r="G2018" s="44" t="s">
        <v>3035</v>
      </c>
      <c r="H2018" s="44" t="s">
        <v>3036</v>
      </c>
      <c r="I2018" s="45">
        <v>1</v>
      </c>
      <c r="J2018" s="45">
        <v>3</v>
      </c>
      <c r="K2018" s="45">
        <v>0</v>
      </c>
      <c r="L2018" s="45">
        <v>0</v>
      </c>
      <c r="M2018" s="45">
        <v>0</v>
      </c>
      <c r="N2018" s="45">
        <v>0</v>
      </c>
      <c r="O2018" s="45">
        <v>0</v>
      </c>
      <c r="P2018" s="102">
        <v>0.69</v>
      </c>
      <c r="Q2018" s="35" t="s">
        <v>154</v>
      </c>
    </row>
    <row r="2019" spans="1:17" ht="48" x14ac:dyDescent="0.25">
      <c r="A2019" s="21">
        <v>39055</v>
      </c>
      <c r="B2019" s="21">
        <f t="shared" si="4"/>
        <v>39055</v>
      </c>
      <c r="C2019" s="99">
        <v>2006</v>
      </c>
      <c r="D2019" s="24" t="s">
        <v>141</v>
      </c>
      <c r="E2019" s="30" t="s">
        <v>142</v>
      </c>
      <c r="F2019" s="7" t="s">
        <v>65</v>
      </c>
      <c r="G2019" s="44" t="s">
        <v>1632</v>
      </c>
      <c r="H2019" s="44" t="s">
        <v>3037</v>
      </c>
      <c r="I2019" s="45">
        <v>2</v>
      </c>
      <c r="J2019" s="45">
        <v>4</v>
      </c>
      <c r="K2019" s="45">
        <v>0</v>
      </c>
      <c r="L2019" s="45">
        <v>0</v>
      </c>
      <c r="M2019" s="45">
        <v>0</v>
      </c>
      <c r="N2019" s="45">
        <v>0</v>
      </c>
      <c r="O2019" s="45">
        <v>0</v>
      </c>
      <c r="P2019" s="102">
        <v>7.1999999999999995E-2</v>
      </c>
      <c r="Q2019" s="35" t="s">
        <v>154</v>
      </c>
    </row>
    <row r="2020" spans="1:17" ht="36" x14ac:dyDescent="0.25">
      <c r="A2020" s="21">
        <v>39056</v>
      </c>
      <c r="B2020" s="21">
        <f t="shared" si="4"/>
        <v>39056</v>
      </c>
      <c r="C2020" s="99">
        <v>2006</v>
      </c>
      <c r="D2020" s="24" t="s">
        <v>141</v>
      </c>
      <c r="E2020" s="30" t="s">
        <v>142</v>
      </c>
      <c r="F2020" s="28" t="s">
        <v>210</v>
      </c>
      <c r="G2020" s="44" t="s">
        <v>924</v>
      </c>
      <c r="H2020" s="44" t="s">
        <v>3038</v>
      </c>
      <c r="I2020" s="45">
        <v>0</v>
      </c>
      <c r="J2020" s="45">
        <v>0</v>
      </c>
      <c r="K2020" s="45">
        <v>0</v>
      </c>
      <c r="L2020" s="45">
        <v>0</v>
      </c>
      <c r="M2020" s="45">
        <v>0</v>
      </c>
      <c r="N2020" s="45">
        <v>0</v>
      </c>
      <c r="O2020" s="45">
        <v>0</v>
      </c>
      <c r="P2020" s="102">
        <v>0</v>
      </c>
      <c r="Q2020" s="35" t="s">
        <v>154</v>
      </c>
    </row>
    <row r="2021" spans="1:17" ht="48" x14ac:dyDescent="0.25">
      <c r="A2021" s="21">
        <v>39062</v>
      </c>
      <c r="B2021" s="21">
        <f t="shared" si="4"/>
        <v>39062</v>
      </c>
      <c r="C2021" s="99">
        <v>2006</v>
      </c>
      <c r="D2021" s="24" t="s">
        <v>141</v>
      </c>
      <c r="E2021" s="30" t="s">
        <v>142</v>
      </c>
      <c r="F2021" s="7" t="s">
        <v>62</v>
      </c>
      <c r="G2021" s="44" t="s">
        <v>165</v>
      </c>
      <c r="H2021" s="44" t="s">
        <v>3039</v>
      </c>
      <c r="I2021" s="45">
        <v>0</v>
      </c>
      <c r="J2021" s="45">
        <v>1</v>
      </c>
      <c r="K2021" s="45">
        <v>0</v>
      </c>
      <c r="L2021" s="45">
        <v>0</v>
      </c>
      <c r="M2021" s="45">
        <v>0</v>
      </c>
      <c r="N2021" s="45">
        <v>0</v>
      </c>
      <c r="O2021" s="45">
        <v>0</v>
      </c>
      <c r="P2021" s="102">
        <v>2.7155200000000002</v>
      </c>
      <c r="Q2021" s="35" t="s">
        <v>154</v>
      </c>
    </row>
    <row r="2022" spans="1:17" ht="72" x14ac:dyDescent="0.25">
      <c r="A2022" s="21">
        <v>39062</v>
      </c>
      <c r="B2022" s="21">
        <f t="shared" si="4"/>
        <v>39062</v>
      </c>
      <c r="C2022" s="99">
        <v>2006</v>
      </c>
      <c r="D2022" s="24" t="s">
        <v>141</v>
      </c>
      <c r="E2022" s="30" t="s">
        <v>142</v>
      </c>
      <c r="F2022" s="7" t="s">
        <v>53</v>
      </c>
      <c r="G2022" s="44" t="s">
        <v>3040</v>
      </c>
      <c r="H2022" s="44" t="s">
        <v>3041</v>
      </c>
      <c r="I2022" s="45">
        <v>2</v>
      </c>
      <c r="J2022" s="45">
        <v>6</v>
      </c>
      <c r="K2022" s="45">
        <v>0</v>
      </c>
      <c r="L2022" s="45">
        <v>0</v>
      </c>
      <c r="M2022" s="45">
        <v>0</v>
      </c>
      <c r="N2022" s="45">
        <v>0</v>
      </c>
      <c r="O2022" s="45">
        <v>0</v>
      </c>
      <c r="P2022" s="102">
        <v>0</v>
      </c>
      <c r="Q2022" s="35" t="s">
        <v>154</v>
      </c>
    </row>
    <row r="2023" spans="1:17" ht="60" x14ac:dyDescent="0.25">
      <c r="A2023" s="21">
        <v>39071</v>
      </c>
      <c r="B2023" s="21">
        <f t="shared" si="4"/>
        <v>39071</v>
      </c>
      <c r="C2023" s="99">
        <v>2006</v>
      </c>
      <c r="D2023" s="24" t="s">
        <v>141</v>
      </c>
      <c r="E2023" s="30" t="s">
        <v>142</v>
      </c>
      <c r="F2023" s="7" t="s">
        <v>82</v>
      </c>
      <c r="G2023" s="44" t="s">
        <v>82</v>
      </c>
      <c r="H2023" s="109" t="s">
        <v>3042</v>
      </c>
      <c r="I2023" s="45">
        <v>0</v>
      </c>
      <c r="J2023" s="45">
        <v>6</v>
      </c>
      <c r="K2023" s="45">
        <v>0</v>
      </c>
      <c r="L2023" s="45">
        <v>0</v>
      </c>
      <c r="M2023" s="45">
        <v>0</v>
      </c>
      <c r="N2023" s="45">
        <v>0</v>
      </c>
      <c r="O2023" s="45">
        <v>0</v>
      </c>
      <c r="P2023" s="102">
        <v>0.27</v>
      </c>
      <c r="Q2023" s="35" t="s">
        <v>154</v>
      </c>
    </row>
    <row r="2024" spans="1:17" ht="60" x14ac:dyDescent="0.25">
      <c r="A2024" s="21">
        <v>39079</v>
      </c>
      <c r="B2024" s="21">
        <f t="shared" si="4"/>
        <v>39079</v>
      </c>
      <c r="C2024" s="99">
        <v>2006</v>
      </c>
      <c r="D2024" s="24" t="s">
        <v>141</v>
      </c>
      <c r="E2024" s="30" t="s">
        <v>142</v>
      </c>
      <c r="F2024" s="7" t="s">
        <v>30</v>
      </c>
      <c r="G2024" s="44" t="s">
        <v>395</v>
      </c>
      <c r="H2024" s="44" t="s">
        <v>3043</v>
      </c>
      <c r="I2024" s="45">
        <v>8</v>
      </c>
      <c r="J2024" s="45">
        <v>22</v>
      </c>
      <c r="K2024" s="45">
        <v>0</v>
      </c>
      <c r="L2024" s="45">
        <v>0</v>
      </c>
      <c r="M2024" s="45">
        <v>0</v>
      </c>
      <c r="N2024" s="45">
        <v>0</v>
      </c>
      <c r="O2024" s="45">
        <v>0</v>
      </c>
      <c r="P2024" s="102">
        <v>0.6</v>
      </c>
      <c r="Q2024" s="35" t="s">
        <v>154</v>
      </c>
    </row>
    <row r="2025" spans="1:17" ht="48" x14ac:dyDescent="0.25">
      <c r="A2025" s="21">
        <v>39079</v>
      </c>
      <c r="B2025" s="21">
        <f t="shared" si="4"/>
        <v>39079</v>
      </c>
      <c r="C2025" s="99">
        <v>2006</v>
      </c>
      <c r="D2025" s="24" t="s">
        <v>141</v>
      </c>
      <c r="E2025" s="30" t="s">
        <v>142</v>
      </c>
      <c r="F2025" s="7" t="s">
        <v>53</v>
      </c>
      <c r="G2025" s="44" t="s">
        <v>2224</v>
      </c>
      <c r="H2025" s="109" t="s">
        <v>3044</v>
      </c>
      <c r="I2025" s="45">
        <v>22</v>
      </c>
      <c r="J2025" s="45">
        <v>31</v>
      </c>
      <c r="K2025" s="45">
        <v>0</v>
      </c>
      <c r="L2025" s="45">
        <v>0</v>
      </c>
      <c r="M2025" s="45">
        <v>0</v>
      </c>
      <c r="N2025" s="45">
        <v>0</v>
      </c>
      <c r="O2025" s="45">
        <v>0</v>
      </c>
      <c r="P2025" s="102">
        <v>0.6</v>
      </c>
      <c r="Q2025" s="35" t="s">
        <v>154</v>
      </c>
    </row>
    <row r="2026" spans="1:17" ht="192" x14ac:dyDescent="0.25">
      <c r="A2026" s="108">
        <v>38751</v>
      </c>
      <c r="B2026" s="108">
        <v>38751</v>
      </c>
      <c r="C2026" s="99">
        <v>2006</v>
      </c>
      <c r="D2026" s="24" t="s">
        <v>130</v>
      </c>
      <c r="E2026" s="22" t="s">
        <v>3045</v>
      </c>
      <c r="F2026" s="28" t="s">
        <v>210</v>
      </c>
      <c r="G2026" s="51" t="s">
        <v>3046</v>
      </c>
      <c r="H2026" s="51" t="s">
        <v>3047</v>
      </c>
      <c r="I2026" s="45">
        <v>7</v>
      </c>
      <c r="J2026" s="45">
        <v>7</v>
      </c>
      <c r="K2026" s="45">
        <v>0</v>
      </c>
      <c r="L2026" s="45">
        <v>0</v>
      </c>
      <c r="M2026" s="45">
        <v>0</v>
      </c>
      <c r="N2026" s="45">
        <v>0</v>
      </c>
      <c r="O2026" s="45">
        <v>0</v>
      </c>
      <c r="P2026" s="102">
        <v>0</v>
      </c>
      <c r="Q2026" s="35" t="s">
        <v>154</v>
      </c>
    </row>
    <row r="2027" spans="1:17" ht="48" x14ac:dyDescent="0.25">
      <c r="A2027" s="108">
        <v>38805</v>
      </c>
      <c r="B2027" s="108">
        <v>38805</v>
      </c>
      <c r="C2027" s="99">
        <v>2006</v>
      </c>
      <c r="D2027" s="24" t="s">
        <v>130</v>
      </c>
      <c r="E2027" s="30" t="s">
        <v>136</v>
      </c>
      <c r="F2027" s="7" t="s">
        <v>65</v>
      </c>
      <c r="G2027" s="51" t="s">
        <v>2987</v>
      </c>
      <c r="H2027" s="51" t="s">
        <v>3048</v>
      </c>
      <c r="I2027" s="45">
        <v>6</v>
      </c>
      <c r="J2027" s="45">
        <v>10</v>
      </c>
      <c r="K2027" s="45">
        <v>0</v>
      </c>
      <c r="L2027" s="45">
        <v>0</v>
      </c>
      <c r="M2027" s="45">
        <v>0</v>
      </c>
      <c r="N2027" s="45">
        <v>0</v>
      </c>
      <c r="O2027" s="45">
        <v>0</v>
      </c>
      <c r="P2027" s="102">
        <v>0</v>
      </c>
      <c r="Q2027" s="35" t="s">
        <v>154</v>
      </c>
    </row>
    <row r="2028" spans="1:17" ht="48" x14ac:dyDescent="0.25">
      <c r="A2028" s="108">
        <v>38902</v>
      </c>
      <c r="B2028" s="108">
        <v>38902</v>
      </c>
      <c r="C2028" s="99">
        <v>2006</v>
      </c>
      <c r="D2028" s="24" t="s">
        <v>130</v>
      </c>
      <c r="E2028" s="30" t="s">
        <v>136</v>
      </c>
      <c r="F2028" s="7" t="s">
        <v>30</v>
      </c>
      <c r="G2028" s="51" t="s">
        <v>395</v>
      </c>
      <c r="H2028" s="51" t="s">
        <v>3049</v>
      </c>
      <c r="I2028" s="45">
        <v>0</v>
      </c>
      <c r="J2028" s="45">
        <v>30</v>
      </c>
      <c r="K2028" s="45">
        <v>0</v>
      </c>
      <c r="L2028" s="45">
        <v>0</v>
      </c>
      <c r="M2028" s="45">
        <v>0</v>
      </c>
      <c r="N2028" s="45">
        <v>0</v>
      </c>
      <c r="O2028" s="45">
        <v>0</v>
      </c>
      <c r="P2028" s="102">
        <v>0</v>
      </c>
      <c r="Q2028" s="35" t="s">
        <v>154</v>
      </c>
    </row>
    <row r="2029" spans="1:17" ht="48" x14ac:dyDescent="0.25">
      <c r="A2029" s="21">
        <v>38936</v>
      </c>
      <c r="B2029" s="21">
        <f>A2029</f>
        <v>38936</v>
      </c>
      <c r="C2029" s="99">
        <v>2006</v>
      </c>
      <c r="D2029" s="24" t="s">
        <v>130</v>
      </c>
      <c r="E2029" s="30" t="s">
        <v>136</v>
      </c>
      <c r="F2029" s="7" t="s">
        <v>75</v>
      </c>
      <c r="G2029" s="51" t="s">
        <v>3050</v>
      </c>
      <c r="H2029" s="112" t="s">
        <v>3051</v>
      </c>
      <c r="I2029" s="45">
        <v>0</v>
      </c>
      <c r="J2029" s="45">
        <v>14</v>
      </c>
      <c r="K2029" s="45">
        <v>0</v>
      </c>
      <c r="L2029" s="45">
        <v>0</v>
      </c>
      <c r="M2029" s="45">
        <v>0</v>
      </c>
      <c r="N2029" s="45">
        <v>0</v>
      </c>
      <c r="O2029" s="45">
        <v>0</v>
      </c>
      <c r="P2029" s="102">
        <v>0</v>
      </c>
      <c r="Q2029" s="35" t="s">
        <v>154</v>
      </c>
    </row>
    <row r="2030" spans="1:17" ht="24" x14ac:dyDescent="0.25">
      <c r="A2030" s="21">
        <v>39015</v>
      </c>
      <c r="B2030" s="21">
        <f>A2030</f>
        <v>39015</v>
      </c>
      <c r="C2030" s="99">
        <v>2006</v>
      </c>
      <c r="D2030" s="24" t="s">
        <v>130</v>
      </c>
      <c r="E2030" s="30" t="s">
        <v>136</v>
      </c>
      <c r="F2030" s="7" t="s">
        <v>56</v>
      </c>
      <c r="G2030" s="51" t="s">
        <v>56</v>
      </c>
      <c r="H2030" s="112" t="s">
        <v>3052</v>
      </c>
      <c r="I2030" s="45">
        <v>0</v>
      </c>
      <c r="J2030" s="45">
        <v>31</v>
      </c>
      <c r="K2030" s="45">
        <v>0</v>
      </c>
      <c r="L2030" s="45">
        <v>0</v>
      </c>
      <c r="M2030" s="45">
        <v>0</v>
      </c>
      <c r="N2030" s="45">
        <v>0</v>
      </c>
      <c r="O2030" s="45">
        <v>0</v>
      </c>
      <c r="P2030" s="102">
        <v>0</v>
      </c>
      <c r="Q2030" s="35" t="s">
        <v>154</v>
      </c>
    </row>
    <row r="2031" spans="1:17" ht="84" x14ac:dyDescent="0.25">
      <c r="A2031" s="108">
        <v>38723</v>
      </c>
      <c r="B2031" s="108">
        <v>38723</v>
      </c>
      <c r="C2031" s="99">
        <v>2006</v>
      </c>
      <c r="D2031" s="351" t="s">
        <v>23</v>
      </c>
      <c r="E2031" s="22" t="s">
        <v>86</v>
      </c>
      <c r="F2031" s="7" t="s">
        <v>72</v>
      </c>
      <c r="G2031" s="25" t="s">
        <v>3053</v>
      </c>
      <c r="H2031" s="113" t="s">
        <v>3054</v>
      </c>
      <c r="I2031" s="46">
        <v>0</v>
      </c>
      <c r="J2031" s="46">
        <v>100</v>
      </c>
      <c r="K2031" s="46">
        <v>20</v>
      </c>
      <c r="L2031" s="46">
        <v>0</v>
      </c>
      <c r="M2031" s="45">
        <v>0</v>
      </c>
      <c r="N2031" s="45">
        <v>0</v>
      </c>
      <c r="O2031" s="46">
        <v>0</v>
      </c>
      <c r="P2031" s="102">
        <v>0.89239999999999997</v>
      </c>
      <c r="Q2031" s="35" t="s">
        <v>154</v>
      </c>
    </row>
    <row r="2032" spans="1:17" ht="60" x14ac:dyDescent="0.25">
      <c r="A2032" s="108">
        <v>38734</v>
      </c>
      <c r="B2032" s="108">
        <v>38734</v>
      </c>
      <c r="C2032" s="99">
        <v>2006</v>
      </c>
      <c r="D2032" s="351" t="s">
        <v>23</v>
      </c>
      <c r="E2032" s="22" t="s">
        <v>86</v>
      </c>
      <c r="F2032" s="28" t="s">
        <v>210</v>
      </c>
      <c r="G2032" s="51" t="s">
        <v>3055</v>
      </c>
      <c r="H2032" s="112" t="s">
        <v>3056</v>
      </c>
      <c r="I2032" s="99">
        <v>0</v>
      </c>
      <c r="J2032" s="99">
        <v>22</v>
      </c>
      <c r="K2032" s="99">
        <v>4</v>
      </c>
      <c r="L2032" s="99">
        <v>0</v>
      </c>
      <c r="M2032" s="45">
        <v>0</v>
      </c>
      <c r="N2032" s="45">
        <v>0</v>
      </c>
      <c r="O2032" s="43">
        <v>0</v>
      </c>
      <c r="P2032" s="102">
        <v>4.0000000000000001E-3</v>
      </c>
      <c r="Q2032" s="35" t="s">
        <v>154</v>
      </c>
    </row>
    <row r="2033" spans="1:17" ht="48" x14ac:dyDescent="0.25">
      <c r="A2033" s="108">
        <v>38743</v>
      </c>
      <c r="B2033" s="108">
        <v>38743</v>
      </c>
      <c r="C2033" s="99">
        <v>2006</v>
      </c>
      <c r="D2033" s="351" t="s">
        <v>23</v>
      </c>
      <c r="E2033" s="22" t="s">
        <v>86</v>
      </c>
      <c r="F2033" s="25" t="s">
        <v>781</v>
      </c>
      <c r="G2033" s="25" t="s">
        <v>3057</v>
      </c>
      <c r="H2033" s="114" t="s">
        <v>3058</v>
      </c>
      <c r="I2033" s="46">
        <v>0</v>
      </c>
      <c r="J2033" s="46">
        <v>686</v>
      </c>
      <c r="K2033" s="46">
        <v>169</v>
      </c>
      <c r="L2033" s="46">
        <v>0</v>
      </c>
      <c r="M2033" s="45">
        <v>0</v>
      </c>
      <c r="N2033" s="45">
        <v>0</v>
      </c>
      <c r="O2033" s="46">
        <v>0</v>
      </c>
      <c r="P2033" s="102">
        <v>0.16900000000000001</v>
      </c>
      <c r="Q2033" s="35" t="s">
        <v>154</v>
      </c>
    </row>
    <row r="2034" spans="1:17" ht="48" x14ac:dyDescent="0.25">
      <c r="A2034" s="108">
        <v>38743</v>
      </c>
      <c r="B2034" s="108">
        <v>38743</v>
      </c>
      <c r="C2034" s="99">
        <v>2006</v>
      </c>
      <c r="D2034" s="351" t="s">
        <v>23</v>
      </c>
      <c r="E2034" s="22" t="s">
        <v>86</v>
      </c>
      <c r="F2034" s="7" t="s">
        <v>36</v>
      </c>
      <c r="G2034" s="25" t="s">
        <v>3059</v>
      </c>
      <c r="H2034" s="113" t="s">
        <v>3060</v>
      </c>
      <c r="I2034" s="46">
        <v>0</v>
      </c>
      <c r="J2034" s="46">
        <v>145</v>
      </c>
      <c r="K2034" s="46">
        <v>29</v>
      </c>
      <c r="L2034" s="46">
        <v>0</v>
      </c>
      <c r="M2034" s="45">
        <v>0</v>
      </c>
      <c r="N2034" s="45">
        <v>0</v>
      </c>
      <c r="O2034" s="46">
        <v>0</v>
      </c>
      <c r="P2034" s="102">
        <v>0.13525599999999999</v>
      </c>
      <c r="Q2034" s="35" t="s">
        <v>154</v>
      </c>
    </row>
    <row r="2035" spans="1:17" ht="144" x14ac:dyDescent="0.25">
      <c r="A2035" s="108">
        <v>38745</v>
      </c>
      <c r="B2035" s="108">
        <v>38748</v>
      </c>
      <c r="C2035" s="99">
        <v>2006</v>
      </c>
      <c r="D2035" s="351" t="s">
        <v>23</v>
      </c>
      <c r="E2035" s="22" t="s">
        <v>86</v>
      </c>
      <c r="F2035" s="25" t="s">
        <v>781</v>
      </c>
      <c r="G2035" s="25" t="s">
        <v>3061</v>
      </c>
      <c r="H2035" s="114" t="s">
        <v>3062</v>
      </c>
      <c r="I2035" s="46">
        <v>0</v>
      </c>
      <c r="J2035" s="46">
        <v>1646</v>
      </c>
      <c r="K2035" s="46">
        <v>0</v>
      </c>
      <c r="L2035" s="46">
        <v>0</v>
      </c>
      <c r="M2035" s="45">
        <v>0</v>
      </c>
      <c r="N2035" s="45">
        <v>0</v>
      </c>
      <c r="O2035" s="46">
        <v>1339</v>
      </c>
      <c r="P2035" s="102">
        <v>6.7155886000000002</v>
      </c>
      <c r="Q2035" s="35" t="s">
        <v>154</v>
      </c>
    </row>
    <row r="2036" spans="1:17" ht="60" x14ac:dyDescent="0.25">
      <c r="A2036" s="108">
        <v>38778</v>
      </c>
      <c r="B2036" s="108">
        <v>38778</v>
      </c>
      <c r="C2036" s="99">
        <v>2006</v>
      </c>
      <c r="D2036" s="351" t="s">
        <v>23</v>
      </c>
      <c r="E2036" s="22" t="s">
        <v>86</v>
      </c>
      <c r="F2036" s="7" t="s">
        <v>72</v>
      </c>
      <c r="G2036" s="25" t="s">
        <v>3063</v>
      </c>
      <c r="H2036" s="113" t="s">
        <v>3064</v>
      </c>
      <c r="I2036" s="46">
        <v>0</v>
      </c>
      <c r="J2036" s="46">
        <v>10</v>
      </c>
      <c r="K2036" s="46">
        <v>2</v>
      </c>
      <c r="L2036" s="46">
        <v>0</v>
      </c>
      <c r="M2036" s="45">
        <v>0</v>
      </c>
      <c r="N2036" s="45">
        <v>0</v>
      </c>
      <c r="O2036" s="46">
        <v>0</v>
      </c>
      <c r="P2036" s="102">
        <v>9.3279999999999995E-3</v>
      </c>
      <c r="Q2036" s="35" t="s">
        <v>154</v>
      </c>
    </row>
    <row r="2037" spans="1:17" ht="96" x14ac:dyDescent="0.25">
      <c r="A2037" s="108">
        <v>38800</v>
      </c>
      <c r="B2037" s="108">
        <v>38800</v>
      </c>
      <c r="C2037" s="99">
        <v>2006</v>
      </c>
      <c r="D2037" s="351" t="s">
        <v>23</v>
      </c>
      <c r="E2037" s="22" t="s">
        <v>86</v>
      </c>
      <c r="F2037" s="28" t="s">
        <v>160</v>
      </c>
      <c r="G2037" s="25" t="s">
        <v>3065</v>
      </c>
      <c r="H2037" s="114" t="s">
        <v>3066</v>
      </c>
      <c r="I2037" s="46">
        <v>0</v>
      </c>
      <c r="J2037" s="46">
        <v>180</v>
      </c>
      <c r="K2037" s="46">
        <v>45</v>
      </c>
      <c r="L2037" s="46">
        <v>0</v>
      </c>
      <c r="M2037" s="45">
        <v>0</v>
      </c>
      <c r="N2037" s="45">
        <v>0</v>
      </c>
      <c r="O2037" s="46">
        <v>0</v>
      </c>
      <c r="P2037" s="102">
        <v>0.65548499999999998</v>
      </c>
      <c r="Q2037" s="35" t="s">
        <v>154</v>
      </c>
    </row>
    <row r="2038" spans="1:17" ht="48" x14ac:dyDescent="0.25">
      <c r="A2038" s="108">
        <v>38815</v>
      </c>
      <c r="B2038" s="108">
        <v>38815</v>
      </c>
      <c r="C2038" s="99">
        <v>2006</v>
      </c>
      <c r="D2038" s="351" t="s">
        <v>23</v>
      </c>
      <c r="E2038" s="22" t="s">
        <v>86</v>
      </c>
      <c r="F2038" s="28" t="s">
        <v>151</v>
      </c>
      <c r="G2038" s="25" t="s">
        <v>3067</v>
      </c>
      <c r="H2038" s="114" t="s">
        <v>3068</v>
      </c>
      <c r="I2038" s="46">
        <v>0</v>
      </c>
      <c r="J2038" s="46">
        <v>105</v>
      </c>
      <c r="K2038" s="46">
        <v>21</v>
      </c>
      <c r="L2038" s="46">
        <v>0</v>
      </c>
      <c r="M2038" s="45">
        <v>0</v>
      </c>
      <c r="N2038" s="45">
        <v>0</v>
      </c>
      <c r="O2038" s="46">
        <v>0</v>
      </c>
      <c r="P2038" s="102">
        <v>2.1000000000000001E-2</v>
      </c>
      <c r="Q2038" s="35" t="s">
        <v>154</v>
      </c>
    </row>
    <row r="2039" spans="1:17" ht="72" x14ac:dyDescent="0.25">
      <c r="A2039" s="108">
        <v>38826</v>
      </c>
      <c r="B2039" s="108">
        <v>38827</v>
      </c>
      <c r="C2039" s="99">
        <v>2006</v>
      </c>
      <c r="D2039" s="351" t="s">
        <v>23</v>
      </c>
      <c r="E2039" s="22" t="s">
        <v>86</v>
      </c>
      <c r="F2039" s="28" t="s">
        <v>210</v>
      </c>
      <c r="G2039" s="25" t="s">
        <v>3069</v>
      </c>
      <c r="H2039" s="114" t="s">
        <v>3070</v>
      </c>
      <c r="I2039" s="46">
        <v>0</v>
      </c>
      <c r="J2039" s="46">
        <v>22860</v>
      </c>
      <c r="K2039" s="46">
        <v>4572</v>
      </c>
      <c r="L2039" s="46">
        <v>9</v>
      </c>
      <c r="M2039" s="45">
        <v>0</v>
      </c>
      <c r="N2039" s="45">
        <v>0</v>
      </c>
      <c r="O2039" s="46">
        <v>100</v>
      </c>
      <c r="P2039" s="102">
        <v>4.5720000000000001</v>
      </c>
      <c r="Q2039" s="35" t="s">
        <v>154</v>
      </c>
    </row>
    <row r="2040" spans="1:17" ht="60" x14ac:dyDescent="0.25">
      <c r="A2040" s="108">
        <v>38827</v>
      </c>
      <c r="B2040" s="108">
        <v>38827</v>
      </c>
      <c r="C2040" s="99">
        <v>2006</v>
      </c>
      <c r="D2040" s="351" t="s">
        <v>23</v>
      </c>
      <c r="E2040" s="22" t="s">
        <v>86</v>
      </c>
      <c r="F2040" s="7" t="s">
        <v>75</v>
      </c>
      <c r="G2040" s="25" t="s">
        <v>3071</v>
      </c>
      <c r="H2040" s="113" t="s">
        <v>3072</v>
      </c>
      <c r="I2040" s="46">
        <v>0</v>
      </c>
      <c r="J2040" s="46">
        <v>230</v>
      </c>
      <c r="K2040" s="46">
        <v>46</v>
      </c>
      <c r="L2040" s="46">
        <v>0</v>
      </c>
      <c r="M2040" s="45">
        <v>0</v>
      </c>
      <c r="N2040" s="45">
        <v>0</v>
      </c>
      <c r="O2040" s="46">
        <v>0</v>
      </c>
      <c r="P2040" s="102">
        <v>4.5999999999999999E-2</v>
      </c>
      <c r="Q2040" s="35" t="s">
        <v>154</v>
      </c>
    </row>
    <row r="2041" spans="1:17" ht="48" x14ac:dyDescent="0.25">
      <c r="A2041" s="108">
        <v>38828</v>
      </c>
      <c r="B2041" s="108">
        <v>38828</v>
      </c>
      <c r="C2041" s="99">
        <v>2006</v>
      </c>
      <c r="D2041" s="351" t="s">
        <v>23</v>
      </c>
      <c r="E2041" s="22" t="s">
        <v>86</v>
      </c>
      <c r="F2041" s="7" t="s">
        <v>53</v>
      </c>
      <c r="G2041" s="25" t="s">
        <v>3073</v>
      </c>
      <c r="H2041" s="113" t="s">
        <v>3074</v>
      </c>
      <c r="I2041" s="46">
        <v>0</v>
      </c>
      <c r="J2041" s="46">
        <v>85</v>
      </c>
      <c r="K2041" s="46">
        <v>17</v>
      </c>
      <c r="L2041" s="46">
        <v>0</v>
      </c>
      <c r="M2041" s="45">
        <v>0</v>
      </c>
      <c r="N2041" s="45">
        <v>0</v>
      </c>
      <c r="O2041" s="46">
        <v>0</v>
      </c>
      <c r="P2041" s="102">
        <v>1.7000000000000001E-2</v>
      </c>
      <c r="Q2041" s="35" t="s">
        <v>154</v>
      </c>
    </row>
    <row r="2042" spans="1:17" ht="48" x14ac:dyDescent="0.25">
      <c r="A2042" s="108">
        <v>38830</v>
      </c>
      <c r="B2042" s="108">
        <v>38830</v>
      </c>
      <c r="C2042" s="99">
        <v>2006</v>
      </c>
      <c r="D2042" s="351" t="s">
        <v>23</v>
      </c>
      <c r="E2042" s="22" t="s">
        <v>86</v>
      </c>
      <c r="F2042" s="7" t="s">
        <v>36</v>
      </c>
      <c r="G2042" s="25" t="s">
        <v>232</v>
      </c>
      <c r="H2042" s="114" t="s">
        <v>3075</v>
      </c>
      <c r="I2042" s="46">
        <v>0</v>
      </c>
      <c r="J2042" s="46">
        <v>100</v>
      </c>
      <c r="K2042" s="46">
        <v>20</v>
      </c>
      <c r="L2042" s="46">
        <v>0</v>
      </c>
      <c r="M2042" s="45">
        <v>0</v>
      </c>
      <c r="N2042" s="45">
        <v>0</v>
      </c>
      <c r="O2042" s="46">
        <v>0</v>
      </c>
      <c r="P2042" s="102">
        <v>0.02</v>
      </c>
      <c r="Q2042" s="35" t="s">
        <v>154</v>
      </c>
    </row>
    <row r="2043" spans="1:17" ht="108" x14ac:dyDescent="0.25">
      <c r="A2043" s="108">
        <v>38837</v>
      </c>
      <c r="B2043" s="108">
        <v>38837</v>
      </c>
      <c r="C2043" s="99">
        <v>2006</v>
      </c>
      <c r="D2043" s="351" t="s">
        <v>23</v>
      </c>
      <c r="E2043" s="22" t="s">
        <v>86</v>
      </c>
      <c r="F2043" s="28" t="s">
        <v>210</v>
      </c>
      <c r="G2043" s="29" t="s">
        <v>3076</v>
      </c>
      <c r="H2043" s="114" t="s">
        <v>3077</v>
      </c>
      <c r="I2043" s="46">
        <v>0</v>
      </c>
      <c r="J2043" s="46">
        <v>9085</v>
      </c>
      <c r="K2043" s="46">
        <v>1817</v>
      </c>
      <c r="L2043" s="46">
        <v>0</v>
      </c>
      <c r="M2043" s="45">
        <v>0</v>
      </c>
      <c r="N2043" s="45">
        <v>0</v>
      </c>
      <c r="O2043" s="46">
        <v>200</v>
      </c>
      <c r="P2043" s="102">
        <v>3.9927199999999998</v>
      </c>
      <c r="Q2043" s="35" t="s">
        <v>154</v>
      </c>
    </row>
    <row r="2044" spans="1:17" ht="48" x14ac:dyDescent="0.25">
      <c r="A2044" s="108">
        <v>38839</v>
      </c>
      <c r="B2044" s="108">
        <v>38839</v>
      </c>
      <c r="C2044" s="99">
        <v>2006</v>
      </c>
      <c r="D2044" s="351" t="s">
        <v>23</v>
      </c>
      <c r="E2044" s="22" t="s">
        <v>86</v>
      </c>
      <c r="F2044" s="7" t="s">
        <v>36</v>
      </c>
      <c r="G2044" s="25" t="s">
        <v>3078</v>
      </c>
      <c r="H2044" s="113" t="s">
        <v>3079</v>
      </c>
      <c r="I2044" s="46">
        <v>0</v>
      </c>
      <c r="J2044" s="46">
        <v>45</v>
      </c>
      <c r="K2044" s="46">
        <v>9</v>
      </c>
      <c r="L2044" s="46">
        <v>0</v>
      </c>
      <c r="M2044" s="45">
        <v>0</v>
      </c>
      <c r="N2044" s="45">
        <v>0</v>
      </c>
      <c r="O2044" s="46">
        <v>0</v>
      </c>
      <c r="P2044" s="102">
        <v>8.9999999999999993E-3</v>
      </c>
      <c r="Q2044" s="35" t="s">
        <v>154</v>
      </c>
    </row>
    <row r="2045" spans="1:17" ht="48" x14ac:dyDescent="0.25">
      <c r="A2045" s="108">
        <v>38842</v>
      </c>
      <c r="B2045" s="108">
        <v>38842</v>
      </c>
      <c r="C2045" s="99">
        <v>2006</v>
      </c>
      <c r="D2045" s="351" t="s">
        <v>23</v>
      </c>
      <c r="E2045" s="22" t="s">
        <v>86</v>
      </c>
      <c r="F2045" s="7" t="s">
        <v>72</v>
      </c>
      <c r="G2045" s="25" t="s">
        <v>2711</v>
      </c>
      <c r="H2045" s="113" t="s">
        <v>3080</v>
      </c>
      <c r="I2045" s="46">
        <v>3</v>
      </c>
      <c r="J2045" s="46">
        <v>3</v>
      </c>
      <c r="K2045" s="46">
        <v>1</v>
      </c>
      <c r="L2045" s="46">
        <v>0</v>
      </c>
      <c r="M2045" s="45">
        <v>0</v>
      </c>
      <c r="N2045" s="45">
        <v>0</v>
      </c>
      <c r="O2045" s="46">
        <v>0</v>
      </c>
      <c r="P2045" s="102">
        <v>0</v>
      </c>
      <c r="Q2045" s="35" t="s">
        <v>154</v>
      </c>
    </row>
    <row r="2046" spans="1:17" ht="48" x14ac:dyDescent="0.25">
      <c r="A2046" s="108">
        <v>38843</v>
      </c>
      <c r="B2046" s="108">
        <v>38843</v>
      </c>
      <c r="C2046" s="99">
        <v>2006</v>
      </c>
      <c r="D2046" s="351" t="s">
        <v>23</v>
      </c>
      <c r="E2046" s="22" t="s">
        <v>86</v>
      </c>
      <c r="F2046" s="7" t="s">
        <v>97</v>
      </c>
      <c r="G2046" s="25" t="s">
        <v>3081</v>
      </c>
      <c r="H2046" s="113" t="s">
        <v>3082</v>
      </c>
      <c r="I2046" s="46">
        <v>0</v>
      </c>
      <c r="J2046" s="46">
        <v>70</v>
      </c>
      <c r="K2046" s="46">
        <v>14</v>
      </c>
      <c r="L2046" s="46">
        <v>0</v>
      </c>
      <c r="M2046" s="45">
        <v>0</v>
      </c>
      <c r="N2046" s="45">
        <v>0</v>
      </c>
      <c r="O2046" s="46">
        <v>0</v>
      </c>
      <c r="P2046" s="102">
        <v>0.16279199999999999</v>
      </c>
      <c r="Q2046" s="35" t="s">
        <v>154</v>
      </c>
    </row>
    <row r="2047" spans="1:17" ht="24" x14ac:dyDescent="0.25">
      <c r="A2047" s="108">
        <v>38848</v>
      </c>
      <c r="B2047" s="108">
        <v>38848</v>
      </c>
      <c r="C2047" s="99">
        <v>2006</v>
      </c>
      <c r="D2047" s="351" t="s">
        <v>23</v>
      </c>
      <c r="E2047" s="22" t="s">
        <v>86</v>
      </c>
      <c r="F2047" s="7" t="s">
        <v>68</v>
      </c>
      <c r="G2047" s="25" t="s">
        <v>2581</v>
      </c>
      <c r="H2047" s="113" t="s">
        <v>3083</v>
      </c>
      <c r="I2047" s="46">
        <v>0</v>
      </c>
      <c r="J2047" s="46">
        <v>3</v>
      </c>
      <c r="K2047" s="46">
        <v>0</v>
      </c>
      <c r="L2047" s="46">
        <v>0</v>
      </c>
      <c r="M2047" s="45">
        <v>0</v>
      </c>
      <c r="N2047" s="45">
        <v>0</v>
      </c>
      <c r="O2047" s="46">
        <v>0</v>
      </c>
      <c r="P2047" s="102">
        <v>0</v>
      </c>
      <c r="Q2047" s="35" t="s">
        <v>154</v>
      </c>
    </row>
    <row r="2048" spans="1:17" ht="48" x14ac:dyDescent="0.25">
      <c r="A2048" s="108">
        <v>38848</v>
      </c>
      <c r="B2048" s="108">
        <v>38848</v>
      </c>
      <c r="C2048" s="99">
        <v>2006</v>
      </c>
      <c r="D2048" s="351" t="s">
        <v>23</v>
      </c>
      <c r="E2048" s="22" t="s">
        <v>86</v>
      </c>
      <c r="F2048" s="7" t="s">
        <v>56</v>
      </c>
      <c r="G2048" s="25" t="s">
        <v>358</v>
      </c>
      <c r="H2048" s="113" t="s">
        <v>3084</v>
      </c>
      <c r="I2048" s="46">
        <v>0</v>
      </c>
      <c r="J2048" s="46">
        <v>5</v>
      </c>
      <c r="K2048" s="46">
        <v>1</v>
      </c>
      <c r="L2048" s="46">
        <v>0</v>
      </c>
      <c r="M2048" s="45">
        <v>0</v>
      </c>
      <c r="N2048" s="45">
        <v>0</v>
      </c>
      <c r="O2048" s="46">
        <v>0</v>
      </c>
      <c r="P2048" s="102">
        <v>4.1699E-2</v>
      </c>
      <c r="Q2048" s="35" t="s">
        <v>154</v>
      </c>
    </row>
    <row r="2049" spans="1:17" ht="24" x14ac:dyDescent="0.25">
      <c r="A2049" s="108">
        <v>38848</v>
      </c>
      <c r="B2049" s="108">
        <v>38848</v>
      </c>
      <c r="C2049" s="99">
        <v>2006</v>
      </c>
      <c r="D2049" s="351" t="s">
        <v>23</v>
      </c>
      <c r="E2049" s="22" t="s">
        <v>86</v>
      </c>
      <c r="F2049" s="7" t="s">
        <v>101</v>
      </c>
      <c r="G2049" s="25" t="s">
        <v>2440</v>
      </c>
      <c r="H2049" s="113" t="s">
        <v>3085</v>
      </c>
      <c r="I2049" s="46">
        <v>1</v>
      </c>
      <c r="J2049" s="46">
        <v>1</v>
      </c>
      <c r="K2049" s="46">
        <v>0</v>
      </c>
      <c r="L2049" s="46">
        <v>0</v>
      </c>
      <c r="M2049" s="45">
        <v>0</v>
      </c>
      <c r="N2049" s="45">
        <v>0</v>
      </c>
      <c r="O2049" s="46">
        <v>0</v>
      </c>
      <c r="P2049" s="102">
        <v>0</v>
      </c>
      <c r="Q2049" s="35" t="s">
        <v>154</v>
      </c>
    </row>
    <row r="2050" spans="1:17" ht="60" x14ac:dyDescent="0.25">
      <c r="A2050" s="108">
        <v>38851</v>
      </c>
      <c r="B2050" s="108">
        <v>38851</v>
      </c>
      <c r="C2050" s="99">
        <v>2006</v>
      </c>
      <c r="D2050" s="351" t="s">
        <v>23</v>
      </c>
      <c r="E2050" s="22" t="s">
        <v>86</v>
      </c>
      <c r="F2050" s="7" t="s">
        <v>36</v>
      </c>
      <c r="G2050" s="25" t="s">
        <v>310</v>
      </c>
      <c r="H2050" s="113" t="s">
        <v>3086</v>
      </c>
      <c r="I2050" s="46">
        <v>1</v>
      </c>
      <c r="J2050" s="46">
        <v>66</v>
      </c>
      <c r="K2050" s="46">
        <v>13</v>
      </c>
      <c r="L2050" s="46">
        <v>0</v>
      </c>
      <c r="M2050" s="45">
        <v>0</v>
      </c>
      <c r="N2050" s="45">
        <v>0</v>
      </c>
      <c r="O2050" s="46">
        <v>0</v>
      </c>
      <c r="P2050" s="102">
        <v>1.2999999999999999E-2</v>
      </c>
      <c r="Q2050" s="35" t="s">
        <v>154</v>
      </c>
    </row>
    <row r="2051" spans="1:17" ht="84" x14ac:dyDescent="0.25">
      <c r="A2051" s="108">
        <v>38852</v>
      </c>
      <c r="B2051" s="108">
        <v>38852</v>
      </c>
      <c r="C2051" s="99">
        <v>2006</v>
      </c>
      <c r="D2051" s="351" t="s">
        <v>23</v>
      </c>
      <c r="E2051" s="22" t="s">
        <v>86</v>
      </c>
      <c r="F2051" s="7" t="s">
        <v>82</v>
      </c>
      <c r="G2051" s="25" t="s">
        <v>3087</v>
      </c>
      <c r="H2051" s="113" t="s">
        <v>3088</v>
      </c>
      <c r="I2051" s="46">
        <v>0</v>
      </c>
      <c r="J2051" s="46">
        <v>1165</v>
      </c>
      <c r="K2051" s="46">
        <v>233</v>
      </c>
      <c r="L2051" s="46">
        <v>1</v>
      </c>
      <c r="M2051" s="45">
        <v>0</v>
      </c>
      <c r="N2051" s="45">
        <v>0</v>
      </c>
      <c r="O2051" s="46">
        <v>0</v>
      </c>
      <c r="P2051" s="102">
        <v>3.0100340000000001</v>
      </c>
      <c r="Q2051" s="35" t="s">
        <v>154</v>
      </c>
    </row>
    <row r="2052" spans="1:17" ht="72" x14ac:dyDescent="0.25">
      <c r="A2052" s="108">
        <v>38852</v>
      </c>
      <c r="B2052" s="108">
        <v>38852</v>
      </c>
      <c r="C2052" s="99">
        <v>2006</v>
      </c>
      <c r="D2052" s="351" t="s">
        <v>23</v>
      </c>
      <c r="E2052" s="22" t="s">
        <v>86</v>
      </c>
      <c r="F2052" s="28" t="s">
        <v>160</v>
      </c>
      <c r="G2052" s="25" t="s">
        <v>3089</v>
      </c>
      <c r="H2052" s="113" t="s">
        <v>3090</v>
      </c>
      <c r="I2052" s="46">
        <v>0</v>
      </c>
      <c r="J2052" s="46">
        <v>580</v>
      </c>
      <c r="K2052" s="46">
        <v>116</v>
      </c>
      <c r="L2052" s="46">
        <v>0</v>
      </c>
      <c r="M2052" s="45">
        <v>0</v>
      </c>
      <c r="N2052" s="45">
        <v>0</v>
      </c>
      <c r="O2052" s="46">
        <v>0</v>
      </c>
      <c r="P2052" s="102">
        <v>0.11600000000000001</v>
      </c>
      <c r="Q2052" s="35" t="s">
        <v>154</v>
      </c>
    </row>
    <row r="2053" spans="1:17" ht="60" x14ac:dyDescent="0.25">
      <c r="A2053" s="108">
        <v>38852</v>
      </c>
      <c r="B2053" s="108">
        <v>38852</v>
      </c>
      <c r="C2053" s="99">
        <v>2006</v>
      </c>
      <c r="D2053" s="351" t="s">
        <v>23</v>
      </c>
      <c r="E2053" s="22" t="s">
        <v>86</v>
      </c>
      <c r="F2053" s="28" t="s">
        <v>210</v>
      </c>
      <c r="G2053" s="25" t="s">
        <v>2109</v>
      </c>
      <c r="H2053" s="114" t="s">
        <v>3091</v>
      </c>
      <c r="I2053" s="46">
        <v>0</v>
      </c>
      <c r="J2053" s="46">
        <v>17195</v>
      </c>
      <c r="K2053" s="46">
        <v>3439</v>
      </c>
      <c r="L2053" s="46">
        <v>10</v>
      </c>
      <c r="M2053" s="45">
        <v>0</v>
      </c>
      <c r="N2053" s="45">
        <v>0</v>
      </c>
      <c r="O2053" s="46">
        <v>610</v>
      </c>
      <c r="P2053" s="102">
        <v>3.4390000000000001</v>
      </c>
      <c r="Q2053" s="35" t="s">
        <v>154</v>
      </c>
    </row>
    <row r="2054" spans="1:17" ht="168" x14ac:dyDescent="0.25">
      <c r="A2054" s="108">
        <v>38853</v>
      </c>
      <c r="B2054" s="108">
        <v>38853</v>
      </c>
      <c r="C2054" s="99">
        <v>2006</v>
      </c>
      <c r="D2054" s="351" t="s">
        <v>23</v>
      </c>
      <c r="E2054" s="22" t="s">
        <v>86</v>
      </c>
      <c r="F2054" s="25" t="s">
        <v>781</v>
      </c>
      <c r="G2054" s="25" t="s">
        <v>3092</v>
      </c>
      <c r="H2054" s="114" t="s">
        <v>3093</v>
      </c>
      <c r="I2054" s="46">
        <v>8</v>
      </c>
      <c r="J2054" s="46">
        <v>1515</v>
      </c>
      <c r="K2054" s="46">
        <v>300</v>
      </c>
      <c r="L2054" s="46">
        <v>0</v>
      </c>
      <c r="M2054" s="45">
        <v>0</v>
      </c>
      <c r="N2054" s="45">
        <v>0</v>
      </c>
      <c r="O2054" s="46">
        <v>0</v>
      </c>
      <c r="P2054" s="102">
        <v>1.5880000000000001</v>
      </c>
      <c r="Q2054" s="35" t="s">
        <v>154</v>
      </c>
    </row>
    <row r="2055" spans="1:17" ht="36" x14ac:dyDescent="0.25">
      <c r="A2055" s="21">
        <v>38854</v>
      </c>
      <c r="B2055" s="21">
        <f>A2055</f>
        <v>38854</v>
      </c>
      <c r="C2055" s="99">
        <v>2006</v>
      </c>
      <c r="D2055" s="351" t="s">
        <v>23</v>
      </c>
      <c r="E2055" s="22" t="s">
        <v>86</v>
      </c>
      <c r="F2055" s="7" t="s">
        <v>62</v>
      </c>
      <c r="G2055" s="25" t="s">
        <v>165</v>
      </c>
      <c r="H2055" s="113" t="s">
        <v>3094</v>
      </c>
      <c r="I2055" s="46">
        <v>0</v>
      </c>
      <c r="J2055" s="46">
        <v>50</v>
      </c>
      <c r="K2055" s="46">
        <v>10</v>
      </c>
      <c r="L2055" s="46">
        <v>0</v>
      </c>
      <c r="M2055" s="45">
        <v>0</v>
      </c>
      <c r="N2055" s="45">
        <v>0</v>
      </c>
      <c r="O2055" s="46">
        <v>0</v>
      </c>
      <c r="P2055" s="102">
        <v>4.6640000000000001E-2</v>
      </c>
      <c r="Q2055" s="35" t="s">
        <v>154</v>
      </c>
    </row>
    <row r="2056" spans="1:17" ht="60" x14ac:dyDescent="0.25">
      <c r="A2056" s="108">
        <v>38856</v>
      </c>
      <c r="B2056" s="108">
        <v>38856</v>
      </c>
      <c r="C2056" s="99">
        <v>2006</v>
      </c>
      <c r="D2056" s="351" t="s">
        <v>23</v>
      </c>
      <c r="E2056" s="22" t="s">
        <v>86</v>
      </c>
      <c r="F2056" s="7" t="s">
        <v>36</v>
      </c>
      <c r="G2056" s="25" t="s">
        <v>673</v>
      </c>
      <c r="H2056" s="113" t="s">
        <v>3095</v>
      </c>
      <c r="I2056" s="46">
        <v>0</v>
      </c>
      <c r="J2056" s="46">
        <v>0</v>
      </c>
      <c r="K2056" s="46">
        <v>0</v>
      </c>
      <c r="L2056" s="46">
        <v>0</v>
      </c>
      <c r="M2056" s="45">
        <v>0</v>
      </c>
      <c r="N2056" s="45">
        <v>0</v>
      </c>
      <c r="O2056" s="46">
        <v>0</v>
      </c>
      <c r="P2056" s="102">
        <v>0.82250000000000001</v>
      </c>
      <c r="Q2056" s="35" t="s">
        <v>154</v>
      </c>
    </row>
    <row r="2057" spans="1:17" ht="72" x14ac:dyDescent="0.25">
      <c r="A2057" s="108">
        <v>38856</v>
      </c>
      <c r="B2057" s="108">
        <v>38856</v>
      </c>
      <c r="C2057" s="99">
        <v>2006</v>
      </c>
      <c r="D2057" s="351" t="s">
        <v>23</v>
      </c>
      <c r="E2057" s="22" t="s">
        <v>86</v>
      </c>
      <c r="F2057" s="7" t="s">
        <v>36</v>
      </c>
      <c r="G2057" s="25" t="s">
        <v>3096</v>
      </c>
      <c r="H2057" s="113" t="s">
        <v>3097</v>
      </c>
      <c r="I2057" s="46">
        <v>0</v>
      </c>
      <c r="J2057" s="46">
        <v>0</v>
      </c>
      <c r="K2057" s="46">
        <v>0</v>
      </c>
      <c r="L2057" s="46">
        <v>0</v>
      </c>
      <c r="M2057" s="45">
        <v>0</v>
      </c>
      <c r="N2057" s="45">
        <v>0</v>
      </c>
      <c r="O2057" s="46">
        <v>0</v>
      </c>
      <c r="P2057" s="102">
        <v>0.82250000000000001</v>
      </c>
      <c r="Q2057" s="35" t="s">
        <v>154</v>
      </c>
    </row>
    <row r="2058" spans="1:17" ht="36" x14ac:dyDescent="0.25">
      <c r="A2058" s="108">
        <v>38863</v>
      </c>
      <c r="B2058" s="108">
        <v>38863</v>
      </c>
      <c r="C2058" s="99">
        <v>2006</v>
      </c>
      <c r="D2058" s="351" t="s">
        <v>23</v>
      </c>
      <c r="E2058" s="22" t="s">
        <v>86</v>
      </c>
      <c r="F2058" s="7" t="s">
        <v>65</v>
      </c>
      <c r="G2058" s="25" t="s">
        <v>1346</v>
      </c>
      <c r="H2058" s="113" t="s">
        <v>3098</v>
      </c>
      <c r="I2058" s="46">
        <v>0</v>
      </c>
      <c r="J2058" s="46">
        <v>20</v>
      </c>
      <c r="K2058" s="46">
        <v>4</v>
      </c>
      <c r="L2058" s="46">
        <v>0</v>
      </c>
      <c r="M2058" s="45">
        <v>0</v>
      </c>
      <c r="N2058" s="45">
        <v>0</v>
      </c>
      <c r="O2058" s="46">
        <v>0</v>
      </c>
      <c r="P2058" s="102">
        <v>4.0000000000000001E-3</v>
      </c>
      <c r="Q2058" s="35" t="s">
        <v>154</v>
      </c>
    </row>
    <row r="2059" spans="1:17" ht="60" x14ac:dyDescent="0.25">
      <c r="A2059" s="108">
        <v>38867</v>
      </c>
      <c r="B2059" s="108">
        <v>38867</v>
      </c>
      <c r="C2059" s="99">
        <v>2006</v>
      </c>
      <c r="D2059" s="351" t="s">
        <v>23</v>
      </c>
      <c r="E2059" s="22" t="s">
        <v>86</v>
      </c>
      <c r="F2059" s="7" t="s">
        <v>75</v>
      </c>
      <c r="G2059" s="25" t="s">
        <v>3099</v>
      </c>
      <c r="H2059" s="113" t="s">
        <v>3100</v>
      </c>
      <c r="I2059" s="46">
        <v>0</v>
      </c>
      <c r="J2059" s="46">
        <v>643</v>
      </c>
      <c r="K2059" s="46">
        <v>89</v>
      </c>
      <c r="L2059" s="46">
        <v>0</v>
      </c>
      <c r="M2059" s="45">
        <v>0</v>
      </c>
      <c r="N2059" s="45">
        <v>0</v>
      </c>
      <c r="O2059" s="46">
        <v>0</v>
      </c>
      <c r="P2059" s="102">
        <v>1.0348919999999999</v>
      </c>
      <c r="Q2059" s="35" t="s">
        <v>154</v>
      </c>
    </row>
    <row r="2060" spans="1:17" ht="24" x14ac:dyDescent="0.25">
      <c r="A2060" s="108">
        <v>38867</v>
      </c>
      <c r="B2060" s="108">
        <v>38867</v>
      </c>
      <c r="C2060" s="99">
        <v>2006</v>
      </c>
      <c r="D2060" s="351" t="s">
        <v>23</v>
      </c>
      <c r="E2060" s="22" t="s">
        <v>86</v>
      </c>
      <c r="F2060" s="28" t="s">
        <v>210</v>
      </c>
      <c r="G2060" s="25" t="s">
        <v>3101</v>
      </c>
      <c r="H2060" s="113" t="s">
        <v>3102</v>
      </c>
      <c r="I2060" s="46">
        <v>0</v>
      </c>
      <c r="J2060" s="46">
        <v>95</v>
      </c>
      <c r="K2060" s="46">
        <v>19</v>
      </c>
      <c r="L2060" s="46">
        <v>0</v>
      </c>
      <c r="M2060" s="45">
        <v>0</v>
      </c>
      <c r="N2060" s="45">
        <v>0</v>
      </c>
      <c r="O2060" s="46">
        <v>0</v>
      </c>
      <c r="P2060" s="102">
        <v>1.9E-2</v>
      </c>
      <c r="Q2060" s="35" t="s">
        <v>154</v>
      </c>
    </row>
    <row r="2061" spans="1:17" ht="60" x14ac:dyDescent="0.25">
      <c r="A2061" s="108">
        <v>38871</v>
      </c>
      <c r="B2061" s="108">
        <v>38871</v>
      </c>
      <c r="C2061" s="99">
        <v>2006</v>
      </c>
      <c r="D2061" s="351" t="s">
        <v>23</v>
      </c>
      <c r="E2061" s="22" t="s">
        <v>86</v>
      </c>
      <c r="F2061" s="28" t="s">
        <v>210</v>
      </c>
      <c r="G2061" s="25" t="s">
        <v>2842</v>
      </c>
      <c r="H2061" s="113" t="s">
        <v>3103</v>
      </c>
      <c r="I2061" s="46">
        <v>0</v>
      </c>
      <c r="J2061" s="46">
        <v>200</v>
      </c>
      <c r="K2061" s="46">
        <v>50</v>
      </c>
      <c r="L2061" s="46">
        <v>0</v>
      </c>
      <c r="M2061" s="45">
        <v>0</v>
      </c>
      <c r="N2061" s="45">
        <v>0</v>
      </c>
      <c r="O2061" s="46">
        <v>0</v>
      </c>
      <c r="P2061" s="102">
        <v>0.23319999999999999</v>
      </c>
      <c r="Q2061" s="35" t="s">
        <v>154</v>
      </c>
    </row>
    <row r="2062" spans="1:17" ht="96" x14ac:dyDescent="0.25">
      <c r="A2062" s="108">
        <v>38872</v>
      </c>
      <c r="B2062" s="108">
        <v>38872</v>
      </c>
      <c r="C2062" s="99">
        <v>2006</v>
      </c>
      <c r="D2062" s="351" t="s">
        <v>23</v>
      </c>
      <c r="E2062" s="22" t="s">
        <v>86</v>
      </c>
      <c r="F2062" s="7" t="s">
        <v>58</v>
      </c>
      <c r="G2062" s="29" t="s">
        <v>3104</v>
      </c>
      <c r="H2062" s="114" t="s">
        <v>3105</v>
      </c>
      <c r="I2062" s="46">
        <v>0</v>
      </c>
      <c r="J2062" s="46">
        <v>127</v>
      </c>
      <c r="K2062" s="46">
        <v>34</v>
      </c>
      <c r="L2062" s="46">
        <v>0</v>
      </c>
      <c r="M2062" s="45">
        <v>0</v>
      </c>
      <c r="N2062" s="45">
        <v>0</v>
      </c>
      <c r="O2062" s="46">
        <v>0</v>
      </c>
      <c r="P2062" s="102">
        <v>7.6582999999999998E-2</v>
      </c>
      <c r="Q2062" s="35" t="s">
        <v>154</v>
      </c>
    </row>
    <row r="2063" spans="1:17" ht="72" x14ac:dyDescent="0.25">
      <c r="A2063" s="108">
        <v>38876</v>
      </c>
      <c r="B2063" s="108">
        <v>38876</v>
      </c>
      <c r="C2063" s="99">
        <v>2006</v>
      </c>
      <c r="D2063" s="351" t="s">
        <v>23</v>
      </c>
      <c r="E2063" s="22" t="s">
        <v>86</v>
      </c>
      <c r="F2063" s="7" t="s">
        <v>36</v>
      </c>
      <c r="G2063" s="25" t="s">
        <v>3106</v>
      </c>
      <c r="H2063" s="113" t="s">
        <v>3107</v>
      </c>
      <c r="I2063" s="46">
        <v>0</v>
      </c>
      <c r="J2063" s="46">
        <v>155</v>
      </c>
      <c r="K2063" s="46">
        <v>31</v>
      </c>
      <c r="L2063" s="46">
        <v>0</v>
      </c>
      <c r="M2063" s="45">
        <v>0</v>
      </c>
      <c r="N2063" s="45">
        <v>0</v>
      </c>
      <c r="O2063" s="46">
        <v>0</v>
      </c>
      <c r="P2063" s="102">
        <v>0.96708400000000005</v>
      </c>
      <c r="Q2063" s="35" t="s">
        <v>154</v>
      </c>
    </row>
    <row r="2064" spans="1:17" ht="84" x14ac:dyDescent="0.25">
      <c r="A2064" s="108">
        <v>38884</v>
      </c>
      <c r="B2064" s="108">
        <v>38884</v>
      </c>
      <c r="C2064" s="99">
        <v>2006</v>
      </c>
      <c r="D2064" s="351" t="s">
        <v>23</v>
      </c>
      <c r="E2064" s="22" t="s">
        <v>86</v>
      </c>
      <c r="F2064" s="7" t="s">
        <v>97</v>
      </c>
      <c r="G2064" s="25" t="s">
        <v>1744</v>
      </c>
      <c r="H2064" s="113" t="s">
        <v>3108</v>
      </c>
      <c r="I2064" s="46">
        <v>0</v>
      </c>
      <c r="J2064" s="46">
        <v>75</v>
      </c>
      <c r="K2064" s="46">
        <v>15</v>
      </c>
      <c r="L2064" s="46">
        <v>0</v>
      </c>
      <c r="M2064" s="45">
        <v>0</v>
      </c>
      <c r="N2064" s="45">
        <v>0</v>
      </c>
      <c r="O2064" s="46">
        <v>0</v>
      </c>
      <c r="P2064" s="102">
        <v>1.4999999999999999E-2</v>
      </c>
      <c r="Q2064" s="35" t="s">
        <v>154</v>
      </c>
    </row>
    <row r="2065" spans="1:17" ht="72" x14ac:dyDescent="0.25">
      <c r="A2065" s="108">
        <v>38888</v>
      </c>
      <c r="B2065" s="108">
        <v>38888</v>
      </c>
      <c r="C2065" s="99">
        <v>2006</v>
      </c>
      <c r="D2065" s="351" t="s">
        <v>23</v>
      </c>
      <c r="E2065" s="22" t="s">
        <v>86</v>
      </c>
      <c r="F2065" s="7" t="s">
        <v>84</v>
      </c>
      <c r="G2065" s="25" t="s">
        <v>1170</v>
      </c>
      <c r="H2065" s="114" t="s">
        <v>3109</v>
      </c>
      <c r="I2065" s="46">
        <v>0</v>
      </c>
      <c r="J2065" s="46">
        <v>1612</v>
      </c>
      <c r="K2065" s="46">
        <v>653</v>
      </c>
      <c r="L2065" s="46">
        <v>0</v>
      </c>
      <c r="M2065" s="45">
        <v>0</v>
      </c>
      <c r="N2065" s="45">
        <v>0</v>
      </c>
      <c r="O2065" s="46">
        <v>0</v>
      </c>
      <c r="P2065" s="102">
        <v>0.81222000000000005</v>
      </c>
      <c r="Q2065" s="35" t="s">
        <v>154</v>
      </c>
    </row>
    <row r="2066" spans="1:17" ht="36" x14ac:dyDescent="0.25">
      <c r="A2066" s="108">
        <v>38893</v>
      </c>
      <c r="B2066" s="108">
        <v>38893</v>
      </c>
      <c r="C2066" s="99">
        <v>2006</v>
      </c>
      <c r="D2066" s="351" t="s">
        <v>23</v>
      </c>
      <c r="E2066" s="22" t="s">
        <v>86</v>
      </c>
      <c r="F2066" s="7" t="s">
        <v>60</v>
      </c>
      <c r="G2066" s="25" t="s">
        <v>3110</v>
      </c>
      <c r="H2066" s="113" t="s">
        <v>3111</v>
      </c>
      <c r="I2066" s="46">
        <v>0</v>
      </c>
      <c r="J2066" s="46">
        <v>250</v>
      </c>
      <c r="K2066" s="46">
        <v>50</v>
      </c>
      <c r="L2066" s="46">
        <v>0</v>
      </c>
      <c r="M2066" s="45">
        <v>0</v>
      </c>
      <c r="N2066" s="45">
        <v>0</v>
      </c>
      <c r="O2066" s="46">
        <v>0</v>
      </c>
      <c r="P2066" s="102">
        <v>0.58140000000000003</v>
      </c>
      <c r="Q2066" s="35" t="s">
        <v>154</v>
      </c>
    </row>
    <row r="2067" spans="1:17" ht="48" x14ac:dyDescent="0.25">
      <c r="A2067" s="108">
        <v>38894</v>
      </c>
      <c r="B2067" s="108">
        <v>38894</v>
      </c>
      <c r="C2067" s="99">
        <v>2006</v>
      </c>
      <c r="D2067" s="351" t="s">
        <v>23</v>
      </c>
      <c r="E2067" s="22" t="s">
        <v>86</v>
      </c>
      <c r="F2067" s="28" t="s">
        <v>210</v>
      </c>
      <c r="G2067" s="25" t="s">
        <v>3112</v>
      </c>
      <c r="H2067" s="113" t="s">
        <v>3113</v>
      </c>
      <c r="I2067" s="46">
        <v>0</v>
      </c>
      <c r="J2067" s="46">
        <v>2200</v>
      </c>
      <c r="K2067" s="46">
        <v>464</v>
      </c>
      <c r="L2067" s="46">
        <v>0</v>
      </c>
      <c r="M2067" s="45">
        <v>0</v>
      </c>
      <c r="N2067" s="45">
        <v>0</v>
      </c>
      <c r="O2067" s="46">
        <v>0</v>
      </c>
      <c r="P2067" s="102">
        <v>0.43</v>
      </c>
      <c r="Q2067" s="35" t="s">
        <v>154</v>
      </c>
    </row>
    <row r="2068" spans="1:17" ht="48" x14ac:dyDescent="0.25">
      <c r="A2068" s="108">
        <v>38895</v>
      </c>
      <c r="B2068" s="108">
        <v>38895</v>
      </c>
      <c r="C2068" s="99">
        <v>2006</v>
      </c>
      <c r="D2068" s="351" t="s">
        <v>23</v>
      </c>
      <c r="E2068" s="22" t="s">
        <v>86</v>
      </c>
      <c r="F2068" s="7" t="s">
        <v>84</v>
      </c>
      <c r="G2068" s="25" t="s">
        <v>2725</v>
      </c>
      <c r="H2068" s="113" t="s">
        <v>3114</v>
      </c>
      <c r="I2068" s="46">
        <v>0</v>
      </c>
      <c r="J2068" s="46">
        <v>700</v>
      </c>
      <c r="K2068" s="46">
        <v>140</v>
      </c>
      <c r="L2068" s="46">
        <v>0</v>
      </c>
      <c r="M2068" s="45">
        <v>0</v>
      </c>
      <c r="N2068" s="45">
        <v>0</v>
      </c>
      <c r="O2068" s="46">
        <v>0</v>
      </c>
      <c r="P2068" s="102">
        <v>0.14000000000000001</v>
      </c>
      <c r="Q2068" s="35" t="s">
        <v>154</v>
      </c>
    </row>
    <row r="2069" spans="1:17" ht="72" x14ac:dyDescent="0.25">
      <c r="A2069" s="108">
        <v>38896</v>
      </c>
      <c r="B2069" s="108">
        <v>38899</v>
      </c>
      <c r="C2069" s="99">
        <v>2006</v>
      </c>
      <c r="D2069" s="351" t="s">
        <v>23</v>
      </c>
      <c r="E2069" s="22" t="s">
        <v>86</v>
      </c>
      <c r="F2069" s="28" t="s">
        <v>210</v>
      </c>
      <c r="G2069" s="25" t="s">
        <v>2109</v>
      </c>
      <c r="H2069" s="114" t="s">
        <v>3115</v>
      </c>
      <c r="I2069" s="46">
        <v>0</v>
      </c>
      <c r="J2069" s="46">
        <v>43564</v>
      </c>
      <c r="K2069" s="46">
        <v>10891</v>
      </c>
      <c r="L2069" s="46">
        <v>0</v>
      </c>
      <c r="M2069" s="45">
        <v>0</v>
      </c>
      <c r="N2069" s="45">
        <v>0</v>
      </c>
      <c r="O2069" s="46">
        <v>0</v>
      </c>
      <c r="P2069" s="102">
        <v>10.891</v>
      </c>
      <c r="Q2069" s="35" t="s">
        <v>154</v>
      </c>
    </row>
    <row r="2070" spans="1:17" ht="48" x14ac:dyDescent="0.25">
      <c r="A2070" s="108">
        <v>38900</v>
      </c>
      <c r="B2070" s="108">
        <v>38900</v>
      </c>
      <c r="C2070" s="99">
        <v>2006</v>
      </c>
      <c r="D2070" s="351" t="s">
        <v>23</v>
      </c>
      <c r="E2070" s="22" t="s">
        <v>86</v>
      </c>
      <c r="F2070" s="7" t="s">
        <v>75</v>
      </c>
      <c r="G2070" s="25" t="s">
        <v>3116</v>
      </c>
      <c r="H2070" s="113" t="s">
        <v>3117</v>
      </c>
      <c r="I2070" s="46">
        <v>0</v>
      </c>
      <c r="J2070" s="46">
        <v>5125</v>
      </c>
      <c r="K2070" s="46">
        <v>1025</v>
      </c>
      <c r="L2070" s="46">
        <v>0</v>
      </c>
      <c r="M2070" s="45">
        <v>0</v>
      </c>
      <c r="N2070" s="45">
        <v>0</v>
      </c>
      <c r="O2070" s="46">
        <v>0</v>
      </c>
      <c r="P2070" s="102">
        <v>1.0249999999999999</v>
      </c>
      <c r="Q2070" s="35" t="s">
        <v>154</v>
      </c>
    </row>
    <row r="2071" spans="1:17" ht="96" x14ac:dyDescent="0.25">
      <c r="A2071" s="108">
        <v>38900</v>
      </c>
      <c r="B2071" s="108">
        <v>38900</v>
      </c>
      <c r="C2071" s="99">
        <v>2006</v>
      </c>
      <c r="D2071" s="351" t="s">
        <v>23</v>
      </c>
      <c r="E2071" s="22" t="s">
        <v>86</v>
      </c>
      <c r="F2071" s="7" t="s">
        <v>53</v>
      </c>
      <c r="G2071" s="25" t="s">
        <v>3118</v>
      </c>
      <c r="H2071" s="113" t="s">
        <v>3119</v>
      </c>
      <c r="I2071" s="46">
        <v>0</v>
      </c>
      <c r="J2071" s="46">
        <v>2040</v>
      </c>
      <c r="K2071" s="46">
        <v>200</v>
      </c>
      <c r="L2071" s="46">
        <v>0</v>
      </c>
      <c r="M2071" s="45">
        <v>0</v>
      </c>
      <c r="N2071" s="45">
        <v>0</v>
      </c>
      <c r="O2071" s="46">
        <v>0</v>
      </c>
      <c r="P2071" s="102">
        <v>1.9441999999999999</v>
      </c>
      <c r="Q2071" s="35" t="s">
        <v>154</v>
      </c>
    </row>
    <row r="2072" spans="1:17" ht="48" x14ac:dyDescent="0.25">
      <c r="A2072" s="108">
        <v>38900</v>
      </c>
      <c r="B2072" s="108">
        <v>38900</v>
      </c>
      <c r="C2072" s="99">
        <v>2006</v>
      </c>
      <c r="D2072" s="351" t="s">
        <v>23</v>
      </c>
      <c r="E2072" s="22" t="s">
        <v>86</v>
      </c>
      <c r="F2072" s="7" t="s">
        <v>97</v>
      </c>
      <c r="G2072" s="25" t="s">
        <v>3120</v>
      </c>
      <c r="H2072" s="113" t="s">
        <v>3121</v>
      </c>
      <c r="I2072" s="46">
        <v>0</v>
      </c>
      <c r="J2072" s="46">
        <v>125</v>
      </c>
      <c r="K2072" s="46">
        <v>25</v>
      </c>
      <c r="L2072" s="46">
        <v>0</v>
      </c>
      <c r="M2072" s="45">
        <v>0</v>
      </c>
      <c r="N2072" s="45">
        <v>0</v>
      </c>
      <c r="O2072" s="46">
        <v>0</v>
      </c>
      <c r="P2072" s="102">
        <v>2.5000000000000001E-2</v>
      </c>
      <c r="Q2072" s="35" t="s">
        <v>154</v>
      </c>
    </row>
    <row r="2073" spans="1:17" ht="60" x14ac:dyDescent="0.25">
      <c r="A2073" s="108">
        <v>38901</v>
      </c>
      <c r="B2073" s="108">
        <v>38901</v>
      </c>
      <c r="C2073" s="99">
        <v>2006</v>
      </c>
      <c r="D2073" s="351" t="s">
        <v>23</v>
      </c>
      <c r="E2073" s="22" t="s">
        <v>86</v>
      </c>
      <c r="F2073" s="7" t="s">
        <v>53</v>
      </c>
      <c r="G2073" s="25" t="s">
        <v>1502</v>
      </c>
      <c r="H2073" s="114" t="s">
        <v>3122</v>
      </c>
      <c r="I2073" s="46">
        <v>0</v>
      </c>
      <c r="J2073" s="46">
        <v>0</v>
      </c>
      <c r="K2073" s="46">
        <v>0</v>
      </c>
      <c r="L2073" s="46">
        <v>0</v>
      </c>
      <c r="M2073" s="45">
        <v>0</v>
      </c>
      <c r="N2073" s="45">
        <v>0</v>
      </c>
      <c r="O2073" s="46">
        <v>2</v>
      </c>
      <c r="P2073" s="102">
        <v>1.16772E-2</v>
      </c>
      <c r="Q2073" s="35" t="s">
        <v>154</v>
      </c>
    </row>
    <row r="2074" spans="1:17" ht="60" x14ac:dyDescent="0.25">
      <c r="A2074" s="108">
        <v>38902</v>
      </c>
      <c r="B2074" s="108">
        <v>38902</v>
      </c>
      <c r="C2074" s="99">
        <v>2006</v>
      </c>
      <c r="D2074" s="351" t="s">
        <v>23</v>
      </c>
      <c r="E2074" s="22" t="s">
        <v>86</v>
      </c>
      <c r="F2074" s="7" t="s">
        <v>58</v>
      </c>
      <c r="G2074" s="25" t="s">
        <v>168</v>
      </c>
      <c r="H2074" s="114" t="s">
        <v>3123</v>
      </c>
      <c r="I2074" s="46">
        <v>1</v>
      </c>
      <c r="J2074" s="46">
        <v>1871</v>
      </c>
      <c r="K2074" s="46">
        <v>374</v>
      </c>
      <c r="L2074" s="46">
        <v>2</v>
      </c>
      <c r="M2074" s="45">
        <v>0</v>
      </c>
      <c r="N2074" s="45">
        <v>0</v>
      </c>
      <c r="O2074" s="46">
        <v>0</v>
      </c>
      <c r="P2074" s="102">
        <v>0.374</v>
      </c>
      <c r="Q2074" s="35" t="s">
        <v>154</v>
      </c>
    </row>
    <row r="2075" spans="1:17" ht="72" x14ac:dyDescent="0.25">
      <c r="A2075" s="108">
        <v>38903</v>
      </c>
      <c r="B2075" s="108">
        <v>38903</v>
      </c>
      <c r="C2075" s="99">
        <v>2006</v>
      </c>
      <c r="D2075" s="351" t="s">
        <v>23</v>
      </c>
      <c r="E2075" s="22" t="s">
        <v>86</v>
      </c>
      <c r="F2075" s="7" t="s">
        <v>68</v>
      </c>
      <c r="G2075" s="25" t="s">
        <v>3124</v>
      </c>
      <c r="H2075" s="114" t="s">
        <v>3125</v>
      </c>
      <c r="I2075" s="46">
        <v>1</v>
      </c>
      <c r="J2075" s="46">
        <v>5</v>
      </c>
      <c r="K2075" s="46">
        <v>0</v>
      </c>
      <c r="L2075" s="46">
        <v>0</v>
      </c>
      <c r="M2075" s="45">
        <v>0</v>
      </c>
      <c r="N2075" s="45">
        <v>0</v>
      </c>
      <c r="O2075" s="46">
        <v>0</v>
      </c>
      <c r="P2075" s="102">
        <v>0</v>
      </c>
      <c r="Q2075" s="35" t="s">
        <v>154</v>
      </c>
    </row>
    <row r="2076" spans="1:17" ht="72" x14ac:dyDescent="0.25">
      <c r="A2076" s="108">
        <v>38904</v>
      </c>
      <c r="B2076" s="108">
        <v>38904</v>
      </c>
      <c r="C2076" s="99">
        <v>2006</v>
      </c>
      <c r="D2076" s="351" t="s">
        <v>23</v>
      </c>
      <c r="E2076" s="22" t="s">
        <v>86</v>
      </c>
      <c r="F2076" s="7" t="s">
        <v>40</v>
      </c>
      <c r="G2076" s="25" t="s">
        <v>3126</v>
      </c>
      <c r="H2076" s="114" t="s">
        <v>3127</v>
      </c>
      <c r="I2076" s="46">
        <v>4</v>
      </c>
      <c r="J2076" s="46">
        <v>13520</v>
      </c>
      <c r="K2076" s="46">
        <v>2704</v>
      </c>
      <c r="L2076" s="46">
        <v>36</v>
      </c>
      <c r="M2076" s="45">
        <v>0</v>
      </c>
      <c r="N2076" s="45">
        <v>0</v>
      </c>
      <c r="O2076" s="46">
        <v>295.5</v>
      </c>
      <c r="P2076" s="102">
        <v>516.26</v>
      </c>
      <c r="Q2076" s="35" t="s">
        <v>154</v>
      </c>
    </row>
    <row r="2077" spans="1:17" ht="48" x14ac:dyDescent="0.25">
      <c r="A2077" s="108">
        <v>38905</v>
      </c>
      <c r="B2077" s="108">
        <v>38905</v>
      </c>
      <c r="C2077" s="99">
        <v>2006</v>
      </c>
      <c r="D2077" s="351" t="s">
        <v>23</v>
      </c>
      <c r="E2077" s="22" t="s">
        <v>86</v>
      </c>
      <c r="F2077" s="7" t="s">
        <v>68</v>
      </c>
      <c r="G2077" s="25" t="s">
        <v>3128</v>
      </c>
      <c r="H2077" s="113" t="s">
        <v>3129</v>
      </c>
      <c r="I2077" s="46">
        <v>1</v>
      </c>
      <c r="J2077" s="46">
        <v>1</v>
      </c>
      <c r="K2077" s="46">
        <v>0</v>
      </c>
      <c r="L2077" s="46">
        <v>0</v>
      </c>
      <c r="M2077" s="45">
        <v>0</v>
      </c>
      <c r="N2077" s="45">
        <v>0</v>
      </c>
      <c r="O2077" s="46">
        <v>0</v>
      </c>
      <c r="P2077" s="102">
        <v>0</v>
      </c>
      <c r="Q2077" s="35" t="s">
        <v>154</v>
      </c>
    </row>
    <row r="2078" spans="1:17" ht="72" x14ac:dyDescent="0.25">
      <c r="A2078" s="108">
        <v>38907</v>
      </c>
      <c r="B2078" s="108">
        <v>38907</v>
      </c>
      <c r="C2078" s="99">
        <v>2006</v>
      </c>
      <c r="D2078" s="351" t="s">
        <v>23</v>
      </c>
      <c r="E2078" s="22" t="s">
        <v>86</v>
      </c>
      <c r="F2078" s="7" t="s">
        <v>60</v>
      </c>
      <c r="G2078" s="25" t="s">
        <v>1605</v>
      </c>
      <c r="H2078" s="113" t="s">
        <v>3130</v>
      </c>
      <c r="I2078" s="46">
        <v>1</v>
      </c>
      <c r="J2078" s="46">
        <v>616</v>
      </c>
      <c r="K2078" s="46">
        <v>123</v>
      </c>
      <c r="L2078" s="46">
        <v>0</v>
      </c>
      <c r="M2078" s="45">
        <v>0</v>
      </c>
      <c r="N2078" s="45">
        <v>0</v>
      </c>
      <c r="O2078" s="46">
        <v>0</v>
      </c>
      <c r="P2078" s="102">
        <v>0.57367199999999996</v>
      </c>
      <c r="Q2078" s="35" t="s">
        <v>154</v>
      </c>
    </row>
    <row r="2079" spans="1:17" ht="72" x14ac:dyDescent="0.25">
      <c r="A2079" s="21">
        <v>38908</v>
      </c>
      <c r="B2079" s="21">
        <f>A2079</f>
        <v>38908</v>
      </c>
      <c r="C2079" s="99">
        <v>2006</v>
      </c>
      <c r="D2079" s="351" t="s">
        <v>23</v>
      </c>
      <c r="E2079" s="22" t="s">
        <v>86</v>
      </c>
      <c r="F2079" s="28" t="s">
        <v>210</v>
      </c>
      <c r="G2079" s="25" t="s">
        <v>3131</v>
      </c>
      <c r="H2079" s="113" t="s">
        <v>3132</v>
      </c>
      <c r="I2079" s="46">
        <v>1</v>
      </c>
      <c r="J2079" s="46">
        <v>3</v>
      </c>
      <c r="K2079" s="46">
        <v>0</v>
      </c>
      <c r="L2079" s="46">
        <v>0</v>
      </c>
      <c r="M2079" s="45">
        <v>0</v>
      </c>
      <c r="N2079" s="45">
        <v>0</v>
      </c>
      <c r="O2079" s="46">
        <v>0</v>
      </c>
      <c r="P2079" s="102">
        <v>0</v>
      </c>
      <c r="Q2079" s="35" t="s">
        <v>154</v>
      </c>
    </row>
    <row r="2080" spans="1:17" ht="48" x14ac:dyDescent="0.25">
      <c r="A2080" s="108">
        <v>38908</v>
      </c>
      <c r="B2080" s="108">
        <v>38908</v>
      </c>
      <c r="C2080" s="99">
        <v>2006</v>
      </c>
      <c r="D2080" s="351" t="s">
        <v>23</v>
      </c>
      <c r="E2080" s="22" t="s">
        <v>86</v>
      </c>
      <c r="F2080" s="7" t="s">
        <v>84</v>
      </c>
      <c r="G2080" s="25" t="s">
        <v>2844</v>
      </c>
      <c r="H2080" s="113" t="s">
        <v>3133</v>
      </c>
      <c r="I2080" s="46">
        <v>1</v>
      </c>
      <c r="J2080" s="46">
        <v>1</v>
      </c>
      <c r="K2080" s="46">
        <v>0</v>
      </c>
      <c r="L2080" s="46">
        <v>0</v>
      </c>
      <c r="M2080" s="45">
        <v>0</v>
      </c>
      <c r="N2080" s="45">
        <v>0</v>
      </c>
      <c r="O2080" s="46">
        <v>0</v>
      </c>
      <c r="P2080" s="102">
        <v>0</v>
      </c>
      <c r="Q2080" s="35" t="s">
        <v>154</v>
      </c>
    </row>
    <row r="2081" spans="1:17" ht="36" x14ac:dyDescent="0.25">
      <c r="A2081" s="108">
        <v>38909</v>
      </c>
      <c r="B2081" s="108">
        <v>38909</v>
      </c>
      <c r="C2081" s="99">
        <v>2006</v>
      </c>
      <c r="D2081" s="351" t="s">
        <v>23</v>
      </c>
      <c r="E2081" s="22" t="s">
        <v>86</v>
      </c>
      <c r="F2081" s="7" t="s">
        <v>67</v>
      </c>
      <c r="G2081" s="25" t="s">
        <v>2973</v>
      </c>
      <c r="H2081" s="113" t="s">
        <v>3134</v>
      </c>
      <c r="I2081" s="46">
        <v>1</v>
      </c>
      <c r="J2081" s="46">
        <v>1</v>
      </c>
      <c r="K2081" s="46">
        <v>0</v>
      </c>
      <c r="L2081" s="46">
        <v>0</v>
      </c>
      <c r="M2081" s="45">
        <v>0</v>
      </c>
      <c r="N2081" s="45">
        <v>0</v>
      </c>
      <c r="O2081" s="46">
        <v>0</v>
      </c>
      <c r="P2081" s="102">
        <v>0</v>
      </c>
      <c r="Q2081" s="35" t="s">
        <v>154</v>
      </c>
    </row>
    <row r="2082" spans="1:17" ht="24" x14ac:dyDescent="0.25">
      <c r="A2082" s="108">
        <v>38911</v>
      </c>
      <c r="B2082" s="108">
        <v>38911</v>
      </c>
      <c r="C2082" s="99">
        <v>2006</v>
      </c>
      <c r="D2082" s="351" t="s">
        <v>23</v>
      </c>
      <c r="E2082" s="22" t="s">
        <v>86</v>
      </c>
      <c r="F2082" s="7" t="s">
        <v>87</v>
      </c>
      <c r="G2082" s="25" t="s">
        <v>3135</v>
      </c>
      <c r="H2082" s="113" t="s">
        <v>3136</v>
      </c>
      <c r="I2082" s="46">
        <v>0</v>
      </c>
      <c r="J2082" s="46">
        <v>45</v>
      </c>
      <c r="K2082" s="46">
        <v>9</v>
      </c>
      <c r="L2082" s="46">
        <v>0</v>
      </c>
      <c r="M2082" s="45">
        <v>0</v>
      </c>
      <c r="N2082" s="45">
        <v>0</v>
      </c>
      <c r="O2082" s="46">
        <v>0</v>
      </c>
      <c r="P2082" s="102">
        <v>8.9999999999999993E-3</v>
      </c>
      <c r="Q2082" s="35" t="s">
        <v>154</v>
      </c>
    </row>
    <row r="2083" spans="1:17" ht="84" x14ac:dyDescent="0.25">
      <c r="A2083" s="108">
        <v>38912</v>
      </c>
      <c r="B2083" s="108">
        <v>38912</v>
      </c>
      <c r="C2083" s="99">
        <v>2006</v>
      </c>
      <c r="D2083" s="351" t="s">
        <v>23</v>
      </c>
      <c r="E2083" s="22" t="s">
        <v>86</v>
      </c>
      <c r="F2083" s="7" t="s">
        <v>36</v>
      </c>
      <c r="G2083" s="25" t="s">
        <v>3137</v>
      </c>
      <c r="H2083" s="113" t="s">
        <v>3138</v>
      </c>
      <c r="I2083" s="46">
        <v>0</v>
      </c>
      <c r="J2083" s="46">
        <v>180</v>
      </c>
      <c r="K2083" s="46">
        <v>36</v>
      </c>
      <c r="L2083" s="46">
        <v>0</v>
      </c>
      <c r="M2083" s="45">
        <v>0</v>
      </c>
      <c r="N2083" s="45">
        <v>0</v>
      </c>
      <c r="O2083" s="46">
        <v>0</v>
      </c>
      <c r="P2083" s="102">
        <v>0.53889200000000004</v>
      </c>
      <c r="Q2083" s="35" t="s">
        <v>154</v>
      </c>
    </row>
    <row r="2084" spans="1:17" ht="96" x14ac:dyDescent="0.25">
      <c r="A2084" s="108">
        <v>38912</v>
      </c>
      <c r="B2084" s="108">
        <v>38912</v>
      </c>
      <c r="C2084" s="99">
        <v>2006</v>
      </c>
      <c r="D2084" s="351" t="s">
        <v>23</v>
      </c>
      <c r="E2084" s="22" t="s">
        <v>86</v>
      </c>
      <c r="F2084" s="7" t="s">
        <v>62</v>
      </c>
      <c r="G2084" s="25" t="s">
        <v>1011</v>
      </c>
      <c r="H2084" s="113" t="s">
        <v>3139</v>
      </c>
      <c r="I2084" s="46">
        <v>0</v>
      </c>
      <c r="J2084" s="46">
        <v>115</v>
      </c>
      <c r="K2084" s="46">
        <v>23</v>
      </c>
      <c r="L2084" s="46">
        <v>0</v>
      </c>
      <c r="M2084" s="45">
        <v>0</v>
      </c>
      <c r="N2084" s="45">
        <v>0</v>
      </c>
      <c r="O2084" s="46">
        <v>0</v>
      </c>
      <c r="P2084" s="102">
        <v>2.3E-2</v>
      </c>
      <c r="Q2084" s="35" t="s">
        <v>154</v>
      </c>
    </row>
    <row r="2085" spans="1:17" ht="36" x14ac:dyDescent="0.25">
      <c r="A2085" s="108">
        <v>38912</v>
      </c>
      <c r="B2085" s="108">
        <v>38912</v>
      </c>
      <c r="C2085" s="99">
        <v>2006</v>
      </c>
      <c r="D2085" s="351" t="s">
        <v>23</v>
      </c>
      <c r="E2085" s="22" t="s">
        <v>86</v>
      </c>
      <c r="F2085" s="28" t="s">
        <v>210</v>
      </c>
      <c r="G2085" s="25" t="s">
        <v>2317</v>
      </c>
      <c r="H2085" s="113" t="s">
        <v>3140</v>
      </c>
      <c r="I2085" s="46">
        <v>0</v>
      </c>
      <c r="J2085" s="46">
        <v>0</v>
      </c>
      <c r="K2085" s="46">
        <v>0</v>
      </c>
      <c r="L2085" s="46">
        <v>0</v>
      </c>
      <c r="M2085" s="45">
        <v>0</v>
      </c>
      <c r="N2085" s="45">
        <v>0</v>
      </c>
      <c r="O2085" s="46">
        <v>0</v>
      </c>
      <c r="P2085" s="102">
        <v>0</v>
      </c>
      <c r="Q2085" s="35" t="s">
        <v>154</v>
      </c>
    </row>
    <row r="2086" spans="1:17" ht="72" x14ac:dyDescent="0.25">
      <c r="A2086" s="108">
        <v>38916</v>
      </c>
      <c r="B2086" s="108">
        <v>38916</v>
      </c>
      <c r="C2086" s="99">
        <v>2006</v>
      </c>
      <c r="D2086" s="351" t="s">
        <v>23</v>
      </c>
      <c r="E2086" s="22" t="s">
        <v>86</v>
      </c>
      <c r="F2086" s="7" t="s">
        <v>87</v>
      </c>
      <c r="G2086" s="25" t="s">
        <v>668</v>
      </c>
      <c r="H2086" s="113" t="s">
        <v>3141</v>
      </c>
      <c r="I2086" s="46">
        <v>0</v>
      </c>
      <c r="J2086" s="46">
        <v>65</v>
      </c>
      <c r="K2086" s="46">
        <v>13</v>
      </c>
      <c r="L2086" s="46">
        <v>0</v>
      </c>
      <c r="M2086" s="45">
        <v>0</v>
      </c>
      <c r="N2086" s="45">
        <v>0</v>
      </c>
      <c r="O2086" s="46">
        <v>0</v>
      </c>
      <c r="P2086" s="102">
        <v>1.2999999999999999E-2</v>
      </c>
      <c r="Q2086" s="35" t="s">
        <v>154</v>
      </c>
    </row>
    <row r="2087" spans="1:17" ht="96" x14ac:dyDescent="0.25">
      <c r="A2087" s="108">
        <v>38918</v>
      </c>
      <c r="B2087" s="108">
        <v>38918</v>
      </c>
      <c r="C2087" s="99">
        <v>2006</v>
      </c>
      <c r="D2087" s="351" t="s">
        <v>23</v>
      </c>
      <c r="E2087" s="22" t="s">
        <v>86</v>
      </c>
      <c r="F2087" s="7" t="s">
        <v>36</v>
      </c>
      <c r="G2087" s="29" t="s">
        <v>3142</v>
      </c>
      <c r="H2087" s="113" t="s">
        <v>3143</v>
      </c>
      <c r="I2087" s="46">
        <v>2</v>
      </c>
      <c r="J2087" s="46">
        <v>62</v>
      </c>
      <c r="K2087" s="46">
        <v>12</v>
      </c>
      <c r="L2087" s="46">
        <v>0</v>
      </c>
      <c r="M2087" s="45">
        <v>0</v>
      </c>
      <c r="N2087" s="45">
        <v>0</v>
      </c>
      <c r="O2087" s="46">
        <v>0</v>
      </c>
      <c r="P2087" s="102">
        <v>1.2E-2</v>
      </c>
      <c r="Q2087" s="35" t="s">
        <v>154</v>
      </c>
    </row>
    <row r="2088" spans="1:17" ht="48" x14ac:dyDescent="0.25">
      <c r="A2088" s="108">
        <v>38918</v>
      </c>
      <c r="B2088" s="108">
        <v>38918</v>
      </c>
      <c r="C2088" s="99">
        <v>2006</v>
      </c>
      <c r="D2088" s="351" t="s">
        <v>23</v>
      </c>
      <c r="E2088" s="22" t="s">
        <v>86</v>
      </c>
      <c r="F2088" s="7" t="s">
        <v>60</v>
      </c>
      <c r="G2088" s="25" t="s">
        <v>3144</v>
      </c>
      <c r="H2088" s="113" t="s">
        <v>3145</v>
      </c>
      <c r="I2088" s="46">
        <v>1</v>
      </c>
      <c r="J2088" s="46">
        <v>456</v>
      </c>
      <c r="K2088" s="46">
        <v>91</v>
      </c>
      <c r="L2088" s="46">
        <v>0</v>
      </c>
      <c r="M2088" s="45">
        <v>0</v>
      </c>
      <c r="N2088" s="45">
        <v>0</v>
      </c>
      <c r="O2088" s="46">
        <v>0</v>
      </c>
      <c r="P2088" s="102">
        <v>9.0999999999999998E-2</v>
      </c>
      <c r="Q2088" s="35" t="s">
        <v>154</v>
      </c>
    </row>
    <row r="2089" spans="1:17" ht="72" x14ac:dyDescent="0.25">
      <c r="A2089" s="108">
        <v>38918</v>
      </c>
      <c r="B2089" s="108">
        <v>38918</v>
      </c>
      <c r="C2089" s="99">
        <v>2006</v>
      </c>
      <c r="D2089" s="351" t="s">
        <v>23</v>
      </c>
      <c r="E2089" s="22" t="s">
        <v>86</v>
      </c>
      <c r="F2089" s="28" t="s">
        <v>210</v>
      </c>
      <c r="G2089" s="25" t="s">
        <v>3146</v>
      </c>
      <c r="H2089" s="114" t="s">
        <v>3147</v>
      </c>
      <c r="I2089" s="46">
        <v>0</v>
      </c>
      <c r="J2089" s="46">
        <v>1350</v>
      </c>
      <c r="K2089" s="46">
        <v>270</v>
      </c>
      <c r="L2089" s="46">
        <v>0</v>
      </c>
      <c r="M2089" s="45">
        <v>0</v>
      </c>
      <c r="N2089" s="45">
        <v>0</v>
      </c>
      <c r="O2089" s="46">
        <v>0</v>
      </c>
      <c r="P2089" s="102">
        <v>1.25928</v>
      </c>
      <c r="Q2089" s="35" t="s">
        <v>154</v>
      </c>
    </row>
    <row r="2090" spans="1:17" ht="60" x14ac:dyDescent="0.25">
      <c r="A2090" s="108">
        <v>38919</v>
      </c>
      <c r="B2090" s="108">
        <v>38919</v>
      </c>
      <c r="C2090" s="99">
        <v>2006</v>
      </c>
      <c r="D2090" s="351" t="s">
        <v>23</v>
      </c>
      <c r="E2090" s="22" t="s">
        <v>86</v>
      </c>
      <c r="F2090" s="7" t="s">
        <v>87</v>
      </c>
      <c r="G2090" s="25" t="s">
        <v>649</v>
      </c>
      <c r="H2090" s="113" t="s">
        <v>3148</v>
      </c>
      <c r="I2090" s="46">
        <v>0</v>
      </c>
      <c r="J2090" s="46">
        <v>210</v>
      </c>
      <c r="K2090" s="46">
        <v>42</v>
      </c>
      <c r="L2090" s="46">
        <v>0</v>
      </c>
      <c r="M2090" s="45">
        <v>0</v>
      </c>
      <c r="N2090" s="45">
        <v>0</v>
      </c>
      <c r="O2090" s="46">
        <v>0</v>
      </c>
      <c r="P2090" s="102">
        <v>0.84922799999999998</v>
      </c>
      <c r="Q2090" s="35" t="s">
        <v>154</v>
      </c>
    </row>
    <row r="2091" spans="1:17" ht="96" x14ac:dyDescent="0.25">
      <c r="A2091" s="108">
        <v>38919</v>
      </c>
      <c r="B2091" s="108">
        <v>38919</v>
      </c>
      <c r="C2091" s="99">
        <v>2006</v>
      </c>
      <c r="D2091" s="351" t="s">
        <v>23</v>
      </c>
      <c r="E2091" s="22" t="s">
        <v>86</v>
      </c>
      <c r="F2091" s="7" t="s">
        <v>58</v>
      </c>
      <c r="G2091" s="25" t="s">
        <v>3149</v>
      </c>
      <c r="H2091" s="114" t="s">
        <v>3150</v>
      </c>
      <c r="I2091" s="46">
        <v>2</v>
      </c>
      <c r="J2091" s="46">
        <v>2</v>
      </c>
      <c r="K2091" s="46">
        <v>0</v>
      </c>
      <c r="L2091" s="46">
        <v>0</v>
      </c>
      <c r="M2091" s="45">
        <v>0</v>
      </c>
      <c r="N2091" s="45">
        <v>0</v>
      </c>
      <c r="O2091" s="46">
        <v>0</v>
      </c>
      <c r="P2091" s="102">
        <v>0</v>
      </c>
      <c r="Q2091" s="35" t="s">
        <v>154</v>
      </c>
    </row>
    <row r="2092" spans="1:17" ht="108" x14ac:dyDescent="0.25">
      <c r="A2092" s="108">
        <v>38920</v>
      </c>
      <c r="B2092" s="108">
        <v>38920</v>
      </c>
      <c r="C2092" s="99">
        <v>2006</v>
      </c>
      <c r="D2092" s="351" t="s">
        <v>23</v>
      </c>
      <c r="E2092" s="22" t="s">
        <v>86</v>
      </c>
      <c r="F2092" s="7" t="s">
        <v>36</v>
      </c>
      <c r="G2092" s="25" t="s">
        <v>3151</v>
      </c>
      <c r="H2092" s="113" t="s">
        <v>3152</v>
      </c>
      <c r="I2092" s="46">
        <v>0</v>
      </c>
      <c r="J2092" s="46">
        <v>100</v>
      </c>
      <c r="K2092" s="46">
        <v>20</v>
      </c>
      <c r="L2092" s="46">
        <v>0</v>
      </c>
      <c r="M2092" s="45">
        <v>0</v>
      </c>
      <c r="N2092" s="45">
        <v>0</v>
      </c>
      <c r="O2092" s="46">
        <v>0</v>
      </c>
      <c r="P2092" s="102">
        <v>9.3280000000000002E-2</v>
      </c>
      <c r="Q2092" s="35" t="s">
        <v>154</v>
      </c>
    </row>
    <row r="2093" spans="1:17" ht="96" x14ac:dyDescent="0.25">
      <c r="A2093" s="108">
        <v>38920</v>
      </c>
      <c r="B2093" s="108">
        <v>38920</v>
      </c>
      <c r="C2093" s="99">
        <v>2006</v>
      </c>
      <c r="D2093" s="351" t="s">
        <v>23</v>
      </c>
      <c r="E2093" s="22" t="s">
        <v>86</v>
      </c>
      <c r="F2093" s="7" t="s">
        <v>62</v>
      </c>
      <c r="G2093" s="25" t="s">
        <v>3153</v>
      </c>
      <c r="H2093" s="113" t="s">
        <v>3154</v>
      </c>
      <c r="I2093" s="46">
        <v>0</v>
      </c>
      <c r="J2093" s="46">
        <v>300</v>
      </c>
      <c r="K2093" s="46">
        <v>50</v>
      </c>
      <c r="L2093" s="46">
        <v>0</v>
      </c>
      <c r="M2093" s="45">
        <v>0</v>
      </c>
      <c r="N2093" s="45">
        <v>0</v>
      </c>
      <c r="O2093" s="46">
        <v>0</v>
      </c>
      <c r="P2093" s="102">
        <v>0.23319999999999999</v>
      </c>
      <c r="Q2093" s="35" t="s">
        <v>154</v>
      </c>
    </row>
    <row r="2094" spans="1:17" ht="60" x14ac:dyDescent="0.25">
      <c r="A2094" s="108">
        <v>38922</v>
      </c>
      <c r="B2094" s="108">
        <v>38922</v>
      </c>
      <c r="C2094" s="99">
        <v>2006</v>
      </c>
      <c r="D2094" s="351" t="s">
        <v>23</v>
      </c>
      <c r="E2094" s="22" t="s">
        <v>86</v>
      </c>
      <c r="F2094" s="7" t="s">
        <v>33</v>
      </c>
      <c r="G2094" s="25" t="s">
        <v>3155</v>
      </c>
      <c r="H2094" s="113" t="s">
        <v>3156</v>
      </c>
      <c r="I2094" s="46">
        <v>0</v>
      </c>
      <c r="J2094" s="46">
        <v>200</v>
      </c>
      <c r="K2094" s="46">
        <v>0</v>
      </c>
      <c r="L2094" s="46">
        <v>0</v>
      </c>
      <c r="M2094" s="45">
        <v>0</v>
      </c>
      <c r="N2094" s="45">
        <v>0</v>
      </c>
      <c r="O2094" s="46">
        <v>0</v>
      </c>
      <c r="P2094" s="102">
        <v>0</v>
      </c>
      <c r="Q2094" s="35" t="s">
        <v>154</v>
      </c>
    </row>
    <row r="2095" spans="1:17" ht="36" x14ac:dyDescent="0.25">
      <c r="A2095" s="108">
        <v>38924</v>
      </c>
      <c r="B2095" s="108">
        <v>38924</v>
      </c>
      <c r="C2095" s="99">
        <v>2006</v>
      </c>
      <c r="D2095" s="351" t="s">
        <v>23</v>
      </c>
      <c r="E2095" s="22" t="s">
        <v>86</v>
      </c>
      <c r="F2095" s="7" t="s">
        <v>82</v>
      </c>
      <c r="G2095" s="25" t="s">
        <v>2949</v>
      </c>
      <c r="H2095" s="113" t="s">
        <v>3157</v>
      </c>
      <c r="I2095" s="46">
        <v>2</v>
      </c>
      <c r="J2095" s="46">
        <v>5</v>
      </c>
      <c r="K2095" s="46">
        <v>0</v>
      </c>
      <c r="L2095" s="46">
        <v>0</v>
      </c>
      <c r="M2095" s="45">
        <v>0</v>
      </c>
      <c r="N2095" s="45">
        <v>0</v>
      </c>
      <c r="O2095" s="46">
        <v>0</v>
      </c>
      <c r="P2095" s="102">
        <v>0</v>
      </c>
      <c r="Q2095" s="35" t="s">
        <v>154</v>
      </c>
    </row>
    <row r="2096" spans="1:17" ht="48" x14ac:dyDescent="0.25">
      <c r="A2096" s="108">
        <v>38924</v>
      </c>
      <c r="B2096" s="108">
        <v>38924</v>
      </c>
      <c r="C2096" s="99">
        <v>2006</v>
      </c>
      <c r="D2096" s="351" t="s">
        <v>23</v>
      </c>
      <c r="E2096" s="22" t="s">
        <v>86</v>
      </c>
      <c r="F2096" s="7" t="s">
        <v>101</v>
      </c>
      <c r="G2096" s="25" t="s">
        <v>174</v>
      </c>
      <c r="H2096" s="113" t="s">
        <v>3158</v>
      </c>
      <c r="I2096" s="46">
        <v>2</v>
      </c>
      <c r="J2096" s="46">
        <v>2</v>
      </c>
      <c r="K2096" s="46">
        <v>0</v>
      </c>
      <c r="L2096" s="46">
        <v>0</v>
      </c>
      <c r="M2096" s="45">
        <v>0</v>
      </c>
      <c r="N2096" s="45">
        <v>0</v>
      </c>
      <c r="O2096" s="46">
        <v>0</v>
      </c>
      <c r="P2096" s="102">
        <v>0</v>
      </c>
      <c r="Q2096" s="35" t="s">
        <v>154</v>
      </c>
    </row>
    <row r="2097" spans="1:17" ht="72" x14ac:dyDescent="0.25">
      <c r="A2097" s="108">
        <v>38926</v>
      </c>
      <c r="B2097" s="108">
        <v>38926</v>
      </c>
      <c r="C2097" s="99">
        <v>2006</v>
      </c>
      <c r="D2097" s="351" t="s">
        <v>23</v>
      </c>
      <c r="E2097" s="22" t="s">
        <v>86</v>
      </c>
      <c r="F2097" s="7" t="s">
        <v>40</v>
      </c>
      <c r="G2097" s="25" t="s">
        <v>3159</v>
      </c>
      <c r="H2097" s="113" t="s">
        <v>3160</v>
      </c>
      <c r="I2097" s="46">
        <v>0</v>
      </c>
      <c r="J2097" s="46">
        <v>150</v>
      </c>
      <c r="K2097" s="46">
        <v>30</v>
      </c>
      <c r="L2097" s="46">
        <v>1</v>
      </c>
      <c r="M2097" s="45">
        <v>0</v>
      </c>
      <c r="N2097" s="45">
        <v>0</v>
      </c>
      <c r="O2097" s="46">
        <v>0</v>
      </c>
      <c r="P2097" s="102">
        <v>0.32584000000000002</v>
      </c>
      <c r="Q2097" s="35" t="s">
        <v>154</v>
      </c>
    </row>
    <row r="2098" spans="1:17" ht="84" x14ac:dyDescent="0.25">
      <c r="A2098" s="108">
        <v>38926</v>
      </c>
      <c r="B2098" s="108">
        <v>38926</v>
      </c>
      <c r="C2098" s="99">
        <v>2006</v>
      </c>
      <c r="D2098" s="351" t="s">
        <v>23</v>
      </c>
      <c r="E2098" s="22" t="s">
        <v>86</v>
      </c>
      <c r="F2098" s="7" t="s">
        <v>84</v>
      </c>
      <c r="G2098" s="25" t="s">
        <v>3161</v>
      </c>
      <c r="H2098" s="113" t="s">
        <v>3162</v>
      </c>
      <c r="I2098" s="46">
        <v>0</v>
      </c>
      <c r="J2098" s="46">
        <v>145</v>
      </c>
      <c r="K2098" s="46">
        <v>29</v>
      </c>
      <c r="L2098" s="46">
        <v>0</v>
      </c>
      <c r="M2098" s="45">
        <v>0</v>
      </c>
      <c r="N2098" s="45">
        <v>0</v>
      </c>
      <c r="O2098" s="46">
        <v>0</v>
      </c>
      <c r="P2098" s="102">
        <v>0.13525599999999999</v>
      </c>
      <c r="Q2098" s="35" t="s">
        <v>154</v>
      </c>
    </row>
    <row r="2099" spans="1:17" ht="48" x14ac:dyDescent="0.25">
      <c r="A2099" s="21">
        <v>38932</v>
      </c>
      <c r="B2099" s="21">
        <f t="shared" ref="B2099:B2109" si="5">A2099</f>
        <v>38932</v>
      </c>
      <c r="C2099" s="99">
        <v>2006</v>
      </c>
      <c r="D2099" s="351" t="s">
        <v>23</v>
      </c>
      <c r="E2099" s="22" t="s">
        <v>86</v>
      </c>
      <c r="F2099" s="7" t="s">
        <v>58</v>
      </c>
      <c r="G2099" s="25" t="s">
        <v>3163</v>
      </c>
      <c r="H2099" s="113" t="s">
        <v>3164</v>
      </c>
      <c r="I2099" s="46">
        <v>0</v>
      </c>
      <c r="J2099" s="46">
        <v>122</v>
      </c>
      <c r="K2099" s="46">
        <v>18</v>
      </c>
      <c r="L2099" s="46">
        <v>0</v>
      </c>
      <c r="M2099" s="45">
        <v>0</v>
      </c>
      <c r="N2099" s="45">
        <v>0</v>
      </c>
      <c r="O2099" s="46">
        <v>0</v>
      </c>
      <c r="P2099" s="102">
        <v>0.20930399999999999</v>
      </c>
      <c r="Q2099" s="35" t="s">
        <v>154</v>
      </c>
    </row>
    <row r="2100" spans="1:17" ht="36" x14ac:dyDescent="0.25">
      <c r="A2100" s="21">
        <v>38935</v>
      </c>
      <c r="B2100" s="21">
        <f t="shared" si="5"/>
        <v>38935</v>
      </c>
      <c r="C2100" s="99">
        <v>2006</v>
      </c>
      <c r="D2100" s="351" t="s">
        <v>23</v>
      </c>
      <c r="E2100" s="22" t="s">
        <v>86</v>
      </c>
      <c r="F2100" s="7" t="s">
        <v>101</v>
      </c>
      <c r="G2100" s="25" t="s">
        <v>3165</v>
      </c>
      <c r="H2100" s="113" t="s">
        <v>3166</v>
      </c>
      <c r="I2100" s="46">
        <v>1</v>
      </c>
      <c r="J2100" s="46">
        <v>1</v>
      </c>
      <c r="K2100" s="46">
        <v>0</v>
      </c>
      <c r="L2100" s="46">
        <v>0</v>
      </c>
      <c r="M2100" s="45">
        <v>0</v>
      </c>
      <c r="N2100" s="45">
        <v>0</v>
      </c>
      <c r="O2100" s="46">
        <v>0</v>
      </c>
      <c r="P2100" s="102">
        <v>0</v>
      </c>
      <c r="Q2100" s="35" t="s">
        <v>154</v>
      </c>
    </row>
    <row r="2101" spans="1:17" ht="36" x14ac:dyDescent="0.25">
      <c r="A2101" s="21">
        <v>38936</v>
      </c>
      <c r="B2101" s="21">
        <f t="shared" si="5"/>
        <v>38936</v>
      </c>
      <c r="C2101" s="99">
        <v>2006</v>
      </c>
      <c r="D2101" s="351" t="s">
        <v>23</v>
      </c>
      <c r="E2101" s="22" t="s">
        <v>86</v>
      </c>
      <c r="F2101" s="7" t="s">
        <v>97</v>
      </c>
      <c r="G2101" s="25" t="s">
        <v>3167</v>
      </c>
      <c r="H2101" s="113" t="s">
        <v>3168</v>
      </c>
      <c r="I2101" s="46">
        <v>0</v>
      </c>
      <c r="J2101" s="46">
        <v>25</v>
      </c>
      <c r="K2101" s="46">
        <v>5</v>
      </c>
      <c r="L2101" s="46">
        <v>0</v>
      </c>
      <c r="M2101" s="45">
        <v>0</v>
      </c>
      <c r="N2101" s="45">
        <v>0</v>
      </c>
      <c r="O2101" s="46">
        <v>0</v>
      </c>
      <c r="P2101" s="102">
        <v>2.332E-2</v>
      </c>
      <c r="Q2101" s="35" t="s">
        <v>154</v>
      </c>
    </row>
    <row r="2102" spans="1:17" ht="24" x14ac:dyDescent="0.25">
      <c r="A2102" s="21">
        <v>38936</v>
      </c>
      <c r="B2102" s="21">
        <f t="shared" si="5"/>
        <v>38936</v>
      </c>
      <c r="C2102" s="99">
        <v>2006</v>
      </c>
      <c r="D2102" s="351" t="s">
        <v>23</v>
      </c>
      <c r="E2102" s="22" t="s">
        <v>86</v>
      </c>
      <c r="F2102" s="7" t="s">
        <v>56</v>
      </c>
      <c r="G2102" s="25" t="s">
        <v>2786</v>
      </c>
      <c r="H2102" s="113" t="s">
        <v>3169</v>
      </c>
      <c r="I2102" s="46">
        <v>0</v>
      </c>
      <c r="J2102" s="46">
        <v>150</v>
      </c>
      <c r="K2102" s="46">
        <v>30</v>
      </c>
      <c r="L2102" s="46">
        <v>0</v>
      </c>
      <c r="M2102" s="45">
        <v>0</v>
      </c>
      <c r="N2102" s="45">
        <v>0</v>
      </c>
      <c r="O2102" s="46">
        <v>0</v>
      </c>
      <c r="P2102" s="102">
        <v>0.13991999999999999</v>
      </c>
      <c r="Q2102" s="35" t="s">
        <v>154</v>
      </c>
    </row>
    <row r="2103" spans="1:17" ht="36" x14ac:dyDescent="0.25">
      <c r="A2103" s="21">
        <v>38938</v>
      </c>
      <c r="B2103" s="21">
        <f t="shared" si="5"/>
        <v>38938</v>
      </c>
      <c r="C2103" s="99">
        <v>2006</v>
      </c>
      <c r="D2103" s="351" t="s">
        <v>23</v>
      </c>
      <c r="E2103" s="22" t="s">
        <v>86</v>
      </c>
      <c r="F2103" s="7" t="s">
        <v>40</v>
      </c>
      <c r="G2103" s="25" t="s">
        <v>3170</v>
      </c>
      <c r="H2103" s="113" t="s">
        <v>3171</v>
      </c>
      <c r="I2103" s="46">
        <v>1</v>
      </c>
      <c r="J2103" s="46">
        <v>1</v>
      </c>
      <c r="K2103" s="46">
        <v>0</v>
      </c>
      <c r="L2103" s="46">
        <v>0</v>
      </c>
      <c r="M2103" s="45">
        <v>0</v>
      </c>
      <c r="N2103" s="45">
        <v>0</v>
      </c>
      <c r="O2103" s="46">
        <v>0</v>
      </c>
      <c r="P2103" s="102">
        <v>0</v>
      </c>
      <c r="Q2103" s="35" t="s">
        <v>154</v>
      </c>
    </row>
    <row r="2104" spans="1:17" ht="72" x14ac:dyDescent="0.25">
      <c r="A2104" s="21">
        <v>38940</v>
      </c>
      <c r="B2104" s="21">
        <f t="shared" si="5"/>
        <v>38940</v>
      </c>
      <c r="C2104" s="99">
        <v>2006</v>
      </c>
      <c r="D2104" s="351" t="s">
        <v>23</v>
      </c>
      <c r="E2104" s="22" t="s">
        <v>86</v>
      </c>
      <c r="F2104" s="7" t="s">
        <v>53</v>
      </c>
      <c r="G2104" s="25" t="s">
        <v>3172</v>
      </c>
      <c r="H2104" s="113" t="s">
        <v>3173</v>
      </c>
      <c r="I2104" s="46">
        <v>0</v>
      </c>
      <c r="J2104" s="46">
        <v>2730</v>
      </c>
      <c r="K2104" s="46">
        <v>546</v>
      </c>
      <c r="L2104" s="46">
        <v>0</v>
      </c>
      <c r="M2104" s="45">
        <v>0</v>
      </c>
      <c r="N2104" s="45">
        <v>0</v>
      </c>
      <c r="O2104" s="46">
        <v>0</v>
      </c>
      <c r="P2104" s="102">
        <v>3.096762</v>
      </c>
      <c r="Q2104" s="35" t="s">
        <v>154</v>
      </c>
    </row>
    <row r="2105" spans="1:17" ht="36" x14ac:dyDescent="0.25">
      <c r="A2105" s="21">
        <v>38942</v>
      </c>
      <c r="B2105" s="21">
        <f t="shared" si="5"/>
        <v>38942</v>
      </c>
      <c r="C2105" s="99">
        <v>2006</v>
      </c>
      <c r="D2105" s="351" t="s">
        <v>23</v>
      </c>
      <c r="E2105" s="22" t="s">
        <v>86</v>
      </c>
      <c r="F2105" s="7" t="s">
        <v>60</v>
      </c>
      <c r="G2105" s="25" t="s">
        <v>3174</v>
      </c>
      <c r="H2105" s="113" t="s">
        <v>3175</v>
      </c>
      <c r="I2105" s="46">
        <v>0</v>
      </c>
      <c r="J2105" s="46">
        <v>65</v>
      </c>
      <c r="K2105" s="46">
        <v>13</v>
      </c>
      <c r="L2105" s="46">
        <v>0</v>
      </c>
      <c r="M2105" s="45">
        <v>0</v>
      </c>
      <c r="N2105" s="45">
        <v>0</v>
      </c>
      <c r="O2105" s="46">
        <v>0</v>
      </c>
      <c r="P2105" s="102">
        <v>1.2999999999999999E-2</v>
      </c>
      <c r="Q2105" s="35" t="s">
        <v>154</v>
      </c>
    </row>
    <row r="2106" spans="1:17" ht="36" x14ac:dyDescent="0.25">
      <c r="A2106" s="21">
        <v>38942</v>
      </c>
      <c r="B2106" s="21">
        <f t="shared" si="5"/>
        <v>38942</v>
      </c>
      <c r="C2106" s="99">
        <v>2006</v>
      </c>
      <c r="D2106" s="351" t="s">
        <v>23</v>
      </c>
      <c r="E2106" s="22" t="s">
        <v>86</v>
      </c>
      <c r="F2106" s="7" t="s">
        <v>67</v>
      </c>
      <c r="G2106" s="25" t="s">
        <v>2271</v>
      </c>
      <c r="H2106" s="113" t="s">
        <v>3176</v>
      </c>
      <c r="I2106" s="46">
        <v>2</v>
      </c>
      <c r="J2106" s="46">
        <v>2</v>
      </c>
      <c r="K2106" s="46">
        <v>0</v>
      </c>
      <c r="L2106" s="46">
        <v>0</v>
      </c>
      <c r="M2106" s="45">
        <v>0</v>
      </c>
      <c r="N2106" s="45">
        <v>0</v>
      </c>
      <c r="O2106" s="46">
        <v>0</v>
      </c>
      <c r="P2106" s="102">
        <v>0</v>
      </c>
      <c r="Q2106" s="35" t="s">
        <v>154</v>
      </c>
    </row>
    <row r="2107" spans="1:17" ht="36" x14ac:dyDescent="0.25">
      <c r="A2107" s="21">
        <v>38945</v>
      </c>
      <c r="B2107" s="21">
        <f t="shared" si="5"/>
        <v>38945</v>
      </c>
      <c r="C2107" s="99">
        <v>2006</v>
      </c>
      <c r="D2107" s="351" t="s">
        <v>23</v>
      </c>
      <c r="E2107" s="22" t="s">
        <v>86</v>
      </c>
      <c r="F2107" s="7" t="s">
        <v>75</v>
      </c>
      <c r="G2107" s="25" t="s">
        <v>3177</v>
      </c>
      <c r="H2107" s="113" t="s">
        <v>3178</v>
      </c>
      <c r="I2107" s="46">
        <v>0</v>
      </c>
      <c r="J2107" s="46">
        <v>50</v>
      </c>
      <c r="K2107" s="46">
        <v>10</v>
      </c>
      <c r="L2107" s="46">
        <v>0</v>
      </c>
      <c r="M2107" s="45">
        <v>0</v>
      </c>
      <c r="N2107" s="45">
        <v>0</v>
      </c>
      <c r="O2107" s="46">
        <v>0</v>
      </c>
      <c r="P2107" s="102">
        <v>0.01</v>
      </c>
      <c r="Q2107" s="35" t="s">
        <v>154</v>
      </c>
    </row>
    <row r="2108" spans="1:17" ht="48" x14ac:dyDescent="0.25">
      <c r="A2108" s="21">
        <v>38946</v>
      </c>
      <c r="B2108" s="21">
        <f t="shared" si="5"/>
        <v>38946</v>
      </c>
      <c r="C2108" s="99">
        <v>2006</v>
      </c>
      <c r="D2108" s="351" t="s">
        <v>23</v>
      </c>
      <c r="E2108" s="22" t="s">
        <v>86</v>
      </c>
      <c r="F2108" s="7" t="s">
        <v>45</v>
      </c>
      <c r="G2108" s="44" t="s">
        <v>3179</v>
      </c>
      <c r="H2108" s="115" t="s">
        <v>3180</v>
      </c>
      <c r="I2108" s="45">
        <v>1</v>
      </c>
      <c r="J2108" s="45">
        <v>2501</v>
      </c>
      <c r="K2108" s="45">
        <v>500</v>
      </c>
      <c r="L2108" s="45">
        <v>0</v>
      </c>
      <c r="M2108" s="45">
        <v>0</v>
      </c>
      <c r="N2108" s="45">
        <v>0</v>
      </c>
      <c r="O2108" s="45">
        <v>0</v>
      </c>
      <c r="P2108" s="102">
        <v>2.3319999999999999</v>
      </c>
      <c r="Q2108" s="35" t="s">
        <v>154</v>
      </c>
    </row>
    <row r="2109" spans="1:17" ht="36" x14ac:dyDescent="0.25">
      <c r="A2109" s="21">
        <v>38951</v>
      </c>
      <c r="B2109" s="21">
        <f t="shared" si="5"/>
        <v>38951</v>
      </c>
      <c r="C2109" s="99">
        <v>2006</v>
      </c>
      <c r="D2109" s="351" t="s">
        <v>23</v>
      </c>
      <c r="E2109" s="14" t="s">
        <v>32</v>
      </c>
      <c r="F2109" s="7" t="s">
        <v>33</v>
      </c>
      <c r="G2109" s="25" t="s">
        <v>3155</v>
      </c>
      <c r="H2109" s="113" t="s">
        <v>3181</v>
      </c>
      <c r="I2109" s="46">
        <v>1</v>
      </c>
      <c r="J2109" s="46">
        <v>1</v>
      </c>
      <c r="K2109" s="46">
        <v>0</v>
      </c>
      <c r="L2109" s="46">
        <v>0</v>
      </c>
      <c r="M2109" s="45">
        <v>0</v>
      </c>
      <c r="N2109" s="45">
        <v>0</v>
      </c>
      <c r="O2109" s="46">
        <v>0</v>
      </c>
      <c r="P2109" s="102">
        <v>0</v>
      </c>
      <c r="Q2109" s="35" t="s">
        <v>154</v>
      </c>
    </row>
    <row r="2110" spans="1:17" ht="48" x14ac:dyDescent="0.25">
      <c r="A2110" s="108">
        <v>38952</v>
      </c>
      <c r="B2110" s="108">
        <v>38954</v>
      </c>
      <c r="C2110" s="99">
        <v>2006</v>
      </c>
      <c r="D2110" s="351" t="s">
        <v>23</v>
      </c>
      <c r="E2110" s="22" t="s">
        <v>86</v>
      </c>
      <c r="F2110" s="7" t="s">
        <v>75</v>
      </c>
      <c r="G2110" s="25" t="s">
        <v>3182</v>
      </c>
      <c r="H2110" s="113" t="s">
        <v>3183</v>
      </c>
      <c r="I2110" s="46">
        <v>0</v>
      </c>
      <c r="J2110" s="46">
        <v>3691</v>
      </c>
      <c r="K2110" s="46">
        <v>0</v>
      </c>
      <c r="L2110" s="46">
        <v>0</v>
      </c>
      <c r="M2110" s="45">
        <v>0</v>
      </c>
      <c r="N2110" s="45">
        <v>0</v>
      </c>
      <c r="O2110" s="46">
        <v>7671.73</v>
      </c>
      <c r="P2110" s="102">
        <v>29.138179000000001</v>
      </c>
      <c r="Q2110" s="35" t="s">
        <v>154</v>
      </c>
    </row>
    <row r="2111" spans="1:17" ht="36" x14ac:dyDescent="0.25">
      <c r="A2111" s="21">
        <v>38954</v>
      </c>
      <c r="B2111" s="21">
        <f>A2111</f>
        <v>38954</v>
      </c>
      <c r="C2111" s="99">
        <v>2006</v>
      </c>
      <c r="D2111" s="351" t="s">
        <v>23</v>
      </c>
      <c r="E2111" s="22" t="s">
        <v>86</v>
      </c>
      <c r="F2111" s="7" t="s">
        <v>62</v>
      </c>
      <c r="G2111" s="25" t="s">
        <v>165</v>
      </c>
      <c r="H2111" s="114" t="s">
        <v>3184</v>
      </c>
      <c r="I2111" s="46">
        <v>0</v>
      </c>
      <c r="J2111" s="46">
        <v>350</v>
      </c>
      <c r="K2111" s="46">
        <v>77</v>
      </c>
      <c r="L2111" s="46">
        <v>0</v>
      </c>
      <c r="M2111" s="45">
        <v>0</v>
      </c>
      <c r="N2111" s="45">
        <v>0</v>
      </c>
      <c r="O2111" s="46">
        <v>0</v>
      </c>
      <c r="P2111" s="102">
        <v>0.359128</v>
      </c>
      <c r="Q2111" s="35" t="s">
        <v>154</v>
      </c>
    </row>
    <row r="2112" spans="1:17" ht="36" x14ac:dyDescent="0.25">
      <c r="A2112" s="21">
        <v>38955</v>
      </c>
      <c r="B2112" s="21">
        <f>A2112</f>
        <v>38955</v>
      </c>
      <c r="C2112" s="99">
        <v>2006</v>
      </c>
      <c r="D2112" s="351" t="s">
        <v>23</v>
      </c>
      <c r="E2112" s="22" t="s">
        <v>86</v>
      </c>
      <c r="F2112" s="7" t="s">
        <v>84</v>
      </c>
      <c r="G2112" s="25" t="s">
        <v>939</v>
      </c>
      <c r="H2112" s="113" t="s">
        <v>3185</v>
      </c>
      <c r="I2112" s="46">
        <v>1</v>
      </c>
      <c r="J2112" s="46">
        <v>1</v>
      </c>
      <c r="K2112" s="46">
        <v>0</v>
      </c>
      <c r="L2112" s="46">
        <v>0</v>
      </c>
      <c r="M2112" s="45">
        <v>0</v>
      </c>
      <c r="N2112" s="45">
        <v>0</v>
      </c>
      <c r="O2112" s="46">
        <v>0</v>
      </c>
      <c r="P2112" s="102">
        <v>0</v>
      </c>
      <c r="Q2112" s="35" t="s">
        <v>154</v>
      </c>
    </row>
    <row r="2113" spans="1:17" ht="48" x14ac:dyDescent="0.25">
      <c r="A2113" s="21">
        <v>38955</v>
      </c>
      <c r="B2113" s="21">
        <f>A2113</f>
        <v>38955</v>
      </c>
      <c r="C2113" s="99">
        <v>2006</v>
      </c>
      <c r="D2113" s="351" t="s">
        <v>23</v>
      </c>
      <c r="E2113" s="22" t="s">
        <v>86</v>
      </c>
      <c r="F2113" s="7" t="s">
        <v>60</v>
      </c>
      <c r="G2113" s="25" t="s">
        <v>908</v>
      </c>
      <c r="H2113" s="113" t="s">
        <v>3186</v>
      </c>
      <c r="I2113" s="46">
        <v>1</v>
      </c>
      <c r="J2113" s="46">
        <v>2</v>
      </c>
      <c r="K2113" s="46">
        <v>0</v>
      </c>
      <c r="L2113" s="46">
        <v>0</v>
      </c>
      <c r="M2113" s="45">
        <v>0</v>
      </c>
      <c r="N2113" s="45">
        <v>0</v>
      </c>
      <c r="O2113" s="46">
        <v>0</v>
      </c>
      <c r="P2113" s="102">
        <v>0</v>
      </c>
      <c r="Q2113" s="35" t="s">
        <v>154</v>
      </c>
    </row>
    <row r="2114" spans="1:17" ht="48" x14ac:dyDescent="0.25">
      <c r="A2114" s="21">
        <v>38959</v>
      </c>
      <c r="B2114" s="21">
        <f>A2114</f>
        <v>38959</v>
      </c>
      <c r="C2114" s="99">
        <v>2006</v>
      </c>
      <c r="D2114" s="351" t="s">
        <v>23</v>
      </c>
      <c r="E2114" s="14" t="s">
        <v>32</v>
      </c>
      <c r="F2114" s="7" t="s">
        <v>62</v>
      </c>
      <c r="G2114" s="25" t="s">
        <v>1533</v>
      </c>
      <c r="H2114" s="113" t="s">
        <v>3187</v>
      </c>
      <c r="I2114" s="46">
        <v>0</v>
      </c>
      <c r="J2114" s="46">
        <v>10</v>
      </c>
      <c r="K2114" s="46">
        <v>2</v>
      </c>
      <c r="L2114" s="46">
        <v>0</v>
      </c>
      <c r="M2114" s="45">
        <v>0</v>
      </c>
      <c r="N2114" s="45">
        <v>0</v>
      </c>
      <c r="O2114" s="46">
        <v>0</v>
      </c>
      <c r="P2114" s="102">
        <v>9.3279999999999995E-3</v>
      </c>
      <c r="Q2114" s="35" t="s">
        <v>154</v>
      </c>
    </row>
    <row r="2115" spans="1:17" ht="72" x14ac:dyDescent="0.25">
      <c r="A2115" s="108">
        <v>38959</v>
      </c>
      <c r="B2115" s="108">
        <v>38960</v>
      </c>
      <c r="C2115" s="99">
        <v>2006</v>
      </c>
      <c r="D2115" s="351" t="s">
        <v>23</v>
      </c>
      <c r="E2115" s="14" t="s">
        <v>32</v>
      </c>
      <c r="F2115" s="7" t="s">
        <v>58</v>
      </c>
      <c r="G2115" s="25" t="s">
        <v>3188</v>
      </c>
      <c r="H2115" s="113" t="s">
        <v>3189</v>
      </c>
      <c r="I2115" s="46">
        <v>0</v>
      </c>
      <c r="J2115" s="46">
        <v>3316</v>
      </c>
      <c r="K2115" s="46">
        <v>0</v>
      </c>
      <c r="L2115" s="46">
        <v>0</v>
      </c>
      <c r="M2115" s="45">
        <v>0</v>
      </c>
      <c r="N2115" s="45">
        <v>0</v>
      </c>
      <c r="O2115" s="46">
        <v>3453</v>
      </c>
      <c r="P2115" s="102">
        <v>13.114459</v>
      </c>
      <c r="Q2115" s="35" t="s">
        <v>154</v>
      </c>
    </row>
    <row r="2116" spans="1:17" ht="48" x14ac:dyDescent="0.25">
      <c r="A2116" s="108">
        <v>38961</v>
      </c>
      <c r="B2116" s="108">
        <v>38963</v>
      </c>
      <c r="C2116" s="99">
        <v>2006</v>
      </c>
      <c r="D2116" s="351" t="s">
        <v>23</v>
      </c>
      <c r="E2116" s="14" t="s">
        <v>32</v>
      </c>
      <c r="F2116" s="7" t="s">
        <v>33</v>
      </c>
      <c r="G2116" s="25" t="s">
        <v>3190</v>
      </c>
      <c r="H2116" s="114" t="s">
        <v>3191</v>
      </c>
      <c r="I2116" s="46">
        <v>5</v>
      </c>
      <c r="J2116" s="46">
        <v>13090</v>
      </c>
      <c r="K2116" s="46">
        <v>2617</v>
      </c>
      <c r="L2116" s="46">
        <v>101</v>
      </c>
      <c r="M2116" s="46">
        <v>8</v>
      </c>
      <c r="N2116" s="45">
        <v>0</v>
      </c>
      <c r="O2116" s="46">
        <v>403</v>
      </c>
      <c r="P2116" s="102">
        <v>984.85</v>
      </c>
      <c r="Q2116" s="35" t="s">
        <v>154</v>
      </c>
    </row>
    <row r="2117" spans="1:17" ht="36" x14ac:dyDescent="0.25">
      <c r="A2117" s="108">
        <v>38962</v>
      </c>
      <c r="B2117" s="108">
        <v>38963</v>
      </c>
      <c r="C2117" s="99">
        <v>2006</v>
      </c>
      <c r="D2117" s="351" t="s">
        <v>23</v>
      </c>
      <c r="E2117" s="22" t="s">
        <v>86</v>
      </c>
      <c r="F2117" s="7" t="s">
        <v>40</v>
      </c>
      <c r="G2117" s="25" t="s">
        <v>3192</v>
      </c>
      <c r="H2117" s="113" t="s">
        <v>3193</v>
      </c>
      <c r="I2117" s="46">
        <v>0</v>
      </c>
      <c r="J2117" s="46">
        <v>1054</v>
      </c>
      <c r="K2117" s="46">
        <v>0</v>
      </c>
      <c r="L2117" s="46">
        <v>0</v>
      </c>
      <c r="M2117" s="46">
        <v>0</v>
      </c>
      <c r="N2117" s="45">
        <v>0</v>
      </c>
      <c r="O2117" s="46">
        <v>4713.71</v>
      </c>
      <c r="P2117" s="102">
        <v>17.913723999999998</v>
      </c>
      <c r="Q2117" s="35" t="s">
        <v>154</v>
      </c>
    </row>
    <row r="2118" spans="1:17" ht="36" x14ac:dyDescent="0.25">
      <c r="A2118" s="21">
        <v>38965</v>
      </c>
      <c r="B2118" s="21">
        <f t="shared" ref="B2118:B2126" si="6">A2118</f>
        <v>38965</v>
      </c>
      <c r="C2118" s="99">
        <v>2006</v>
      </c>
      <c r="D2118" s="351" t="s">
        <v>23</v>
      </c>
      <c r="E2118" s="22" t="s">
        <v>86</v>
      </c>
      <c r="F2118" s="7" t="s">
        <v>65</v>
      </c>
      <c r="G2118" s="25" t="s">
        <v>3194</v>
      </c>
      <c r="H2118" s="114" t="s">
        <v>3195</v>
      </c>
      <c r="I2118" s="46">
        <v>0</v>
      </c>
      <c r="J2118" s="46">
        <v>400</v>
      </c>
      <c r="K2118" s="46">
        <v>80</v>
      </c>
      <c r="L2118" s="46">
        <v>0</v>
      </c>
      <c r="M2118" s="46">
        <v>0</v>
      </c>
      <c r="N2118" s="45">
        <v>0</v>
      </c>
      <c r="O2118" s="46">
        <v>0</v>
      </c>
      <c r="P2118" s="102">
        <v>0.51239999999999997</v>
      </c>
      <c r="Q2118" s="35" t="s">
        <v>154</v>
      </c>
    </row>
    <row r="2119" spans="1:17" ht="48" x14ac:dyDescent="0.25">
      <c r="A2119" s="21">
        <v>38965</v>
      </c>
      <c r="B2119" s="21">
        <f t="shared" si="6"/>
        <v>38965</v>
      </c>
      <c r="C2119" s="99">
        <v>2006</v>
      </c>
      <c r="D2119" s="351" t="s">
        <v>23</v>
      </c>
      <c r="E2119" s="22" t="s">
        <v>86</v>
      </c>
      <c r="F2119" s="7" t="s">
        <v>67</v>
      </c>
      <c r="G2119" s="25" t="s">
        <v>3196</v>
      </c>
      <c r="H2119" s="114" t="s">
        <v>3197</v>
      </c>
      <c r="I2119" s="46">
        <v>1</v>
      </c>
      <c r="J2119" s="46">
        <v>1</v>
      </c>
      <c r="K2119" s="46">
        <v>1</v>
      </c>
      <c r="L2119" s="46">
        <v>0</v>
      </c>
      <c r="M2119" s="46">
        <v>0</v>
      </c>
      <c r="N2119" s="45">
        <v>0</v>
      </c>
      <c r="O2119" s="46">
        <v>0</v>
      </c>
      <c r="P2119" s="102">
        <v>1.1627999999999999E-2</v>
      </c>
      <c r="Q2119" s="35" t="s">
        <v>154</v>
      </c>
    </row>
    <row r="2120" spans="1:17" ht="36" x14ac:dyDescent="0.25">
      <c r="A2120" s="21">
        <v>38965</v>
      </c>
      <c r="B2120" s="21">
        <f t="shared" si="6"/>
        <v>38965</v>
      </c>
      <c r="C2120" s="99">
        <v>2006</v>
      </c>
      <c r="D2120" s="351" t="s">
        <v>23</v>
      </c>
      <c r="E2120" s="22" t="s">
        <v>86</v>
      </c>
      <c r="F2120" s="7" t="s">
        <v>53</v>
      </c>
      <c r="G2120" s="25" t="s">
        <v>1304</v>
      </c>
      <c r="H2120" s="114" t="s">
        <v>3198</v>
      </c>
      <c r="I2120" s="46">
        <v>0</v>
      </c>
      <c r="J2120" s="46">
        <v>470</v>
      </c>
      <c r="K2120" s="46">
        <v>94</v>
      </c>
      <c r="L2120" s="46">
        <v>0</v>
      </c>
      <c r="M2120" s="46">
        <v>0</v>
      </c>
      <c r="N2120" s="45">
        <v>0</v>
      </c>
      <c r="O2120" s="46">
        <v>0</v>
      </c>
      <c r="P2120" s="102">
        <v>9.4E-2</v>
      </c>
      <c r="Q2120" s="35" t="s">
        <v>154</v>
      </c>
    </row>
    <row r="2121" spans="1:17" ht="48" x14ac:dyDescent="0.25">
      <c r="A2121" s="21">
        <v>38967</v>
      </c>
      <c r="B2121" s="21">
        <f t="shared" si="6"/>
        <v>38967</v>
      </c>
      <c r="C2121" s="99">
        <v>2006</v>
      </c>
      <c r="D2121" s="351" t="s">
        <v>23</v>
      </c>
      <c r="E2121" s="22" t="s">
        <v>86</v>
      </c>
      <c r="F2121" s="7" t="s">
        <v>56</v>
      </c>
      <c r="G2121" s="25" t="s">
        <v>56</v>
      </c>
      <c r="H2121" s="113" t="s">
        <v>3199</v>
      </c>
      <c r="I2121" s="46">
        <v>1</v>
      </c>
      <c r="J2121" s="46">
        <v>1</v>
      </c>
      <c r="K2121" s="46">
        <v>0</v>
      </c>
      <c r="L2121" s="46">
        <v>0</v>
      </c>
      <c r="M2121" s="46">
        <v>0</v>
      </c>
      <c r="N2121" s="45">
        <v>0</v>
      </c>
      <c r="O2121" s="46">
        <v>0</v>
      </c>
      <c r="P2121" s="102">
        <v>0</v>
      </c>
      <c r="Q2121" s="35" t="s">
        <v>154</v>
      </c>
    </row>
    <row r="2122" spans="1:17" ht="60" x14ac:dyDescent="0.25">
      <c r="A2122" s="21">
        <v>38969</v>
      </c>
      <c r="B2122" s="21">
        <f t="shared" si="6"/>
        <v>38969</v>
      </c>
      <c r="C2122" s="99">
        <v>2006</v>
      </c>
      <c r="D2122" s="351" t="s">
        <v>23</v>
      </c>
      <c r="E2122" s="22" t="s">
        <v>86</v>
      </c>
      <c r="F2122" s="7" t="s">
        <v>68</v>
      </c>
      <c r="G2122" s="25" t="s">
        <v>1121</v>
      </c>
      <c r="H2122" s="113" t="s">
        <v>3200</v>
      </c>
      <c r="I2122" s="46">
        <v>4</v>
      </c>
      <c r="J2122" s="46">
        <v>4</v>
      </c>
      <c r="K2122" s="46">
        <v>0</v>
      </c>
      <c r="L2122" s="46">
        <v>0</v>
      </c>
      <c r="M2122" s="46">
        <v>0</v>
      </c>
      <c r="N2122" s="45">
        <v>0</v>
      </c>
      <c r="O2122" s="46">
        <v>0</v>
      </c>
      <c r="P2122" s="102">
        <v>0</v>
      </c>
      <c r="Q2122" s="35" t="s">
        <v>154</v>
      </c>
    </row>
    <row r="2123" spans="1:17" ht="48" x14ac:dyDescent="0.25">
      <c r="A2123" s="21">
        <v>38970</v>
      </c>
      <c r="B2123" s="21">
        <f t="shared" si="6"/>
        <v>38970</v>
      </c>
      <c r="C2123" s="99">
        <v>2006</v>
      </c>
      <c r="D2123" s="351" t="s">
        <v>23</v>
      </c>
      <c r="E2123" s="22" t="s">
        <v>86</v>
      </c>
      <c r="F2123" s="7" t="s">
        <v>49</v>
      </c>
      <c r="G2123" s="25" t="s">
        <v>3201</v>
      </c>
      <c r="H2123" s="113" t="s">
        <v>3202</v>
      </c>
      <c r="I2123" s="46">
        <v>1</v>
      </c>
      <c r="J2123" s="46">
        <v>101</v>
      </c>
      <c r="K2123" s="46">
        <v>20</v>
      </c>
      <c r="L2123" s="46">
        <v>0</v>
      </c>
      <c r="M2123" s="46">
        <v>0</v>
      </c>
      <c r="N2123" s="45">
        <v>0</v>
      </c>
      <c r="O2123" s="46">
        <v>0</v>
      </c>
      <c r="P2123" s="102">
        <v>0.02</v>
      </c>
      <c r="Q2123" s="35" t="s">
        <v>154</v>
      </c>
    </row>
    <row r="2124" spans="1:17" ht="84" x14ac:dyDescent="0.25">
      <c r="A2124" s="21">
        <v>38974</v>
      </c>
      <c r="B2124" s="21">
        <f t="shared" si="6"/>
        <v>38974</v>
      </c>
      <c r="C2124" s="99">
        <v>2006</v>
      </c>
      <c r="D2124" s="351" t="s">
        <v>23</v>
      </c>
      <c r="E2124" s="22" t="s">
        <v>86</v>
      </c>
      <c r="F2124" s="7" t="s">
        <v>58</v>
      </c>
      <c r="G2124" s="25" t="s">
        <v>3203</v>
      </c>
      <c r="H2124" s="114" t="s">
        <v>3204</v>
      </c>
      <c r="I2124" s="46">
        <v>1</v>
      </c>
      <c r="J2124" s="46">
        <v>259</v>
      </c>
      <c r="K2124" s="46">
        <v>102</v>
      </c>
      <c r="L2124" s="46">
        <v>1</v>
      </c>
      <c r="M2124" s="46">
        <v>0</v>
      </c>
      <c r="N2124" s="45">
        <v>0</v>
      </c>
      <c r="O2124" s="46">
        <v>0</v>
      </c>
      <c r="P2124" s="102">
        <v>0.10199999999999999</v>
      </c>
      <c r="Q2124" s="35" t="s">
        <v>154</v>
      </c>
    </row>
    <row r="2125" spans="1:17" ht="24" x14ac:dyDescent="0.25">
      <c r="A2125" s="21">
        <v>38975</v>
      </c>
      <c r="B2125" s="21">
        <f t="shared" si="6"/>
        <v>38975</v>
      </c>
      <c r="C2125" s="99">
        <v>2006</v>
      </c>
      <c r="D2125" s="351" t="s">
        <v>23</v>
      </c>
      <c r="E2125" s="22" t="s">
        <v>86</v>
      </c>
      <c r="F2125" s="7" t="s">
        <v>56</v>
      </c>
      <c r="G2125" s="25" t="s">
        <v>3205</v>
      </c>
      <c r="H2125" s="113" t="s">
        <v>3206</v>
      </c>
      <c r="I2125" s="46">
        <v>0</v>
      </c>
      <c r="J2125" s="46">
        <v>25</v>
      </c>
      <c r="K2125" s="46">
        <v>0</v>
      </c>
      <c r="L2125" s="46">
        <v>0</v>
      </c>
      <c r="M2125" s="46">
        <v>0</v>
      </c>
      <c r="N2125" s="45">
        <v>0</v>
      </c>
      <c r="O2125" s="46">
        <v>0</v>
      </c>
      <c r="P2125" s="102">
        <v>2.332E-2</v>
      </c>
      <c r="Q2125" s="35" t="s">
        <v>154</v>
      </c>
    </row>
    <row r="2126" spans="1:17" ht="48" x14ac:dyDescent="0.25">
      <c r="A2126" s="21">
        <v>38975</v>
      </c>
      <c r="B2126" s="21">
        <f t="shared" si="6"/>
        <v>38975</v>
      </c>
      <c r="C2126" s="99">
        <v>2006</v>
      </c>
      <c r="D2126" s="351" t="s">
        <v>23</v>
      </c>
      <c r="E2126" s="22" t="s">
        <v>86</v>
      </c>
      <c r="F2126" s="28" t="s">
        <v>160</v>
      </c>
      <c r="G2126" s="25" t="s">
        <v>3207</v>
      </c>
      <c r="H2126" s="113" t="s">
        <v>3208</v>
      </c>
      <c r="I2126" s="46">
        <v>0</v>
      </c>
      <c r="J2126" s="46">
        <v>17</v>
      </c>
      <c r="K2126" s="46">
        <v>2</v>
      </c>
      <c r="L2126" s="46">
        <v>0</v>
      </c>
      <c r="M2126" s="46">
        <v>0</v>
      </c>
      <c r="N2126" s="45">
        <v>0</v>
      </c>
      <c r="O2126" s="46">
        <v>0</v>
      </c>
      <c r="P2126" s="102">
        <v>0.340918</v>
      </c>
      <c r="Q2126" s="35" t="s">
        <v>154</v>
      </c>
    </row>
    <row r="2127" spans="1:17" ht="120" x14ac:dyDescent="0.25">
      <c r="A2127" s="108">
        <v>38974</v>
      </c>
      <c r="B2127" s="108">
        <v>38975</v>
      </c>
      <c r="C2127" s="99">
        <v>2006</v>
      </c>
      <c r="D2127" s="351" t="s">
        <v>23</v>
      </c>
      <c r="E2127" s="22" t="s">
        <v>86</v>
      </c>
      <c r="F2127" s="7" t="s">
        <v>47</v>
      </c>
      <c r="G2127" s="29" t="s">
        <v>3209</v>
      </c>
      <c r="H2127" s="114" t="s">
        <v>3210</v>
      </c>
      <c r="I2127" s="46">
        <v>0</v>
      </c>
      <c r="J2127" s="46">
        <v>210</v>
      </c>
      <c r="K2127" s="46">
        <v>42</v>
      </c>
      <c r="L2127" s="46">
        <v>14</v>
      </c>
      <c r="M2127" s="46">
        <v>0</v>
      </c>
      <c r="N2127" s="45">
        <v>0</v>
      </c>
      <c r="O2127" s="46">
        <v>1577</v>
      </c>
      <c r="P2127" s="102">
        <v>162.47999999999999</v>
      </c>
      <c r="Q2127" s="35" t="s">
        <v>154</v>
      </c>
    </row>
    <row r="2128" spans="1:17" ht="36" x14ac:dyDescent="0.25">
      <c r="A2128" s="21">
        <v>38976</v>
      </c>
      <c r="B2128" s="21">
        <f>A2128</f>
        <v>38976</v>
      </c>
      <c r="C2128" s="99">
        <v>2006</v>
      </c>
      <c r="D2128" s="351" t="s">
        <v>23</v>
      </c>
      <c r="E2128" s="14" t="s">
        <v>32</v>
      </c>
      <c r="F2128" s="7" t="s">
        <v>67</v>
      </c>
      <c r="G2128" s="25" t="s">
        <v>3211</v>
      </c>
      <c r="H2128" s="113" t="s">
        <v>3212</v>
      </c>
      <c r="I2128" s="46">
        <v>0</v>
      </c>
      <c r="J2128" s="46">
        <v>97</v>
      </c>
      <c r="K2128" s="46">
        <v>0</v>
      </c>
      <c r="L2128" s="46">
        <v>0</v>
      </c>
      <c r="M2128" s="46">
        <v>0</v>
      </c>
      <c r="N2128" s="45">
        <v>0</v>
      </c>
      <c r="O2128" s="46">
        <v>0</v>
      </c>
      <c r="P2128" s="102">
        <v>0</v>
      </c>
      <c r="Q2128" s="35" t="s">
        <v>154</v>
      </c>
    </row>
    <row r="2129" spans="1:17" ht="72" x14ac:dyDescent="0.25">
      <c r="A2129" s="21">
        <v>38976</v>
      </c>
      <c r="B2129" s="21">
        <f>A2129</f>
        <v>38976</v>
      </c>
      <c r="C2129" s="99">
        <v>2006</v>
      </c>
      <c r="D2129" s="351" t="s">
        <v>23</v>
      </c>
      <c r="E2129" s="14" t="s">
        <v>32</v>
      </c>
      <c r="F2129" s="7" t="s">
        <v>84</v>
      </c>
      <c r="G2129" s="25" t="s">
        <v>3213</v>
      </c>
      <c r="H2129" s="114" t="s">
        <v>3214</v>
      </c>
      <c r="I2129" s="46">
        <v>2</v>
      </c>
      <c r="J2129" s="46">
        <v>150000</v>
      </c>
      <c r="K2129" s="46">
        <v>3203</v>
      </c>
      <c r="L2129" s="46">
        <v>149</v>
      </c>
      <c r="M2129" s="46">
        <v>0</v>
      </c>
      <c r="N2129" s="45">
        <v>0</v>
      </c>
      <c r="O2129" s="46">
        <v>54176</v>
      </c>
      <c r="P2129" s="102">
        <v>1922.84</v>
      </c>
      <c r="Q2129" s="35" t="s">
        <v>154</v>
      </c>
    </row>
    <row r="2130" spans="1:17" ht="84" x14ac:dyDescent="0.25">
      <c r="A2130" s="108">
        <v>38975</v>
      </c>
      <c r="B2130" s="108">
        <v>38976</v>
      </c>
      <c r="C2130" s="99">
        <v>2006</v>
      </c>
      <c r="D2130" s="351" t="s">
        <v>23</v>
      </c>
      <c r="E2130" s="14" t="s">
        <v>32</v>
      </c>
      <c r="F2130" s="7" t="s">
        <v>60</v>
      </c>
      <c r="G2130" s="25" t="s">
        <v>3215</v>
      </c>
      <c r="H2130" s="113" t="s">
        <v>3216</v>
      </c>
      <c r="I2130" s="46">
        <v>0</v>
      </c>
      <c r="J2130" s="46">
        <v>4470</v>
      </c>
      <c r="K2130" s="46">
        <v>894</v>
      </c>
      <c r="L2130" s="46">
        <v>12</v>
      </c>
      <c r="M2130" s="46">
        <v>0</v>
      </c>
      <c r="N2130" s="45">
        <v>0</v>
      </c>
      <c r="O2130" s="46">
        <v>1834</v>
      </c>
      <c r="P2130" s="102">
        <v>134.08000000000001</v>
      </c>
      <c r="Q2130" s="35" t="s">
        <v>154</v>
      </c>
    </row>
    <row r="2131" spans="1:17" ht="48" x14ac:dyDescent="0.25">
      <c r="A2131" s="21">
        <v>38977</v>
      </c>
      <c r="B2131" s="21">
        <f>A2131</f>
        <v>38977</v>
      </c>
      <c r="C2131" s="99">
        <v>2006</v>
      </c>
      <c r="D2131" s="351" t="s">
        <v>23</v>
      </c>
      <c r="E2131" s="14" t="s">
        <v>32</v>
      </c>
      <c r="F2131" s="7" t="s">
        <v>49</v>
      </c>
      <c r="G2131" s="25" t="s">
        <v>3217</v>
      </c>
      <c r="H2131" s="113" t="s">
        <v>3218</v>
      </c>
      <c r="I2131" s="46">
        <v>1</v>
      </c>
      <c r="J2131" s="46">
        <v>1</v>
      </c>
      <c r="K2131" s="46">
        <v>0</v>
      </c>
      <c r="L2131" s="46">
        <v>0</v>
      </c>
      <c r="M2131" s="46">
        <v>0</v>
      </c>
      <c r="N2131" s="45">
        <v>0</v>
      </c>
      <c r="O2131" s="46">
        <v>0</v>
      </c>
      <c r="P2131" s="102">
        <v>0</v>
      </c>
      <c r="Q2131" s="35" t="s">
        <v>154</v>
      </c>
    </row>
    <row r="2132" spans="1:17" ht="36" x14ac:dyDescent="0.25">
      <c r="A2132" s="21">
        <v>38977</v>
      </c>
      <c r="B2132" s="21">
        <f>A2132</f>
        <v>38977</v>
      </c>
      <c r="C2132" s="99">
        <v>2006</v>
      </c>
      <c r="D2132" s="351" t="s">
        <v>23</v>
      </c>
      <c r="E2132" s="22" t="s">
        <v>86</v>
      </c>
      <c r="F2132" s="7" t="s">
        <v>82</v>
      </c>
      <c r="G2132" s="25" t="s">
        <v>3219</v>
      </c>
      <c r="H2132" s="113" t="s">
        <v>3220</v>
      </c>
      <c r="I2132" s="46">
        <v>1</v>
      </c>
      <c r="J2132" s="46">
        <v>4</v>
      </c>
      <c r="K2132" s="46">
        <v>0</v>
      </c>
      <c r="L2132" s="46">
        <v>0</v>
      </c>
      <c r="M2132" s="46">
        <v>0</v>
      </c>
      <c r="N2132" s="45">
        <v>0</v>
      </c>
      <c r="O2132" s="46">
        <v>0</v>
      </c>
      <c r="P2132" s="102">
        <v>0</v>
      </c>
      <c r="Q2132" s="35" t="s">
        <v>154</v>
      </c>
    </row>
    <row r="2133" spans="1:17" ht="84" x14ac:dyDescent="0.25">
      <c r="A2133" s="21">
        <v>38978</v>
      </c>
      <c r="B2133" s="21">
        <f>A2133</f>
        <v>38978</v>
      </c>
      <c r="C2133" s="99">
        <v>2006</v>
      </c>
      <c r="D2133" s="351" t="s">
        <v>23</v>
      </c>
      <c r="E2133" s="22" t="s">
        <v>86</v>
      </c>
      <c r="F2133" s="7" t="s">
        <v>91</v>
      </c>
      <c r="G2133" s="25" t="s">
        <v>3221</v>
      </c>
      <c r="H2133" s="114" t="s">
        <v>3222</v>
      </c>
      <c r="I2133" s="46">
        <v>4</v>
      </c>
      <c r="J2133" s="46">
        <v>76572</v>
      </c>
      <c r="K2133" s="46">
        <v>2733</v>
      </c>
      <c r="L2133" s="46">
        <v>44</v>
      </c>
      <c r="M2133" s="46">
        <v>0</v>
      </c>
      <c r="N2133" s="45">
        <v>0</v>
      </c>
      <c r="O2133" s="46">
        <v>0</v>
      </c>
      <c r="P2133" s="102">
        <v>133.55000000000001</v>
      </c>
      <c r="Q2133" s="35" t="s">
        <v>154</v>
      </c>
    </row>
    <row r="2134" spans="1:17" ht="72" x14ac:dyDescent="0.25">
      <c r="A2134" s="21">
        <v>38979</v>
      </c>
      <c r="B2134" s="21">
        <f>A2134</f>
        <v>38979</v>
      </c>
      <c r="C2134" s="99">
        <v>2006</v>
      </c>
      <c r="D2134" s="351" t="s">
        <v>23</v>
      </c>
      <c r="E2134" s="22" t="s">
        <v>86</v>
      </c>
      <c r="F2134" s="7" t="s">
        <v>49</v>
      </c>
      <c r="G2134" s="25" t="s">
        <v>3223</v>
      </c>
      <c r="H2134" s="113" t="s">
        <v>3224</v>
      </c>
      <c r="I2134" s="46">
        <v>6</v>
      </c>
      <c r="J2134" s="46">
        <v>8</v>
      </c>
      <c r="K2134" s="46">
        <v>2</v>
      </c>
      <c r="L2134" s="46">
        <v>0</v>
      </c>
      <c r="M2134" s="46">
        <v>0</v>
      </c>
      <c r="N2134" s="45">
        <v>0</v>
      </c>
      <c r="O2134" s="46">
        <v>0</v>
      </c>
      <c r="P2134" s="102">
        <v>8.3398E-2</v>
      </c>
      <c r="Q2134" s="35" t="s">
        <v>154</v>
      </c>
    </row>
    <row r="2135" spans="1:17" ht="36" x14ac:dyDescent="0.25">
      <c r="A2135" s="108">
        <v>38982</v>
      </c>
      <c r="B2135" s="108">
        <v>38984</v>
      </c>
      <c r="C2135" s="99">
        <v>2006</v>
      </c>
      <c r="D2135" s="351" t="s">
        <v>23</v>
      </c>
      <c r="E2135" s="22" t="s">
        <v>86</v>
      </c>
      <c r="F2135" s="7" t="s">
        <v>56</v>
      </c>
      <c r="G2135" s="25" t="s">
        <v>3225</v>
      </c>
      <c r="H2135" s="113" t="s">
        <v>3226</v>
      </c>
      <c r="I2135" s="46">
        <v>0</v>
      </c>
      <c r="J2135" s="46">
        <v>80</v>
      </c>
      <c r="K2135" s="46">
        <v>16</v>
      </c>
      <c r="L2135" s="46">
        <v>0</v>
      </c>
      <c r="M2135" s="46">
        <v>0</v>
      </c>
      <c r="N2135" s="45">
        <v>0</v>
      </c>
      <c r="O2135" s="46">
        <v>0</v>
      </c>
      <c r="P2135" s="102">
        <v>7.4623999999999996E-2</v>
      </c>
      <c r="Q2135" s="35" t="s">
        <v>154</v>
      </c>
    </row>
    <row r="2136" spans="1:17" ht="48" x14ac:dyDescent="0.25">
      <c r="A2136" s="108">
        <v>38984</v>
      </c>
      <c r="B2136" s="108">
        <v>38985</v>
      </c>
      <c r="C2136" s="99">
        <v>2006</v>
      </c>
      <c r="D2136" s="351" t="s">
        <v>23</v>
      </c>
      <c r="E2136" s="22" t="s">
        <v>86</v>
      </c>
      <c r="F2136" s="28" t="s">
        <v>210</v>
      </c>
      <c r="G2136" s="25" t="s">
        <v>2109</v>
      </c>
      <c r="H2136" s="113" t="s">
        <v>3227</v>
      </c>
      <c r="I2136" s="46">
        <v>1</v>
      </c>
      <c r="J2136" s="46">
        <v>237</v>
      </c>
      <c r="K2136" s="46">
        <v>47</v>
      </c>
      <c r="L2136" s="46">
        <v>0</v>
      </c>
      <c r="M2136" s="46">
        <v>0</v>
      </c>
      <c r="N2136" s="45">
        <v>0</v>
      </c>
      <c r="O2136" s="46">
        <v>0</v>
      </c>
      <c r="P2136" s="102">
        <v>0.21920799999999999</v>
      </c>
      <c r="Q2136" s="35" t="s">
        <v>154</v>
      </c>
    </row>
    <row r="2137" spans="1:17" ht="36" x14ac:dyDescent="0.25">
      <c r="A2137" s="21">
        <v>38986</v>
      </c>
      <c r="B2137" s="21">
        <f t="shared" ref="B2137:B2144" si="7">A2137</f>
        <v>38986</v>
      </c>
      <c r="C2137" s="99">
        <v>2006</v>
      </c>
      <c r="D2137" s="351" t="s">
        <v>23</v>
      </c>
      <c r="E2137" s="22" t="s">
        <v>86</v>
      </c>
      <c r="F2137" s="28" t="s">
        <v>210</v>
      </c>
      <c r="G2137" s="25" t="s">
        <v>2109</v>
      </c>
      <c r="H2137" s="114" t="s">
        <v>3228</v>
      </c>
      <c r="I2137" s="46">
        <v>5</v>
      </c>
      <c r="J2137" s="46">
        <v>35520</v>
      </c>
      <c r="K2137" s="46">
        <v>7104</v>
      </c>
      <c r="L2137" s="46">
        <v>0</v>
      </c>
      <c r="M2137" s="46">
        <v>0</v>
      </c>
      <c r="N2137" s="45">
        <v>0</v>
      </c>
      <c r="O2137" s="46">
        <v>0</v>
      </c>
      <c r="P2137" s="102">
        <v>7.1040000000000001</v>
      </c>
      <c r="Q2137" s="35" t="s">
        <v>154</v>
      </c>
    </row>
    <row r="2138" spans="1:17" ht="24" x14ac:dyDescent="0.25">
      <c r="A2138" s="21">
        <v>38990</v>
      </c>
      <c r="B2138" s="21">
        <f t="shared" si="7"/>
        <v>38990</v>
      </c>
      <c r="C2138" s="99">
        <v>2006</v>
      </c>
      <c r="D2138" s="351" t="s">
        <v>23</v>
      </c>
      <c r="E2138" s="22" t="s">
        <v>86</v>
      </c>
      <c r="F2138" s="7" t="s">
        <v>56</v>
      </c>
      <c r="G2138" s="25" t="s">
        <v>3229</v>
      </c>
      <c r="H2138" s="113" t="s">
        <v>3230</v>
      </c>
      <c r="I2138" s="46">
        <v>0</v>
      </c>
      <c r="J2138" s="46">
        <v>25</v>
      </c>
      <c r="K2138" s="46">
        <v>5</v>
      </c>
      <c r="L2138" s="46">
        <v>0</v>
      </c>
      <c r="M2138" s="46">
        <v>0</v>
      </c>
      <c r="N2138" s="45">
        <v>0</v>
      </c>
      <c r="O2138" s="46">
        <v>0</v>
      </c>
      <c r="P2138" s="102">
        <v>5.0000000000000001E-3</v>
      </c>
      <c r="Q2138" s="35" t="s">
        <v>154</v>
      </c>
    </row>
    <row r="2139" spans="1:17" ht="36" x14ac:dyDescent="0.25">
      <c r="A2139" s="21">
        <v>38993</v>
      </c>
      <c r="B2139" s="21">
        <f t="shared" si="7"/>
        <v>38993</v>
      </c>
      <c r="C2139" s="99">
        <v>2006</v>
      </c>
      <c r="D2139" s="351" t="s">
        <v>23</v>
      </c>
      <c r="E2139" s="22" t="s">
        <v>86</v>
      </c>
      <c r="F2139" s="28" t="s">
        <v>157</v>
      </c>
      <c r="G2139" s="25" t="s">
        <v>3231</v>
      </c>
      <c r="H2139" s="113" t="s">
        <v>3232</v>
      </c>
      <c r="I2139" s="46">
        <v>0</v>
      </c>
      <c r="J2139" s="46">
        <v>25</v>
      </c>
      <c r="K2139" s="46">
        <v>0</v>
      </c>
      <c r="L2139" s="46">
        <v>0</v>
      </c>
      <c r="M2139" s="46">
        <v>0</v>
      </c>
      <c r="N2139" s="45">
        <v>0</v>
      </c>
      <c r="O2139" s="46">
        <v>0</v>
      </c>
      <c r="P2139" s="102">
        <v>0</v>
      </c>
      <c r="Q2139" s="35" t="s">
        <v>154</v>
      </c>
    </row>
    <row r="2140" spans="1:17" ht="72" x14ac:dyDescent="0.25">
      <c r="A2140" s="21">
        <v>38995</v>
      </c>
      <c r="B2140" s="21">
        <f t="shared" si="7"/>
        <v>38995</v>
      </c>
      <c r="C2140" s="99">
        <v>2006</v>
      </c>
      <c r="D2140" s="351" t="s">
        <v>23</v>
      </c>
      <c r="E2140" s="22" t="s">
        <v>86</v>
      </c>
      <c r="F2140" s="7" t="s">
        <v>36</v>
      </c>
      <c r="G2140" s="25" t="s">
        <v>3233</v>
      </c>
      <c r="H2140" s="113" t="s">
        <v>3234</v>
      </c>
      <c r="I2140" s="46">
        <v>0</v>
      </c>
      <c r="J2140" s="46">
        <v>25</v>
      </c>
      <c r="K2140" s="46">
        <v>5</v>
      </c>
      <c r="L2140" s="46">
        <v>0</v>
      </c>
      <c r="M2140" s="46">
        <v>0</v>
      </c>
      <c r="N2140" s="45">
        <v>0</v>
      </c>
      <c r="O2140" s="46">
        <v>0</v>
      </c>
      <c r="P2140" s="102">
        <v>2.332E-2</v>
      </c>
      <c r="Q2140" s="35" t="s">
        <v>154</v>
      </c>
    </row>
    <row r="2141" spans="1:17" ht="60" x14ac:dyDescent="0.25">
      <c r="A2141" s="21">
        <v>38996</v>
      </c>
      <c r="B2141" s="21">
        <f t="shared" si="7"/>
        <v>38996</v>
      </c>
      <c r="C2141" s="99">
        <v>2006</v>
      </c>
      <c r="D2141" s="351" t="s">
        <v>23</v>
      </c>
      <c r="E2141" s="22" t="s">
        <v>86</v>
      </c>
      <c r="F2141" s="25" t="s">
        <v>781</v>
      </c>
      <c r="G2141" s="25" t="s">
        <v>3235</v>
      </c>
      <c r="H2141" s="114" t="s">
        <v>3236</v>
      </c>
      <c r="I2141" s="46">
        <v>0</v>
      </c>
      <c r="J2141" s="46">
        <v>7585</v>
      </c>
      <c r="K2141" s="46">
        <v>1845</v>
      </c>
      <c r="L2141" s="46">
        <v>0</v>
      </c>
      <c r="M2141" s="46">
        <v>0</v>
      </c>
      <c r="N2141" s="45">
        <v>0</v>
      </c>
      <c r="O2141" s="46">
        <v>0</v>
      </c>
      <c r="P2141" s="102">
        <v>1.845</v>
      </c>
      <c r="Q2141" s="35" t="s">
        <v>154</v>
      </c>
    </row>
    <row r="2142" spans="1:17" ht="60" x14ac:dyDescent="0.25">
      <c r="A2142" s="21">
        <v>39002</v>
      </c>
      <c r="B2142" s="21">
        <f t="shared" si="7"/>
        <v>39002</v>
      </c>
      <c r="C2142" s="99">
        <v>2006</v>
      </c>
      <c r="D2142" s="351" t="s">
        <v>23</v>
      </c>
      <c r="E2142" s="22" t="s">
        <v>86</v>
      </c>
      <c r="F2142" s="7" t="s">
        <v>25</v>
      </c>
      <c r="G2142" s="29" t="s">
        <v>3237</v>
      </c>
      <c r="H2142" s="114" t="s">
        <v>3238</v>
      </c>
      <c r="I2142" s="46">
        <v>0</v>
      </c>
      <c r="J2142" s="46">
        <v>662</v>
      </c>
      <c r="K2142" s="46">
        <v>158</v>
      </c>
      <c r="L2142" s="46">
        <v>0</v>
      </c>
      <c r="M2142" s="46">
        <v>0</v>
      </c>
      <c r="N2142" s="45">
        <v>0</v>
      </c>
      <c r="O2142" s="46">
        <v>0</v>
      </c>
      <c r="P2142" s="102">
        <v>0.73691200000000001</v>
      </c>
      <c r="Q2142" s="35" t="s">
        <v>154</v>
      </c>
    </row>
    <row r="2143" spans="1:17" ht="48" x14ac:dyDescent="0.25">
      <c r="A2143" s="21">
        <v>39003</v>
      </c>
      <c r="B2143" s="21">
        <f t="shared" si="7"/>
        <v>39003</v>
      </c>
      <c r="C2143" s="99">
        <v>2006</v>
      </c>
      <c r="D2143" s="351" t="s">
        <v>23</v>
      </c>
      <c r="E2143" s="22" t="s">
        <v>86</v>
      </c>
      <c r="F2143" s="7" t="s">
        <v>36</v>
      </c>
      <c r="G2143" s="25" t="s">
        <v>3239</v>
      </c>
      <c r="H2143" s="114" t="s">
        <v>3240</v>
      </c>
      <c r="I2143" s="46">
        <v>9</v>
      </c>
      <c r="J2143" s="46">
        <v>12</v>
      </c>
      <c r="K2143" s="46">
        <v>0</v>
      </c>
      <c r="L2143" s="46">
        <v>0</v>
      </c>
      <c r="M2143" s="46">
        <v>0</v>
      </c>
      <c r="N2143" s="45">
        <v>0</v>
      </c>
      <c r="O2143" s="46">
        <v>0</v>
      </c>
      <c r="P2143" s="102">
        <v>0</v>
      </c>
      <c r="Q2143" s="35" t="s">
        <v>154</v>
      </c>
    </row>
    <row r="2144" spans="1:17" ht="84" x14ac:dyDescent="0.25">
      <c r="A2144" s="21">
        <v>39004</v>
      </c>
      <c r="B2144" s="21">
        <f t="shared" si="7"/>
        <v>39004</v>
      </c>
      <c r="C2144" s="99">
        <v>2006</v>
      </c>
      <c r="D2144" s="351" t="s">
        <v>23</v>
      </c>
      <c r="E2144" s="22" t="s">
        <v>86</v>
      </c>
      <c r="F2144" s="7" t="s">
        <v>30</v>
      </c>
      <c r="G2144" s="25" t="s">
        <v>1078</v>
      </c>
      <c r="H2144" s="114" t="s">
        <v>3241</v>
      </c>
      <c r="I2144" s="46">
        <v>1</v>
      </c>
      <c r="J2144" s="46">
        <v>26</v>
      </c>
      <c r="K2144" s="46">
        <v>5</v>
      </c>
      <c r="L2144" s="46">
        <v>0</v>
      </c>
      <c r="M2144" s="46">
        <v>0</v>
      </c>
      <c r="N2144" s="45">
        <v>0</v>
      </c>
      <c r="O2144" s="46">
        <v>0</v>
      </c>
      <c r="P2144" s="102">
        <v>2.332E-2</v>
      </c>
      <c r="Q2144" s="35" t="s">
        <v>154</v>
      </c>
    </row>
    <row r="2145" spans="1:17" ht="48" x14ac:dyDescent="0.25">
      <c r="A2145" s="108">
        <v>39003</v>
      </c>
      <c r="B2145" s="108">
        <v>39004</v>
      </c>
      <c r="C2145" s="99">
        <v>2006</v>
      </c>
      <c r="D2145" s="351" t="s">
        <v>23</v>
      </c>
      <c r="E2145" s="22" t="s">
        <v>86</v>
      </c>
      <c r="F2145" s="28" t="s">
        <v>210</v>
      </c>
      <c r="G2145" s="25" t="s">
        <v>3242</v>
      </c>
      <c r="H2145" s="113" t="s">
        <v>3243</v>
      </c>
      <c r="I2145" s="46">
        <v>2</v>
      </c>
      <c r="J2145" s="46">
        <v>12632</v>
      </c>
      <c r="K2145" s="46">
        <v>2526</v>
      </c>
      <c r="L2145" s="46">
        <v>0</v>
      </c>
      <c r="M2145" s="46">
        <v>0</v>
      </c>
      <c r="N2145" s="45">
        <v>0</v>
      </c>
      <c r="O2145" s="46">
        <v>0</v>
      </c>
      <c r="P2145" s="102">
        <v>2.5259999999999998</v>
      </c>
      <c r="Q2145" s="35" t="s">
        <v>154</v>
      </c>
    </row>
    <row r="2146" spans="1:17" ht="24" x14ac:dyDescent="0.25">
      <c r="A2146" s="108">
        <v>39004</v>
      </c>
      <c r="B2146" s="108">
        <v>39006</v>
      </c>
      <c r="C2146" s="99">
        <v>2006</v>
      </c>
      <c r="D2146" s="351" t="s">
        <v>23</v>
      </c>
      <c r="E2146" s="22" t="s">
        <v>86</v>
      </c>
      <c r="F2146" s="7" t="s">
        <v>56</v>
      </c>
      <c r="G2146" s="29" t="s">
        <v>3244</v>
      </c>
      <c r="H2146" s="113" t="s">
        <v>3245</v>
      </c>
      <c r="I2146" s="46">
        <v>0</v>
      </c>
      <c r="J2146" s="46">
        <v>30</v>
      </c>
      <c r="K2146" s="46">
        <v>6</v>
      </c>
      <c r="L2146" s="46">
        <v>0</v>
      </c>
      <c r="M2146" s="46">
        <v>0</v>
      </c>
      <c r="N2146" s="45">
        <v>0</v>
      </c>
      <c r="O2146" s="46">
        <v>0</v>
      </c>
      <c r="P2146" s="102">
        <v>2.7983999999999998E-2</v>
      </c>
      <c r="Q2146" s="35" t="s">
        <v>154</v>
      </c>
    </row>
    <row r="2147" spans="1:17" ht="36" x14ac:dyDescent="0.25">
      <c r="A2147" s="21">
        <v>39005</v>
      </c>
      <c r="B2147" s="21">
        <f t="shared" ref="B2147:B2153" si="8">A2147</f>
        <v>39005</v>
      </c>
      <c r="C2147" s="99">
        <v>2006</v>
      </c>
      <c r="D2147" s="351" t="s">
        <v>23</v>
      </c>
      <c r="E2147" s="22" t="s">
        <v>86</v>
      </c>
      <c r="F2147" s="7" t="s">
        <v>60</v>
      </c>
      <c r="G2147" s="25" t="s">
        <v>3246</v>
      </c>
      <c r="H2147" s="113" t="s">
        <v>3247</v>
      </c>
      <c r="I2147" s="46">
        <v>0</v>
      </c>
      <c r="J2147" s="46">
        <v>90</v>
      </c>
      <c r="K2147" s="46">
        <v>18</v>
      </c>
      <c r="L2147" s="46">
        <v>0</v>
      </c>
      <c r="M2147" s="46">
        <v>0</v>
      </c>
      <c r="N2147" s="45">
        <v>0</v>
      </c>
      <c r="O2147" s="46">
        <v>0</v>
      </c>
      <c r="P2147" s="102">
        <v>1.7999999999999999E-2</v>
      </c>
      <c r="Q2147" s="35" t="s">
        <v>154</v>
      </c>
    </row>
    <row r="2148" spans="1:17" ht="48" x14ac:dyDescent="0.25">
      <c r="A2148" s="21">
        <v>39005</v>
      </c>
      <c r="B2148" s="21">
        <f t="shared" si="8"/>
        <v>39005</v>
      </c>
      <c r="C2148" s="99">
        <v>2006</v>
      </c>
      <c r="D2148" s="351" t="s">
        <v>23</v>
      </c>
      <c r="E2148" s="22" t="s">
        <v>86</v>
      </c>
      <c r="F2148" s="7" t="s">
        <v>101</v>
      </c>
      <c r="G2148" s="25" t="s">
        <v>3248</v>
      </c>
      <c r="H2148" s="113" t="s">
        <v>3249</v>
      </c>
      <c r="I2148" s="46">
        <v>0</v>
      </c>
      <c r="J2148" s="46">
        <v>130</v>
      </c>
      <c r="K2148" s="46">
        <v>26</v>
      </c>
      <c r="L2148" s="46">
        <v>0</v>
      </c>
      <c r="M2148" s="46">
        <v>0</v>
      </c>
      <c r="N2148" s="45">
        <v>0</v>
      </c>
      <c r="O2148" s="46">
        <v>0</v>
      </c>
      <c r="P2148" s="102">
        <v>0.121264</v>
      </c>
      <c r="Q2148" s="35" t="s">
        <v>154</v>
      </c>
    </row>
    <row r="2149" spans="1:17" ht="48" x14ac:dyDescent="0.25">
      <c r="A2149" s="21">
        <v>39012</v>
      </c>
      <c r="B2149" s="21">
        <f t="shared" si="8"/>
        <v>39012</v>
      </c>
      <c r="C2149" s="99">
        <v>2006</v>
      </c>
      <c r="D2149" s="351" t="s">
        <v>23</v>
      </c>
      <c r="E2149" s="22" t="s">
        <v>86</v>
      </c>
      <c r="F2149" s="7" t="s">
        <v>75</v>
      </c>
      <c r="G2149" s="25" t="s">
        <v>3250</v>
      </c>
      <c r="H2149" s="113" t="s">
        <v>3251</v>
      </c>
      <c r="I2149" s="46">
        <v>0</v>
      </c>
      <c r="J2149" s="46">
        <v>1090</v>
      </c>
      <c r="K2149" s="46">
        <v>218</v>
      </c>
      <c r="L2149" s="46">
        <v>0</v>
      </c>
      <c r="M2149" s="46">
        <v>0</v>
      </c>
      <c r="N2149" s="45">
        <v>0</v>
      </c>
      <c r="O2149" s="46">
        <v>0</v>
      </c>
      <c r="P2149" s="102">
        <v>1.1675199999999999</v>
      </c>
      <c r="Q2149" s="35" t="s">
        <v>154</v>
      </c>
    </row>
    <row r="2150" spans="1:17" ht="24" x14ac:dyDescent="0.25">
      <c r="A2150" s="21">
        <v>39013</v>
      </c>
      <c r="B2150" s="21">
        <f t="shared" si="8"/>
        <v>39013</v>
      </c>
      <c r="C2150" s="99">
        <v>2006</v>
      </c>
      <c r="D2150" s="351" t="s">
        <v>23</v>
      </c>
      <c r="E2150" s="22" t="s">
        <v>86</v>
      </c>
      <c r="F2150" s="28" t="s">
        <v>210</v>
      </c>
      <c r="G2150" s="25" t="s">
        <v>3252</v>
      </c>
      <c r="H2150" s="113" t="s">
        <v>3253</v>
      </c>
      <c r="I2150" s="46">
        <v>0</v>
      </c>
      <c r="J2150" s="46">
        <v>5765</v>
      </c>
      <c r="K2150" s="46">
        <v>1153</v>
      </c>
      <c r="L2150" s="46">
        <v>2</v>
      </c>
      <c r="M2150" s="46">
        <v>0</v>
      </c>
      <c r="N2150" s="45">
        <v>0</v>
      </c>
      <c r="O2150" s="46">
        <v>0</v>
      </c>
      <c r="P2150" s="102">
        <v>1.153</v>
      </c>
      <c r="Q2150" s="35" t="s">
        <v>154</v>
      </c>
    </row>
    <row r="2151" spans="1:17" ht="36" x14ac:dyDescent="0.25">
      <c r="A2151" s="21">
        <v>39014</v>
      </c>
      <c r="B2151" s="21">
        <f t="shared" si="8"/>
        <v>39014</v>
      </c>
      <c r="C2151" s="99">
        <v>2006</v>
      </c>
      <c r="D2151" s="351" t="s">
        <v>23</v>
      </c>
      <c r="E2151" s="22" t="s">
        <v>86</v>
      </c>
      <c r="F2151" s="7" t="s">
        <v>58</v>
      </c>
      <c r="G2151" s="25" t="s">
        <v>1194</v>
      </c>
      <c r="H2151" s="113" t="s">
        <v>3254</v>
      </c>
      <c r="I2151" s="46">
        <v>0</v>
      </c>
      <c r="J2151" s="46">
        <v>105</v>
      </c>
      <c r="K2151" s="46">
        <v>21</v>
      </c>
      <c r="L2151" s="46">
        <v>0</v>
      </c>
      <c r="M2151" s="46">
        <v>0</v>
      </c>
      <c r="N2151" s="45">
        <v>0</v>
      </c>
      <c r="O2151" s="46">
        <v>0</v>
      </c>
      <c r="P2151" s="102">
        <v>9.7944000000000003E-2</v>
      </c>
      <c r="Q2151" s="35" t="s">
        <v>154</v>
      </c>
    </row>
    <row r="2152" spans="1:17" ht="84" x14ac:dyDescent="0.25">
      <c r="A2152" s="21">
        <v>39014</v>
      </c>
      <c r="B2152" s="21">
        <f t="shared" si="8"/>
        <v>39014</v>
      </c>
      <c r="C2152" s="99">
        <v>2006</v>
      </c>
      <c r="D2152" s="351" t="s">
        <v>23</v>
      </c>
      <c r="E2152" s="14" t="s">
        <v>32</v>
      </c>
      <c r="F2152" s="7" t="s">
        <v>84</v>
      </c>
      <c r="G2152" s="25" t="s">
        <v>3255</v>
      </c>
      <c r="H2152" s="114" t="s">
        <v>3256</v>
      </c>
      <c r="I2152" s="46">
        <v>2</v>
      </c>
      <c r="J2152" s="46">
        <v>65540</v>
      </c>
      <c r="K2152" s="46">
        <v>613</v>
      </c>
      <c r="L2152" s="46">
        <v>13</v>
      </c>
      <c r="M2152" s="46">
        <v>0</v>
      </c>
      <c r="N2152" s="45">
        <v>0</v>
      </c>
      <c r="O2152" s="46">
        <v>8338</v>
      </c>
      <c r="P2152" s="102">
        <v>123.35299999999999</v>
      </c>
      <c r="Q2152" s="35" t="s">
        <v>154</v>
      </c>
    </row>
    <row r="2153" spans="1:17" ht="36" x14ac:dyDescent="0.25">
      <c r="A2153" s="21">
        <v>39015</v>
      </c>
      <c r="B2153" s="21">
        <f t="shared" si="8"/>
        <v>39015</v>
      </c>
      <c r="C2153" s="99">
        <v>2006</v>
      </c>
      <c r="D2153" s="351" t="s">
        <v>23</v>
      </c>
      <c r="E2153" s="22" t="s">
        <v>86</v>
      </c>
      <c r="F2153" s="7" t="s">
        <v>56</v>
      </c>
      <c r="G2153" s="25" t="s">
        <v>3257</v>
      </c>
      <c r="H2153" s="113" t="s">
        <v>3258</v>
      </c>
      <c r="I2153" s="46">
        <v>0</v>
      </c>
      <c r="J2153" s="46">
        <v>35</v>
      </c>
      <c r="K2153" s="46">
        <v>7</v>
      </c>
      <c r="L2153" s="46">
        <v>0</v>
      </c>
      <c r="M2153" s="46">
        <v>0</v>
      </c>
      <c r="N2153" s="45">
        <v>0</v>
      </c>
      <c r="O2153" s="46">
        <v>0</v>
      </c>
      <c r="P2153" s="102">
        <v>3.2648000000000003E-2</v>
      </c>
      <c r="Q2153" s="35" t="s">
        <v>154</v>
      </c>
    </row>
    <row r="2154" spans="1:17" ht="60" x14ac:dyDescent="0.25">
      <c r="A2154" s="23">
        <v>39090</v>
      </c>
      <c r="B2154" s="23">
        <v>39100</v>
      </c>
      <c r="C2154" s="27">
        <v>2007</v>
      </c>
      <c r="D2154" s="351" t="s">
        <v>23</v>
      </c>
      <c r="E2154" s="22" t="s">
        <v>86</v>
      </c>
      <c r="F2154" s="25" t="s">
        <v>781</v>
      </c>
      <c r="G2154" s="25" t="s">
        <v>3259</v>
      </c>
      <c r="H2154" s="116" t="s">
        <v>3260</v>
      </c>
      <c r="I2154" s="20">
        <v>0</v>
      </c>
      <c r="J2154" s="20">
        <v>420</v>
      </c>
      <c r="K2154" s="20" t="s">
        <v>110</v>
      </c>
      <c r="L2154" s="20" t="s">
        <v>110</v>
      </c>
      <c r="M2154" s="20">
        <v>0</v>
      </c>
      <c r="N2154" s="20">
        <v>0</v>
      </c>
      <c r="O2154" s="75">
        <v>0</v>
      </c>
      <c r="P2154" s="76">
        <v>644.28300000000002</v>
      </c>
      <c r="Q2154" s="27" t="s">
        <v>186</v>
      </c>
    </row>
    <row r="2155" spans="1:17" ht="72" x14ac:dyDescent="0.25">
      <c r="A2155" s="23">
        <v>39089</v>
      </c>
      <c r="B2155" s="23">
        <v>39092</v>
      </c>
      <c r="C2155" s="27">
        <v>2007</v>
      </c>
      <c r="D2155" s="351" t="s">
        <v>23</v>
      </c>
      <c r="E2155" s="22" t="s">
        <v>86</v>
      </c>
      <c r="F2155" s="7" t="s">
        <v>36</v>
      </c>
      <c r="G2155" s="25" t="s">
        <v>3261</v>
      </c>
      <c r="H2155" s="116" t="s">
        <v>3262</v>
      </c>
      <c r="I2155" s="20">
        <v>0</v>
      </c>
      <c r="J2155" s="20">
        <v>94</v>
      </c>
      <c r="K2155" s="20">
        <v>43</v>
      </c>
      <c r="L2155" s="20">
        <v>0</v>
      </c>
      <c r="M2155" s="20">
        <v>0</v>
      </c>
      <c r="N2155" s="20">
        <v>0</v>
      </c>
      <c r="O2155" s="75">
        <v>0</v>
      </c>
      <c r="P2155" s="76">
        <v>127.627</v>
      </c>
      <c r="Q2155" s="27" t="s">
        <v>186</v>
      </c>
    </row>
    <row r="2156" spans="1:17" ht="48" x14ac:dyDescent="0.25">
      <c r="A2156" s="23">
        <v>39101</v>
      </c>
      <c r="B2156" s="23">
        <v>39101</v>
      </c>
      <c r="C2156" s="27">
        <v>2007</v>
      </c>
      <c r="D2156" s="351" t="s">
        <v>23</v>
      </c>
      <c r="E2156" s="22" t="s">
        <v>86</v>
      </c>
      <c r="F2156" s="28" t="s">
        <v>210</v>
      </c>
      <c r="G2156" s="25" t="s">
        <v>2826</v>
      </c>
      <c r="H2156" s="117" t="s">
        <v>3263</v>
      </c>
      <c r="I2156" s="20">
        <v>0</v>
      </c>
      <c r="J2156" s="20">
        <v>3415</v>
      </c>
      <c r="K2156" s="20">
        <v>171</v>
      </c>
      <c r="L2156" s="20">
        <v>0</v>
      </c>
      <c r="M2156" s="20">
        <v>0</v>
      </c>
      <c r="N2156" s="20">
        <v>0</v>
      </c>
      <c r="O2156" s="75">
        <v>0</v>
      </c>
      <c r="P2156" s="76">
        <v>0.34200000000000003</v>
      </c>
      <c r="Q2156" s="35" t="s">
        <v>154</v>
      </c>
    </row>
    <row r="2157" spans="1:17" ht="72" x14ac:dyDescent="0.25">
      <c r="A2157" s="23">
        <v>39113</v>
      </c>
      <c r="B2157" s="23">
        <v>39113</v>
      </c>
      <c r="C2157" s="27">
        <v>2007</v>
      </c>
      <c r="D2157" s="351" t="s">
        <v>23</v>
      </c>
      <c r="E2157" s="22" t="s">
        <v>86</v>
      </c>
      <c r="F2157" s="7" t="s">
        <v>36</v>
      </c>
      <c r="G2157" s="25" t="s">
        <v>3264</v>
      </c>
      <c r="H2157" s="117" t="s">
        <v>3265</v>
      </c>
      <c r="I2157" s="20">
        <v>0</v>
      </c>
      <c r="J2157" s="20">
        <v>160</v>
      </c>
      <c r="K2157" s="20">
        <v>40</v>
      </c>
      <c r="L2157" s="20">
        <v>0</v>
      </c>
      <c r="M2157" s="20">
        <v>0</v>
      </c>
      <c r="N2157" s="20">
        <v>0</v>
      </c>
      <c r="O2157" s="75">
        <v>0</v>
      </c>
      <c r="P2157" s="76">
        <v>0.08</v>
      </c>
      <c r="Q2157" s="35" t="s">
        <v>154</v>
      </c>
    </row>
    <row r="2158" spans="1:17" ht="36" x14ac:dyDescent="0.25">
      <c r="A2158" s="23">
        <v>39118</v>
      </c>
      <c r="B2158" s="23">
        <v>39118</v>
      </c>
      <c r="C2158" s="27">
        <v>2007</v>
      </c>
      <c r="D2158" s="351" t="s">
        <v>23</v>
      </c>
      <c r="E2158" s="22" t="s">
        <v>86</v>
      </c>
      <c r="F2158" s="7" t="s">
        <v>80</v>
      </c>
      <c r="G2158" s="25" t="s">
        <v>3266</v>
      </c>
      <c r="H2158" s="116" t="s">
        <v>3267</v>
      </c>
      <c r="I2158" s="20">
        <v>0</v>
      </c>
      <c r="J2158" s="20">
        <v>85</v>
      </c>
      <c r="K2158" s="20">
        <v>17</v>
      </c>
      <c r="L2158" s="20">
        <v>0</v>
      </c>
      <c r="M2158" s="20">
        <v>0</v>
      </c>
      <c r="N2158" s="20">
        <v>0</v>
      </c>
      <c r="O2158" s="75">
        <v>0</v>
      </c>
      <c r="P2158" s="76">
        <v>7.9000000000000001E-2</v>
      </c>
      <c r="Q2158" s="35" t="s">
        <v>154</v>
      </c>
    </row>
    <row r="2159" spans="1:17" ht="48" x14ac:dyDescent="0.25">
      <c r="A2159" s="23">
        <v>39132</v>
      </c>
      <c r="B2159" s="23">
        <v>39132</v>
      </c>
      <c r="C2159" s="27">
        <v>2007</v>
      </c>
      <c r="D2159" s="351" t="s">
        <v>23</v>
      </c>
      <c r="E2159" s="22" t="s">
        <v>86</v>
      </c>
      <c r="F2159" s="7" t="s">
        <v>30</v>
      </c>
      <c r="G2159" s="25" t="s">
        <v>1078</v>
      </c>
      <c r="H2159" s="117" t="s">
        <v>3268</v>
      </c>
      <c r="I2159" s="20">
        <v>0</v>
      </c>
      <c r="J2159" s="20">
        <v>32</v>
      </c>
      <c r="K2159" s="20">
        <v>5</v>
      </c>
      <c r="L2159" s="20">
        <v>0</v>
      </c>
      <c r="M2159" s="20">
        <v>0</v>
      </c>
      <c r="N2159" s="20">
        <v>0</v>
      </c>
      <c r="O2159" s="75">
        <v>0</v>
      </c>
      <c r="P2159" s="76">
        <v>2.3E-2</v>
      </c>
      <c r="Q2159" s="35" t="s">
        <v>154</v>
      </c>
    </row>
    <row r="2160" spans="1:17" ht="48" x14ac:dyDescent="0.25">
      <c r="A2160" s="23">
        <v>39153</v>
      </c>
      <c r="B2160" s="23">
        <v>39153</v>
      </c>
      <c r="C2160" s="27">
        <v>2007</v>
      </c>
      <c r="D2160" s="351" t="s">
        <v>23</v>
      </c>
      <c r="E2160" s="22" t="s">
        <v>86</v>
      </c>
      <c r="F2160" s="7" t="s">
        <v>91</v>
      </c>
      <c r="G2160" s="25" t="s">
        <v>1874</v>
      </c>
      <c r="H2160" s="117" t="s">
        <v>3269</v>
      </c>
      <c r="I2160" s="20">
        <v>0</v>
      </c>
      <c r="J2160" s="20">
        <v>288</v>
      </c>
      <c r="K2160" s="20">
        <v>1</v>
      </c>
      <c r="L2160" s="20">
        <v>0</v>
      </c>
      <c r="M2160" s="20">
        <v>0</v>
      </c>
      <c r="N2160" s="20">
        <v>0</v>
      </c>
      <c r="O2160" s="75">
        <v>0</v>
      </c>
      <c r="P2160" s="76">
        <v>4.5999999999999999E-3</v>
      </c>
      <c r="Q2160" s="35" t="s">
        <v>154</v>
      </c>
    </row>
    <row r="2161" spans="1:17" ht="36" x14ac:dyDescent="0.25">
      <c r="A2161" s="23">
        <v>39154</v>
      </c>
      <c r="B2161" s="23">
        <v>39154</v>
      </c>
      <c r="C2161" s="27">
        <v>2007</v>
      </c>
      <c r="D2161" s="351" t="s">
        <v>23</v>
      </c>
      <c r="E2161" s="22" t="s">
        <v>86</v>
      </c>
      <c r="F2161" s="7" t="s">
        <v>91</v>
      </c>
      <c r="G2161" s="25" t="s">
        <v>3270</v>
      </c>
      <c r="H2161" s="117" t="s">
        <v>3271</v>
      </c>
      <c r="I2161" s="20">
        <v>0</v>
      </c>
      <c r="J2161" s="20">
        <v>975</v>
      </c>
      <c r="K2161" s="20">
        <v>195</v>
      </c>
      <c r="L2161" s="20">
        <v>2</v>
      </c>
      <c r="M2161" s="20">
        <v>0</v>
      </c>
      <c r="N2161" s="20">
        <v>0</v>
      </c>
      <c r="O2161" s="75">
        <v>0</v>
      </c>
      <c r="P2161" s="76">
        <v>0.90900000000000003</v>
      </c>
      <c r="Q2161" s="35" t="s">
        <v>154</v>
      </c>
    </row>
    <row r="2162" spans="1:17" ht="36" x14ac:dyDescent="0.25">
      <c r="A2162" s="23">
        <v>39173</v>
      </c>
      <c r="B2162" s="23">
        <v>39173</v>
      </c>
      <c r="C2162" s="27">
        <v>2007</v>
      </c>
      <c r="D2162" s="351" t="s">
        <v>23</v>
      </c>
      <c r="E2162" s="22" t="s">
        <v>86</v>
      </c>
      <c r="F2162" s="7" t="s">
        <v>77</v>
      </c>
      <c r="G2162" s="25" t="s">
        <v>3272</v>
      </c>
      <c r="H2162" s="117" t="s">
        <v>3273</v>
      </c>
      <c r="I2162" s="20">
        <v>0</v>
      </c>
      <c r="J2162" s="20">
        <v>610</v>
      </c>
      <c r="K2162" s="20">
        <v>120</v>
      </c>
      <c r="L2162" s="20">
        <v>0</v>
      </c>
      <c r="M2162" s="20">
        <v>0</v>
      </c>
      <c r="N2162" s="20">
        <v>0</v>
      </c>
      <c r="O2162" s="75">
        <v>0</v>
      </c>
      <c r="P2162" s="76">
        <v>0.55900000000000005</v>
      </c>
      <c r="Q2162" s="35" t="s">
        <v>154</v>
      </c>
    </row>
    <row r="2163" spans="1:17" ht="36" x14ac:dyDescent="0.25">
      <c r="A2163" s="23">
        <v>39197</v>
      </c>
      <c r="B2163" s="23">
        <v>39197</v>
      </c>
      <c r="C2163" s="27">
        <v>2007</v>
      </c>
      <c r="D2163" s="351" t="s">
        <v>23</v>
      </c>
      <c r="E2163" s="22" t="s">
        <v>86</v>
      </c>
      <c r="F2163" s="28" t="s">
        <v>210</v>
      </c>
      <c r="G2163" s="25" t="s">
        <v>3274</v>
      </c>
      <c r="H2163" s="117" t="s">
        <v>3275</v>
      </c>
      <c r="I2163" s="20">
        <v>0</v>
      </c>
      <c r="J2163" s="20">
        <v>8125</v>
      </c>
      <c r="K2163" s="20">
        <v>1725</v>
      </c>
      <c r="L2163" s="20">
        <v>0</v>
      </c>
      <c r="M2163" s="20">
        <v>0</v>
      </c>
      <c r="N2163" s="20">
        <v>0</v>
      </c>
      <c r="O2163" s="75">
        <v>0</v>
      </c>
      <c r="P2163" s="76">
        <v>3.45</v>
      </c>
      <c r="Q2163" s="35" t="s">
        <v>154</v>
      </c>
    </row>
    <row r="2164" spans="1:17" ht="24" x14ac:dyDescent="0.25">
      <c r="A2164" s="23">
        <v>39204</v>
      </c>
      <c r="B2164" s="23">
        <v>39204</v>
      </c>
      <c r="C2164" s="27">
        <v>2007</v>
      </c>
      <c r="D2164" s="351" t="s">
        <v>23</v>
      </c>
      <c r="E2164" s="22" t="s">
        <v>86</v>
      </c>
      <c r="F2164" s="7" t="s">
        <v>36</v>
      </c>
      <c r="G2164" s="25" t="s">
        <v>232</v>
      </c>
      <c r="H2164" s="117" t="s">
        <v>3276</v>
      </c>
      <c r="I2164" s="20">
        <v>0</v>
      </c>
      <c r="J2164" s="20">
        <v>25</v>
      </c>
      <c r="K2164" s="20">
        <v>5</v>
      </c>
      <c r="L2164" s="20">
        <v>0</v>
      </c>
      <c r="M2164" s="20">
        <v>0</v>
      </c>
      <c r="N2164" s="20">
        <v>0</v>
      </c>
      <c r="O2164" s="75">
        <v>0</v>
      </c>
      <c r="P2164" s="76">
        <v>0.57999999999999996</v>
      </c>
      <c r="Q2164" s="35" t="s">
        <v>154</v>
      </c>
    </row>
    <row r="2165" spans="1:17" ht="48" x14ac:dyDescent="0.25">
      <c r="A2165" s="23">
        <v>39204</v>
      </c>
      <c r="B2165" s="23">
        <v>39204</v>
      </c>
      <c r="C2165" s="27">
        <v>2007</v>
      </c>
      <c r="D2165" s="351" t="s">
        <v>23</v>
      </c>
      <c r="E2165" s="22" t="s">
        <v>86</v>
      </c>
      <c r="F2165" s="7" t="s">
        <v>97</v>
      </c>
      <c r="G2165" s="25" t="s">
        <v>3277</v>
      </c>
      <c r="H2165" s="117" t="s">
        <v>3278</v>
      </c>
      <c r="I2165" s="20">
        <v>0</v>
      </c>
      <c r="J2165" s="20">
        <v>110</v>
      </c>
      <c r="K2165" s="20">
        <v>22</v>
      </c>
      <c r="L2165" s="20">
        <v>0</v>
      </c>
      <c r="M2165" s="20">
        <v>0</v>
      </c>
      <c r="N2165" s="20">
        <v>0</v>
      </c>
      <c r="O2165" s="75">
        <v>0</v>
      </c>
      <c r="P2165" s="76">
        <v>0.10199999999999999</v>
      </c>
      <c r="Q2165" s="35" t="s">
        <v>154</v>
      </c>
    </row>
    <row r="2166" spans="1:17" ht="36" x14ac:dyDescent="0.25">
      <c r="A2166" s="23">
        <v>39207</v>
      </c>
      <c r="B2166" s="23">
        <v>39207</v>
      </c>
      <c r="C2166" s="27">
        <v>2007</v>
      </c>
      <c r="D2166" s="351" t="s">
        <v>23</v>
      </c>
      <c r="E2166" s="22" t="s">
        <v>86</v>
      </c>
      <c r="F2166" s="7" t="s">
        <v>72</v>
      </c>
      <c r="G2166" s="25" t="s">
        <v>3279</v>
      </c>
      <c r="H2166" s="117" t="s">
        <v>3280</v>
      </c>
      <c r="I2166" s="20">
        <v>0</v>
      </c>
      <c r="J2166" s="20">
        <v>355</v>
      </c>
      <c r="K2166" s="20">
        <v>71</v>
      </c>
      <c r="L2166" s="20">
        <v>1</v>
      </c>
      <c r="M2166" s="20">
        <v>0</v>
      </c>
      <c r="N2166" s="20">
        <v>0</v>
      </c>
      <c r="O2166" s="75">
        <v>0</v>
      </c>
      <c r="P2166" s="76">
        <v>0.33110000000000001</v>
      </c>
      <c r="Q2166" s="35" t="s">
        <v>154</v>
      </c>
    </row>
    <row r="2167" spans="1:17" ht="24" x14ac:dyDescent="0.25">
      <c r="A2167" s="23">
        <v>39207</v>
      </c>
      <c r="B2167" s="23">
        <v>39207</v>
      </c>
      <c r="C2167" s="27">
        <v>2007</v>
      </c>
      <c r="D2167" s="351" t="s">
        <v>23</v>
      </c>
      <c r="E2167" s="22" t="s">
        <v>86</v>
      </c>
      <c r="F2167" s="28" t="s">
        <v>210</v>
      </c>
      <c r="G2167" s="25" t="s">
        <v>3281</v>
      </c>
      <c r="H2167" s="117" t="s">
        <v>3282</v>
      </c>
      <c r="I2167" s="20">
        <v>0</v>
      </c>
      <c r="J2167" s="20">
        <v>3085</v>
      </c>
      <c r="K2167" s="20">
        <v>617</v>
      </c>
      <c r="L2167" s="20">
        <v>0</v>
      </c>
      <c r="M2167" s="20">
        <v>0</v>
      </c>
      <c r="N2167" s="20">
        <v>0</v>
      </c>
      <c r="O2167" s="75">
        <v>0</v>
      </c>
      <c r="P2167" s="76">
        <v>2.8769999999999998</v>
      </c>
      <c r="Q2167" s="35" t="s">
        <v>154</v>
      </c>
    </row>
    <row r="2168" spans="1:17" ht="36" x14ac:dyDescent="0.25">
      <c r="A2168" s="23">
        <v>39208</v>
      </c>
      <c r="B2168" s="23">
        <v>39208</v>
      </c>
      <c r="C2168" s="27">
        <v>2007</v>
      </c>
      <c r="D2168" s="351" t="s">
        <v>23</v>
      </c>
      <c r="E2168" s="22" t="s">
        <v>86</v>
      </c>
      <c r="F2168" s="7" t="s">
        <v>75</v>
      </c>
      <c r="G2168" s="25" t="s">
        <v>3283</v>
      </c>
      <c r="H2168" s="117" t="s">
        <v>3284</v>
      </c>
      <c r="I2168" s="20">
        <v>0</v>
      </c>
      <c r="J2168" s="20">
        <v>750</v>
      </c>
      <c r="K2168" s="20">
        <v>150</v>
      </c>
      <c r="L2168" s="20">
        <v>0</v>
      </c>
      <c r="M2168" s="20">
        <v>0</v>
      </c>
      <c r="N2168" s="20">
        <v>0</v>
      </c>
      <c r="O2168" s="75">
        <v>0</v>
      </c>
      <c r="P2168" s="76">
        <v>0.69899999999999995</v>
      </c>
      <c r="Q2168" s="35" t="s">
        <v>154</v>
      </c>
    </row>
    <row r="2169" spans="1:17" ht="36" x14ac:dyDescent="0.25">
      <c r="A2169" s="23">
        <v>39210</v>
      </c>
      <c r="B2169" s="23">
        <v>39210</v>
      </c>
      <c r="C2169" s="27">
        <v>2007</v>
      </c>
      <c r="D2169" s="351" t="s">
        <v>23</v>
      </c>
      <c r="E2169" s="22" t="s">
        <v>86</v>
      </c>
      <c r="F2169" s="7" t="s">
        <v>45</v>
      </c>
      <c r="G2169" s="25" t="s">
        <v>3285</v>
      </c>
      <c r="H2169" s="116" t="s">
        <v>3286</v>
      </c>
      <c r="I2169" s="20">
        <v>1</v>
      </c>
      <c r="J2169" s="20">
        <v>87</v>
      </c>
      <c r="K2169" s="20">
        <v>17</v>
      </c>
      <c r="L2169" s="20">
        <v>0</v>
      </c>
      <c r="M2169" s="20">
        <v>0</v>
      </c>
      <c r="N2169" s="20">
        <v>0</v>
      </c>
      <c r="O2169" s="75">
        <v>0</v>
      </c>
      <c r="P2169" s="76">
        <v>0.03</v>
      </c>
      <c r="Q2169" s="35" t="s">
        <v>154</v>
      </c>
    </row>
    <row r="2170" spans="1:17" ht="24" x14ac:dyDescent="0.25">
      <c r="A2170" s="23">
        <v>39210</v>
      </c>
      <c r="B2170" s="23">
        <v>39210</v>
      </c>
      <c r="C2170" s="27">
        <v>2007</v>
      </c>
      <c r="D2170" s="351" t="s">
        <v>23</v>
      </c>
      <c r="E2170" s="22" t="s">
        <v>86</v>
      </c>
      <c r="F2170" s="7" t="s">
        <v>45</v>
      </c>
      <c r="G2170" s="25" t="s">
        <v>3287</v>
      </c>
      <c r="H2170" s="117" t="s">
        <v>3288</v>
      </c>
      <c r="I2170" s="20">
        <v>0</v>
      </c>
      <c r="J2170" s="20">
        <v>130</v>
      </c>
      <c r="K2170" s="20">
        <v>26</v>
      </c>
      <c r="L2170" s="20">
        <v>0</v>
      </c>
      <c r="M2170" s="20">
        <v>0</v>
      </c>
      <c r="N2170" s="20">
        <v>0</v>
      </c>
      <c r="O2170" s="75">
        <v>0</v>
      </c>
      <c r="P2170" s="76">
        <v>0.12</v>
      </c>
      <c r="Q2170" s="35" t="s">
        <v>154</v>
      </c>
    </row>
    <row r="2171" spans="1:17" ht="24" x14ac:dyDescent="0.25">
      <c r="A2171" s="23">
        <v>39221</v>
      </c>
      <c r="B2171" s="23">
        <v>39221</v>
      </c>
      <c r="C2171" s="27">
        <v>2007</v>
      </c>
      <c r="D2171" s="351" t="s">
        <v>23</v>
      </c>
      <c r="E2171" s="22" t="s">
        <v>86</v>
      </c>
      <c r="F2171" s="7" t="s">
        <v>53</v>
      </c>
      <c r="G2171" s="25" t="s">
        <v>460</v>
      </c>
      <c r="H2171" s="117" t="s">
        <v>3289</v>
      </c>
      <c r="I2171" s="20">
        <v>0</v>
      </c>
      <c r="J2171" s="20">
        <v>1000</v>
      </c>
      <c r="K2171" s="20">
        <v>200</v>
      </c>
      <c r="L2171" s="20">
        <v>0</v>
      </c>
      <c r="M2171" s="20">
        <v>0</v>
      </c>
      <c r="N2171" s="20">
        <v>0</v>
      </c>
      <c r="O2171" s="75">
        <v>0</v>
      </c>
      <c r="P2171" s="76">
        <v>0.4</v>
      </c>
      <c r="Q2171" s="35" t="s">
        <v>154</v>
      </c>
    </row>
    <row r="2172" spans="1:17" ht="60" x14ac:dyDescent="0.25">
      <c r="A2172" s="23">
        <v>39226</v>
      </c>
      <c r="B2172" s="23">
        <v>39226</v>
      </c>
      <c r="C2172" s="27">
        <v>2007</v>
      </c>
      <c r="D2172" s="351" t="s">
        <v>23</v>
      </c>
      <c r="E2172" s="22" t="s">
        <v>86</v>
      </c>
      <c r="F2172" s="7" t="s">
        <v>45</v>
      </c>
      <c r="G2172" s="25" t="s">
        <v>3290</v>
      </c>
      <c r="H2172" s="117" t="s">
        <v>3291</v>
      </c>
      <c r="I2172" s="20">
        <v>0</v>
      </c>
      <c r="J2172" s="20">
        <v>37</v>
      </c>
      <c r="K2172" s="20">
        <v>3</v>
      </c>
      <c r="L2172" s="20">
        <v>0</v>
      </c>
      <c r="M2172" s="20">
        <v>0</v>
      </c>
      <c r="N2172" s="20">
        <v>0</v>
      </c>
      <c r="O2172" s="75">
        <v>0</v>
      </c>
      <c r="P2172" s="76">
        <v>1.2999999999999999E-2</v>
      </c>
      <c r="Q2172" s="35" t="s">
        <v>154</v>
      </c>
    </row>
    <row r="2173" spans="1:17" ht="24" x14ac:dyDescent="0.25">
      <c r="A2173" s="23">
        <v>39231</v>
      </c>
      <c r="B2173" s="23">
        <v>39231</v>
      </c>
      <c r="C2173" s="27">
        <v>2007</v>
      </c>
      <c r="D2173" s="351" t="s">
        <v>23</v>
      </c>
      <c r="E2173" s="22" t="s">
        <v>86</v>
      </c>
      <c r="F2173" s="7" t="s">
        <v>45</v>
      </c>
      <c r="G2173" s="25" t="s">
        <v>3292</v>
      </c>
      <c r="H2173" s="117" t="s">
        <v>3293</v>
      </c>
      <c r="I2173" s="20">
        <v>0</v>
      </c>
      <c r="J2173" s="20">
        <v>225</v>
      </c>
      <c r="K2173" s="20">
        <v>45</v>
      </c>
      <c r="L2173" s="20">
        <v>0</v>
      </c>
      <c r="M2173" s="20">
        <v>0</v>
      </c>
      <c r="N2173" s="20">
        <v>0</v>
      </c>
      <c r="O2173" s="75">
        <v>0</v>
      </c>
      <c r="P2173" s="76">
        <v>0.20899999999999999</v>
      </c>
      <c r="Q2173" s="35" t="s">
        <v>154</v>
      </c>
    </row>
    <row r="2174" spans="1:17" ht="48" x14ac:dyDescent="0.25">
      <c r="A2174" s="23">
        <v>39235</v>
      </c>
      <c r="B2174" s="23">
        <v>39235</v>
      </c>
      <c r="C2174" s="27">
        <v>2007</v>
      </c>
      <c r="D2174" s="351" t="s">
        <v>23</v>
      </c>
      <c r="E2174" s="22" t="s">
        <v>86</v>
      </c>
      <c r="F2174" s="7" t="s">
        <v>80</v>
      </c>
      <c r="G2174" s="25" t="s">
        <v>3294</v>
      </c>
      <c r="H2174" s="117" t="s">
        <v>3295</v>
      </c>
      <c r="I2174" s="20">
        <v>0</v>
      </c>
      <c r="J2174" s="20">
        <v>300</v>
      </c>
      <c r="K2174" s="20">
        <v>60</v>
      </c>
      <c r="L2174" s="20">
        <v>0</v>
      </c>
      <c r="M2174" s="20">
        <v>0</v>
      </c>
      <c r="N2174" s="20">
        <v>0</v>
      </c>
      <c r="O2174" s="75">
        <v>0</v>
      </c>
      <c r="P2174" s="76">
        <v>0.27900000000000003</v>
      </c>
      <c r="Q2174" s="35" t="s">
        <v>154</v>
      </c>
    </row>
    <row r="2175" spans="1:17" ht="96" x14ac:dyDescent="0.25">
      <c r="A2175" s="23">
        <v>39235</v>
      </c>
      <c r="B2175" s="23">
        <v>39235</v>
      </c>
      <c r="C2175" s="27">
        <v>2007</v>
      </c>
      <c r="D2175" s="351" t="s">
        <v>23</v>
      </c>
      <c r="E2175" s="14" t="s">
        <v>32</v>
      </c>
      <c r="F2175" s="7" t="s">
        <v>36</v>
      </c>
      <c r="G2175" s="25" t="s">
        <v>3296</v>
      </c>
      <c r="H2175" s="117" t="s">
        <v>3297</v>
      </c>
      <c r="I2175" s="20">
        <v>0</v>
      </c>
      <c r="J2175" s="20">
        <v>3500</v>
      </c>
      <c r="K2175" s="20">
        <v>3655</v>
      </c>
      <c r="L2175" s="20">
        <v>51</v>
      </c>
      <c r="M2175" s="20">
        <v>0</v>
      </c>
      <c r="N2175" s="20">
        <v>0</v>
      </c>
      <c r="O2175" s="75">
        <v>12264</v>
      </c>
      <c r="P2175" s="76">
        <v>307.60000000000002</v>
      </c>
      <c r="Q2175" s="27" t="s">
        <v>22</v>
      </c>
    </row>
    <row r="2176" spans="1:17" ht="48" x14ac:dyDescent="0.25">
      <c r="A2176" s="23">
        <v>39236</v>
      </c>
      <c r="B2176" s="23">
        <v>39236</v>
      </c>
      <c r="C2176" s="27">
        <v>2007</v>
      </c>
      <c r="D2176" s="351" t="s">
        <v>23</v>
      </c>
      <c r="E2176" s="22" t="s">
        <v>86</v>
      </c>
      <c r="F2176" s="7" t="s">
        <v>82</v>
      </c>
      <c r="G2176" s="25" t="s">
        <v>3298</v>
      </c>
      <c r="H2176" s="117" t="s">
        <v>3299</v>
      </c>
      <c r="I2176" s="20">
        <v>0</v>
      </c>
      <c r="J2176" s="20">
        <v>0</v>
      </c>
      <c r="K2176" s="20">
        <v>0</v>
      </c>
      <c r="L2176" s="20">
        <v>0</v>
      </c>
      <c r="M2176" s="20">
        <v>0</v>
      </c>
      <c r="N2176" s="20">
        <v>0</v>
      </c>
      <c r="O2176" s="75">
        <v>0</v>
      </c>
      <c r="P2176" s="76">
        <v>0</v>
      </c>
      <c r="Q2176" s="35" t="s">
        <v>154</v>
      </c>
    </row>
    <row r="2177" spans="1:17" ht="36" x14ac:dyDescent="0.25">
      <c r="A2177" s="23">
        <v>39237</v>
      </c>
      <c r="B2177" s="23">
        <v>39237</v>
      </c>
      <c r="C2177" s="27">
        <v>2007</v>
      </c>
      <c r="D2177" s="351" t="s">
        <v>23</v>
      </c>
      <c r="E2177" s="22" t="s">
        <v>86</v>
      </c>
      <c r="F2177" s="7" t="s">
        <v>82</v>
      </c>
      <c r="G2177" s="25" t="s">
        <v>3300</v>
      </c>
      <c r="H2177" s="117" t="s">
        <v>3301</v>
      </c>
      <c r="I2177" s="20">
        <v>3</v>
      </c>
      <c r="J2177" s="20">
        <v>4</v>
      </c>
      <c r="K2177" s="20">
        <v>0</v>
      </c>
      <c r="L2177" s="20">
        <v>0</v>
      </c>
      <c r="M2177" s="20">
        <v>0</v>
      </c>
      <c r="N2177" s="20">
        <v>0</v>
      </c>
      <c r="O2177" s="75">
        <v>0</v>
      </c>
      <c r="P2177" s="76">
        <v>0</v>
      </c>
      <c r="Q2177" s="35" t="s">
        <v>154</v>
      </c>
    </row>
    <row r="2178" spans="1:17" ht="36" x14ac:dyDescent="0.25">
      <c r="A2178" s="23">
        <v>39240</v>
      </c>
      <c r="B2178" s="23">
        <v>39240</v>
      </c>
      <c r="C2178" s="27">
        <v>2007</v>
      </c>
      <c r="D2178" s="351" t="s">
        <v>23</v>
      </c>
      <c r="E2178" s="22" t="s">
        <v>86</v>
      </c>
      <c r="F2178" s="7" t="s">
        <v>97</v>
      </c>
      <c r="G2178" s="25" t="s">
        <v>3302</v>
      </c>
      <c r="H2178" s="117" t="s">
        <v>3303</v>
      </c>
      <c r="I2178" s="20">
        <v>0</v>
      </c>
      <c r="J2178" s="20">
        <v>85</v>
      </c>
      <c r="K2178" s="20">
        <v>17</v>
      </c>
      <c r="L2178" s="20">
        <v>0</v>
      </c>
      <c r="M2178" s="20">
        <v>0</v>
      </c>
      <c r="N2178" s="20">
        <v>0</v>
      </c>
      <c r="O2178" s="75">
        <v>0</v>
      </c>
      <c r="P2178" s="76">
        <v>3.4000000000000002E-2</v>
      </c>
      <c r="Q2178" s="35" t="s">
        <v>154</v>
      </c>
    </row>
    <row r="2179" spans="1:17" ht="48" x14ac:dyDescent="0.25">
      <c r="A2179" s="23">
        <v>39241</v>
      </c>
      <c r="B2179" s="23">
        <v>39241</v>
      </c>
      <c r="C2179" s="27">
        <v>2007</v>
      </c>
      <c r="D2179" s="351" t="s">
        <v>23</v>
      </c>
      <c r="E2179" s="22" t="s">
        <v>86</v>
      </c>
      <c r="F2179" s="28" t="s">
        <v>210</v>
      </c>
      <c r="G2179" s="25" t="s">
        <v>3304</v>
      </c>
      <c r="H2179" s="117" t="s">
        <v>3305</v>
      </c>
      <c r="I2179" s="20">
        <v>0</v>
      </c>
      <c r="J2179" s="20">
        <v>350</v>
      </c>
      <c r="K2179" s="20">
        <v>70</v>
      </c>
      <c r="L2179" s="20">
        <v>0</v>
      </c>
      <c r="M2179" s="20">
        <v>0</v>
      </c>
      <c r="N2179" s="20">
        <v>0</v>
      </c>
      <c r="O2179" s="75">
        <v>0</v>
      </c>
      <c r="P2179" s="76">
        <v>0.14000000000000001</v>
      </c>
      <c r="Q2179" s="35" t="s">
        <v>154</v>
      </c>
    </row>
    <row r="2180" spans="1:17" ht="48" x14ac:dyDescent="0.25">
      <c r="A2180" s="23">
        <v>39246</v>
      </c>
      <c r="B2180" s="23">
        <v>39246</v>
      </c>
      <c r="C2180" s="27">
        <v>2007</v>
      </c>
      <c r="D2180" s="351" t="s">
        <v>23</v>
      </c>
      <c r="E2180" s="22" t="s">
        <v>86</v>
      </c>
      <c r="F2180" s="7" t="s">
        <v>101</v>
      </c>
      <c r="G2180" s="25" t="s">
        <v>1096</v>
      </c>
      <c r="H2180" s="117" t="s">
        <v>3306</v>
      </c>
      <c r="I2180" s="20">
        <v>0</v>
      </c>
      <c r="J2180" s="20">
        <v>16</v>
      </c>
      <c r="K2180" s="20">
        <v>0</v>
      </c>
      <c r="L2180" s="20">
        <v>0</v>
      </c>
      <c r="M2180" s="20">
        <v>0</v>
      </c>
      <c r="N2180" s="20">
        <v>0</v>
      </c>
      <c r="O2180" s="75">
        <v>0</v>
      </c>
      <c r="P2180" s="76">
        <v>0</v>
      </c>
      <c r="Q2180" s="35" t="s">
        <v>154</v>
      </c>
    </row>
    <row r="2181" spans="1:17" ht="36" x14ac:dyDescent="0.25">
      <c r="A2181" s="23">
        <v>39249</v>
      </c>
      <c r="B2181" s="23">
        <v>39249</v>
      </c>
      <c r="C2181" s="27">
        <v>2007</v>
      </c>
      <c r="D2181" s="351" t="s">
        <v>23</v>
      </c>
      <c r="E2181" s="22" t="s">
        <v>86</v>
      </c>
      <c r="F2181" s="7" t="s">
        <v>75</v>
      </c>
      <c r="G2181" s="25" t="s">
        <v>3307</v>
      </c>
      <c r="H2181" s="117" t="s">
        <v>3308</v>
      </c>
      <c r="I2181" s="20">
        <v>0</v>
      </c>
      <c r="J2181" s="20">
        <v>120</v>
      </c>
      <c r="K2181" s="20">
        <v>25</v>
      </c>
      <c r="L2181" s="20">
        <v>0</v>
      </c>
      <c r="M2181" s="20">
        <v>0</v>
      </c>
      <c r="N2181" s="20">
        <v>0</v>
      </c>
      <c r="O2181" s="75">
        <v>0</v>
      </c>
      <c r="P2181" s="76">
        <v>0.11600000000000001</v>
      </c>
      <c r="Q2181" s="35" t="s">
        <v>154</v>
      </c>
    </row>
    <row r="2182" spans="1:17" ht="36" x14ac:dyDescent="0.25">
      <c r="A2182" s="23">
        <v>39251</v>
      </c>
      <c r="B2182" s="23">
        <v>39251</v>
      </c>
      <c r="C2182" s="27">
        <v>2007</v>
      </c>
      <c r="D2182" s="351" t="s">
        <v>23</v>
      </c>
      <c r="E2182" s="22" t="s">
        <v>86</v>
      </c>
      <c r="F2182" s="7" t="s">
        <v>58</v>
      </c>
      <c r="G2182" s="25" t="s">
        <v>3309</v>
      </c>
      <c r="H2182" s="117" t="s">
        <v>3310</v>
      </c>
      <c r="I2182" s="20">
        <v>0</v>
      </c>
      <c r="J2182" s="20">
        <v>75</v>
      </c>
      <c r="K2182" s="20">
        <v>15</v>
      </c>
      <c r="L2182" s="20">
        <v>0</v>
      </c>
      <c r="M2182" s="20">
        <v>0</v>
      </c>
      <c r="N2182" s="20">
        <v>0</v>
      </c>
      <c r="O2182" s="75">
        <v>0</v>
      </c>
      <c r="P2182" s="76">
        <v>6.9000000000000006E-2</v>
      </c>
      <c r="Q2182" s="35" t="s">
        <v>154</v>
      </c>
    </row>
    <row r="2183" spans="1:17" ht="24" x14ac:dyDescent="0.25">
      <c r="A2183" s="23">
        <v>39252</v>
      </c>
      <c r="B2183" s="23">
        <v>39252</v>
      </c>
      <c r="C2183" s="27">
        <v>2007</v>
      </c>
      <c r="D2183" s="351" t="s">
        <v>23</v>
      </c>
      <c r="E2183" s="22" t="s">
        <v>86</v>
      </c>
      <c r="F2183" s="7" t="s">
        <v>56</v>
      </c>
      <c r="G2183" s="25" t="s">
        <v>3311</v>
      </c>
      <c r="H2183" s="117" t="s">
        <v>3312</v>
      </c>
      <c r="I2183" s="20">
        <v>0</v>
      </c>
      <c r="J2183" s="20">
        <v>55</v>
      </c>
      <c r="K2183" s="20">
        <v>11</v>
      </c>
      <c r="L2183" s="20">
        <v>0</v>
      </c>
      <c r="M2183" s="20">
        <v>0</v>
      </c>
      <c r="N2183" s="20">
        <v>0</v>
      </c>
      <c r="O2183" s="75">
        <v>0</v>
      </c>
      <c r="P2183" s="76">
        <v>2.1999999999999999E-2</v>
      </c>
      <c r="Q2183" s="35" t="s">
        <v>154</v>
      </c>
    </row>
    <row r="2184" spans="1:17" ht="36" x14ac:dyDescent="0.25">
      <c r="A2184" s="23">
        <v>39252</v>
      </c>
      <c r="B2184" s="23">
        <v>39252</v>
      </c>
      <c r="C2184" s="27">
        <v>2007</v>
      </c>
      <c r="D2184" s="351" t="s">
        <v>23</v>
      </c>
      <c r="E2184" s="22" t="s">
        <v>86</v>
      </c>
      <c r="F2184" s="7" t="s">
        <v>60</v>
      </c>
      <c r="G2184" s="25" t="s">
        <v>3313</v>
      </c>
      <c r="H2184" s="117" t="s">
        <v>3314</v>
      </c>
      <c r="I2184" s="20">
        <v>0</v>
      </c>
      <c r="J2184" s="20">
        <v>190</v>
      </c>
      <c r="K2184" s="20">
        <v>38</v>
      </c>
      <c r="L2184" s="20">
        <v>0</v>
      </c>
      <c r="M2184" s="20">
        <v>0</v>
      </c>
      <c r="N2184" s="20">
        <v>0</v>
      </c>
      <c r="O2184" s="75">
        <v>0</v>
      </c>
      <c r="P2184" s="76">
        <v>0.17699999999999999</v>
      </c>
      <c r="Q2184" s="35" t="s">
        <v>154</v>
      </c>
    </row>
    <row r="2185" spans="1:17" ht="24" x14ac:dyDescent="0.25">
      <c r="A2185" s="23">
        <v>39252</v>
      </c>
      <c r="B2185" s="23">
        <v>39252</v>
      </c>
      <c r="C2185" s="27">
        <v>2007</v>
      </c>
      <c r="D2185" s="351" t="s">
        <v>23</v>
      </c>
      <c r="E2185" s="22" t="s">
        <v>86</v>
      </c>
      <c r="F2185" s="7" t="s">
        <v>72</v>
      </c>
      <c r="G2185" s="25" t="s">
        <v>3315</v>
      </c>
      <c r="H2185" s="117" t="s">
        <v>3316</v>
      </c>
      <c r="I2185" s="20">
        <v>0</v>
      </c>
      <c r="J2185" s="20">
        <v>101</v>
      </c>
      <c r="K2185" s="20">
        <v>28</v>
      </c>
      <c r="L2185" s="20">
        <v>0</v>
      </c>
      <c r="M2185" s="20">
        <v>0</v>
      </c>
      <c r="N2185" s="20">
        <v>0</v>
      </c>
      <c r="O2185" s="75">
        <v>0</v>
      </c>
      <c r="P2185" s="76">
        <v>5.6000000000000001E-2</v>
      </c>
      <c r="Q2185" s="35" t="s">
        <v>154</v>
      </c>
    </row>
    <row r="2186" spans="1:17" ht="24" x14ac:dyDescent="0.25">
      <c r="A2186" s="23">
        <v>39258</v>
      </c>
      <c r="B2186" s="23">
        <v>39258</v>
      </c>
      <c r="C2186" s="27">
        <v>2007</v>
      </c>
      <c r="D2186" s="351" t="s">
        <v>23</v>
      </c>
      <c r="E2186" s="22" t="s">
        <v>86</v>
      </c>
      <c r="F2186" s="7" t="s">
        <v>56</v>
      </c>
      <c r="G2186" s="25" t="s">
        <v>3317</v>
      </c>
      <c r="H2186" s="117" t="s">
        <v>3318</v>
      </c>
      <c r="I2186" s="20">
        <v>0</v>
      </c>
      <c r="J2186" s="20">
        <v>125</v>
      </c>
      <c r="K2186" s="20">
        <v>25</v>
      </c>
      <c r="L2186" s="20">
        <v>1</v>
      </c>
      <c r="M2186" s="20">
        <v>0</v>
      </c>
      <c r="N2186" s="20">
        <v>0</v>
      </c>
      <c r="O2186" s="75">
        <v>0</v>
      </c>
      <c r="P2186" s="76">
        <v>0.11600000000000001</v>
      </c>
      <c r="Q2186" s="35" t="s">
        <v>154</v>
      </c>
    </row>
    <row r="2187" spans="1:17" ht="24" x14ac:dyDescent="0.25">
      <c r="A2187" s="23">
        <v>39258</v>
      </c>
      <c r="B2187" s="23">
        <v>39258</v>
      </c>
      <c r="C2187" s="27">
        <v>2007</v>
      </c>
      <c r="D2187" s="351" t="s">
        <v>23</v>
      </c>
      <c r="E2187" s="22" t="s">
        <v>86</v>
      </c>
      <c r="F2187" s="7" t="s">
        <v>60</v>
      </c>
      <c r="G2187" s="25" t="s">
        <v>908</v>
      </c>
      <c r="H2187" s="117" t="s">
        <v>3319</v>
      </c>
      <c r="I2187" s="20">
        <v>0</v>
      </c>
      <c r="J2187" s="20">
        <v>125</v>
      </c>
      <c r="K2187" s="20">
        <v>25</v>
      </c>
      <c r="L2187" s="20">
        <v>0</v>
      </c>
      <c r="M2187" s="20">
        <v>0</v>
      </c>
      <c r="N2187" s="20">
        <v>0</v>
      </c>
      <c r="O2187" s="75">
        <v>0</v>
      </c>
      <c r="P2187" s="76">
        <v>0.05</v>
      </c>
      <c r="Q2187" s="35" t="s">
        <v>154</v>
      </c>
    </row>
    <row r="2188" spans="1:17" ht="36" x14ac:dyDescent="0.25">
      <c r="A2188" s="23">
        <v>39258</v>
      </c>
      <c r="B2188" s="23">
        <v>39258</v>
      </c>
      <c r="C2188" s="27">
        <v>2007</v>
      </c>
      <c r="D2188" s="351" t="s">
        <v>23</v>
      </c>
      <c r="E2188" s="22" t="s">
        <v>86</v>
      </c>
      <c r="F2188" s="7" t="s">
        <v>65</v>
      </c>
      <c r="G2188" s="25" t="s">
        <v>3320</v>
      </c>
      <c r="H2188" s="117" t="s">
        <v>3321</v>
      </c>
      <c r="I2188" s="20">
        <v>0</v>
      </c>
      <c r="J2188" s="20">
        <v>36</v>
      </c>
      <c r="K2188" s="20">
        <v>7</v>
      </c>
      <c r="L2188" s="20">
        <v>1</v>
      </c>
      <c r="M2188" s="20">
        <v>0</v>
      </c>
      <c r="N2188" s="20">
        <v>0</v>
      </c>
      <c r="O2188" s="75">
        <v>0</v>
      </c>
      <c r="P2188" s="76">
        <v>3.2000000000000001E-2</v>
      </c>
      <c r="Q2188" s="35" t="s">
        <v>154</v>
      </c>
    </row>
    <row r="2189" spans="1:17" ht="72" x14ac:dyDescent="0.25">
      <c r="A2189" s="23">
        <v>39209</v>
      </c>
      <c r="B2189" s="23">
        <v>39228</v>
      </c>
      <c r="C2189" s="27">
        <v>2007</v>
      </c>
      <c r="D2189" s="351" t="s">
        <v>23</v>
      </c>
      <c r="E2189" s="22" t="s">
        <v>86</v>
      </c>
      <c r="F2189" s="7" t="s">
        <v>68</v>
      </c>
      <c r="G2189" s="29" t="s">
        <v>3322</v>
      </c>
      <c r="H2189" s="116" t="s">
        <v>3323</v>
      </c>
      <c r="I2189" s="20">
        <v>0</v>
      </c>
      <c r="J2189" s="20">
        <v>0</v>
      </c>
      <c r="K2189" s="20">
        <v>64</v>
      </c>
      <c r="L2189" s="20">
        <v>0</v>
      </c>
      <c r="M2189" s="20">
        <v>9</v>
      </c>
      <c r="N2189" s="20">
        <v>0</v>
      </c>
      <c r="O2189" s="75">
        <v>0</v>
      </c>
      <c r="P2189" s="76">
        <v>150.54</v>
      </c>
      <c r="Q2189" s="27" t="s">
        <v>22</v>
      </c>
    </row>
    <row r="2190" spans="1:17" ht="48" x14ac:dyDescent="0.25">
      <c r="A2190" s="23">
        <v>39264</v>
      </c>
      <c r="B2190" s="23">
        <v>39264</v>
      </c>
      <c r="C2190" s="27">
        <v>2007</v>
      </c>
      <c r="D2190" s="351" t="s">
        <v>23</v>
      </c>
      <c r="E2190" s="22" t="s">
        <v>86</v>
      </c>
      <c r="F2190" s="7" t="s">
        <v>75</v>
      </c>
      <c r="G2190" s="25" t="s">
        <v>3324</v>
      </c>
      <c r="H2190" s="25" t="s">
        <v>3325</v>
      </c>
      <c r="I2190" s="20">
        <v>0</v>
      </c>
      <c r="J2190" s="20">
        <v>500</v>
      </c>
      <c r="K2190" s="20">
        <v>100</v>
      </c>
      <c r="L2190" s="20">
        <v>0</v>
      </c>
      <c r="M2190" s="20">
        <v>0</v>
      </c>
      <c r="N2190" s="20">
        <v>0</v>
      </c>
      <c r="O2190" s="75">
        <v>0</v>
      </c>
      <c r="P2190" s="76">
        <v>0.46600000000000003</v>
      </c>
      <c r="Q2190" s="35" t="s">
        <v>154</v>
      </c>
    </row>
    <row r="2191" spans="1:17" ht="36" x14ac:dyDescent="0.25">
      <c r="A2191" s="23">
        <v>39264</v>
      </c>
      <c r="B2191" s="23">
        <f>A2191</f>
        <v>39264</v>
      </c>
      <c r="C2191" s="27">
        <v>2007</v>
      </c>
      <c r="D2191" s="351" t="s">
        <v>23</v>
      </c>
      <c r="E2191" s="14" t="s">
        <v>52</v>
      </c>
      <c r="F2191" s="7" t="s">
        <v>62</v>
      </c>
      <c r="G2191" s="25" t="s">
        <v>3326</v>
      </c>
      <c r="H2191" s="25" t="s">
        <v>3327</v>
      </c>
      <c r="I2191" s="20">
        <v>0</v>
      </c>
      <c r="J2191" s="20">
        <v>653</v>
      </c>
      <c r="K2191" s="20">
        <v>0</v>
      </c>
      <c r="L2191" s="20">
        <v>0</v>
      </c>
      <c r="M2191" s="20">
        <v>0</v>
      </c>
      <c r="N2191" s="20">
        <v>0</v>
      </c>
      <c r="O2191" s="75">
        <v>1397.59</v>
      </c>
      <c r="P2191" s="76">
        <v>1.1180000000000001</v>
      </c>
      <c r="Q2191" s="27" t="s">
        <v>3328</v>
      </c>
    </row>
    <row r="2192" spans="1:17" ht="36" x14ac:dyDescent="0.25">
      <c r="A2192" s="23">
        <v>39266</v>
      </c>
      <c r="B2192" s="23">
        <v>39266</v>
      </c>
      <c r="C2192" s="27">
        <v>2007</v>
      </c>
      <c r="D2192" s="351" t="s">
        <v>23</v>
      </c>
      <c r="E2192" s="22" t="s">
        <v>86</v>
      </c>
      <c r="F2192" s="7" t="s">
        <v>91</v>
      </c>
      <c r="G2192" s="25" t="s">
        <v>3329</v>
      </c>
      <c r="H2192" s="25" t="s">
        <v>3330</v>
      </c>
      <c r="I2192" s="20">
        <v>0</v>
      </c>
      <c r="J2192" s="20">
        <v>35</v>
      </c>
      <c r="K2192" s="20">
        <v>7</v>
      </c>
      <c r="L2192" s="20">
        <v>0</v>
      </c>
      <c r="M2192" s="20">
        <v>0</v>
      </c>
      <c r="N2192" s="20">
        <v>0</v>
      </c>
      <c r="O2192" s="75">
        <v>0</v>
      </c>
      <c r="P2192" s="76">
        <v>3.2000000000000001E-2</v>
      </c>
      <c r="Q2192" s="35" t="s">
        <v>154</v>
      </c>
    </row>
    <row r="2193" spans="1:17" ht="48" x14ac:dyDescent="0.25">
      <c r="A2193" s="23">
        <v>39270</v>
      </c>
      <c r="B2193" s="23">
        <v>39270</v>
      </c>
      <c r="C2193" s="27">
        <v>2007</v>
      </c>
      <c r="D2193" s="351" t="s">
        <v>23</v>
      </c>
      <c r="E2193" s="22" t="s">
        <v>86</v>
      </c>
      <c r="F2193" s="7" t="s">
        <v>58</v>
      </c>
      <c r="G2193" s="25" t="s">
        <v>3331</v>
      </c>
      <c r="H2193" s="25" t="s">
        <v>3332</v>
      </c>
      <c r="I2193" s="20">
        <v>0</v>
      </c>
      <c r="J2193" s="20">
        <v>430</v>
      </c>
      <c r="K2193" s="20">
        <v>86</v>
      </c>
      <c r="L2193" s="20">
        <v>0</v>
      </c>
      <c r="M2193" s="20">
        <v>0</v>
      </c>
      <c r="N2193" s="20">
        <v>0</v>
      </c>
      <c r="O2193" s="75">
        <v>0</v>
      </c>
      <c r="P2193" s="76">
        <v>0.40100000000000002</v>
      </c>
      <c r="Q2193" s="35" t="s">
        <v>154</v>
      </c>
    </row>
    <row r="2194" spans="1:17" ht="48" x14ac:dyDescent="0.25">
      <c r="A2194" s="23">
        <v>39273</v>
      </c>
      <c r="B2194" s="23">
        <v>39273</v>
      </c>
      <c r="C2194" s="27">
        <v>2007</v>
      </c>
      <c r="D2194" s="351" t="s">
        <v>23</v>
      </c>
      <c r="E2194" s="22" t="s">
        <v>86</v>
      </c>
      <c r="F2194" s="7" t="s">
        <v>47</v>
      </c>
      <c r="G2194" s="25" t="s">
        <v>3333</v>
      </c>
      <c r="H2194" s="25" t="s">
        <v>3334</v>
      </c>
      <c r="I2194" s="20">
        <v>0</v>
      </c>
      <c r="J2194" s="20">
        <v>76</v>
      </c>
      <c r="K2194" s="20">
        <v>0</v>
      </c>
      <c r="L2194" s="20">
        <v>0</v>
      </c>
      <c r="M2194" s="20">
        <v>0</v>
      </c>
      <c r="N2194" s="20">
        <v>0</v>
      </c>
      <c r="O2194" s="75">
        <v>0</v>
      </c>
      <c r="P2194" s="76">
        <v>0</v>
      </c>
      <c r="Q2194" s="35" t="s">
        <v>154</v>
      </c>
    </row>
    <row r="2195" spans="1:17" ht="60" x14ac:dyDescent="0.25">
      <c r="A2195" s="23">
        <v>39274</v>
      </c>
      <c r="B2195" s="23">
        <v>39274</v>
      </c>
      <c r="C2195" s="27">
        <v>2007</v>
      </c>
      <c r="D2195" s="351" t="s">
        <v>23</v>
      </c>
      <c r="E2195" s="22" t="s">
        <v>86</v>
      </c>
      <c r="F2195" s="28" t="s">
        <v>210</v>
      </c>
      <c r="G2195" s="25" t="s">
        <v>3335</v>
      </c>
      <c r="H2195" s="25" t="s">
        <v>3336</v>
      </c>
      <c r="I2195" s="20">
        <v>2</v>
      </c>
      <c r="J2195" s="20">
        <v>982</v>
      </c>
      <c r="K2195" s="20">
        <v>196</v>
      </c>
      <c r="L2195" s="20">
        <v>0</v>
      </c>
      <c r="M2195" s="20">
        <v>0</v>
      </c>
      <c r="N2195" s="20">
        <v>0</v>
      </c>
      <c r="O2195" s="75">
        <v>0</v>
      </c>
      <c r="P2195" s="76">
        <v>0.39200000000000002</v>
      </c>
      <c r="Q2195" s="35" t="s">
        <v>154</v>
      </c>
    </row>
    <row r="2196" spans="1:17" ht="132" x14ac:dyDescent="0.25">
      <c r="A2196" s="23">
        <v>39278</v>
      </c>
      <c r="B2196" s="23">
        <v>39279</v>
      </c>
      <c r="C2196" s="27">
        <v>2007</v>
      </c>
      <c r="D2196" s="351" t="s">
        <v>23</v>
      </c>
      <c r="E2196" s="22" t="s">
        <v>86</v>
      </c>
      <c r="F2196" s="7" t="s">
        <v>72</v>
      </c>
      <c r="G2196" s="25" t="s">
        <v>3337</v>
      </c>
      <c r="H2196" s="25" t="s">
        <v>3338</v>
      </c>
      <c r="I2196" s="20">
        <v>0</v>
      </c>
      <c r="J2196" s="20" t="s">
        <v>3339</v>
      </c>
      <c r="K2196" s="20">
        <v>0</v>
      </c>
      <c r="L2196" s="20">
        <v>0</v>
      </c>
      <c r="M2196" s="20">
        <v>0</v>
      </c>
      <c r="N2196" s="20">
        <v>0</v>
      </c>
      <c r="O2196" s="75">
        <v>0</v>
      </c>
      <c r="P2196" s="76">
        <v>102.86499999999999</v>
      </c>
      <c r="Q2196" s="27" t="s">
        <v>186</v>
      </c>
    </row>
    <row r="2197" spans="1:17" ht="36" x14ac:dyDescent="0.25">
      <c r="A2197" s="23">
        <v>39279</v>
      </c>
      <c r="B2197" s="23">
        <v>39279</v>
      </c>
      <c r="C2197" s="27">
        <v>2007</v>
      </c>
      <c r="D2197" s="351" t="s">
        <v>23</v>
      </c>
      <c r="E2197" s="22" t="s">
        <v>86</v>
      </c>
      <c r="F2197" s="28" t="s">
        <v>157</v>
      </c>
      <c r="G2197" s="25" t="s">
        <v>3340</v>
      </c>
      <c r="H2197" s="25" t="s">
        <v>3341</v>
      </c>
      <c r="I2197" s="20">
        <v>0</v>
      </c>
      <c r="J2197" s="20">
        <v>70</v>
      </c>
      <c r="K2197" s="20">
        <v>20</v>
      </c>
      <c r="L2197" s="20">
        <v>0</v>
      </c>
      <c r="M2197" s="20">
        <v>0</v>
      </c>
      <c r="N2197" s="20">
        <v>0</v>
      </c>
      <c r="O2197" s="75">
        <v>0</v>
      </c>
      <c r="P2197" s="76">
        <v>9.2999999999999999E-2</v>
      </c>
      <c r="Q2197" s="35" t="s">
        <v>154</v>
      </c>
    </row>
    <row r="2198" spans="1:17" ht="48" x14ac:dyDescent="0.25">
      <c r="A2198" s="23">
        <v>39279</v>
      </c>
      <c r="B2198" s="23">
        <v>39279</v>
      </c>
      <c r="C2198" s="27">
        <v>2007</v>
      </c>
      <c r="D2198" s="351" t="s">
        <v>23</v>
      </c>
      <c r="E2198" s="22" t="s">
        <v>86</v>
      </c>
      <c r="F2198" s="25" t="s">
        <v>781</v>
      </c>
      <c r="G2198" s="25" t="s">
        <v>3342</v>
      </c>
      <c r="H2198" s="25" t="s">
        <v>3343</v>
      </c>
      <c r="I2198" s="20">
        <v>0</v>
      </c>
      <c r="J2198" s="20">
        <v>155</v>
      </c>
      <c r="K2198" s="20">
        <v>31</v>
      </c>
      <c r="L2198" s="20">
        <v>0</v>
      </c>
      <c r="M2198" s="20">
        <v>0</v>
      </c>
      <c r="N2198" s="20">
        <v>0</v>
      </c>
      <c r="O2198" s="75">
        <v>0</v>
      </c>
      <c r="P2198" s="76">
        <v>0.14399999999999999</v>
      </c>
      <c r="Q2198" s="35" t="s">
        <v>154</v>
      </c>
    </row>
    <row r="2199" spans="1:17" ht="84" x14ac:dyDescent="0.25">
      <c r="A2199" s="23">
        <v>39281</v>
      </c>
      <c r="B2199" s="23">
        <v>39281</v>
      </c>
      <c r="C2199" s="27">
        <v>2007</v>
      </c>
      <c r="D2199" s="351" t="s">
        <v>23</v>
      </c>
      <c r="E2199" s="22" t="s">
        <v>86</v>
      </c>
      <c r="F2199" s="7" t="s">
        <v>91</v>
      </c>
      <c r="G2199" s="25" t="s">
        <v>3344</v>
      </c>
      <c r="H2199" s="25" t="s">
        <v>3345</v>
      </c>
      <c r="I2199" s="20">
        <v>0</v>
      </c>
      <c r="J2199" s="20">
        <v>9242</v>
      </c>
      <c r="K2199" s="20">
        <v>1844</v>
      </c>
      <c r="L2199" s="20">
        <v>0</v>
      </c>
      <c r="M2199" s="20">
        <v>0</v>
      </c>
      <c r="N2199" s="20">
        <v>0</v>
      </c>
      <c r="O2199" s="75">
        <v>0</v>
      </c>
      <c r="P2199" s="76">
        <v>3.6880000000000002</v>
      </c>
      <c r="Q2199" s="35" t="s">
        <v>154</v>
      </c>
    </row>
    <row r="2200" spans="1:17" ht="72" x14ac:dyDescent="0.25">
      <c r="A2200" s="23">
        <v>39287</v>
      </c>
      <c r="B2200" s="23">
        <v>39287</v>
      </c>
      <c r="C2200" s="27">
        <v>2007</v>
      </c>
      <c r="D2200" s="351" t="s">
        <v>23</v>
      </c>
      <c r="E2200" s="22" t="s">
        <v>86</v>
      </c>
      <c r="F2200" s="7" t="s">
        <v>25</v>
      </c>
      <c r="G2200" s="25" t="s">
        <v>1060</v>
      </c>
      <c r="H2200" s="25" t="s">
        <v>3346</v>
      </c>
      <c r="I2200" s="20">
        <v>0</v>
      </c>
      <c r="J2200" s="20">
        <v>175</v>
      </c>
      <c r="K2200" s="20">
        <v>35</v>
      </c>
      <c r="L2200" s="20">
        <v>0</v>
      </c>
      <c r="M2200" s="20">
        <v>0</v>
      </c>
      <c r="N2200" s="20">
        <v>0</v>
      </c>
      <c r="O2200" s="75">
        <v>0</v>
      </c>
      <c r="P2200" s="76">
        <v>0.91</v>
      </c>
      <c r="Q2200" s="35" t="s">
        <v>154</v>
      </c>
    </row>
    <row r="2201" spans="1:17" ht="36" x14ac:dyDescent="0.25">
      <c r="A2201" s="23">
        <v>39291</v>
      </c>
      <c r="B2201" s="23">
        <f>A2201</f>
        <v>39291</v>
      </c>
      <c r="C2201" s="27">
        <v>2007</v>
      </c>
      <c r="D2201" s="351" t="s">
        <v>23</v>
      </c>
      <c r="E2201" s="22" t="s">
        <v>86</v>
      </c>
      <c r="F2201" s="7" t="s">
        <v>62</v>
      </c>
      <c r="G2201" s="25" t="s">
        <v>3347</v>
      </c>
      <c r="H2201" s="25" t="s">
        <v>3348</v>
      </c>
      <c r="I2201" s="20">
        <v>0</v>
      </c>
      <c r="J2201" s="20">
        <v>383</v>
      </c>
      <c r="K2201" s="20">
        <v>0</v>
      </c>
      <c r="L2201" s="20">
        <v>0</v>
      </c>
      <c r="M2201" s="20">
        <v>0</v>
      </c>
      <c r="N2201" s="20">
        <v>0</v>
      </c>
      <c r="O2201" s="75">
        <v>1207.8399999999999</v>
      </c>
      <c r="P2201" s="76">
        <v>0.96599999999999997</v>
      </c>
      <c r="Q2201" s="27" t="s">
        <v>3328</v>
      </c>
    </row>
    <row r="2202" spans="1:17" ht="48" x14ac:dyDescent="0.25">
      <c r="A2202" s="23">
        <v>39291</v>
      </c>
      <c r="B2202" s="23">
        <v>39291</v>
      </c>
      <c r="C2202" s="27">
        <v>2007</v>
      </c>
      <c r="D2202" s="351" t="s">
        <v>23</v>
      </c>
      <c r="E2202" s="22" t="s">
        <v>86</v>
      </c>
      <c r="F2202" s="7" t="s">
        <v>56</v>
      </c>
      <c r="G2202" s="25" t="s">
        <v>3349</v>
      </c>
      <c r="H2202" s="25" t="s">
        <v>3350</v>
      </c>
      <c r="I2202" s="20">
        <v>0</v>
      </c>
      <c r="J2202" s="20">
        <v>54</v>
      </c>
      <c r="K2202" s="20">
        <v>600</v>
      </c>
      <c r="L2202" s="20">
        <v>0</v>
      </c>
      <c r="M2202" s="20">
        <v>0</v>
      </c>
      <c r="N2202" s="20">
        <v>0</v>
      </c>
      <c r="O2202" s="75">
        <v>0</v>
      </c>
      <c r="P2202" s="76">
        <v>2.798</v>
      </c>
      <c r="Q2202" s="35" t="s">
        <v>154</v>
      </c>
    </row>
    <row r="2203" spans="1:17" ht="60" x14ac:dyDescent="0.25">
      <c r="A2203" s="23">
        <v>39296</v>
      </c>
      <c r="B2203" s="23">
        <v>39296</v>
      </c>
      <c r="C2203" s="27">
        <v>2007</v>
      </c>
      <c r="D2203" s="351" t="s">
        <v>23</v>
      </c>
      <c r="E2203" s="22" t="s">
        <v>86</v>
      </c>
      <c r="F2203" s="7" t="s">
        <v>40</v>
      </c>
      <c r="G2203" s="25" t="s">
        <v>3351</v>
      </c>
      <c r="H2203" s="29" t="s">
        <v>3352</v>
      </c>
      <c r="I2203" s="20">
        <v>4</v>
      </c>
      <c r="J2203" s="20">
        <v>240</v>
      </c>
      <c r="K2203" s="20">
        <v>0</v>
      </c>
      <c r="L2203" s="20">
        <v>0</v>
      </c>
      <c r="M2203" s="20">
        <v>0</v>
      </c>
      <c r="N2203" s="20">
        <v>0</v>
      </c>
      <c r="O2203" s="75">
        <v>0</v>
      </c>
      <c r="P2203" s="76">
        <v>0</v>
      </c>
      <c r="Q2203" s="35" t="s">
        <v>154</v>
      </c>
    </row>
    <row r="2204" spans="1:17" ht="60" x14ac:dyDescent="0.25">
      <c r="A2204" s="23">
        <v>39306</v>
      </c>
      <c r="B2204" s="23">
        <v>39306</v>
      </c>
      <c r="C2204" s="27">
        <v>2007</v>
      </c>
      <c r="D2204" s="351" t="s">
        <v>23</v>
      </c>
      <c r="E2204" s="22" t="s">
        <v>86</v>
      </c>
      <c r="F2204" s="7" t="s">
        <v>36</v>
      </c>
      <c r="G2204" s="25" t="s">
        <v>2057</v>
      </c>
      <c r="H2204" s="25" t="s">
        <v>3353</v>
      </c>
      <c r="I2204" s="20">
        <v>0</v>
      </c>
      <c r="J2204" s="20">
        <v>320</v>
      </c>
      <c r="K2204" s="20">
        <v>80</v>
      </c>
      <c r="L2204" s="20">
        <v>0</v>
      </c>
      <c r="M2204" s="20">
        <v>0</v>
      </c>
      <c r="N2204" s="20">
        <v>0</v>
      </c>
      <c r="O2204" s="75">
        <v>0</v>
      </c>
      <c r="P2204" s="76">
        <v>0.373</v>
      </c>
      <c r="Q2204" s="35" t="s">
        <v>154</v>
      </c>
    </row>
    <row r="2205" spans="1:17" ht="48" x14ac:dyDescent="0.25">
      <c r="A2205" s="23">
        <v>39307</v>
      </c>
      <c r="B2205" s="23">
        <v>39307</v>
      </c>
      <c r="C2205" s="27">
        <v>2007</v>
      </c>
      <c r="D2205" s="351" t="s">
        <v>23</v>
      </c>
      <c r="E2205" s="22" t="s">
        <v>86</v>
      </c>
      <c r="F2205" s="25" t="s">
        <v>781</v>
      </c>
      <c r="G2205" s="25" t="s">
        <v>3354</v>
      </c>
      <c r="H2205" s="29" t="s">
        <v>3355</v>
      </c>
      <c r="I2205" s="20">
        <v>0</v>
      </c>
      <c r="J2205" s="20">
        <v>150</v>
      </c>
      <c r="K2205" s="20">
        <v>30</v>
      </c>
      <c r="L2205" s="20">
        <v>0</v>
      </c>
      <c r="M2205" s="20">
        <v>1</v>
      </c>
      <c r="N2205" s="20">
        <v>0</v>
      </c>
      <c r="O2205" s="75">
        <v>0</v>
      </c>
      <c r="P2205" s="76">
        <v>0.13900000000000001</v>
      </c>
      <c r="Q2205" s="35" t="s">
        <v>154</v>
      </c>
    </row>
    <row r="2206" spans="1:17" ht="24" x14ac:dyDescent="0.25">
      <c r="A2206" s="23">
        <v>39309</v>
      </c>
      <c r="B2206" s="23">
        <v>39309</v>
      </c>
      <c r="C2206" s="27">
        <v>2007</v>
      </c>
      <c r="D2206" s="351" t="s">
        <v>23</v>
      </c>
      <c r="E2206" s="22" t="s">
        <v>86</v>
      </c>
      <c r="F2206" s="7" t="s">
        <v>36</v>
      </c>
      <c r="G2206" s="25" t="s">
        <v>673</v>
      </c>
      <c r="H2206" s="25" t="s">
        <v>3356</v>
      </c>
      <c r="I2206" s="20">
        <v>0</v>
      </c>
      <c r="J2206" s="20">
        <v>75</v>
      </c>
      <c r="K2206" s="20">
        <v>15</v>
      </c>
      <c r="L2206" s="20">
        <v>0</v>
      </c>
      <c r="M2206" s="20">
        <v>0</v>
      </c>
      <c r="N2206" s="20">
        <v>0</v>
      </c>
      <c r="O2206" s="75">
        <v>0</v>
      </c>
      <c r="P2206" s="76">
        <v>0.03</v>
      </c>
      <c r="Q2206" s="35" t="s">
        <v>154</v>
      </c>
    </row>
    <row r="2207" spans="1:17" ht="60" x14ac:dyDescent="0.25">
      <c r="A2207" s="23">
        <v>39314</v>
      </c>
      <c r="B2207" s="23">
        <v>39315</v>
      </c>
      <c r="C2207" s="27">
        <v>2007</v>
      </c>
      <c r="D2207" s="351" t="s">
        <v>23</v>
      </c>
      <c r="E2207" s="14" t="s">
        <v>32</v>
      </c>
      <c r="F2207" s="7" t="s">
        <v>80</v>
      </c>
      <c r="G2207" s="29" t="s">
        <v>3357</v>
      </c>
      <c r="H2207" s="25" t="s">
        <v>3358</v>
      </c>
      <c r="I2207" s="20">
        <v>0</v>
      </c>
      <c r="J2207" s="20">
        <v>97820</v>
      </c>
      <c r="K2207" s="20">
        <v>19564</v>
      </c>
      <c r="L2207" s="20">
        <v>292</v>
      </c>
      <c r="M2207" s="20">
        <v>58</v>
      </c>
      <c r="N2207" s="20">
        <v>0</v>
      </c>
      <c r="O2207" s="75">
        <v>55363</v>
      </c>
      <c r="P2207" s="76">
        <v>2337.5</v>
      </c>
      <c r="Q2207" s="27" t="s">
        <v>22</v>
      </c>
    </row>
    <row r="2208" spans="1:17" ht="36" x14ac:dyDescent="0.25">
      <c r="A2208" s="23">
        <v>39315</v>
      </c>
      <c r="B2208" s="23">
        <f t="shared" ref="B2208:B2215" si="9">A2208</f>
        <v>39315</v>
      </c>
      <c r="C2208" s="27">
        <v>2007</v>
      </c>
      <c r="D2208" s="351" t="s">
        <v>23</v>
      </c>
      <c r="E2208" s="14" t="s">
        <v>32</v>
      </c>
      <c r="F2208" s="28" t="s">
        <v>163</v>
      </c>
      <c r="G2208" s="25" t="s">
        <v>2109</v>
      </c>
      <c r="H2208" s="25" t="s">
        <v>3359</v>
      </c>
      <c r="I2208" s="20">
        <v>0</v>
      </c>
      <c r="J2208" s="20">
        <v>0</v>
      </c>
      <c r="K2208" s="20">
        <v>0</v>
      </c>
      <c r="L2208" s="20">
        <v>0</v>
      </c>
      <c r="M2208" s="20">
        <v>0</v>
      </c>
      <c r="N2208" s="20">
        <v>0</v>
      </c>
      <c r="O2208" s="75">
        <v>5104.13</v>
      </c>
      <c r="P2208" s="76">
        <v>141.82900000000001</v>
      </c>
      <c r="Q2208" s="27" t="s">
        <v>3360</v>
      </c>
    </row>
    <row r="2209" spans="1:17" ht="48" x14ac:dyDescent="0.25">
      <c r="A2209" s="23">
        <v>39316</v>
      </c>
      <c r="B2209" s="23">
        <f t="shared" si="9"/>
        <v>39316</v>
      </c>
      <c r="C2209" s="27">
        <v>2007</v>
      </c>
      <c r="D2209" s="351" t="s">
        <v>23</v>
      </c>
      <c r="E2209" s="14" t="s">
        <v>32</v>
      </c>
      <c r="F2209" s="28" t="s">
        <v>210</v>
      </c>
      <c r="G2209" s="25" t="s">
        <v>2109</v>
      </c>
      <c r="H2209" s="25" t="s">
        <v>3361</v>
      </c>
      <c r="I2209" s="20">
        <v>0</v>
      </c>
      <c r="J2209" s="20">
        <v>34730</v>
      </c>
      <c r="K2209" s="20">
        <v>6946</v>
      </c>
      <c r="L2209" s="20">
        <v>59</v>
      </c>
      <c r="M2209" s="20">
        <v>71</v>
      </c>
      <c r="N2209" s="20">
        <v>0</v>
      </c>
      <c r="O2209" s="75">
        <v>201686</v>
      </c>
      <c r="P2209" s="76">
        <v>3036.239</v>
      </c>
      <c r="Q2209" s="27" t="s">
        <v>22</v>
      </c>
    </row>
    <row r="2210" spans="1:17" ht="48" x14ac:dyDescent="0.25">
      <c r="A2210" s="23">
        <v>39316</v>
      </c>
      <c r="B2210" s="23">
        <f t="shared" si="9"/>
        <v>39316</v>
      </c>
      <c r="C2210" s="27">
        <v>2007</v>
      </c>
      <c r="D2210" s="351" t="s">
        <v>23</v>
      </c>
      <c r="E2210" s="14" t="s">
        <v>32</v>
      </c>
      <c r="F2210" s="28" t="s">
        <v>160</v>
      </c>
      <c r="G2210" s="25" t="s">
        <v>2109</v>
      </c>
      <c r="H2210" s="25" t="s">
        <v>3362</v>
      </c>
      <c r="I2210" s="20">
        <v>3</v>
      </c>
      <c r="J2210" s="20">
        <v>14509</v>
      </c>
      <c r="K2210" s="20">
        <v>762</v>
      </c>
      <c r="L2210" s="20">
        <v>218</v>
      </c>
      <c r="M2210" s="20">
        <v>52</v>
      </c>
      <c r="N2210" s="20">
        <v>0</v>
      </c>
      <c r="O2210" s="75">
        <v>37069.800000000003</v>
      </c>
      <c r="P2210" s="76">
        <v>2369.69</v>
      </c>
      <c r="Q2210" s="27" t="s">
        <v>22</v>
      </c>
    </row>
    <row r="2211" spans="1:17" ht="60" x14ac:dyDescent="0.25">
      <c r="A2211" s="23">
        <v>39316</v>
      </c>
      <c r="B2211" s="23">
        <f t="shared" si="9"/>
        <v>39316</v>
      </c>
      <c r="C2211" s="27">
        <v>2007</v>
      </c>
      <c r="D2211" s="351" t="s">
        <v>23</v>
      </c>
      <c r="E2211" s="14" t="s">
        <v>32</v>
      </c>
      <c r="F2211" s="7" t="s">
        <v>75</v>
      </c>
      <c r="G2211" s="25" t="s">
        <v>2109</v>
      </c>
      <c r="H2211" s="25" t="s">
        <v>3363</v>
      </c>
      <c r="I2211" s="20">
        <v>6</v>
      </c>
      <c r="J2211" s="20">
        <v>46190</v>
      </c>
      <c r="K2211" s="20">
        <v>9238</v>
      </c>
      <c r="L2211" s="20">
        <v>350</v>
      </c>
      <c r="M2211" s="20">
        <v>60</v>
      </c>
      <c r="N2211" s="20">
        <v>0</v>
      </c>
      <c r="O2211" s="75">
        <v>51153</v>
      </c>
      <c r="P2211" s="76">
        <v>1218.9000000000001</v>
      </c>
      <c r="Q2211" s="27" t="s">
        <v>22</v>
      </c>
    </row>
    <row r="2212" spans="1:17" ht="60" x14ac:dyDescent="0.25">
      <c r="A2212" s="23">
        <v>39315</v>
      </c>
      <c r="B2212" s="23">
        <f t="shared" si="9"/>
        <v>39315</v>
      </c>
      <c r="C2212" s="27">
        <v>2007</v>
      </c>
      <c r="D2212" s="351" t="s">
        <v>23</v>
      </c>
      <c r="E2212" s="14" t="s">
        <v>32</v>
      </c>
      <c r="F2212" s="28" t="s">
        <v>151</v>
      </c>
      <c r="G2212" s="25" t="s">
        <v>3364</v>
      </c>
      <c r="H2212" s="25" t="s">
        <v>3365</v>
      </c>
      <c r="I2212" s="20">
        <v>0</v>
      </c>
      <c r="J2212" s="20">
        <f>(K2212*5)</f>
        <v>25455</v>
      </c>
      <c r="K2212" s="20">
        <v>5091</v>
      </c>
      <c r="L2212" s="20">
        <v>241</v>
      </c>
      <c r="M2212" s="20">
        <v>26</v>
      </c>
      <c r="N2212" s="20">
        <v>0</v>
      </c>
      <c r="O2212" s="75">
        <v>23169</v>
      </c>
      <c r="P2212" s="76">
        <v>211.4</v>
      </c>
      <c r="Q2212" s="27" t="s">
        <v>22</v>
      </c>
    </row>
    <row r="2213" spans="1:17" ht="48" x14ac:dyDescent="0.25">
      <c r="A2213" s="23">
        <v>39315</v>
      </c>
      <c r="B2213" s="23">
        <f t="shared" si="9"/>
        <v>39315</v>
      </c>
      <c r="C2213" s="27">
        <v>2007</v>
      </c>
      <c r="D2213" s="351" t="s">
        <v>23</v>
      </c>
      <c r="E2213" s="22" t="s">
        <v>86</v>
      </c>
      <c r="F2213" s="7" t="s">
        <v>36</v>
      </c>
      <c r="G2213" s="25" t="s">
        <v>2109</v>
      </c>
      <c r="H2213" s="25" t="s">
        <v>3366</v>
      </c>
      <c r="I2213" s="20">
        <v>0</v>
      </c>
      <c r="J2213" s="20">
        <v>5901</v>
      </c>
      <c r="K2213" s="20">
        <v>0</v>
      </c>
      <c r="L2213" s="20">
        <v>0</v>
      </c>
      <c r="M2213" s="20">
        <v>0</v>
      </c>
      <c r="N2213" s="20">
        <v>0</v>
      </c>
      <c r="O2213" s="75">
        <v>7405.09</v>
      </c>
      <c r="P2213" s="76">
        <v>29.818999999999999</v>
      </c>
      <c r="Q2213" s="27" t="s">
        <v>3328</v>
      </c>
    </row>
    <row r="2214" spans="1:17" ht="96" x14ac:dyDescent="0.25">
      <c r="A2214" s="23">
        <v>39316</v>
      </c>
      <c r="B2214" s="23">
        <f t="shared" si="9"/>
        <v>39316</v>
      </c>
      <c r="C2214" s="27">
        <v>2007</v>
      </c>
      <c r="D2214" s="351" t="s">
        <v>23</v>
      </c>
      <c r="E2214" s="14" t="s">
        <v>32</v>
      </c>
      <c r="F2214" s="7" t="s">
        <v>97</v>
      </c>
      <c r="G2214" s="25" t="s">
        <v>3367</v>
      </c>
      <c r="H2214" s="29" t="s">
        <v>3368</v>
      </c>
      <c r="I2214" s="20">
        <v>0</v>
      </c>
      <c r="J2214" s="20">
        <v>25750</v>
      </c>
      <c r="K2214" s="20" t="s">
        <v>3339</v>
      </c>
      <c r="L2214" s="20" t="s">
        <v>3339</v>
      </c>
      <c r="M2214" s="20" t="s">
        <v>3339</v>
      </c>
      <c r="N2214" s="20">
        <v>0</v>
      </c>
      <c r="O2214" s="75" t="s">
        <v>3339</v>
      </c>
      <c r="P2214" s="76">
        <v>69.448999999999998</v>
      </c>
      <c r="Q2214" s="27" t="s">
        <v>186</v>
      </c>
    </row>
    <row r="2215" spans="1:17" ht="84" x14ac:dyDescent="0.25">
      <c r="A2215" s="23">
        <v>39316</v>
      </c>
      <c r="B2215" s="23">
        <f t="shared" si="9"/>
        <v>39316</v>
      </c>
      <c r="C2215" s="27">
        <v>2007</v>
      </c>
      <c r="D2215" s="351" t="s">
        <v>23</v>
      </c>
      <c r="E2215" s="14" t="s">
        <v>32</v>
      </c>
      <c r="F2215" s="7" t="s">
        <v>82</v>
      </c>
      <c r="G2215" s="25" t="s">
        <v>3369</v>
      </c>
      <c r="H2215" s="29" t="s">
        <v>3370</v>
      </c>
      <c r="I2215" s="20">
        <v>0</v>
      </c>
      <c r="J2215" s="20">
        <v>10022</v>
      </c>
      <c r="K2215" s="20" t="s">
        <v>3339</v>
      </c>
      <c r="L2215" s="20" t="s">
        <v>3339</v>
      </c>
      <c r="M2215" s="20" t="s">
        <v>3339</v>
      </c>
      <c r="N2215" s="20">
        <v>0</v>
      </c>
      <c r="O2215" s="75" t="s">
        <v>3339</v>
      </c>
      <c r="P2215" s="76">
        <v>193.851</v>
      </c>
      <c r="Q2215" s="27" t="s">
        <v>186</v>
      </c>
    </row>
    <row r="2216" spans="1:17" ht="60" x14ac:dyDescent="0.25">
      <c r="A2216" s="23">
        <v>39320</v>
      </c>
      <c r="B2216" s="23">
        <v>39320</v>
      </c>
      <c r="C2216" s="27">
        <v>2007</v>
      </c>
      <c r="D2216" s="351" t="s">
        <v>23</v>
      </c>
      <c r="E2216" s="22" t="s">
        <v>86</v>
      </c>
      <c r="F2216" s="7" t="s">
        <v>36</v>
      </c>
      <c r="G2216" s="25" t="s">
        <v>3371</v>
      </c>
      <c r="H2216" s="25" t="s">
        <v>3372</v>
      </c>
      <c r="I2216" s="20">
        <v>0</v>
      </c>
      <c r="J2216" s="20">
        <v>536</v>
      </c>
      <c r="K2216" s="20">
        <v>0</v>
      </c>
      <c r="L2216" s="20">
        <v>0</v>
      </c>
      <c r="M2216" s="20">
        <v>0</v>
      </c>
      <c r="N2216" s="20">
        <v>0</v>
      </c>
      <c r="O2216" s="75">
        <v>0</v>
      </c>
      <c r="P2216" s="76">
        <v>0</v>
      </c>
      <c r="Q2216" s="35" t="s">
        <v>154</v>
      </c>
    </row>
    <row r="2217" spans="1:17" ht="60" x14ac:dyDescent="0.25">
      <c r="A2217" s="23">
        <v>39321</v>
      </c>
      <c r="B2217" s="23">
        <v>39321</v>
      </c>
      <c r="C2217" s="27">
        <v>2007</v>
      </c>
      <c r="D2217" s="351" t="s">
        <v>23</v>
      </c>
      <c r="E2217" s="22" t="s">
        <v>86</v>
      </c>
      <c r="F2217" s="7" t="s">
        <v>58</v>
      </c>
      <c r="G2217" s="25" t="s">
        <v>3373</v>
      </c>
      <c r="H2217" s="25" t="s">
        <v>3374</v>
      </c>
      <c r="I2217" s="20">
        <v>0</v>
      </c>
      <c r="J2217" s="20">
        <v>199</v>
      </c>
      <c r="K2217" s="20">
        <v>35</v>
      </c>
      <c r="L2217" s="20">
        <v>0</v>
      </c>
      <c r="M2217" s="20">
        <v>0</v>
      </c>
      <c r="N2217" s="20">
        <v>0</v>
      </c>
      <c r="O2217" s="75">
        <v>0</v>
      </c>
      <c r="P2217" s="76">
        <v>0.16</v>
      </c>
      <c r="Q2217" s="35" t="s">
        <v>154</v>
      </c>
    </row>
    <row r="2218" spans="1:17" ht="48" x14ac:dyDescent="0.25">
      <c r="A2218" s="23">
        <v>39321</v>
      </c>
      <c r="B2218" s="23">
        <v>39321</v>
      </c>
      <c r="C2218" s="27">
        <v>2007</v>
      </c>
      <c r="D2218" s="351" t="s">
        <v>23</v>
      </c>
      <c r="E2218" s="22" t="s">
        <v>86</v>
      </c>
      <c r="F2218" s="7" t="s">
        <v>82</v>
      </c>
      <c r="G2218" s="25" t="s">
        <v>3375</v>
      </c>
      <c r="H2218" s="25" t="s">
        <v>3376</v>
      </c>
      <c r="I2218" s="20">
        <v>0</v>
      </c>
      <c r="J2218" s="20">
        <v>27</v>
      </c>
      <c r="K2218" s="20">
        <v>5</v>
      </c>
      <c r="L2218" s="20">
        <v>0</v>
      </c>
      <c r="M2218" s="20">
        <v>0</v>
      </c>
      <c r="N2218" s="20">
        <v>0</v>
      </c>
      <c r="O2218" s="75">
        <v>0</v>
      </c>
      <c r="P2218" s="76">
        <v>2.3E-2</v>
      </c>
      <c r="Q2218" s="35" t="s">
        <v>154</v>
      </c>
    </row>
    <row r="2219" spans="1:17" ht="48" x14ac:dyDescent="0.25">
      <c r="A2219" s="23">
        <v>39322</v>
      </c>
      <c r="B2219" s="23">
        <v>39322</v>
      </c>
      <c r="C2219" s="27">
        <v>2007</v>
      </c>
      <c r="D2219" s="351" t="s">
        <v>23</v>
      </c>
      <c r="E2219" s="22" t="s">
        <v>86</v>
      </c>
      <c r="F2219" s="7" t="s">
        <v>65</v>
      </c>
      <c r="G2219" s="25" t="s">
        <v>3377</v>
      </c>
      <c r="H2219" s="25" t="s">
        <v>3378</v>
      </c>
      <c r="I2219" s="20">
        <v>0</v>
      </c>
      <c r="J2219" s="20">
        <v>75</v>
      </c>
      <c r="K2219" s="20">
        <v>15</v>
      </c>
      <c r="L2219" s="20">
        <v>0</v>
      </c>
      <c r="M2219" s="20">
        <v>0</v>
      </c>
      <c r="N2219" s="20">
        <v>0</v>
      </c>
      <c r="O2219" s="75">
        <v>0</v>
      </c>
      <c r="P2219" s="76">
        <v>6.9000000000000006E-2</v>
      </c>
      <c r="Q2219" s="35" t="s">
        <v>154</v>
      </c>
    </row>
    <row r="2220" spans="1:17" ht="48" x14ac:dyDescent="0.25">
      <c r="A2220" s="23">
        <v>39322</v>
      </c>
      <c r="B2220" s="23">
        <v>39322</v>
      </c>
      <c r="C2220" s="27">
        <v>2007</v>
      </c>
      <c r="D2220" s="351" t="s">
        <v>23</v>
      </c>
      <c r="E2220" s="22" t="s">
        <v>86</v>
      </c>
      <c r="F2220" s="7" t="s">
        <v>56</v>
      </c>
      <c r="G2220" s="25" t="s">
        <v>3379</v>
      </c>
      <c r="H2220" s="25" t="s">
        <v>3380</v>
      </c>
      <c r="I2220" s="20">
        <v>0</v>
      </c>
      <c r="J2220" s="20">
        <v>560</v>
      </c>
      <c r="K2220" s="20">
        <v>50</v>
      </c>
      <c r="L2220" s="20">
        <v>0</v>
      </c>
      <c r="M2220" s="20">
        <v>0</v>
      </c>
      <c r="N2220" s="20">
        <v>0</v>
      </c>
      <c r="O2220" s="75">
        <v>0</v>
      </c>
      <c r="P2220" s="76">
        <v>0.1</v>
      </c>
      <c r="Q2220" s="35" t="s">
        <v>154</v>
      </c>
    </row>
    <row r="2221" spans="1:17" ht="48" x14ac:dyDescent="0.25">
      <c r="A2221" s="23">
        <v>39324</v>
      </c>
      <c r="B2221" s="23">
        <v>39324</v>
      </c>
      <c r="C2221" s="27">
        <v>2007</v>
      </c>
      <c r="D2221" s="351" t="s">
        <v>23</v>
      </c>
      <c r="E2221" s="22" t="s">
        <v>86</v>
      </c>
      <c r="F2221" s="7" t="s">
        <v>56</v>
      </c>
      <c r="G2221" s="25" t="s">
        <v>3381</v>
      </c>
      <c r="H2221" s="25" t="s">
        <v>3382</v>
      </c>
      <c r="I2221" s="20">
        <v>0</v>
      </c>
      <c r="J2221" s="20">
        <v>429</v>
      </c>
      <c r="K2221" s="20">
        <v>121</v>
      </c>
      <c r="L2221" s="20">
        <v>0</v>
      </c>
      <c r="M2221" s="20">
        <v>0</v>
      </c>
      <c r="N2221" s="20">
        <v>0</v>
      </c>
      <c r="O2221" s="75">
        <v>0</v>
      </c>
      <c r="P2221" s="76">
        <v>0.24199999999999999</v>
      </c>
      <c r="Q2221" s="35" t="s">
        <v>154</v>
      </c>
    </row>
    <row r="2222" spans="1:17" ht="48" x14ac:dyDescent="0.25">
      <c r="A2222" s="23">
        <v>39324</v>
      </c>
      <c r="B2222" s="23">
        <v>39324</v>
      </c>
      <c r="C2222" s="27">
        <v>2007</v>
      </c>
      <c r="D2222" s="351" t="s">
        <v>23</v>
      </c>
      <c r="E2222" s="22" t="s">
        <v>86</v>
      </c>
      <c r="F2222" s="7" t="s">
        <v>82</v>
      </c>
      <c r="G2222" s="25" t="s">
        <v>805</v>
      </c>
      <c r="H2222" s="25" t="s">
        <v>3383</v>
      </c>
      <c r="I2222" s="20">
        <v>0</v>
      </c>
      <c r="J2222" s="20">
        <v>400</v>
      </c>
      <c r="K2222" s="20">
        <v>0</v>
      </c>
      <c r="L2222" s="20">
        <v>0</v>
      </c>
      <c r="M2222" s="20">
        <v>0</v>
      </c>
      <c r="N2222" s="20">
        <v>0</v>
      </c>
      <c r="O2222" s="75">
        <v>0</v>
      </c>
      <c r="P2222" s="76">
        <v>0</v>
      </c>
      <c r="Q2222" s="35" t="s">
        <v>154</v>
      </c>
    </row>
    <row r="2223" spans="1:17" x14ac:dyDescent="0.25">
      <c r="A2223" s="23">
        <v>39327</v>
      </c>
      <c r="B2223" s="23">
        <v>39327</v>
      </c>
      <c r="C2223" s="27">
        <v>2007</v>
      </c>
      <c r="D2223" s="351" t="s">
        <v>23</v>
      </c>
      <c r="E2223" s="22" t="s">
        <v>86</v>
      </c>
      <c r="F2223" s="7" t="s">
        <v>62</v>
      </c>
      <c r="G2223" s="25" t="s">
        <v>3384</v>
      </c>
      <c r="H2223" s="25" t="s">
        <v>3385</v>
      </c>
      <c r="I2223" s="20">
        <v>0</v>
      </c>
      <c r="J2223" s="20">
        <v>500</v>
      </c>
      <c r="K2223" s="20">
        <v>50</v>
      </c>
      <c r="L2223" s="20">
        <v>0</v>
      </c>
      <c r="M2223" s="20">
        <v>0</v>
      </c>
      <c r="N2223" s="20">
        <v>0</v>
      </c>
      <c r="O2223" s="75">
        <v>0</v>
      </c>
      <c r="P2223" s="76">
        <v>0.1</v>
      </c>
      <c r="Q2223" s="35" t="s">
        <v>154</v>
      </c>
    </row>
    <row r="2224" spans="1:17" ht="24" x14ac:dyDescent="0.25">
      <c r="A2224" s="23">
        <v>39327</v>
      </c>
      <c r="B2224" s="23">
        <v>39327</v>
      </c>
      <c r="C2224" s="27">
        <v>2007</v>
      </c>
      <c r="D2224" s="351" t="s">
        <v>23</v>
      </c>
      <c r="E2224" s="22" t="s">
        <v>86</v>
      </c>
      <c r="F2224" s="7" t="s">
        <v>91</v>
      </c>
      <c r="G2224" s="25" t="s">
        <v>3386</v>
      </c>
      <c r="H2224" s="25" t="s">
        <v>3387</v>
      </c>
      <c r="I2224" s="20">
        <v>3</v>
      </c>
      <c r="J2224" s="20">
        <v>3</v>
      </c>
      <c r="K2224" s="20">
        <v>0</v>
      </c>
      <c r="L2224" s="20">
        <v>0</v>
      </c>
      <c r="M2224" s="20">
        <v>0</v>
      </c>
      <c r="N2224" s="20">
        <v>0</v>
      </c>
      <c r="O2224" s="75">
        <v>0</v>
      </c>
      <c r="P2224" s="76">
        <v>0</v>
      </c>
      <c r="Q2224" s="35" t="s">
        <v>154</v>
      </c>
    </row>
    <row r="2225" spans="1:17" ht="36" x14ac:dyDescent="0.25">
      <c r="A2225" s="23">
        <v>39320</v>
      </c>
      <c r="B2225" s="23">
        <v>39328</v>
      </c>
      <c r="C2225" s="27">
        <v>2007</v>
      </c>
      <c r="D2225" s="351" t="s">
        <v>23</v>
      </c>
      <c r="E2225" s="22" t="s">
        <v>86</v>
      </c>
      <c r="F2225" s="7" t="s">
        <v>91</v>
      </c>
      <c r="G2225" s="25" t="s">
        <v>3388</v>
      </c>
      <c r="H2225" s="25" t="s">
        <v>3389</v>
      </c>
      <c r="I2225" s="20">
        <v>0</v>
      </c>
      <c r="J2225" s="20">
        <v>175</v>
      </c>
      <c r="K2225" s="20">
        <v>0</v>
      </c>
      <c r="L2225" s="20">
        <v>0</v>
      </c>
      <c r="M2225" s="20">
        <v>0</v>
      </c>
      <c r="N2225" s="20">
        <v>0</v>
      </c>
      <c r="O2225" s="75">
        <v>501.45</v>
      </c>
      <c r="P2225" s="76">
        <v>0.40600000000000003</v>
      </c>
      <c r="Q2225" s="27" t="s">
        <v>3328</v>
      </c>
    </row>
    <row r="2226" spans="1:17" ht="36" x14ac:dyDescent="0.25">
      <c r="A2226" s="23">
        <v>39318</v>
      </c>
      <c r="B2226" s="23">
        <v>39328</v>
      </c>
      <c r="C2226" s="27">
        <v>2007</v>
      </c>
      <c r="D2226" s="351" t="s">
        <v>23</v>
      </c>
      <c r="E2226" s="22" t="s">
        <v>86</v>
      </c>
      <c r="F2226" s="7" t="s">
        <v>91</v>
      </c>
      <c r="G2226" s="25" t="s">
        <v>3390</v>
      </c>
      <c r="H2226" s="25" t="s">
        <v>3391</v>
      </c>
      <c r="I2226" s="20">
        <v>0</v>
      </c>
      <c r="J2226" s="20">
        <v>1254</v>
      </c>
      <c r="K2226" s="20">
        <v>0</v>
      </c>
      <c r="L2226" s="20">
        <v>0</v>
      </c>
      <c r="M2226" s="20">
        <v>0</v>
      </c>
      <c r="N2226" s="20">
        <v>0</v>
      </c>
      <c r="O2226" s="75">
        <v>4689.2700000000004</v>
      </c>
      <c r="P2226" s="76">
        <v>3.7509999999999999</v>
      </c>
      <c r="Q2226" s="27" t="s">
        <v>3328</v>
      </c>
    </row>
    <row r="2227" spans="1:17" ht="48" x14ac:dyDescent="0.25">
      <c r="A2227" s="23">
        <v>39326</v>
      </c>
      <c r="B2227" s="23">
        <v>39328</v>
      </c>
      <c r="C2227" s="27">
        <v>2007</v>
      </c>
      <c r="D2227" s="351" t="s">
        <v>23</v>
      </c>
      <c r="E2227" s="14" t="s">
        <v>52</v>
      </c>
      <c r="F2227" s="7" t="s">
        <v>82</v>
      </c>
      <c r="G2227" s="25" t="s">
        <v>26</v>
      </c>
      <c r="H2227" s="25" t="s">
        <v>3392</v>
      </c>
      <c r="I2227" s="20">
        <v>0</v>
      </c>
      <c r="J2227" s="20">
        <v>2489</v>
      </c>
      <c r="K2227" s="20">
        <v>0</v>
      </c>
      <c r="L2227" s="20">
        <v>0</v>
      </c>
      <c r="M2227" s="20">
        <v>0</v>
      </c>
      <c r="N2227" s="20">
        <v>0</v>
      </c>
      <c r="O2227" s="75">
        <v>3438.88</v>
      </c>
      <c r="P2227" s="76">
        <v>3.339</v>
      </c>
      <c r="Q2227" s="27" t="s">
        <v>3328</v>
      </c>
    </row>
    <row r="2228" spans="1:17" ht="24" x14ac:dyDescent="0.25">
      <c r="A2228" s="23">
        <v>39329</v>
      </c>
      <c r="B2228" s="23">
        <v>39329</v>
      </c>
      <c r="C2228" s="27">
        <v>2007</v>
      </c>
      <c r="D2228" s="351" t="s">
        <v>23</v>
      </c>
      <c r="E2228" s="22" t="s">
        <v>86</v>
      </c>
      <c r="F2228" s="7" t="s">
        <v>56</v>
      </c>
      <c r="G2228" s="25" t="s">
        <v>1160</v>
      </c>
      <c r="H2228" s="25" t="s">
        <v>3393</v>
      </c>
      <c r="I2228" s="20">
        <v>0</v>
      </c>
      <c r="J2228" s="20">
        <v>300</v>
      </c>
      <c r="K2228" s="20">
        <v>60</v>
      </c>
      <c r="L2228" s="20">
        <v>0</v>
      </c>
      <c r="M2228" s="20">
        <v>0</v>
      </c>
      <c r="N2228" s="20">
        <v>0</v>
      </c>
      <c r="O2228" s="75">
        <v>0</v>
      </c>
      <c r="P2228" s="76">
        <v>0.12</v>
      </c>
      <c r="Q2228" s="35" t="s">
        <v>154</v>
      </c>
    </row>
    <row r="2229" spans="1:17" ht="60" x14ac:dyDescent="0.25">
      <c r="A2229" s="23">
        <v>39329</v>
      </c>
      <c r="B2229" s="23">
        <v>39329</v>
      </c>
      <c r="C2229" s="27">
        <v>2007</v>
      </c>
      <c r="D2229" s="351" t="s">
        <v>23</v>
      </c>
      <c r="E2229" s="14" t="s">
        <v>32</v>
      </c>
      <c r="F2229" s="7" t="s">
        <v>60</v>
      </c>
      <c r="G2229" s="25" t="s">
        <v>3394</v>
      </c>
      <c r="H2229" s="25" t="s">
        <v>3395</v>
      </c>
      <c r="I2229" s="20">
        <v>0</v>
      </c>
      <c r="J2229" s="20">
        <v>5720</v>
      </c>
      <c r="K2229" s="20">
        <v>1144</v>
      </c>
      <c r="L2229" s="20">
        <v>3</v>
      </c>
      <c r="M2229" s="20">
        <v>0</v>
      </c>
      <c r="N2229" s="20">
        <v>0</v>
      </c>
      <c r="O2229" s="75">
        <v>0</v>
      </c>
      <c r="P2229" s="76">
        <v>91.7</v>
      </c>
      <c r="Q2229" s="27" t="s">
        <v>186</v>
      </c>
    </row>
    <row r="2230" spans="1:17" ht="48" x14ac:dyDescent="0.25">
      <c r="A2230" s="23">
        <v>39329</v>
      </c>
      <c r="B2230" s="23">
        <v>39329</v>
      </c>
      <c r="C2230" s="27">
        <v>2007</v>
      </c>
      <c r="D2230" s="351" t="s">
        <v>23</v>
      </c>
      <c r="E2230" s="14" t="s">
        <v>32</v>
      </c>
      <c r="F2230" s="7" t="s">
        <v>33</v>
      </c>
      <c r="G2230" s="29" t="s">
        <v>3396</v>
      </c>
      <c r="H2230" s="25" t="s">
        <v>3397</v>
      </c>
      <c r="I2230" s="20">
        <v>1</v>
      </c>
      <c r="J2230" s="20">
        <v>57000</v>
      </c>
      <c r="K2230" s="20">
        <v>2200</v>
      </c>
      <c r="L2230" s="20">
        <v>0</v>
      </c>
      <c r="M2230" s="20">
        <v>0</v>
      </c>
      <c r="N2230" s="20">
        <v>0</v>
      </c>
      <c r="O2230" s="75">
        <v>0</v>
      </c>
      <c r="P2230" s="76">
        <v>442.5</v>
      </c>
      <c r="Q2230" s="27" t="s">
        <v>186</v>
      </c>
    </row>
    <row r="2231" spans="1:17" ht="48" x14ac:dyDescent="0.25">
      <c r="A2231" s="23">
        <v>39329</v>
      </c>
      <c r="B2231" s="23">
        <f>A2231</f>
        <v>39329</v>
      </c>
      <c r="C2231" s="27">
        <v>2007</v>
      </c>
      <c r="D2231" s="351" t="s">
        <v>23</v>
      </c>
      <c r="E2231" s="14" t="s">
        <v>32</v>
      </c>
      <c r="F2231" s="7" t="s">
        <v>87</v>
      </c>
      <c r="G2231" s="25" t="s">
        <v>26</v>
      </c>
      <c r="H2231" s="25" t="s">
        <v>3398</v>
      </c>
      <c r="I2231" s="20">
        <v>2</v>
      </c>
      <c r="J2231" s="20">
        <v>85020</v>
      </c>
      <c r="K2231" s="20">
        <v>1750</v>
      </c>
      <c r="L2231" s="20">
        <v>109</v>
      </c>
      <c r="M2231" s="20" t="s">
        <v>110</v>
      </c>
      <c r="N2231" s="20">
        <v>0</v>
      </c>
      <c r="O2231" s="75">
        <v>0</v>
      </c>
      <c r="P2231" s="76">
        <v>362.4</v>
      </c>
      <c r="Q2231" s="27" t="s">
        <v>186</v>
      </c>
    </row>
    <row r="2232" spans="1:17" ht="36" x14ac:dyDescent="0.25">
      <c r="A2232" s="23">
        <v>39330</v>
      </c>
      <c r="B2232" s="23">
        <v>39330</v>
      </c>
      <c r="C2232" s="27">
        <v>2007</v>
      </c>
      <c r="D2232" s="351" t="s">
        <v>23</v>
      </c>
      <c r="E2232" s="22" t="s">
        <v>86</v>
      </c>
      <c r="F2232" s="7" t="s">
        <v>56</v>
      </c>
      <c r="G2232" s="25" t="s">
        <v>3399</v>
      </c>
      <c r="H2232" s="25" t="s">
        <v>3400</v>
      </c>
      <c r="I2232" s="20">
        <v>0</v>
      </c>
      <c r="J2232" s="20">
        <v>50</v>
      </c>
      <c r="K2232" s="20">
        <v>50</v>
      </c>
      <c r="L2232" s="20">
        <v>0</v>
      </c>
      <c r="M2232" s="20">
        <v>0</v>
      </c>
      <c r="N2232" s="20">
        <v>0</v>
      </c>
      <c r="O2232" s="75">
        <v>0</v>
      </c>
      <c r="P2232" s="76">
        <v>0.1</v>
      </c>
      <c r="Q2232" s="35" t="s">
        <v>154</v>
      </c>
    </row>
    <row r="2233" spans="1:17" ht="84" x14ac:dyDescent="0.25">
      <c r="A2233" s="118">
        <v>39324</v>
      </c>
      <c r="B2233" s="118">
        <v>39329</v>
      </c>
      <c r="C2233" s="27">
        <v>2007</v>
      </c>
      <c r="D2233" s="351" t="s">
        <v>23</v>
      </c>
      <c r="E2233" s="22" t="s">
        <v>86</v>
      </c>
      <c r="F2233" s="28" t="s">
        <v>210</v>
      </c>
      <c r="G2233" s="25" t="s">
        <v>3401</v>
      </c>
      <c r="H2233" s="29" t="s">
        <v>3402</v>
      </c>
      <c r="I2233" s="20">
        <v>0</v>
      </c>
      <c r="J2233" s="20">
        <v>68370</v>
      </c>
      <c r="K2233" s="20">
        <v>13674</v>
      </c>
      <c r="L2233" s="20">
        <v>4</v>
      </c>
      <c r="M2233" s="20" t="s">
        <v>3339</v>
      </c>
      <c r="N2233" s="20">
        <v>0</v>
      </c>
      <c r="O2233" s="75" t="s">
        <v>3339</v>
      </c>
      <c r="P2233" s="76">
        <v>367.96499999999997</v>
      </c>
      <c r="Q2233" s="27" t="s">
        <v>186</v>
      </c>
    </row>
    <row r="2234" spans="1:17" ht="60" x14ac:dyDescent="0.25">
      <c r="A2234" s="23">
        <v>39326</v>
      </c>
      <c r="B2234" s="23">
        <v>39330</v>
      </c>
      <c r="C2234" s="27">
        <v>2007</v>
      </c>
      <c r="D2234" s="351" t="s">
        <v>23</v>
      </c>
      <c r="E2234" s="22" t="s">
        <v>86</v>
      </c>
      <c r="F2234" s="7" t="s">
        <v>82</v>
      </c>
      <c r="G2234" s="25" t="s">
        <v>3403</v>
      </c>
      <c r="H2234" s="29" t="s">
        <v>3404</v>
      </c>
      <c r="I2234" s="20">
        <v>0</v>
      </c>
      <c r="J2234" s="20">
        <v>1384</v>
      </c>
      <c r="K2234" s="20" t="s">
        <v>3339</v>
      </c>
      <c r="L2234" s="20" t="s">
        <v>3339</v>
      </c>
      <c r="M2234" s="20" t="s">
        <v>3339</v>
      </c>
      <c r="N2234" s="20">
        <v>0</v>
      </c>
      <c r="O2234" s="75" t="s">
        <v>110</v>
      </c>
      <c r="P2234" s="76">
        <v>194.52099999999999</v>
      </c>
      <c r="Q2234" s="27" t="s">
        <v>186</v>
      </c>
    </row>
    <row r="2235" spans="1:17" ht="60" x14ac:dyDescent="0.25">
      <c r="A2235" s="23">
        <v>39330</v>
      </c>
      <c r="B2235" s="23">
        <v>39330</v>
      </c>
      <c r="C2235" s="27">
        <v>2007</v>
      </c>
      <c r="D2235" s="351" t="s">
        <v>23</v>
      </c>
      <c r="E2235" s="22" t="s">
        <v>86</v>
      </c>
      <c r="F2235" s="7" t="s">
        <v>84</v>
      </c>
      <c r="G2235" s="25" t="s">
        <v>3405</v>
      </c>
      <c r="H2235" s="25" t="s">
        <v>3406</v>
      </c>
      <c r="I2235" s="20">
        <v>0</v>
      </c>
      <c r="J2235" s="20">
        <v>60040</v>
      </c>
      <c r="K2235" s="20" t="s">
        <v>3339</v>
      </c>
      <c r="L2235" s="20">
        <v>0</v>
      </c>
      <c r="M2235" s="20">
        <v>0</v>
      </c>
      <c r="N2235" s="20">
        <v>0</v>
      </c>
      <c r="O2235" s="75">
        <v>0</v>
      </c>
      <c r="P2235" s="76">
        <v>201.8</v>
      </c>
      <c r="Q2235" s="27" t="s">
        <v>186</v>
      </c>
    </row>
    <row r="2236" spans="1:17" ht="48" x14ac:dyDescent="0.25">
      <c r="A2236" s="23">
        <v>39331</v>
      </c>
      <c r="B2236" s="23">
        <v>39331</v>
      </c>
      <c r="C2236" s="27">
        <v>2007</v>
      </c>
      <c r="D2236" s="351" t="s">
        <v>23</v>
      </c>
      <c r="E2236" s="22" t="s">
        <v>86</v>
      </c>
      <c r="F2236" s="7" t="s">
        <v>62</v>
      </c>
      <c r="G2236" s="25" t="s">
        <v>3407</v>
      </c>
      <c r="H2236" s="25" t="s">
        <v>3408</v>
      </c>
      <c r="I2236" s="20">
        <v>2</v>
      </c>
      <c r="J2236" s="20">
        <v>2</v>
      </c>
      <c r="K2236" s="20">
        <v>0</v>
      </c>
      <c r="L2236" s="20">
        <v>0</v>
      </c>
      <c r="M2236" s="20">
        <v>0</v>
      </c>
      <c r="N2236" s="20">
        <v>0</v>
      </c>
      <c r="O2236" s="75">
        <v>0</v>
      </c>
      <c r="P2236" s="76">
        <v>0</v>
      </c>
      <c r="Q2236" s="35" t="s">
        <v>154</v>
      </c>
    </row>
    <row r="2237" spans="1:17" ht="60" x14ac:dyDescent="0.25">
      <c r="A2237" s="23">
        <v>39331</v>
      </c>
      <c r="B2237" s="23">
        <v>39331</v>
      </c>
      <c r="C2237" s="27">
        <v>2007</v>
      </c>
      <c r="D2237" s="351" t="s">
        <v>23</v>
      </c>
      <c r="E2237" s="22" t="s">
        <v>86</v>
      </c>
      <c r="F2237" s="7" t="s">
        <v>56</v>
      </c>
      <c r="G2237" s="25" t="s">
        <v>3399</v>
      </c>
      <c r="H2237" s="25" t="s">
        <v>3409</v>
      </c>
      <c r="I2237" s="20">
        <v>0</v>
      </c>
      <c r="J2237" s="20">
        <v>50</v>
      </c>
      <c r="K2237" s="20">
        <v>65</v>
      </c>
      <c r="L2237" s="20">
        <v>0</v>
      </c>
      <c r="M2237" s="20">
        <v>0</v>
      </c>
      <c r="N2237" s="20">
        <v>0</v>
      </c>
      <c r="O2237" s="75">
        <v>0</v>
      </c>
      <c r="P2237" s="76">
        <v>0.30299999999999999</v>
      </c>
      <c r="Q2237" s="35" t="s">
        <v>154</v>
      </c>
    </row>
    <row r="2238" spans="1:17" ht="96" x14ac:dyDescent="0.25">
      <c r="A2238" s="23">
        <v>39332</v>
      </c>
      <c r="B2238" s="23">
        <v>39332</v>
      </c>
      <c r="C2238" s="27">
        <v>2007</v>
      </c>
      <c r="D2238" s="351" t="s">
        <v>23</v>
      </c>
      <c r="E2238" s="22" t="s">
        <v>86</v>
      </c>
      <c r="F2238" s="7" t="s">
        <v>58</v>
      </c>
      <c r="G2238" s="25" t="s">
        <v>3410</v>
      </c>
      <c r="H2238" s="25" t="s">
        <v>3411</v>
      </c>
      <c r="I2238" s="20">
        <v>6</v>
      </c>
      <c r="J2238" s="20">
        <v>1066</v>
      </c>
      <c r="K2238" s="20">
        <v>2012</v>
      </c>
      <c r="L2238" s="20">
        <v>107</v>
      </c>
      <c r="M2238" s="20" t="s">
        <v>110</v>
      </c>
      <c r="N2238" s="20">
        <v>0</v>
      </c>
      <c r="O2238" s="75">
        <v>0</v>
      </c>
      <c r="P2238" s="76">
        <v>190.4</v>
      </c>
      <c r="Q2238" s="27" t="s">
        <v>186</v>
      </c>
    </row>
    <row r="2239" spans="1:17" ht="36" x14ac:dyDescent="0.25">
      <c r="A2239" s="23">
        <v>39333</v>
      </c>
      <c r="B2239" s="23">
        <v>39333</v>
      </c>
      <c r="C2239" s="27">
        <v>2007</v>
      </c>
      <c r="D2239" s="351" t="s">
        <v>23</v>
      </c>
      <c r="E2239" s="22" t="s">
        <v>86</v>
      </c>
      <c r="F2239" s="7" t="s">
        <v>62</v>
      </c>
      <c r="G2239" s="25" t="s">
        <v>3412</v>
      </c>
      <c r="H2239" s="25" t="s">
        <v>3413</v>
      </c>
      <c r="I2239" s="20">
        <v>0</v>
      </c>
      <c r="J2239" s="20">
        <v>243</v>
      </c>
      <c r="K2239" s="20">
        <v>0</v>
      </c>
      <c r="L2239" s="20">
        <v>0</v>
      </c>
      <c r="M2239" s="20">
        <v>0</v>
      </c>
      <c r="N2239" s="20">
        <v>0</v>
      </c>
      <c r="O2239" s="75">
        <v>0</v>
      </c>
      <c r="P2239" s="76">
        <v>0</v>
      </c>
      <c r="Q2239" s="35" t="s">
        <v>154</v>
      </c>
    </row>
    <row r="2240" spans="1:17" ht="72" x14ac:dyDescent="0.25">
      <c r="A2240" s="23">
        <v>39333</v>
      </c>
      <c r="B2240" s="23">
        <v>39333</v>
      </c>
      <c r="C2240" s="27">
        <v>2007</v>
      </c>
      <c r="D2240" s="351" t="s">
        <v>23</v>
      </c>
      <c r="E2240" s="22" t="s">
        <v>86</v>
      </c>
      <c r="F2240" s="7" t="s">
        <v>72</v>
      </c>
      <c r="G2240" s="25" t="s">
        <v>3414</v>
      </c>
      <c r="H2240" s="25" t="s">
        <v>3415</v>
      </c>
      <c r="I2240" s="20">
        <v>0</v>
      </c>
      <c r="J2240" s="20">
        <v>500</v>
      </c>
      <c r="K2240" s="20">
        <v>100</v>
      </c>
      <c r="L2240" s="20">
        <v>0</v>
      </c>
      <c r="M2240" s="20">
        <v>0</v>
      </c>
      <c r="N2240" s="20">
        <v>0</v>
      </c>
      <c r="O2240" s="75">
        <v>0</v>
      </c>
      <c r="P2240" s="76">
        <v>0.6</v>
      </c>
      <c r="Q2240" s="35" t="s">
        <v>154</v>
      </c>
    </row>
    <row r="2241" spans="1:17" ht="36" x14ac:dyDescent="0.25">
      <c r="A2241" s="23">
        <v>39335</v>
      </c>
      <c r="B2241" s="23">
        <v>39335</v>
      </c>
      <c r="C2241" s="27">
        <v>2007</v>
      </c>
      <c r="D2241" s="351" t="s">
        <v>23</v>
      </c>
      <c r="E2241" s="22" t="s">
        <v>86</v>
      </c>
      <c r="F2241" s="7" t="s">
        <v>82</v>
      </c>
      <c r="G2241" s="25" t="s">
        <v>3416</v>
      </c>
      <c r="H2241" s="25" t="s">
        <v>3417</v>
      </c>
      <c r="I2241" s="20">
        <v>0</v>
      </c>
      <c r="J2241" s="20">
        <v>1090</v>
      </c>
      <c r="K2241" s="20">
        <v>0</v>
      </c>
      <c r="L2241" s="20">
        <v>0</v>
      </c>
      <c r="M2241" s="20">
        <v>0</v>
      </c>
      <c r="N2241" s="20">
        <v>0</v>
      </c>
      <c r="O2241" s="75">
        <v>0</v>
      </c>
      <c r="P2241" s="76">
        <v>0</v>
      </c>
      <c r="Q2241" s="35" t="s">
        <v>154</v>
      </c>
    </row>
    <row r="2242" spans="1:17" ht="24" x14ac:dyDescent="0.25">
      <c r="A2242" s="23">
        <v>39337</v>
      </c>
      <c r="B2242" s="23">
        <v>39337</v>
      </c>
      <c r="C2242" s="27">
        <v>2007</v>
      </c>
      <c r="D2242" s="351" t="s">
        <v>23</v>
      </c>
      <c r="E2242" s="22" t="s">
        <v>86</v>
      </c>
      <c r="F2242" s="7" t="s">
        <v>60</v>
      </c>
      <c r="G2242" s="25" t="s">
        <v>3418</v>
      </c>
      <c r="H2242" s="25" t="s">
        <v>3419</v>
      </c>
      <c r="I2242" s="20">
        <v>0</v>
      </c>
      <c r="J2242" s="20">
        <v>1490</v>
      </c>
      <c r="K2242" s="20">
        <v>0</v>
      </c>
      <c r="L2242" s="20">
        <v>0</v>
      </c>
      <c r="M2242" s="20">
        <v>0</v>
      </c>
      <c r="N2242" s="20">
        <v>0</v>
      </c>
      <c r="O2242" s="75">
        <v>0</v>
      </c>
      <c r="P2242" s="76">
        <v>0</v>
      </c>
      <c r="Q2242" s="35" t="s">
        <v>154</v>
      </c>
    </row>
    <row r="2243" spans="1:17" ht="36" x14ac:dyDescent="0.25">
      <c r="A2243" s="23">
        <v>39337</v>
      </c>
      <c r="B2243" s="23">
        <v>39337</v>
      </c>
      <c r="C2243" s="27">
        <v>2007</v>
      </c>
      <c r="D2243" s="351" t="s">
        <v>23</v>
      </c>
      <c r="E2243" s="22" t="s">
        <v>86</v>
      </c>
      <c r="F2243" s="7" t="s">
        <v>87</v>
      </c>
      <c r="G2243" s="25" t="s">
        <v>3420</v>
      </c>
      <c r="H2243" s="25" t="s">
        <v>3421</v>
      </c>
      <c r="I2243" s="20">
        <v>0</v>
      </c>
      <c r="J2243" s="20">
        <v>65</v>
      </c>
      <c r="K2243" s="20">
        <v>13</v>
      </c>
      <c r="L2243" s="20">
        <v>0</v>
      </c>
      <c r="M2243" s="20">
        <v>0</v>
      </c>
      <c r="N2243" s="20">
        <v>0</v>
      </c>
      <c r="O2243" s="75">
        <v>0</v>
      </c>
      <c r="P2243" s="76">
        <v>2.5999999999999999E-2</v>
      </c>
      <c r="Q2243" s="35" t="s">
        <v>154</v>
      </c>
    </row>
    <row r="2244" spans="1:17" ht="84" x14ac:dyDescent="0.25">
      <c r="A2244" s="23">
        <v>39337</v>
      </c>
      <c r="B2244" s="23">
        <v>39337</v>
      </c>
      <c r="C2244" s="27">
        <v>2007</v>
      </c>
      <c r="D2244" s="351" t="s">
        <v>23</v>
      </c>
      <c r="E2244" s="22" t="s">
        <v>86</v>
      </c>
      <c r="F2244" s="28" t="s">
        <v>157</v>
      </c>
      <c r="G2244" s="25" t="s">
        <v>3422</v>
      </c>
      <c r="H2244" s="29" t="s">
        <v>3423</v>
      </c>
      <c r="I2244" s="20">
        <v>2</v>
      </c>
      <c r="J2244" s="20">
        <v>2</v>
      </c>
      <c r="K2244" s="20">
        <v>1</v>
      </c>
      <c r="L2244" s="20">
        <v>0</v>
      </c>
      <c r="M2244" s="20">
        <v>0</v>
      </c>
      <c r="N2244" s="20">
        <v>0</v>
      </c>
      <c r="O2244" s="75">
        <v>0</v>
      </c>
      <c r="P2244" s="76">
        <v>4.1000000000000002E-2</v>
      </c>
      <c r="Q2244" s="35" t="s">
        <v>154</v>
      </c>
    </row>
    <row r="2245" spans="1:17" ht="48" x14ac:dyDescent="0.25">
      <c r="A2245" s="23">
        <v>39338</v>
      </c>
      <c r="B2245" s="23">
        <v>39338</v>
      </c>
      <c r="C2245" s="27">
        <v>2007</v>
      </c>
      <c r="D2245" s="351" t="s">
        <v>23</v>
      </c>
      <c r="E2245" s="22" t="s">
        <v>86</v>
      </c>
      <c r="F2245" s="7" t="s">
        <v>91</v>
      </c>
      <c r="G2245" s="25" t="s">
        <v>3424</v>
      </c>
      <c r="H2245" s="25" t="s">
        <v>3425</v>
      </c>
      <c r="I2245" s="20">
        <v>2</v>
      </c>
      <c r="J2245" s="20">
        <v>2</v>
      </c>
      <c r="K2245" s="20">
        <v>0</v>
      </c>
      <c r="L2245" s="20">
        <v>0</v>
      </c>
      <c r="M2245" s="20">
        <v>0</v>
      </c>
      <c r="N2245" s="20">
        <v>0</v>
      </c>
      <c r="O2245" s="75">
        <v>0</v>
      </c>
      <c r="P2245" s="76">
        <v>0</v>
      </c>
      <c r="Q2245" s="35" t="s">
        <v>154</v>
      </c>
    </row>
    <row r="2246" spans="1:17" ht="48" x14ac:dyDescent="0.25">
      <c r="A2246" s="23">
        <v>39342</v>
      </c>
      <c r="B2246" s="23">
        <v>39342</v>
      </c>
      <c r="C2246" s="27">
        <v>2007</v>
      </c>
      <c r="D2246" s="351" t="s">
        <v>23</v>
      </c>
      <c r="E2246" s="22" t="s">
        <v>86</v>
      </c>
      <c r="F2246" s="7" t="s">
        <v>45</v>
      </c>
      <c r="G2246" s="25" t="s">
        <v>259</v>
      </c>
      <c r="H2246" s="25" t="s">
        <v>3426</v>
      </c>
      <c r="I2246" s="20">
        <v>0</v>
      </c>
      <c r="J2246" s="20">
        <v>130</v>
      </c>
      <c r="K2246" s="20">
        <v>26</v>
      </c>
      <c r="L2246" s="20">
        <v>0</v>
      </c>
      <c r="M2246" s="20">
        <v>0</v>
      </c>
      <c r="N2246" s="20">
        <v>0</v>
      </c>
      <c r="O2246" s="75">
        <v>0</v>
      </c>
      <c r="P2246" s="76">
        <v>0.121</v>
      </c>
      <c r="Q2246" s="35" t="s">
        <v>154</v>
      </c>
    </row>
    <row r="2247" spans="1:17" ht="60" x14ac:dyDescent="0.25">
      <c r="A2247" s="23">
        <v>39344</v>
      </c>
      <c r="B2247" s="23">
        <v>39344</v>
      </c>
      <c r="C2247" s="27">
        <v>2007</v>
      </c>
      <c r="D2247" s="351" t="s">
        <v>23</v>
      </c>
      <c r="E2247" s="22" t="s">
        <v>86</v>
      </c>
      <c r="F2247" s="7" t="s">
        <v>58</v>
      </c>
      <c r="G2247" s="25" t="s">
        <v>3427</v>
      </c>
      <c r="H2247" s="25" t="s">
        <v>3428</v>
      </c>
      <c r="I2247" s="20">
        <v>0</v>
      </c>
      <c r="J2247" s="20">
        <v>160</v>
      </c>
      <c r="K2247" s="20">
        <v>45</v>
      </c>
      <c r="L2247" s="20">
        <v>0</v>
      </c>
      <c r="M2247" s="20">
        <v>0</v>
      </c>
      <c r="N2247" s="20">
        <v>0</v>
      </c>
      <c r="O2247" s="75">
        <v>0</v>
      </c>
      <c r="P2247" s="76">
        <v>0.21</v>
      </c>
      <c r="Q2247" s="35" t="s">
        <v>154</v>
      </c>
    </row>
    <row r="2248" spans="1:17" ht="84" x14ac:dyDescent="0.25">
      <c r="A2248" s="23">
        <v>39353</v>
      </c>
      <c r="B2248" s="23">
        <v>39353</v>
      </c>
      <c r="C2248" s="27">
        <v>2007</v>
      </c>
      <c r="D2248" s="351" t="s">
        <v>23</v>
      </c>
      <c r="E2248" s="14" t="s">
        <v>32</v>
      </c>
      <c r="F2248" s="7" t="s">
        <v>75</v>
      </c>
      <c r="G2248" s="25" t="s">
        <v>3429</v>
      </c>
      <c r="H2248" s="29" t="s">
        <v>3430</v>
      </c>
      <c r="I2248" s="20">
        <v>6</v>
      </c>
      <c r="J2248" s="20">
        <v>566</v>
      </c>
      <c r="K2248" s="20" t="s">
        <v>3339</v>
      </c>
      <c r="L2248" s="20" t="s">
        <v>3339</v>
      </c>
      <c r="M2248" s="20">
        <v>0</v>
      </c>
      <c r="N2248" s="20">
        <v>0</v>
      </c>
      <c r="O2248" s="75">
        <v>0</v>
      </c>
      <c r="P2248" s="76">
        <v>105.34099999999999</v>
      </c>
      <c r="Q2248" s="27" t="s">
        <v>186</v>
      </c>
    </row>
    <row r="2249" spans="1:17" ht="60" x14ac:dyDescent="0.25">
      <c r="A2249" s="23">
        <v>39353</v>
      </c>
      <c r="B2249" s="23">
        <v>39353</v>
      </c>
      <c r="C2249" s="27">
        <v>2007</v>
      </c>
      <c r="D2249" s="351" t="s">
        <v>23</v>
      </c>
      <c r="E2249" s="14" t="s">
        <v>32</v>
      </c>
      <c r="F2249" s="28" t="s">
        <v>160</v>
      </c>
      <c r="G2249" s="25" t="s">
        <v>3431</v>
      </c>
      <c r="H2249" s="29" t="s">
        <v>3432</v>
      </c>
      <c r="I2249" s="20">
        <v>0</v>
      </c>
      <c r="J2249" s="20">
        <v>164</v>
      </c>
      <c r="K2249" s="20" t="s">
        <v>3339</v>
      </c>
      <c r="L2249" s="20" t="s">
        <v>3339</v>
      </c>
      <c r="M2249" s="20" t="s">
        <v>3339</v>
      </c>
      <c r="N2249" s="20">
        <v>0</v>
      </c>
      <c r="O2249" s="75" t="s">
        <v>3339</v>
      </c>
      <c r="P2249" s="76">
        <v>156.358</v>
      </c>
      <c r="Q2249" s="27" t="s">
        <v>186</v>
      </c>
    </row>
    <row r="2250" spans="1:17" ht="36" x14ac:dyDescent="0.25">
      <c r="A2250" s="23">
        <v>39359</v>
      </c>
      <c r="B2250" s="23">
        <v>39359</v>
      </c>
      <c r="C2250" s="27">
        <v>2007</v>
      </c>
      <c r="D2250" s="351" t="s">
        <v>23</v>
      </c>
      <c r="E2250" s="22" t="s">
        <v>86</v>
      </c>
      <c r="F2250" s="7" t="s">
        <v>60</v>
      </c>
      <c r="G2250" s="25" t="s">
        <v>908</v>
      </c>
      <c r="H2250" s="25" t="s">
        <v>3433</v>
      </c>
      <c r="I2250" s="20">
        <v>1</v>
      </c>
      <c r="J2250" s="20">
        <v>1</v>
      </c>
      <c r="K2250" s="20">
        <v>0</v>
      </c>
      <c r="L2250" s="20">
        <v>0</v>
      </c>
      <c r="M2250" s="20">
        <v>0</v>
      </c>
      <c r="N2250" s="20">
        <v>0</v>
      </c>
      <c r="O2250" s="75">
        <v>0</v>
      </c>
      <c r="P2250" s="76">
        <v>0</v>
      </c>
      <c r="Q2250" s="35" t="s">
        <v>154</v>
      </c>
    </row>
    <row r="2251" spans="1:17" ht="132" x14ac:dyDescent="0.25">
      <c r="A2251" s="23">
        <v>39364</v>
      </c>
      <c r="B2251" s="23">
        <v>39364</v>
      </c>
      <c r="C2251" s="27">
        <v>2007</v>
      </c>
      <c r="D2251" s="351" t="s">
        <v>23</v>
      </c>
      <c r="E2251" s="22" t="s">
        <v>86</v>
      </c>
      <c r="F2251" s="28" t="s">
        <v>210</v>
      </c>
      <c r="G2251" s="25" t="s">
        <v>3434</v>
      </c>
      <c r="H2251" s="29" t="s">
        <v>3435</v>
      </c>
      <c r="I2251" s="20">
        <v>0</v>
      </c>
      <c r="J2251" s="20">
        <v>11600</v>
      </c>
      <c r="K2251" s="20">
        <v>6906</v>
      </c>
      <c r="L2251" s="20">
        <v>33</v>
      </c>
      <c r="M2251" s="20">
        <v>0</v>
      </c>
      <c r="N2251" s="20">
        <v>0</v>
      </c>
      <c r="O2251" s="75">
        <v>0</v>
      </c>
      <c r="P2251" s="76">
        <v>445.41199999999998</v>
      </c>
      <c r="Q2251" s="27" t="s">
        <v>186</v>
      </c>
    </row>
    <row r="2252" spans="1:17" ht="36" x14ac:dyDescent="0.25">
      <c r="A2252" s="23">
        <v>39365</v>
      </c>
      <c r="B2252" s="23">
        <v>39365</v>
      </c>
      <c r="C2252" s="27">
        <v>2007</v>
      </c>
      <c r="D2252" s="351" t="s">
        <v>23</v>
      </c>
      <c r="E2252" s="22" t="s">
        <v>86</v>
      </c>
      <c r="F2252" s="7" t="s">
        <v>58</v>
      </c>
      <c r="G2252" s="25" t="s">
        <v>168</v>
      </c>
      <c r="H2252" s="25" t="s">
        <v>3436</v>
      </c>
      <c r="I2252" s="20">
        <v>0</v>
      </c>
      <c r="J2252" s="20">
        <v>35</v>
      </c>
      <c r="K2252" s="20">
        <v>7</v>
      </c>
      <c r="L2252" s="20">
        <v>0</v>
      </c>
      <c r="M2252" s="20">
        <v>0</v>
      </c>
      <c r="N2252" s="20">
        <v>0</v>
      </c>
      <c r="O2252" s="75">
        <v>0</v>
      </c>
      <c r="P2252" s="76">
        <v>0.03</v>
      </c>
      <c r="Q2252" s="35" t="s">
        <v>154</v>
      </c>
    </row>
    <row r="2253" spans="1:17" ht="36" x14ac:dyDescent="0.25">
      <c r="A2253" s="23">
        <v>39365</v>
      </c>
      <c r="B2253" s="23">
        <v>39365</v>
      </c>
      <c r="C2253" s="27">
        <v>2007</v>
      </c>
      <c r="D2253" s="351" t="s">
        <v>23</v>
      </c>
      <c r="E2253" s="22" t="s">
        <v>86</v>
      </c>
      <c r="F2253" s="7" t="s">
        <v>77</v>
      </c>
      <c r="G2253" s="25" t="s">
        <v>3437</v>
      </c>
      <c r="H2253" s="25" t="s">
        <v>3438</v>
      </c>
      <c r="I2253" s="20">
        <v>0</v>
      </c>
      <c r="J2253" s="20">
        <v>19</v>
      </c>
      <c r="K2253" s="20">
        <v>0</v>
      </c>
      <c r="L2253" s="20">
        <v>0</v>
      </c>
      <c r="M2253" s="20">
        <v>0</v>
      </c>
      <c r="N2253" s="20">
        <v>0</v>
      </c>
      <c r="O2253" s="75">
        <v>0</v>
      </c>
      <c r="P2253" s="76">
        <v>0</v>
      </c>
      <c r="Q2253" s="35" t="s">
        <v>154</v>
      </c>
    </row>
    <row r="2254" spans="1:17" ht="36" x14ac:dyDescent="0.25">
      <c r="A2254" s="23">
        <v>39366</v>
      </c>
      <c r="B2254" s="23">
        <v>39366</v>
      </c>
      <c r="C2254" s="27">
        <v>2007</v>
      </c>
      <c r="D2254" s="351" t="s">
        <v>23</v>
      </c>
      <c r="E2254" s="22" t="s">
        <v>86</v>
      </c>
      <c r="F2254" s="25" t="s">
        <v>781</v>
      </c>
      <c r="G2254" s="25" t="s">
        <v>3439</v>
      </c>
      <c r="H2254" s="25" t="s">
        <v>3440</v>
      </c>
      <c r="I2254" s="20">
        <v>0</v>
      </c>
      <c r="J2254" s="20">
        <v>3493</v>
      </c>
      <c r="K2254" s="20">
        <v>803</v>
      </c>
      <c r="L2254" s="20">
        <v>0</v>
      </c>
      <c r="M2254" s="20">
        <v>0</v>
      </c>
      <c r="N2254" s="20">
        <v>0</v>
      </c>
      <c r="O2254" s="75">
        <v>0</v>
      </c>
      <c r="P2254" s="76">
        <v>1.61</v>
      </c>
      <c r="Q2254" s="35" t="s">
        <v>154</v>
      </c>
    </row>
    <row r="2255" spans="1:17" ht="48" x14ac:dyDescent="0.25">
      <c r="A2255" s="23">
        <v>39372</v>
      </c>
      <c r="B2255" s="23">
        <v>39372</v>
      </c>
      <c r="C2255" s="27">
        <v>2007</v>
      </c>
      <c r="D2255" s="351" t="s">
        <v>23</v>
      </c>
      <c r="E2255" s="22" t="s">
        <v>86</v>
      </c>
      <c r="F2255" s="7" t="s">
        <v>36</v>
      </c>
      <c r="G2255" s="25" t="s">
        <v>3441</v>
      </c>
      <c r="H2255" s="25" t="s">
        <v>3442</v>
      </c>
      <c r="I2255" s="20">
        <v>0</v>
      </c>
      <c r="J2255" s="20">
        <v>211</v>
      </c>
      <c r="K2255" s="20">
        <v>0</v>
      </c>
      <c r="L2255" s="20">
        <v>0</v>
      </c>
      <c r="M2255" s="20">
        <v>0</v>
      </c>
      <c r="N2255" s="20">
        <v>0</v>
      </c>
      <c r="O2255" s="75">
        <v>0</v>
      </c>
      <c r="P2255" s="76">
        <v>0</v>
      </c>
      <c r="Q2255" s="35" t="s">
        <v>154</v>
      </c>
    </row>
    <row r="2256" spans="1:17" ht="48" x14ac:dyDescent="0.25">
      <c r="A2256" s="23">
        <v>39373</v>
      </c>
      <c r="B2256" s="23">
        <v>39373</v>
      </c>
      <c r="C2256" s="27">
        <v>2007</v>
      </c>
      <c r="D2256" s="351" t="s">
        <v>23</v>
      </c>
      <c r="E2256" s="22" t="s">
        <v>86</v>
      </c>
      <c r="F2256" s="7" t="s">
        <v>72</v>
      </c>
      <c r="G2256" s="25" t="s">
        <v>3443</v>
      </c>
      <c r="H2256" s="25" t="s">
        <v>3444</v>
      </c>
      <c r="I2256" s="20">
        <v>0</v>
      </c>
      <c r="J2256" s="20" t="s">
        <v>110</v>
      </c>
      <c r="K2256" s="20">
        <v>1</v>
      </c>
      <c r="L2256" s="20">
        <v>1</v>
      </c>
      <c r="M2256" s="20">
        <v>0</v>
      </c>
      <c r="N2256" s="20">
        <v>0</v>
      </c>
      <c r="O2256" s="75">
        <v>0</v>
      </c>
      <c r="P2256" s="76">
        <v>0.01</v>
      </c>
      <c r="Q2256" s="35" t="s">
        <v>154</v>
      </c>
    </row>
    <row r="2257" spans="1:17" ht="84" x14ac:dyDescent="0.25">
      <c r="A2257" s="23">
        <v>39377</v>
      </c>
      <c r="B2257" s="23">
        <v>39377</v>
      </c>
      <c r="C2257" s="27">
        <v>2007</v>
      </c>
      <c r="D2257" s="351" t="s">
        <v>23</v>
      </c>
      <c r="E2257" s="22" t="s">
        <v>86</v>
      </c>
      <c r="F2257" s="28" t="s">
        <v>210</v>
      </c>
      <c r="G2257" s="25" t="s">
        <v>3445</v>
      </c>
      <c r="H2257" s="25" t="s">
        <v>3446</v>
      </c>
      <c r="I2257" s="20">
        <v>0</v>
      </c>
      <c r="J2257" s="20">
        <v>4388</v>
      </c>
      <c r="K2257" s="20">
        <v>877</v>
      </c>
      <c r="L2257" s="20">
        <v>7</v>
      </c>
      <c r="M2257" s="20">
        <v>0</v>
      </c>
      <c r="N2257" s="20">
        <v>0</v>
      </c>
      <c r="O2257" s="75">
        <v>0</v>
      </c>
      <c r="P2257" s="76">
        <v>4.09</v>
      </c>
      <c r="Q2257" s="35" t="s">
        <v>154</v>
      </c>
    </row>
    <row r="2258" spans="1:17" ht="72" x14ac:dyDescent="0.25">
      <c r="A2258" s="23">
        <v>39377</v>
      </c>
      <c r="B2258" s="23">
        <v>39377</v>
      </c>
      <c r="C2258" s="27">
        <v>2007</v>
      </c>
      <c r="D2258" s="351" t="s">
        <v>23</v>
      </c>
      <c r="E2258" s="22" t="s">
        <v>86</v>
      </c>
      <c r="F2258" s="7" t="s">
        <v>75</v>
      </c>
      <c r="G2258" s="25" t="s">
        <v>3447</v>
      </c>
      <c r="H2258" s="25" t="s">
        <v>3448</v>
      </c>
      <c r="I2258" s="20">
        <v>0</v>
      </c>
      <c r="J2258" s="20">
        <v>130</v>
      </c>
      <c r="K2258" s="20">
        <v>26</v>
      </c>
      <c r="L2258" s="20">
        <v>0</v>
      </c>
      <c r="M2258" s="20">
        <v>0</v>
      </c>
      <c r="N2258" s="20">
        <v>0</v>
      </c>
      <c r="O2258" s="75">
        <v>0</v>
      </c>
      <c r="P2258" s="76">
        <v>1.08</v>
      </c>
      <c r="Q2258" s="35" t="s">
        <v>154</v>
      </c>
    </row>
    <row r="2259" spans="1:17" ht="24" x14ac:dyDescent="0.25">
      <c r="A2259" s="23">
        <v>39404</v>
      </c>
      <c r="B2259" s="23">
        <v>39404</v>
      </c>
      <c r="C2259" s="27">
        <v>2007</v>
      </c>
      <c r="D2259" s="351" t="s">
        <v>23</v>
      </c>
      <c r="E2259" s="22" t="s">
        <v>86</v>
      </c>
      <c r="F2259" s="7" t="s">
        <v>62</v>
      </c>
      <c r="G2259" s="25" t="s">
        <v>3449</v>
      </c>
      <c r="H2259" s="25" t="s">
        <v>3450</v>
      </c>
      <c r="I2259" s="20">
        <v>0</v>
      </c>
      <c r="J2259" s="20">
        <v>280</v>
      </c>
      <c r="K2259" s="20">
        <v>56</v>
      </c>
      <c r="L2259" s="20">
        <v>0</v>
      </c>
      <c r="M2259" s="20">
        <v>0</v>
      </c>
      <c r="N2259" s="20">
        <v>0</v>
      </c>
      <c r="O2259" s="75">
        <v>0</v>
      </c>
      <c r="P2259" s="76">
        <v>0.26</v>
      </c>
      <c r="Q2259" s="35" t="s">
        <v>154</v>
      </c>
    </row>
    <row r="2260" spans="1:17" ht="168" x14ac:dyDescent="0.25">
      <c r="A2260" s="23">
        <v>39410</v>
      </c>
      <c r="B2260" s="23">
        <v>39410</v>
      </c>
      <c r="C2260" s="27">
        <v>2007</v>
      </c>
      <c r="D2260" s="351" t="s">
        <v>23</v>
      </c>
      <c r="E2260" s="22" t="s">
        <v>86</v>
      </c>
      <c r="F2260" s="7" t="s">
        <v>40</v>
      </c>
      <c r="G2260" s="25" t="s">
        <v>3451</v>
      </c>
      <c r="H2260" s="25" t="s">
        <v>3452</v>
      </c>
      <c r="I2260" s="20">
        <v>0</v>
      </c>
      <c r="J2260" s="20">
        <v>37908</v>
      </c>
      <c r="K2260" s="20">
        <v>0</v>
      </c>
      <c r="L2260" s="20">
        <v>0</v>
      </c>
      <c r="M2260" s="20">
        <v>0</v>
      </c>
      <c r="N2260" s="20">
        <v>0</v>
      </c>
      <c r="O2260" s="75">
        <v>0</v>
      </c>
      <c r="P2260" s="76">
        <v>0</v>
      </c>
      <c r="Q2260" s="35" t="s">
        <v>154</v>
      </c>
    </row>
    <row r="2261" spans="1:17" ht="180" x14ac:dyDescent="0.25">
      <c r="A2261" s="23">
        <v>39386</v>
      </c>
      <c r="B2261" s="23">
        <v>39326</v>
      </c>
      <c r="C2261" s="27">
        <v>2007</v>
      </c>
      <c r="D2261" s="351" t="s">
        <v>23</v>
      </c>
      <c r="E2261" s="22" t="s">
        <v>86</v>
      </c>
      <c r="F2261" s="7" t="s">
        <v>36</v>
      </c>
      <c r="G2261" s="25" t="s">
        <v>2063</v>
      </c>
      <c r="H2261" s="29" t="s">
        <v>3453</v>
      </c>
      <c r="I2261" s="20">
        <v>0</v>
      </c>
      <c r="J2261" s="20">
        <v>745027</v>
      </c>
      <c r="K2261" s="20">
        <v>1822</v>
      </c>
      <c r="L2261" s="20">
        <v>79</v>
      </c>
      <c r="M2261" s="20">
        <v>0</v>
      </c>
      <c r="N2261" s="20">
        <v>0</v>
      </c>
      <c r="O2261" s="75">
        <v>93426.3</v>
      </c>
      <c r="P2261" s="76">
        <v>3396.78</v>
      </c>
      <c r="Q2261" s="35" t="s">
        <v>154</v>
      </c>
    </row>
    <row r="2262" spans="1:17" ht="36" x14ac:dyDescent="0.25">
      <c r="A2262" s="23">
        <v>39328</v>
      </c>
      <c r="B2262" s="23">
        <v>39329</v>
      </c>
      <c r="C2262" s="27">
        <v>2007</v>
      </c>
      <c r="D2262" s="351" t="s">
        <v>23</v>
      </c>
      <c r="E2262" s="22" t="s">
        <v>86</v>
      </c>
      <c r="F2262" s="7" t="s">
        <v>58</v>
      </c>
      <c r="G2262" s="25" t="s">
        <v>3454</v>
      </c>
      <c r="H2262" s="25" t="s">
        <v>3455</v>
      </c>
      <c r="I2262" s="20">
        <v>0</v>
      </c>
      <c r="J2262" s="20">
        <v>503</v>
      </c>
      <c r="K2262" s="20">
        <v>100</v>
      </c>
      <c r="L2262" s="20">
        <v>0</v>
      </c>
      <c r="M2262" s="20">
        <v>0</v>
      </c>
      <c r="N2262" s="20">
        <v>0</v>
      </c>
      <c r="O2262" s="75">
        <v>0</v>
      </c>
      <c r="P2262" s="76">
        <v>0.46600000000000003</v>
      </c>
      <c r="Q2262" s="35" t="s">
        <v>154</v>
      </c>
    </row>
    <row r="2263" spans="1:17" ht="24" x14ac:dyDescent="0.25">
      <c r="A2263" s="23">
        <v>39337</v>
      </c>
      <c r="B2263" s="23">
        <v>39338</v>
      </c>
      <c r="C2263" s="27">
        <v>2007</v>
      </c>
      <c r="D2263" s="351" t="s">
        <v>23</v>
      </c>
      <c r="E2263" s="22" t="s">
        <v>86</v>
      </c>
      <c r="F2263" s="7" t="s">
        <v>75</v>
      </c>
      <c r="G2263" s="25" t="s">
        <v>3456</v>
      </c>
      <c r="H2263" s="25" t="s">
        <v>3457</v>
      </c>
      <c r="I2263" s="20">
        <v>4</v>
      </c>
      <c r="J2263" s="20">
        <v>4</v>
      </c>
      <c r="K2263" s="20">
        <v>0</v>
      </c>
      <c r="L2263" s="20">
        <v>0</v>
      </c>
      <c r="M2263" s="20">
        <v>0</v>
      </c>
      <c r="N2263" s="20">
        <v>0</v>
      </c>
      <c r="O2263" s="75">
        <v>0</v>
      </c>
      <c r="P2263" s="76">
        <v>0</v>
      </c>
      <c r="Q2263" s="35" t="s">
        <v>154</v>
      </c>
    </row>
    <row r="2264" spans="1:17" ht="96" x14ac:dyDescent="0.25">
      <c r="A2264" s="23">
        <v>39342</v>
      </c>
      <c r="B2264" s="23">
        <v>39345</v>
      </c>
      <c r="C2264" s="27">
        <v>2007</v>
      </c>
      <c r="D2264" s="351" t="s">
        <v>23</v>
      </c>
      <c r="E2264" s="22" t="s">
        <v>86</v>
      </c>
      <c r="F2264" s="7" t="s">
        <v>58</v>
      </c>
      <c r="G2264" s="25" t="s">
        <v>3458</v>
      </c>
      <c r="H2264" s="25" t="s">
        <v>3459</v>
      </c>
      <c r="I2264" s="20">
        <v>0</v>
      </c>
      <c r="J2264" s="20">
        <v>240</v>
      </c>
      <c r="K2264" s="20">
        <v>0</v>
      </c>
      <c r="L2264" s="20">
        <v>0</v>
      </c>
      <c r="M2264" s="20">
        <v>0</v>
      </c>
      <c r="N2264" s="20">
        <v>0</v>
      </c>
      <c r="O2264" s="75">
        <v>0</v>
      </c>
      <c r="P2264" s="76">
        <v>0</v>
      </c>
      <c r="Q2264" s="35" t="s">
        <v>154</v>
      </c>
    </row>
    <row r="2265" spans="1:17" ht="89.25" x14ac:dyDescent="0.25">
      <c r="A2265" s="119">
        <v>40438</v>
      </c>
      <c r="B2265" s="119">
        <v>40438</v>
      </c>
      <c r="C2265" s="122">
        <v>2010</v>
      </c>
      <c r="D2265" s="351" t="s">
        <v>23</v>
      </c>
      <c r="E2265" s="14" t="s">
        <v>32</v>
      </c>
      <c r="F2265" s="28" t="s">
        <v>210</v>
      </c>
      <c r="G2265" s="120" t="s">
        <v>3460</v>
      </c>
      <c r="H2265" s="120" t="s">
        <v>3461</v>
      </c>
      <c r="I2265" s="121">
        <v>23</v>
      </c>
      <c r="J2265" s="121">
        <v>500896</v>
      </c>
      <c r="K2265" s="121">
        <v>89823</v>
      </c>
      <c r="L2265" s="121">
        <v>129</v>
      </c>
      <c r="M2265" s="121">
        <v>10</v>
      </c>
      <c r="N2265" s="121">
        <v>9000</v>
      </c>
      <c r="O2265" s="121">
        <v>131436</v>
      </c>
      <c r="P2265" s="76">
        <v>24679.8</v>
      </c>
      <c r="Q2265" s="122" t="s">
        <v>22</v>
      </c>
    </row>
    <row r="2266" spans="1:17" ht="36" x14ac:dyDescent="0.25">
      <c r="A2266" s="23">
        <v>39349</v>
      </c>
      <c r="B2266" s="23">
        <v>39350</v>
      </c>
      <c r="C2266" s="27">
        <v>2007</v>
      </c>
      <c r="D2266" s="351" t="s">
        <v>23</v>
      </c>
      <c r="E2266" s="22" t="s">
        <v>86</v>
      </c>
      <c r="F2266" s="7" t="s">
        <v>58</v>
      </c>
      <c r="G2266" s="25" t="s">
        <v>3462</v>
      </c>
      <c r="H2266" s="25" t="s">
        <v>3463</v>
      </c>
      <c r="I2266" s="20">
        <v>0</v>
      </c>
      <c r="J2266" s="20">
        <v>1930</v>
      </c>
      <c r="K2266" s="20">
        <v>386</v>
      </c>
      <c r="L2266" s="20">
        <v>0</v>
      </c>
      <c r="M2266" s="20">
        <v>0</v>
      </c>
      <c r="N2266" s="20">
        <v>0</v>
      </c>
      <c r="O2266" s="75">
        <v>0</v>
      </c>
      <c r="P2266" s="76">
        <v>0.77</v>
      </c>
      <c r="Q2266" s="35" t="s">
        <v>154</v>
      </c>
    </row>
    <row r="2267" spans="1:17" ht="72" x14ac:dyDescent="0.25">
      <c r="A2267" s="23">
        <v>39322</v>
      </c>
      <c r="B2267" s="23">
        <v>39326</v>
      </c>
      <c r="C2267" s="27">
        <v>2007</v>
      </c>
      <c r="D2267" s="351" t="s">
        <v>23</v>
      </c>
      <c r="E2267" s="22" t="s">
        <v>86</v>
      </c>
      <c r="F2267" s="7" t="s">
        <v>82</v>
      </c>
      <c r="G2267" s="25" t="s">
        <v>3464</v>
      </c>
      <c r="H2267" s="25" t="s">
        <v>3465</v>
      </c>
      <c r="I2267" s="20">
        <v>0</v>
      </c>
      <c r="J2267" s="20">
        <v>443</v>
      </c>
      <c r="K2267" s="20">
        <v>0</v>
      </c>
      <c r="L2267" s="20">
        <v>0</v>
      </c>
      <c r="M2267" s="20">
        <v>0</v>
      </c>
      <c r="N2267" s="20">
        <v>0</v>
      </c>
      <c r="O2267" s="75">
        <v>0</v>
      </c>
      <c r="P2267" s="76">
        <v>0</v>
      </c>
      <c r="Q2267" s="35" t="s">
        <v>154</v>
      </c>
    </row>
    <row r="2268" spans="1:17" ht="72" x14ac:dyDescent="0.25">
      <c r="A2268" s="23">
        <v>39322</v>
      </c>
      <c r="B2268" s="23">
        <v>39330</v>
      </c>
      <c r="C2268" s="27">
        <v>2007</v>
      </c>
      <c r="D2268" s="351" t="s">
        <v>23</v>
      </c>
      <c r="E2268" s="22" t="s">
        <v>86</v>
      </c>
      <c r="F2268" s="7" t="s">
        <v>91</v>
      </c>
      <c r="G2268" s="25" t="s">
        <v>3466</v>
      </c>
      <c r="H2268" s="25" t="s">
        <v>3467</v>
      </c>
      <c r="I2268" s="20">
        <v>0</v>
      </c>
      <c r="J2268" s="20">
        <v>10035</v>
      </c>
      <c r="K2268" s="20">
        <v>2007</v>
      </c>
      <c r="L2268" s="20" t="s">
        <v>3339</v>
      </c>
      <c r="M2268" s="20">
        <v>0</v>
      </c>
      <c r="N2268" s="20">
        <v>0</v>
      </c>
      <c r="O2268" s="75" t="s">
        <v>3339</v>
      </c>
      <c r="P2268" s="76">
        <v>166.15100000000001</v>
      </c>
      <c r="Q2268" s="27" t="s">
        <v>186</v>
      </c>
    </row>
    <row r="2269" spans="1:17" ht="132" x14ac:dyDescent="0.25">
      <c r="A2269" s="23">
        <v>39353</v>
      </c>
      <c r="B2269" s="23">
        <f>A2269</f>
        <v>39353</v>
      </c>
      <c r="C2269" s="27">
        <v>2007</v>
      </c>
      <c r="D2269" s="351" t="s">
        <v>23</v>
      </c>
      <c r="E2269" s="14" t="s">
        <v>32</v>
      </c>
      <c r="F2269" s="28" t="s">
        <v>210</v>
      </c>
      <c r="G2269" s="25" t="s">
        <v>3468</v>
      </c>
      <c r="H2269" s="25" t="s">
        <v>3469</v>
      </c>
      <c r="I2269" s="20">
        <v>3</v>
      </c>
      <c r="J2269" s="20">
        <v>723</v>
      </c>
      <c r="K2269" s="20">
        <v>13674</v>
      </c>
      <c r="L2269" s="20">
        <v>4</v>
      </c>
      <c r="M2269" s="20">
        <v>0</v>
      </c>
      <c r="N2269" s="20">
        <v>0</v>
      </c>
      <c r="O2269" s="75">
        <v>0</v>
      </c>
      <c r="P2269" s="76">
        <v>172.19399999999999</v>
      </c>
      <c r="Q2269" s="27" t="s">
        <v>186</v>
      </c>
    </row>
    <row r="2270" spans="1:17" ht="72" x14ac:dyDescent="0.25">
      <c r="A2270" s="23">
        <v>39263</v>
      </c>
      <c r="B2270" s="23">
        <v>39303</v>
      </c>
      <c r="C2270" s="27">
        <v>2007</v>
      </c>
      <c r="D2270" s="351" t="s">
        <v>23</v>
      </c>
      <c r="E2270" s="22" t="s">
        <v>86</v>
      </c>
      <c r="F2270" s="7" t="s">
        <v>56</v>
      </c>
      <c r="G2270" s="25" t="s">
        <v>3470</v>
      </c>
      <c r="H2270" s="25" t="s">
        <v>3471</v>
      </c>
      <c r="I2270" s="20">
        <v>2</v>
      </c>
      <c r="J2270" s="20">
        <v>902</v>
      </c>
      <c r="K2270" s="20">
        <v>410</v>
      </c>
      <c r="L2270" s="20">
        <v>0</v>
      </c>
      <c r="M2270" s="20">
        <v>0</v>
      </c>
      <c r="N2270" s="20">
        <v>0</v>
      </c>
      <c r="O2270" s="75">
        <v>26</v>
      </c>
      <c r="P2270" s="76">
        <v>19.911999999999999</v>
      </c>
      <c r="Q2270" s="35" t="s">
        <v>154</v>
      </c>
    </row>
    <row r="2271" spans="1:17" ht="36" x14ac:dyDescent="0.25">
      <c r="A2271" s="23">
        <v>39083</v>
      </c>
      <c r="B2271" s="23">
        <v>39447</v>
      </c>
      <c r="C2271" s="27">
        <v>2007</v>
      </c>
      <c r="D2271" s="351" t="s">
        <v>23</v>
      </c>
      <c r="E2271" s="22" t="s">
        <v>42</v>
      </c>
      <c r="F2271" s="7" t="s">
        <v>40</v>
      </c>
      <c r="G2271" s="25" t="s">
        <v>2109</v>
      </c>
      <c r="H2271" s="25" t="s">
        <v>3472</v>
      </c>
      <c r="I2271" s="20">
        <v>36</v>
      </c>
      <c r="J2271" s="20">
        <v>36</v>
      </c>
      <c r="K2271" s="20">
        <v>0</v>
      </c>
      <c r="L2271" s="20">
        <v>0</v>
      </c>
      <c r="M2271" s="20">
        <v>0</v>
      </c>
      <c r="N2271" s="20">
        <v>0</v>
      </c>
      <c r="O2271" s="75">
        <v>0</v>
      </c>
      <c r="P2271" s="76">
        <v>0</v>
      </c>
      <c r="Q2271" s="35" t="s">
        <v>2218</v>
      </c>
    </row>
    <row r="2272" spans="1:17" ht="24" x14ac:dyDescent="0.25">
      <c r="A2272" s="23">
        <v>39083</v>
      </c>
      <c r="B2272" s="23">
        <v>39447</v>
      </c>
      <c r="C2272" s="27">
        <v>2007</v>
      </c>
      <c r="D2272" s="351" t="s">
        <v>23</v>
      </c>
      <c r="E2272" s="22" t="s">
        <v>42</v>
      </c>
      <c r="F2272" s="7" t="s">
        <v>87</v>
      </c>
      <c r="G2272" s="25" t="s">
        <v>2109</v>
      </c>
      <c r="H2272" s="25" t="s">
        <v>3473</v>
      </c>
      <c r="I2272" s="20">
        <v>17</v>
      </c>
      <c r="J2272" s="20">
        <v>17</v>
      </c>
      <c r="K2272" s="20">
        <v>0</v>
      </c>
      <c r="L2272" s="20">
        <v>0</v>
      </c>
      <c r="M2272" s="20">
        <v>0</v>
      </c>
      <c r="N2272" s="20">
        <v>0</v>
      </c>
      <c r="O2272" s="75">
        <v>0</v>
      </c>
      <c r="P2272" s="76">
        <v>0</v>
      </c>
      <c r="Q2272" s="35" t="s">
        <v>2218</v>
      </c>
    </row>
    <row r="2273" spans="1:17" ht="36" x14ac:dyDescent="0.25">
      <c r="A2273" s="23">
        <v>39083</v>
      </c>
      <c r="B2273" s="23">
        <v>39447</v>
      </c>
      <c r="C2273" s="27">
        <v>2007</v>
      </c>
      <c r="D2273" s="351" t="s">
        <v>23</v>
      </c>
      <c r="E2273" s="22" t="s">
        <v>42</v>
      </c>
      <c r="F2273" s="7" t="s">
        <v>45</v>
      </c>
      <c r="G2273" s="25" t="s">
        <v>2109</v>
      </c>
      <c r="H2273" s="25" t="s">
        <v>3474</v>
      </c>
      <c r="I2273" s="20">
        <v>15</v>
      </c>
      <c r="J2273" s="20">
        <v>15</v>
      </c>
      <c r="K2273" s="20">
        <v>0</v>
      </c>
      <c r="L2273" s="20">
        <v>0</v>
      </c>
      <c r="M2273" s="20">
        <v>0</v>
      </c>
      <c r="N2273" s="20">
        <v>0</v>
      </c>
      <c r="O2273" s="75">
        <v>0</v>
      </c>
      <c r="P2273" s="76">
        <v>0</v>
      </c>
      <c r="Q2273" s="35" t="s">
        <v>2218</v>
      </c>
    </row>
    <row r="2274" spans="1:17" ht="24" x14ac:dyDescent="0.25">
      <c r="A2274" s="23">
        <v>39083</v>
      </c>
      <c r="B2274" s="23">
        <v>39447</v>
      </c>
      <c r="C2274" s="27">
        <v>2007</v>
      </c>
      <c r="D2274" s="351" t="s">
        <v>23</v>
      </c>
      <c r="E2274" s="22" t="s">
        <v>42</v>
      </c>
      <c r="F2274" s="7" t="s">
        <v>68</v>
      </c>
      <c r="G2274" s="25" t="s">
        <v>2109</v>
      </c>
      <c r="H2274" s="25" t="s">
        <v>3475</v>
      </c>
      <c r="I2274" s="20">
        <v>11</v>
      </c>
      <c r="J2274" s="20">
        <v>11</v>
      </c>
      <c r="K2274" s="20">
        <v>0</v>
      </c>
      <c r="L2274" s="20">
        <v>0</v>
      </c>
      <c r="M2274" s="20">
        <v>0</v>
      </c>
      <c r="N2274" s="20">
        <v>0</v>
      </c>
      <c r="O2274" s="75">
        <v>0</v>
      </c>
      <c r="P2274" s="76">
        <v>0</v>
      </c>
      <c r="Q2274" s="35" t="s">
        <v>2218</v>
      </c>
    </row>
    <row r="2275" spans="1:17" ht="24" x14ac:dyDescent="0.25">
      <c r="A2275" s="23">
        <v>39083</v>
      </c>
      <c r="B2275" s="23">
        <v>39447</v>
      </c>
      <c r="C2275" s="27">
        <v>2007</v>
      </c>
      <c r="D2275" s="351" t="s">
        <v>23</v>
      </c>
      <c r="E2275" s="22" t="s">
        <v>42</v>
      </c>
      <c r="F2275" s="28" t="s">
        <v>160</v>
      </c>
      <c r="G2275" s="25" t="s">
        <v>2109</v>
      </c>
      <c r="H2275" s="25" t="s">
        <v>3476</v>
      </c>
      <c r="I2275" s="20">
        <v>1</v>
      </c>
      <c r="J2275" s="20">
        <v>1</v>
      </c>
      <c r="K2275" s="20">
        <v>0</v>
      </c>
      <c r="L2275" s="20">
        <v>0</v>
      </c>
      <c r="M2275" s="20">
        <v>0</v>
      </c>
      <c r="N2275" s="20">
        <v>0</v>
      </c>
      <c r="O2275" s="75">
        <v>0</v>
      </c>
      <c r="P2275" s="76">
        <v>0</v>
      </c>
      <c r="Q2275" s="35" t="s">
        <v>2218</v>
      </c>
    </row>
    <row r="2276" spans="1:17" ht="24" x14ac:dyDescent="0.25">
      <c r="A2276" s="23">
        <v>39083</v>
      </c>
      <c r="B2276" s="23">
        <v>39447</v>
      </c>
      <c r="C2276" s="27">
        <v>2007</v>
      </c>
      <c r="D2276" s="351" t="s">
        <v>23</v>
      </c>
      <c r="E2276" s="22" t="s">
        <v>42</v>
      </c>
      <c r="F2276" s="7" t="s">
        <v>30</v>
      </c>
      <c r="G2276" s="25" t="s">
        <v>2109</v>
      </c>
      <c r="H2276" s="25" t="s">
        <v>3477</v>
      </c>
      <c r="I2276" s="20">
        <v>6</v>
      </c>
      <c r="J2276" s="20">
        <v>6</v>
      </c>
      <c r="K2276" s="20">
        <v>0</v>
      </c>
      <c r="L2276" s="20">
        <v>0</v>
      </c>
      <c r="M2276" s="20">
        <v>0</v>
      </c>
      <c r="N2276" s="20">
        <v>0</v>
      </c>
      <c r="O2276" s="75">
        <v>0</v>
      </c>
      <c r="P2276" s="76">
        <v>0</v>
      </c>
      <c r="Q2276" s="35" t="s">
        <v>2218</v>
      </c>
    </row>
    <row r="2277" spans="1:17" ht="24" x14ac:dyDescent="0.25">
      <c r="A2277" s="23">
        <v>39083</v>
      </c>
      <c r="B2277" s="23">
        <v>39447</v>
      </c>
      <c r="C2277" s="27">
        <v>2007</v>
      </c>
      <c r="D2277" s="351" t="s">
        <v>23</v>
      </c>
      <c r="E2277" s="22" t="s">
        <v>42</v>
      </c>
      <c r="F2277" s="7" t="s">
        <v>75</v>
      </c>
      <c r="G2277" s="25" t="s">
        <v>2109</v>
      </c>
      <c r="H2277" s="25" t="s">
        <v>3476</v>
      </c>
      <c r="I2277" s="20">
        <v>1</v>
      </c>
      <c r="J2277" s="20">
        <v>1</v>
      </c>
      <c r="K2277" s="20">
        <v>0</v>
      </c>
      <c r="L2277" s="20">
        <v>0</v>
      </c>
      <c r="M2277" s="20">
        <v>0</v>
      </c>
      <c r="N2277" s="20">
        <v>0</v>
      </c>
      <c r="O2277" s="75">
        <v>0</v>
      </c>
      <c r="P2277" s="76">
        <v>0</v>
      </c>
      <c r="Q2277" s="35" t="s">
        <v>2218</v>
      </c>
    </row>
    <row r="2278" spans="1:17" x14ac:dyDescent="0.25">
      <c r="A2278" s="23">
        <v>39083</v>
      </c>
      <c r="B2278" s="23">
        <v>39447</v>
      </c>
      <c r="C2278" s="27">
        <v>2007</v>
      </c>
      <c r="D2278" s="351" t="s">
        <v>23</v>
      </c>
      <c r="E2278" s="22" t="s">
        <v>42</v>
      </c>
      <c r="F2278" s="7" t="s">
        <v>49</v>
      </c>
      <c r="G2278" s="25" t="s">
        <v>2109</v>
      </c>
      <c r="H2278" s="25" t="s">
        <v>3478</v>
      </c>
      <c r="I2278" s="20">
        <v>3</v>
      </c>
      <c r="J2278" s="20">
        <v>3</v>
      </c>
      <c r="K2278" s="20">
        <v>0</v>
      </c>
      <c r="L2278" s="20">
        <v>0</v>
      </c>
      <c r="M2278" s="20">
        <v>0</v>
      </c>
      <c r="N2278" s="20">
        <v>0</v>
      </c>
      <c r="O2278" s="75">
        <v>0</v>
      </c>
      <c r="P2278" s="76">
        <v>0</v>
      </c>
      <c r="Q2278" s="35" t="s">
        <v>2218</v>
      </c>
    </row>
    <row r="2279" spans="1:17" x14ac:dyDescent="0.25">
      <c r="A2279" s="23">
        <v>39083</v>
      </c>
      <c r="B2279" s="23">
        <v>39447</v>
      </c>
      <c r="C2279" s="27">
        <v>2007</v>
      </c>
      <c r="D2279" s="351" t="s">
        <v>23</v>
      </c>
      <c r="E2279" s="22" t="s">
        <v>42</v>
      </c>
      <c r="F2279" s="7" t="s">
        <v>82</v>
      </c>
      <c r="G2279" s="25" t="s">
        <v>2109</v>
      </c>
      <c r="H2279" s="25" t="s">
        <v>3479</v>
      </c>
      <c r="I2279" s="20">
        <v>3</v>
      </c>
      <c r="J2279" s="20">
        <v>3</v>
      </c>
      <c r="K2279" s="20">
        <v>0</v>
      </c>
      <c r="L2279" s="20">
        <v>0</v>
      </c>
      <c r="M2279" s="20">
        <v>0</v>
      </c>
      <c r="N2279" s="20">
        <v>0</v>
      </c>
      <c r="O2279" s="75">
        <v>0</v>
      </c>
      <c r="P2279" s="76">
        <v>0</v>
      </c>
      <c r="Q2279" s="35" t="s">
        <v>2218</v>
      </c>
    </row>
    <row r="2280" spans="1:17" ht="24" x14ac:dyDescent="0.25">
      <c r="A2280" s="23">
        <v>39083</v>
      </c>
      <c r="B2280" s="23">
        <v>39447</v>
      </c>
      <c r="C2280" s="27">
        <v>2007</v>
      </c>
      <c r="D2280" s="351" t="s">
        <v>23</v>
      </c>
      <c r="E2280" s="22" t="s">
        <v>42</v>
      </c>
      <c r="F2280" s="7" t="s">
        <v>91</v>
      </c>
      <c r="G2280" s="25" t="s">
        <v>2109</v>
      </c>
      <c r="H2280" s="25" t="s">
        <v>3480</v>
      </c>
      <c r="I2280" s="20">
        <v>4</v>
      </c>
      <c r="J2280" s="20">
        <v>4</v>
      </c>
      <c r="K2280" s="20">
        <v>0</v>
      </c>
      <c r="L2280" s="20">
        <v>0</v>
      </c>
      <c r="M2280" s="20">
        <v>0</v>
      </c>
      <c r="N2280" s="20">
        <v>0</v>
      </c>
      <c r="O2280" s="75">
        <v>0</v>
      </c>
      <c r="P2280" s="76">
        <v>0</v>
      </c>
      <c r="Q2280" s="35" t="s">
        <v>2218</v>
      </c>
    </row>
    <row r="2281" spans="1:17" x14ac:dyDescent="0.25">
      <c r="A2281" s="23">
        <v>39083</v>
      </c>
      <c r="B2281" s="23">
        <v>39447</v>
      </c>
      <c r="C2281" s="27">
        <v>2007</v>
      </c>
      <c r="D2281" s="351" t="s">
        <v>23</v>
      </c>
      <c r="E2281" s="22" t="s">
        <v>42</v>
      </c>
      <c r="F2281" s="7" t="s">
        <v>97</v>
      </c>
      <c r="G2281" s="25" t="s">
        <v>2109</v>
      </c>
      <c r="H2281" s="25" t="s">
        <v>3481</v>
      </c>
      <c r="I2281" s="20">
        <v>1</v>
      </c>
      <c r="J2281" s="20">
        <v>1</v>
      </c>
      <c r="K2281" s="20">
        <v>0</v>
      </c>
      <c r="L2281" s="20">
        <v>0</v>
      </c>
      <c r="M2281" s="20">
        <v>0</v>
      </c>
      <c r="N2281" s="20">
        <v>0</v>
      </c>
      <c r="O2281" s="75">
        <v>0</v>
      </c>
      <c r="P2281" s="76">
        <v>0</v>
      </c>
      <c r="Q2281" s="35" t="s">
        <v>2218</v>
      </c>
    </row>
    <row r="2282" spans="1:17" ht="24" x14ac:dyDescent="0.25">
      <c r="A2282" s="23">
        <v>39083</v>
      </c>
      <c r="B2282" s="23">
        <v>39447</v>
      </c>
      <c r="C2282" s="27">
        <v>2007</v>
      </c>
      <c r="D2282" s="351" t="s">
        <v>23</v>
      </c>
      <c r="E2282" s="22" t="s">
        <v>42</v>
      </c>
      <c r="F2282" s="7" t="s">
        <v>101</v>
      </c>
      <c r="G2282" s="25" t="s">
        <v>2109</v>
      </c>
      <c r="H2282" s="25" t="s">
        <v>3482</v>
      </c>
      <c r="I2282" s="20">
        <v>2</v>
      </c>
      <c r="J2282" s="20">
        <v>2</v>
      </c>
      <c r="K2282" s="20">
        <v>0</v>
      </c>
      <c r="L2282" s="20">
        <v>0</v>
      </c>
      <c r="M2282" s="20">
        <v>0</v>
      </c>
      <c r="N2282" s="20">
        <v>0</v>
      </c>
      <c r="O2282" s="75">
        <v>0</v>
      </c>
      <c r="P2282" s="76">
        <v>0</v>
      </c>
      <c r="Q2282" s="35" t="s">
        <v>2218</v>
      </c>
    </row>
    <row r="2283" spans="1:17" x14ac:dyDescent="0.25">
      <c r="A2283" s="23">
        <v>39083</v>
      </c>
      <c r="B2283" s="23">
        <v>39447</v>
      </c>
      <c r="C2283" s="27">
        <v>2007</v>
      </c>
      <c r="D2283" s="351" t="s">
        <v>23</v>
      </c>
      <c r="E2283" s="22" t="s">
        <v>42</v>
      </c>
      <c r="F2283" s="28" t="s">
        <v>210</v>
      </c>
      <c r="G2283" s="25" t="s">
        <v>2109</v>
      </c>
      <c r="H2283" s="25" t="s">
        <v>3481</v>
      </c>
      <c r="I2283" s="20">
        <v>1</v>
      </c>
      <c r="J2283" s="20">
        <v>1</v>
      </c>
      <c r="K2283" s="20">
        <v>0</v>
      </c>
      <c r="L2283" s="20">
        <v>0</v>
      </c>
      <c r="M2283" s="20">
        <v>0</v>
      </c>
      <c r="N2283" s="20">
        <v>0</v>
      </c>
      <c r="O2283" s="75">
        <v>0</v>
      </c>
      <c r="P2283" s="76">
        <v>0</v>
      </c>
      <c r="Q2283" s="35" t="s">
        <v>2218</v>
      </c>
    </row>
    <row r="2284" spans="1:17" x14ac:dyDescent="0.25">
      <c r="A2284" s="23">
        <v>39083</v>
      </c>
      <c r="B2284" s="23">
        <v>39447</v>
      </c>
      <c r="C2284" s="27">
        <v>2007</v>
      </c>
      <c r="D2284" s="351" t="s">
        <v>23</v>
      </c>
      <c r="E2284" s="22" t="s">
        <v>42</v>
      </c>
      <c r="F2284" s="7" t="s">
        <v>84</v>
      </c>
      <c r="G2284" s="25" t="s">
        <v>2109</v>
      </c>
      <c r="H2284" s="25" t="s">
        <v>3483</v>
      </c>
      <c r="I2284" s="20">
        <v>1</v>
      </c>
      <c r="J2284" s="20">
        <v>1</v>
      </c>
      <c r="K2284" s="20">
        <v>0</v>
      </c>
      <c r="L2284" s="20">
        <v>0</v>
      </c>
      <c r="M2284" s="20">
        <v>0</v>
      </c>
      <c r="N2284" s="20">
        <v>0</v>
      </c>
      <c r="O2284" s="75">
        <v>0</v>
      </c>
      <c r="P2284" s="76">
        <v>0</v>
      </c>
      <c r="Q2284" s="35" t="s">
        <v>2218</v>
      </c>
    </row>
    <row r="2285" spans="1:17" ht="24" x14ac:dyDescent="0.25">
      <c r="A2285" s="23">
        <v>39083</v>
      </c>
      <c r="B2285" s="23">
        <v>39447</v>
      </c>
      <c r="C2285" s="27">
        <v>2007</v>
      </c>
      <c r="D2285" s="351" t="s">
        <v>23</v>
      </c>
      <c r="E2285" s="22" t="s">
        <v>42</v>
      </c>
      <c r="F2285" s="7" t="s">
        <v>62</v>
      </c>
      <c r="G2285" s="25" t="s">
        <v>2109</v>
      </c>
      <c r="H2285" s="25" t="s">
        <v>3476</v>
      </c>
      <c r="I2285" s="20">
        <v>1</v>
      </c>
      <c r="J2285" s="20">
        <v>1</v>
      </c>
      <c r="K2285" s="20">
        <v>0</v>
      </c>
      <c r="L2285" s="20">
        <v>0</v>
      </c>
      <c r="M2285" s="20">
        <v>0</v>
      </c>
      <c r="N2285" s="20">
        <v>0</v>
      </c>
      <c r="O2285" s="75">
        <v>0</v>
      </c>
      <c r="P2285" s="76">
        <v>0</v>
      </c>
      <c r="Q2285" s="35" t="s">
        <v>2218</v>
      </c>
    </row>
    <row r="2286" spans="1:17" x14ac:dyDescent="0.25">
      <c r="A2286" s="23">
        <v>39083</v>
      </c>
      <c r="B2286" s="23">
        <v>39447</v>
      </c>
      <c r="C2286" s="27">
        <v>2007</v>
      </c>
      <c r="D2286" s="351" t="s">
        <v>23</v>
      </c>
      <c r="E2286" s="22" t="s">
        <v>42</v>
      </c>
      <c r="F2286" s="7" t="s">
        <v>60</v>
      </c>
      <c r="G2286" s="25" t="s">
        <v>2109</v>
      </c>
      <c r="H2286" s="25" t="s">
        <v>3481</v>
      </c>
      <c r="I2286" s="20">
        <v>1</v>
      </c>
      <c r="J2286" s="20">
        <v>1</v>
      </c>
      <c r="K2286" s="20">
        <v>0</v>
      </c>
      <c r="L2286" s="20">
        <v>0</v>
      </c>
      <c r="M2286" s="20">
        <v>0</v>
      </c>
      <c r="N2286" s="20">
        <v>0</v>
      </c>
      <c r="O2286" s="75">
        <v>0</v>
      </c>
      <c r="P2286" s="76">
        <v>0</v>
      </c>
      <c r="Q2286" s="35" t="s">
        <v>2218</v>
      </c>
    </row>
    <row r="2287" spans="1:17" ht="24" x14ac:dyDescent="0.25">
      <c r="A2287" s="23">
        <v>39083</v>
      </c>
      <c r="B2287" s="23">
        <v>39447</v>
      </c>
      <c r="C2287" s="27">
        <v>2007</v>
      </c>
      <c r="D2287" s="351" t="s">
        <v>23</v>
      </c>
      <c r="E2287" s="22" t="s">
        <v>42</v>
      </c>
      <c r="F2287" s="7" t="s">
        <v>77</v>
      </c>
      <c r="G2287" s="25" t="s">
        <v>2109</v>
      </c>
      <c r="H2287" s="25" t="s">
        <v>3476</v>
      </c>
      <c r="I2287" s="20">
        <v>1</v>
      </c>
      <c r="J2287" s="20">
        <v>1</v>
      </c>
      <c r="K2287" s="20">
        <v>0</v>
      </c>
      <c r="L2287" s="20">
        <v>0</v>
      </c>
      <c r="M2287" s="20">
        <v>0</v>
      </c>
      <c r="N2287" s="20">
        <v>0</v>
      </c>
      <c r="O2287" s="75">
        <v>0</v>
      </c>
      <c r="P2287" s="76">
        <v>0</v>
      </c>
      <c r="Q2287" s="35" t="s">
        <v>2218</v>
      </c>
    </row>
    <row r="2288" spans="1:17" ht="48" x14ac:dyDescent="0.25">
      <c r="A2288" s="23">
        <v>39203</v>
      </c>
      <c r="B2288" s="23">
        <v>39263</v>
      </c>
      <c r="C2288" s="27">
        <v>2007</v>
      </c>
      <c r="D2288" s="351" t="s">
        <v>23</v>
      </c>
      <c r="E2288" s="14" t="s">
        <v>24</v>
      </c>
      <c r="F2288" s="7" t="s">
        <v>36</v>
      </c>
      <c r="G2288" s="25" t="s">
        <v>3484</v>
      </c>
      <c r="H2288" s="29" t="s">
        <v>3485</v>
      </c>
      <c r="I2288" s="20">
        <v>0</v>
      </c>
      <c r="J2288" s="20">
        <v>2866</v>
      </c>
      <c r="K2288" s="20">
        <v>0</v>
      </c>
      <c r="L2288" s="20">
        <v>0</v>
      </c>
      <c r="M2288" s="20">
        <v>0</v>
      </c>
      <c r="N2288" s="20">
        <v>0</v>
      </c>
      <c r="O2288" s="75">
        <v>4839.3500000000004</v>
      </c>
      <c r="P2288" s="76">
        <v>4.2679999999999998</v>
      </c>
      <c r="Q2288" s="27" t="s">
        <v>3328</v>
      </c>
    </row>
    <row r="2289" spans="1:17" ht="48" x14ac:dyDescent="0.25">
      <c r="A2289" s="23">
        <v>39203</v>
      </c>
      <c r="B2289" s="23">
        <v>39355</v>
      </c>
      <c r="C2289" s="27">
        <v>2007</v>
      </c>
      <c r="D2289" s="351" t="s">
        <v>23</v>
      </c>
      <c r="E2289" s="14" t="s">
        <v>24</v>
      </c>
      <c r="F2289" s="28" t="s">
        <v>151</v>
      </c>
      <c r="G2289" s="25" t="s">
        <v>3486</v>
      </c>
      <c r="H2289" s="29" t="s">
        <v>3485</v>
      </c>
      <c r="I2289" s="20">
        <v>0</v>
      </c>
      <c r="J2289" s="20">
        <v>9169</v>
      </c>
      <c r="K2289" s="20">
        <v>0</v>
      </c>
      <c r="L2289" s="20">
        <v>0</v>
      </c>
      <c r="M2289" s="20">
        <v>0</v>
      </c>
      <c r="N2289" s="20">
        <v>0</v>
      </c>
      <c r="O2289" s="75">
        <v>23955.02</v>
      </c>
      <c r="P2289" s="76">
        <v>19.72</v>
      </c>
      <c r="Q2289" s="27" t="s">
        <v>3328</v>
      </c>
    </row>
    <row r="2290" spans="1:17" ht="48" x14ac:dyDescent="0.25">
      <c r="A2290" s="23">
        <v>39264</v>
      </c>
      <c r="B2290" s="23">
        <v>39294</v>
      </c>
      <c r="C2290" s="27">
        <v>2007</v>
      </c>
      <c r="D2290" s="351" t="s">
        <v>23</v>
      </c>
      <c r="E2290" s="14" t="s">
        <v>24</v>
      </c>
      <c r="F2290" s="7" t="s">
        <v>58</v>
      </c>
      <c r="G2290" s="25" t="s">
        <v>3487</v>
      </c>
      <c r="H2290" s="29" t="s">
        <v>3485</v>
      </c>
      <c r="I2290" s="20">
        <v>0</v>
      </c>
      <c r="J2290" s="20">
        <v>1493</v>
      </c>
      <c r="K2290" s="20">
        <v>0</v>
      </c>
      <c r="L2290" s="20">
        <v>0</v>
      </c>
      <c r="M2290" s="20">
        <v>0</v>
      </c>
      <c r="N2290" s="20">
        <v>0</v>
      </c>
      <c r="O2290" s="75">
        <v>2876.75</v>
      </c>
      <c r="P2290" s="76">
        <v>2.3010000000000002</v>
      </c>
      <c r="Q2290" s="27" t="s">
        <v>3328</v>
      </c>
    </row>
    <row r="2291" spans="1:17" ht="48" x14ac:dyDescent="0.25">
      <c r="A2291" s="23">
        <v>39203</v>
      </c>
      <c r="B2291" s="23">
        <v>39294</v>
      </c>
      <c r="C2291" s="27">
        <v>2007</v>
      </c>
      <c r="D2291" s="351" t="s">
        <v>23</v>
      </c>
      <c r="E2291" s="14" t="s">
        <v>24</v>
      </c>
      <c r="F2291" s="7" t="s">
        <v>75</v>
      </c>
      <c r="G2291" s="25" t="s">
        <v>3488</v>
      </c>
      <c r="H2291" s="29" t="s">
        <v>3485</v>
      </c>
      <c r="I2291" s="20">
        <v>0</v>
      </c>
      <c r="J2291" s="20">
        <v>2675</v>
      </c>
      <c r="K2291" s="20">
        <v>0</v>
      </c>
      <c r="L2291" s="20">
        <v>0</v>
      </c>
      <c r="M2291" s="20">
        <v>0</v>
      </c>
      <c r="N2291" s="20">
        <v>0</v>
      </c>
      <c r="O2291" s="75">
        <v>4216.8900000000003</v>
      </c>
      <c r="P2291" s="76">
        <v>3.3730000000000002</v>
      </c>
      <c r="Q2291" s="27" t="s">
        <v>3328</v>
      </c>
    </row>
    <row r="2292" spans="1:17" ht="84" x14ac:dyDescent="0.25">
      <c r="A2292" s="23">
        <v>39234</v>
      </c>
      <c r="B2292" s="23">
        <v>39294</v>
      </c>
      <c r="C2292" s="27">
        <v>2007</v>
      </c>
      <c r="D2292" s="351" t="s">
        <v>23</v>
      </c>
      <c r="E2292" s="14" t="s">
        <v>24</v>
      </c>
      <c r="F2292" s="25" t="s">
        <v>781</v>
      </c>
      <c r="G2292" s="29" t="s">
        <v>3489</v>
      </c>
      <c r="H2292" s="29" t="s">
        <v>3485</v>
      </c>
      <c r="I2292" s="20">
        <v>0</v>
      </c>
      <c r="J2292" s="20">
        <v>11555</v>
      </c>
      <c r="K2292" s="20">
        <v>0</v>
      </c>
      <c r="L2292" s="20">
        <v>0</v>
      </c>
      <c r="M2292" s="20">
        <v>0</v>
      </c>
      <c r="N2292" s="20">
        <v>0</v>
      </c>
      <c r="O2292" s="75">
        <v>17423.09</v>
      </c>
      <c r="P2292" s="76">
        <v>13.938000000000001</v>
      </c>
      <c r="Q2292" s="27" t="s">
        <v>3328</v>
      </c>
    </row>
    <row r="2293" spans="1:17" ht="48" x14ac:dyDescent="0.25">
      <c r="A2293" s="23">
        <v>39234</v>
      </c>
      <c r="B2293" s="23">
        <v>39355</v>
      </c>
      <c r="C2293" s="27">
        <v>2007</v>
      </c>
      <c r="D2293" s="351" t="s">
        <v>23</v>
      </c>
      <c r="E2293" s="14" t="s">
        <v>24</v>
      </c>
      <c r="F2293" s="7" t="s">
        <v>72</v>
      </c>
      <c r="G2293" s="25" t="s">
        <v>2109</v>
      </c>
      <c r="H2293" s="29" t="s">
        <v>3485</v>
      </c>
      <c r="I2293" s="20">
        <v>0</v>
      </c>
      <c r="J2293" s="20">
        <v>42668</v>
      </c>
      <c r="K2293" s="20">
        <v>0</v>
      </c>
      <c r="L2293" s="20">
        <v>0</v>
      </c>
      <c r="M2293" s="20">
        <v>0</v>
      </c>
      <c r="N2293" s="20">
        <v>0</v>
      </c>
      <c r="O2293" s="75">
        <v>65370.52</v>
      </c>
      <c r="P2293" s="76">
        <v>52.295999999999999</v>
      </c>
      <c r="Q2293" s="27" t="s">
        <v>3328</v>
      </c>
    </row>
    <row r="2294" spans="1:17" ht="48" x14ac:dyDescent="0.25">
      <c r="A2294" s="23">
        <v>39295</v>
      </c>
      <c r="B2294" s="23">
        <v>39355</v>
      </c>
      <c r="C2294" s="27">
        <v>2007</v>
      </c>
      <c r="D2294" s="351" t="s">
        <v>23</v>
      </c>
      <c r="E2294" s="14" t="s">
        <v>24</v>
      </c>
      <c r="F2294" s="7" t="s">
        <v>36</v>
      </c>
      <c r="G2294" s="25" t="s">
        <v>3490</v>
      </c>
      <c r="H2294" s="29" t="s">
        <v>3485</v>
      </c>
      <c r="I2294" s="20">
        <v>0</v>
      </c>
      <c r="J2294" s="20">
        <v>3204</v>
      </c>
      <c r="K2294" s="20">
        <v>0</v>
      </c>
      <c r="L2294" s="20">
        <v>0</v>
      </c>
      <c r="M2294" s="20">
        <v>0</v>
      </c>
      <c r="N2294" s="20">
        <v>0</v>
      </c>
      <c r="O2294" s="75">
        <v>5927</v>
      </c>
      <c r="P2294" s="76">
        <v>4.7409999999999997</v>
      </c>
      <c r="Q2294" s="27" t="s">
        <v>3328</v>
      </c>
    </row>
    <row r="2295" spans="1:17" ht="36" x14ac:dyDescent="0.25">
      <c r="A2295" s="23">
        <v>39114</v>
      </c>
      <c r="B2295" s="23">
        <v>39114</v>
      </c>
      <c r="C2295" s="27">
        <v>2007</v>
      </c>
      <c r="D2295" s="351" t="s">
        <v>23</v>
      </c>
      <c r="E2295" s="30" t="s">
        <v>2691</v>
      </c>
      <c r="F2295" s="7" t="s">
        <v>82</v>
      </c>
      <c r="G2295" s="25" t="s">
        <v>3491</v>
      </c>
      <c r="H2295" s="29" t="s">
        <v>3492</v>
      </c>
      <c r="I2295" s="20">
        <v>0</v>
      </c>
      <c r="J2295" s="20">
        <v>200</v>
      </c>
      <c r="K2295" s="20">
        <v>40</v>
      </c>
      <c r="L2295" s="20">
        <v>0</v>
      </c>
      <c r="M2295" s="20">
        <v>0</v>
      </c>
      <c r="N2295" s="20">
        <v>0</v>
      </c>
      <c r="O2295" s="75">
        <v>0</v>
      </c>
      <c r="P2295" s="76">
        <v>0.08</v>
      </c>
      <c r="Q2295" s="35" t="s">
        <v>154</v>
      </c>
    </row>
    <row r="2296" spans="1:17" ht="48" x14ac:dyDescent="0.25">
      <c r="A2296" s="23">
        <v>39161</v>
      </c>
      <c r="B2296" s="23">
        <v>39161</v>
      </c>
      <c r="C2296" s="27">
        <v>2007</v>
      </c>
      <c r="D2296" s="351" t="s">
        <v>23</v>
      </c>
      <c r="E2296" s="30" t="s">
        <v>2691</v>
      </c>
      <c r="F2296" s="28" t="s">
        <v>157</v>
      </c>
      <c r="G2296" s="25" t="s">
        <v>3493</v>
      </c>
      <c r="H2296" s="29" t="s">
        <v>3494</v>
      </c>
      <c r="I2296" s="20">
        <v>1</v>
      </c>
      <c r="J2296" s="20">
        <v>1</v>
      </c>
      <c r="K2296" s="20">
        <v>0</v>
      </c>
      <c r="L2296" s="20">
        <v>0</v>
      </c>
      <c r="M2296" s="20">
        <v>0</v>
      </c>
      <c r="N2296" s="20">
        <v>0</v>
      </c>
      <c r="O2296" s="75">
        <v>0</v>
      </c>
      <c r="P2296" s="76">
        <v>0</v>
      </c>
      <c r="Q2296" s="35" t="s">
        <v>154</v>
      </c>
    </row>
    <row r="2297" spans="1:17" ht="48" x14ac:dyDescent="0.25">
      <c r="A2297" s="23">
        <v>39168</v>
      </c>
      <c r="B2297" s="23">
        <v>39168</v>
      </c>
      <c r="C2297" s="27">
        <v>2007</v>
      </c>
      <c r="D2297" s="351" t="s">
        <v>23</v>
      </c>
      <c r="E2297" s="30" t="s">
        <v>2691</v>
      </c>
      <c r="F2297" s="7" t="s">
        <v>30</v>
      </c>
      <c r="G2297" s="25" t="s">
        <v>901</v>
      </c>
      <c r="H2297" s="25" t="s">
        <v>3495</v>
      </c>
      <c r="I2297" s="20">
        <v>0</v>
      </c>
      <c r="J2297" s="20">
        <v>10</v>
      </c>
      <c r="K2297" s="20">
        <v>2</v>
      </c>
      <c r="L2297" s="20">
        <v>0</v>
      </c>
      <c r="M2297" s="20">
        <v>0</v>
      </c>
      <c r="N2297" s="20">
        <v>0</v>
      </c>
      <c r="O2297" s="75">
        <v>0</v>
      </c>
      <c r="P2297" s="76">
        <v>0</v>
      </c>
      <c r="Q2297" s="35" t="s">
        <v>154</v>
      </c>
    </row>
    <row r="2298" spans="1:17" ht="60" x14ac:dyDescent="0.25">
      <c r="A2298" s="23">
        <v>39265</v>
      </c>
      <c r="B2298" s="23">
        <v>39265</v>
      </c>
      <c r="C2298" s="27">
        <v>2007</v>
      </c>
      <c r="D2298" s="351" t="s">
        <v>23</v>
      </c>
      <c r="E2298" s="30" t="s">
        <v>2691</v>
      </c>
      <c r="F2298" s="7" t="s">
        <v>36</v>
      </c>
      <c r="G2298" s="25" t="s">
        <v>3496</v>
      </c>
      <c r="H2298" s="25" t="s">
        <v>3497</v>
      </c>
      <c r="I2298" s="20">
        <v>0</v>
      </c>
      <c r="J2298" s="20">
        <v>500</v>
      </c>
      <c r="K2298" s="20">
        <v>100</v>
      </c>
      <c r="L2298" s="20">
        <v>0</v>
      </c>
      <c r="M2298" s="20">
        <v>0</v>
      </c>
      <c r="N2298" s="20">
        <v>0</v>
      </c>
      <c r="O2298" s="75">
        <v>0</v>
      </c>
      <c r="P2298" s="76">
        <v>1.1619999999999999</v>
      </c>
      <c r="Q2298" s="35" t="s">
        <v>154</v>
      </c>
    </row>
    <row r="2299" spans="1:17" ht="60" x14ac:dyDescent="0.25">
      <c r="A2299" s="23">
        <v>39378</v>
      </c>
      <c r="B2299" s="23">
        <v>39378</v>
      </c>
      <c r="C2299" s="27">
        <v>2007</v>
      </c>
      <c r="D2299" s="351" t="s">
        <v>23</v>
      </c>
      <c r="E2299" s="30" t="s">
        <v>2691</v>
      </c>
      <c r="F2299" s="25" t="s">
        <v>781</v>
      </c>
      <c r="G2299" s="25" t="s">
        <v>3498</v>
      </c>
      <c r="H2299" s="29" t="s">
        <v>3499</v>
      </c>
      <c r="I2299" s="20">
        <v>21</v>
      </c>
      <c r="J2299" s="20">
        <v>21</v>
      </c>
      <c r="K2299" s="20">
        <v>0</v>
      </c>
      <c r="L2299" s="20">
        <v>0</v>
      </c>
      <c r="M2299" s="20">
        <v>0</v>
      </c>
      <c r="N2299" s="20">
        <v>0</v>
      </c>
      <c r="O2299" s="75">
        <v>0</v>
      </c>
      <c r="P2299" s="76">
        <v>0</v>
      </c>
      <c r="Q2299" s="35" t="s">
        <v>154</v>
      </c>
    </row>
    <row r="2300" spans="1:17" ht="36" x14ac:dyDescent="0.25">
      <c r="A2300" s="23">
        <v>39123</v>
      </c>
      <c r="B2300" s="23">
        <v>39123</v>
      </c>
      <c r="C2300" s="27">
        <v>2007</v>
      </c>
      <c r="D2300" s="351" t="s">
        <v>23</v>
      </c>
      <c r="E2300" s="30" t="s">
        <v>2700</v>
      </c>
      <c r="F2300" s="7" t="s">
        <v>75</v>
      </c>
      <c r="G2300" s="25" t="s">
        <v>3500</v>
      </c>
      <c r="H2300" s="29" t="s">
        <v>3501</v>
      </c>
      <c r="I2300" s="20">
        <v>0</v>
      </c>
      <c r="J2300" s="20">
        <v>5000</v>
      </c>
      <c r="K2300" s="20">
        <v>150</v>
      </c>
      <c r="L2300" s="20">
        <v>0</v>
      </c>
      <c r="M2300" s="20">
        <v>0</v>
      </c>
      <c r="N2300" s="20">
        <v>0</v>
      </c>
      <c r="O2300" s="75">
        <v>0</v>
      </c>
      <c r="P2300" s="76">
        <v>0.69899999999999995</v>
      </c>
      <c r="Q2300" s="35" t="s">
        <v>154</v>
      </c>
    </row>
    <row r="2301" spans="1:17" ht="36" x14ac:dyDescent="0.25">
      <c r="A2301" s="23">
        <v>39172</v>
      </c>
      <c r="B2301" s="23">
        <v>39172</v>
      </c>
      <c r="C2301" s="27">
        <v>2007</v>
      </c>
      <c r="D2301" s="351" t="s">
        <v>23</v>
      </c>
      <c r="E2301" s="30" t="s">
        <v>2700</v>
      </c>
      <c r="F2301" s="7" t="s">
        <v>75</v>
      </c>
      <c r="G2301" s="25" t="s">
        <v>3502</v>
      </c>
      <c r="H2301" s="25" t="s">
        <v>3503</v>
      </c>
      <c r="I2301" s="20">
        <v>0</v>
      </c>
      <c r="J2301" s="20">
        <v>22</v>
      </c>
      <c r="K2301" s="20" t="s">
        <v>3339</v>
      </c>
      <c r="L2301" s="20">
        <v>0</v>
      </c>
      <c r="M2301" s="20">
        <v>0</v>
      </c>
      <c r="N2301" s="20">
        <v>0</v>
      </c>
      <c r="O2301" s="75" t="s">
        <v>3339</v>
      </c>
      <c r="P2301" s="76">
        <v>0</v>
      </c>
      <c r="Q2301" s="35" t="s">
        <v>154</v>
      </c>
    </row>
    <row r="2302" spans="1:17" ht="24" x14ac:dyDescent="0.25">
      <c r="A2302" s="23">
        <v>39214</v>
      </c>
      <c r="B2302" s="23">
        <v>39214</v>
      </c>
      <c r="C2302" s="27">
        <v>2007</v>
      </c>
      <c r="D2302" s="351" t="s">
        <v>23</v>
      </c>
      <c r="E2302" s="30" t="s">
        <v>2700</v>
      </c>
      <c r="F2302" s="7" t="s">
        <v>80</v>
      </c>
      <c r="G2302" s="25" t="s">
        <v>3504</v>
      </c>
      <c r="H2302" s="25" t="s">
        <v>3505</v>
      </c>
      <c r="I2302" s="20">
        <v>0</v>
      </c>
      <c r="J2302" s="20">
        <v>100</v>
      </c>
      <c r="K2302" s="20">
        <v>20</v>
      </c>
      <c r="L2302" s="20">
        <v>0</v>
      </c>
      <c r="M2302" s="20">
        <v>0</v>
      </c>
      <c r="N2302" s="20">
        <v>0</v>
      </c>
      <c r="O2302" s="75">
        <v>0</v>
      </c>
      <c r="P2302" s="76">
        <v>9.3200000000000005E-2</v>
      </c>
      <c r="Q2302" s="35" t="s">
        <v>154</v>
      </c>
    </row>
    <row r="2303" spans="1:17" ht="48" x14ac:dyDescent="0.25">
      <c r="A2303" s="23">
        <v>39286</v>
      </c>
      <c r="B2303" s="23">
        <v>39286</v>
      </c>
      <c r="C2303" s="27">
        <v>2007</v>
      </c>
      <c r="D2303" s="351" t="s">
        <v>23</v>
      </c>
      <c r="E2303" s="30" t="s">
        <v>2700</v>
      </c>
      <c r="F2303" s="7" t="s">
        <v>75</v>
      </c>
      <c r="G2303" s="25" t="s">
        <v>3506</v>
      </c>
      <c r="H2303" s="29" t="s">
        <v>3507</v>
      </c>
      <c r="I2303" s="20">
        <v>0</v>
      </c>
      <c r="J2303" s="20">
        <v>540</v>
      </c>
      <c r="K2303" s="20">
        <v>108</v>
      </c>
      <c r="L2303" s="20">
        <v>0</v>
      </c>
      <c r="M2303" s="20">
        <v>0</v>
      </c>
      <c r="N2303" s="20">
        <v>0</v>
      </c>
      <c r="O2303" s="75">
        <v>0</v>
      </c>
      <c r="P2303" s="76">
        <v>0.76800000000000002</v>
      </c>
      <c r="Q2303" s="35" t="s">
        <v>154</v>
      </c>
    </row>
    <row r="2304" spans="1:17" ht="24" x14ac:dyDescent="0.25">
      <c r="A2304" s="23">
        <v>39152</v>
      </c>
      <c r="B2304" s="23">
        <v>39152</v>
      </c>
      <c r="C2304" s="27">
        <v>2007</v>
      </c>
      <c r="D2304" s="351" t="s">
        <v>23</v>
      </c>
      <c r="E2304" s="22" t="s">
        <v>2706</v>
      </c>
      <c r="F2304" s="7" t="s">
        <v>56</v>
      </c>
      <c r="G2304" s="25" t="s">
        <v>3508</v>
      </c>
      <c r="H2304" s="25" t="s">
        <v>3509</v>
      </c>
      <c r="I2304" s="20">
        <v>2</v>
      </c>
      <c r="J2304" s="20">
        <v>10</v>
      </c>
      <c r="K2304" s="20">
        <v>0</v>
      </c>
      <c r="L2304" s="20">
        <v>0</v>
      </c>
      <c r="M2304" s="20">
        <v>0</v>
      </c>
      <c r="N2304" s="20">
        <v>0</v>
      </c>
      <c r="O2304" s="75">
        <v>0</v>
      </c>
      <c r="P2304" s="76">
        <v>0</v>
      </c>
      <c r="Q2304" s="35" t="s">
        <v>154</v>
      </c>
    </row>
    <row r="2305" spans="1:17" ht="24" x14ac:dyDescent="0.25">
      <c r="A2305" s="23">
        <v>39265</v>
      </c>
      <c r="B2305" s="23">
        <v>39265</v>
      </c>
      <c r="C2305" s="27">
        <v>2007</v>
      </c>
      <c r="D2305" s="351" t="s">
        <v>23</v>
      </c>
      <c r="E2305" s="22" t="s">
        <v>2706</v>
      </c>
      <c r="F2305" s="28" t="s">
        <v>210</v>
      </c>
      <c r="G2305" s="25" t="s">
        <v>3510</v>
      </c>
      <c r="H2305" s="25" t="s">
        <v>3511</v>
      </c>
      <c r="I2305" s="20">
        <v>2</v>
      </c>
      <c r="J2305" s="20">
        <v>2</v>
      </c>
      <c r="K2305" s="20">
        <v>0</v>
      </c>
      <c r="L2305" s="20">
        <v>0</v>
      </c>
      <c r="M2305" s="20">
        <v>0</v>
      </c>
      <c r="N2305" s="20">
        <v>0</v>
      </c>
      <c r="O2305" s="75">
        <v>0</v>
      </c>
      <c r="P2305" s="76">
        <v>0</v>
      </c>
      <c r="Q2305" s="35" t="s">
        <v>154</v>
      </c>
    </row>
    <row r="2306" spans="1:17" ht="60" x14ac:dyDescent="0.25">
      <c r="A2306" s="23">
        <v>39196</v>
      </c>
      <c r="B2306" s="23">
        <v>39196</v>
      </c>
      <c r="C2306" s="27">
        <v>2007</v>
      </c>
      <c r="D2306" s="351" t="s">
        <v>23</v>
      </c>
      <c r="E2306" s="30" t="s">
        <v>3512</v>
      </c>
      <c r="F2306" s="7" t="s">
        <v>45</v>
      </c>
      <c r="G2306" s="25" t="s">
        <v>577</v>
      </c>
      <c r="H2306" s="25" t="s">
        <v>3513</v>
      </c>
      <c r="I2306" s="20">
        <v>3</v>
      </c>
      <c r="J2306" s="20">
        <v>7132</v>
      </c>
      <c r="K2306" s="20">
        <v>1380</v>
      </c>
      <c r="L2306" s="20">
        <v>24</v>
      </c>
      <c r="M2306" s="20" t="s">
        <v>110</v>
      </c>
      <c r="N2306" s="20">
        <v>181</v>
      </c>
      <c r="O2306" s="75">
        <v>0</v>
      </c>
      <c r="P2306" s="76">
        <v>125.17</v>
      </c>
      <c r="Q2306" s="27" t="s">
        <v>22</v>
      </c>
    </row>
    <row r="2307" spans="1:17" ht="24" x14ac:dyDescent="0.25">
      <c r="A2307" s="23">
        <v>39303</v>
      </c>
      <c r="B2307" s="23">
        <f t="shared" ref="B2307:B2312" si="10">A2307</f>
        <v>39303</v>
      </c>
      <c r="C2307" s="27">
        <v>2007</v>
      </c>
      <c r="D2307" s="351" t="s">
        <v>23</v>
      </c>
      <c r="E2307" s="30" t="s">
        <v>2700</v>
      </c>
      <c r="F2307" s="7" t="s">
        <v>62</v>
      </c>
      <c r="G2307" s="25" t="s">
        <v>3514</v>
      </c>
      <c r="H2307" s="25" t="s">
        <v>3515</v>
      </c>
      <c r="I2307" s="20">
        <v>0</v>
      </c>
      <c r="J2307" s="20">
        <v>82</v>
      </c>
      <c r="K2307" s="20">
        <v>0</v>
      </c>
      <c r="L2307" s="20">
        <v>0</v>
      </c>
      <c r="M2307" s="20">
        <v>0</v>
      </c>
      <c r="N2307" s="20">
        <v>0</v>
      </c>
      <c r="O2307" s="75">
        <v>197.88</v>
      </c>
      <c r="P2307" s="76">
        <v>0.158</v>
      </c>
      <c r="Q2307" s="27" t="s">
        <v>3328</v>
      </c>
    </row>
    <row r="2308" spans="1:17" ht="24" x14ac:dyDescent="0.25">
      <c r="A2308" s="23">
        <v>39272</v>
      </c>
      <c r="B2308" s="23">
        <f t="shared" si="10"/>
        <v>39272</v>
      </c>
      <c r="C2308" s="27">
        <v>2007</v>
      </c>
      <c r="D2308" s="351" t="s">
        <v>23</v>
      </c>
      <c r="E2308" s="30" t="s">
        <v>2700</v>
      </c>
      <c r="F2308" s="7" t="s">
        <v>62</v>
      </c>
      <c r="G2308" s="25" t="s">
        <v>3516</v>
      </c>
      <c r="H2308" s="25" t="s">
        <v>3517</v>
      </c>
      <c r="I2308" s="20">
        <v>0</v>
      </c>
      <c r="J2308" s="20">
        <v>659</v>
      </c>
      <c r="K2308" s="20">
        <v>0</v>
      </c>
      <c r="L2308" s="20">
        <v>0</v>
      </c>
      <c r="M2308" s="20">
        <v>0</v>
      </c>
      <c r="N2308" s="20">
        <v>0</v>
      </c>
      <c r="O2308" s="75">
        <v>1930.33</v>
      </c>
      <c r="P2308" s="76">
        <v>1.544</v>
      </c>
      <c r="Q2308" s="27" t="s">
        <v>3328</v>
      </c>
    </row>
    <row r="2309" spans="1:17" ht="36" x14ac:dyDescent="0.25">
      <c r="A2309" s="23">
        <v>39257</v>
      </c>
      <c r="B2309" s="23">
        <f t="shared" si="10"/>
        <v>39257</v>
      </c>
      <c r="C2309" s="27">
        <v>2007</v>
      </c>
      <c r="D2309" s="351" t="s">
        <v>23</v>
      </c>
      <c r="E2309" s="30" t="s">
        <v>2700</v>
      </c>
      <c r="F2309" s="7" t="s">
        <v>62</v>
      </c>
      <c r="G2309" s="25" t="s">
        <v>2562</v>
      </c>
      <c r="H2309" s="25" t="s">
        <v>3518</v>
      </c>
      <c r="I2309" s="20">
        <v>0</v>
      </c>
      <c r="J2309" s="20">
        <v>359</v>
      </c>
      <c r="K2309" s="20">
        <v>0</v>
      </c>
      <c r="L2309" s="20">
        <v>0</v>
      </c>
      <c r="M2309" s="20">
        <v>0</v>
      </c>
      <c r="N2309" s="20">
        <v>0</v>
      </c>
      <c r="O2309" s="75">
        <v>902.25</v>
      </c>
      <c r="P2309" s="76">
        <v>2.5259999999999998</v>
      </c>
      <c r="Q2309" s="27" t="s">
        <v>3328</v>
      </c>
    </row>
    <row r="2310" spans="1:17" ht="24" x14ac:dyDescent="0.25">
      <c r="A2310" s="23">
        <v>39234</v>
      </c>
      <c r="B2310" s="23">
        <f t="shared" si="10"/>
        <v>39234</v>
      </c>
      <c r="C2310" s="27">
        <v>2007</v>
      </c>
      <c r="D2310" s="351" t="s">
        <v>23</v>
      </c>
      <c r="E2310" s="22" t="s">
        <v>2689</v>
      </c>
      <c r="F2310" s="7" t="s">
        <v>97</v>
      </c>
      <c r="G2310" s="25" t="s">
        <v>3519</v>
      </c>
      <c r="H2310" s="25" t="s">
        <v>3520</v>
      </c>
      <c r="I2310" s="20">
        <v>0</v>
      </c>
      <c r="J2310" s="20">
        <v>748</v>
      </c>
      <c r="K2310" s="20">
        <v>0</v>
      </c>
      <c r="L2310" s="20">
        <v>0</v>
      </c>
      <c r="M2310" s="20">
        <v>0</v>
      </c>
      <c r="N2310" s="20">
        <v>0</v>
      </c>
      <c r="O2310" s="75">
        <v>2087.63</v>
      </c>
      <c r="P2310" s="76">
        <v>4.2549999999999999</v>
      </c>
      <c r="Q2310" s="27" t="s">
        <v>3328</v>
      </c>
    </row>
    <row r="2311" spans="1:17" ht="24" x14ac:dyDescent="0.25">
      <c r="A2311" s="23">
        <v>39083</v>
      </c>
      <c r="B2311" s="23">
        <f t="shared" si="10"/>
        <v>39083</v>
      </c>
      <c r="C2311" s="27">
        <v>2007</v>
      </c>
      <c r="D2311" s="351" t="s">
        <v>23</v>
      </c>
      <c r="E2311" s="22" t="s">
        <v>2689</v>
      </c>
      <c r="F2311" s="7" t="s">
        <v>101</v>
      </c>
      <c r="G2311" s="25" t="s">
        <v>3521</v>
      </c>
      <c r="H2311" s="25" t="s">
        <v>3522</v>
      </c>
      <c r="I2311" s="20">
        <v>0</v>
      </c>
      <c r="J2311" s="20">
        <v>380</v>
      </c>
      <c r="K2311" s="20">
        <v>0</v>
      </c>
      <c r="L2311" s="20">
        <v>0</v>
      </c>
      <c r="M2311" s="20">
        <v>0</v>
      </c>
      <c r="N2311" s="20">
        <v>0</v>
      </c>
      <c r="O2311" s="75">
        <v>1152.3</v>
      </c>
      <c r="P2311" s="76">
        <v>3.6509999999999998</v>
      </c>
      <c r="Q2311" s="27" t="s">
        <v>3328</v>
      </c>
    </row>
    <row r="2312" spans="1:17" ht="36" x14ac:dyDescent="0.25">
      <c r="A2312" s="23">
        <v>39083</v>
      </c>
      <c r="B2312" s="23">
        <f t="shared" si="10"/>
        <v>39083</v>
      </c>
      <c r="C2312" s="27">
        <v>2007</v>
      </c>
      <c r="D2312" s="351" t="s">
        <v>23</v>
      </c>
      <c r="E2312" s="22" t="s">
        <v>2689</v>
      </c>
      <c r="F2312" s="7" t="s">
        <v>25</v>
      </c>
      <c r="G2312" s="25" t="s">
        <v>1060</v>
      </c>
      <c r="H2312" s="25" t="s">
        <v>3523</v>
      </c>
      <c r="I2312" s="20">
        <v>0</v>
      </c>
      <c r="J2312" s="20">
        <v>817</v>
      </c>
      <c r="K2312" s="20">
        <v>0</v>
      </c>
      <c r="L2312" s="20">
        <v>0</v>
      </c>
      <c r="M2312" s="20">
        <v>0</v>
      </c>
      <c r="N2312" s="20">
        <v>0</v>
      </c>
      <c r="O2312" s="75">
        <v>1800.36</v>
      </c>
      <c r="P2312" s="76">
        <v>9.0009999999999994</v>
      </c>
      <c r="Q2312" s="27" t="s">
        <v>3328</v>
      </c>
    </row>
    <row r="2313" spans="1:17" x14ac:dyDescent="0.25">
      <c r="A2313" s="23">
        <v>39099</v>
      </c>
      <c r="B2313" s="23">
        <v>39099</v>
      </c>
      <c r="C2313" s="27">
        <v>2007</v>
      </c>
      <c r="D2313" s="35" t="s">
        <v>17</v>
      </c>
      <c r="E2313" s="30" t="s">
        <v>1600</v>
      </c>
      <c r="F2313" s="7" t="s">
        <v>45</v>
      </c>
      <c r="G2313" s="25" t="s">
        <v>3524</v>
      </c>
      <c r="H2313" s="25" t="s">
        <v>3525</v>
      </c>
      <c r="I2313" s="20">
        <v>1</v>
      </c>
      <c r="J2313" s="20">
        <v>1</v>
      </c>
      <c r="K2313" s="20">
        <v>0</v>
      </c>
      <c r="L2313" s="20">
        <v>0</v>
      </c>
      <c r="M2313" s="20">
        <v>0</v>
      </c>
      <c r="N2313" s="20">
        <v>0</v>
      </c>
      <c r="O2313" s="75">
        <v>0</v>
      </c>
      <c r="P2313" s="76">
        <v>0</v>
      </c>
      <c r="Q2313" s="35" t="s">
        <v>154</v>
      </c>
    </row>
    <row r="2314" spans="1:17" ht="48" x14ac:dyDescent="0.25">
      <c r="A2314" s="23">
        <v>39119</v>
      </c>
      <c r="B2314" s="23">
        <v>39119</v>
      </c>
      <c r="C2314" s="27">
        <v>2007</v>
      </c>
      <c r="D2314" s="35" t="s">
        <v>17</v>
      </c>
      <c r="E2314" s="30" t="s">
        <v>1600</v>
      </c>
      <c r="F2314" s="28" t="s">
        <v>160</v>
      </c>
      <c r="G2314" s="25" t="s">
        <v>3526</v>
      </c>
      <c r="H2314" s="25" t="s">
        <v>3527</v>
      </c>
      <c r="I2314" s="20">
        <v>0</v>
      </c>
      <c r="J2314" s="20">
        <v>2</v>
      </c>
      <c r="K2314" s="20">
        <v>0</v>
      </c>
      <c r="L2314" s="20">
        <v>0</v>
      </c>
      <c r="M2314" s="20">
        <v>0</v>
      </c>
      <c r="N2314" s="20">
        <v>0</v>
      </c>
      <c r="O2314" s="75">
        <v>0</v>
      </c>
      <c r="P2314" s="76">
        <v>0</v>
      </c>
      <c r="Q2314" s="35" t="s">
        <v>154</v>
      </c>
    </row>
    <row r="2315" spans="1:17" ht="24" x14ac:dyDescent="0.25">
      <c r="A2315" s="23">
        <v>39127</v>
      </c>
      <c r="B2315" s="23">
        <v>39127</v>
      </c>
      <c r="C2315" s="27">
        <v>2007</v>
      </c>
      <c r="D2315" s="35" t="s">
        <v>17</v>
      </c>
      <c r="E2315" s="30" t="s">
        <v>1600</v>
      </c>
      <c r="F2315" s="7" t="s">
        <v>53</v>
      </c>
      <c r="G2315" s="25" t="s">
        <v>3528</v>
      </c>
      <c r="H2315" s="25" t="s">
        <v>3529</v>
      </c>
      <c r="I2315" s="20">
        <v>1</v>
      </c>
      <c r="J2315" s="20">
        <v>1</v>
      </c>
      <c r="K2315" s="20">
        <v>0</v>
      </c>
      <c r="L2315" s="20">
        <v>0</v>
      </c>
      <c r="M2315" s="20">
        <v>0</v>
      </c>
      <c r="N2315" s="20">
        <v>0</v>
      </c>
      <c r="O2315" s="75">
        <v>0</v>
      </c>
      <c r="P2315" s="76">
        <v>0</v>
      </c>
      <c r="Q2315" s="35" t="s">
        <v>154</v>
      </c>
    </row>
    <row r="2316" spans="1:17" ht="48" x14ac:dyDescent="0.25">
      <c r="A2316" s="23">
        <v>39169</v>
      </c>
      <c r="B2316" s="23">
        <v>39169</v>
      </c>
      <c r="C2316" s="27">
        <v>2007</v>
      </c>
      <c r="D2316" s="35" t="s">
        <v>17</v>
      </c>
      <c r="E2316" s="30" t="s">
        <v>1600</v>
      </c>
      <c r="F2316" s="7" t="s">
        <v>25</v>
      </c>
      <c r="G2316" s="25" t="s">
        <v>25</v>
      </c>
      <c r="H2316" s="25" t="s">
        <v>3530</v>
      </c>
      <c r="I2316" s="20">
        <v>1</v>
      </c>
      <c r="J2316" s="20">
        <v>8</v>
      </c>
      <c r="K2316" s="20">
        <v>0</v>
      </c>
      <c r="L2316" s="20">
        <v>0</v>
      </c>
      <c r="M2316" s="20">
        <v>0</v>
      </c>
      <c r="N2316" s="20">
        <v>0</v>
      </c>
      <c r="O2316" s="75">
        <v>0</v>
      </c>
      <c r="P2316" s="76">
        <v>0</v>
      </c>
      <c r="Q2316" s="35" t="s">
        <v>154</v>
      </c>
    </row>
    <row r="2317" spans="1:17" ht="36" x14ac:dyDescent="0.25">
      <c r="A2317" s="23">
        <v>39185</v>
      </c>
      <c r="B2317" s="23">
        <v>39185</v>
      </c>
      <c r="C2317" s="27">
        <v>2007</v>
      </c>
      <c r="D2317" s="35" t="s">
        <v>17</v>
      </c>
      <c r="E2317" s="30" t="s">
        <v>122</v>
      </c>
      <c r="F2317" s="7" t="s">
        <v>58</v>
      </c>
      <c r="G2317" s="29" t="s">
        <v>3531</v>
      </c>
      <c r="H2317" s="25" t="s">
        <v>3532</v>
      </c>
      <c r="I2317" s="20">
        <v>0</v>
      </c>
      <c r="J2317" s="20">
        <v>3655</v>
      </c>
      <c r="K2317" s="20">
        <v>731</v>
      </c>
      <c r="L2317" s="20">
        <v>4</v>
      </c>
      <c r="M2317" s="20">
        <v>0</v>
      </c>
      <c r="N2317" s="20">
        <v>0</v>
      </c>
      <c r="O2317" s="75">
        <v>0</v>
      </c>
      <c r="P2317" s="76">
        <v>22.236799999999999</v>
      </c>
      <c r="Q2317" s="27" t="s">
        <v>186</v>
      </c>
    </row>
    <row r="2318" spans="1:17" ht="36" x14ac:dyDescent="0.25">
      <c r="A2318" s="23">
        <v>39203</v>
      </c>
      <c r="B2318" s="23">
        <v>39203</v>
      </c>
      <c r="C2318" s="27">
        <v>2007</v>
      </c>
      <c r="D2318" s="35" t="s">
        <v>17</v>
      </c>
      <c r="E2318" s="30" t="s">
        <v>1600</v>
      </c>
      <c r="F2318" s="7" t="s">
        <v>53</v>
      </c>
      <c r="G2318" s="25" t="s">
        <v>3533</v>
      </c>
      <c r="H2318" s="25" t="s">
        <v>3534</v>
      </c>
      <c r="I2318" s="20">
        <v>1</v>
      </c>
      <c r="J2318" s="20">
        <v>3</v>
      </c>
      <c r="K2318" s="20">
        <v>0</v>
      </c>
      <c r="L2318" s="20">
        <v>0</v>
      </c>
      <c r="M2318" s="20">
        <v>0</v>
      </c>
      <c r="N2318" s="20">
        <v>0</v>
      </c>
      <c r="O2318" s="75">
        <v>0</v>
      </c>
      <c r="P2318" s="76">
        <v>0</v>
      </c>
      <c r="Q2318" s="35" t="s">
        <v>154</v>
      </c>
    </row>
    <row r="2319" spans="1:17" ht="48" x14ac:dyDescent="0.25">
      <c r="A2319" s="23">
        <v>39224</v>
      </c>
      <c r="B2319" s="23">
        <v>39224</v>
      </c>
      <c r="C2319" s="27">
        <v>2007</v>
      </c>
      <c r="D2319" s="35" t="s">
        <v>17</v>
      </c>
      <c r="E2319" s="30" t="s">
        <v>1600</v>
      </c>
      <c r="F2319" s="7" t="s">
        <v>45</v>
      </c>
      <c r="G2319" s="25" t="s">
        <v>1696</v>
      </c>
      <c r="H2319" s="25" t="s">
        <v>3535</v>
      </c>
      <c r="I2319" s="20">
        <v>1</v>
      </c>
      <c r="J2319" s="20">
        <v>5</v>
      </c>
      <c r="K2319" s="20">
        <v>0</v>
      </c>
      <c r="L2319" s="20">
        <v>0</v>
      </c>
      <c r="M2319" s="20">
        <v>0</v>
      </c>
      <c r="N2319" s="20">
        <v>0</v>
      </c>
      <c r="O2319" s="75">
        <v>0</v>
      </c>
      <c r="P2319" s="76">
        <v>0</v>
      </c>
      <c r="Q2319" s="35" t="s">
        <v>154</v>
      </c>
    </row>
    <row r="2320" spans="1:17" ht="60" x14ac:dyDescent="0.25">
      <c r="A2320" s="23">
        <v>39233</v>
      </c>
      <c r="B2320" s="23">
        <v>39233</v>
      </c>
      <c r="C2320" s="27">
        <v>2007</v>
      </c>
      <c r="D2320" s="35" t="s">
        <v>17</v>
      </c>
      <c r="E2320" s="30" t="s">
        <v>1597</v>
      </c>
      <c r="F2320" s="7" t="s">
        <v>30</v>
      </c>
      <c r="G2320" s="25" t="s">
        <v>1078</v>
      </c>
      <c r="H2320" s="25" t="s">
        <v>3536</v>
      </c>
      <c r="I2320" s="20">
        <v>2</v>
      </c>
      <c r="J2320" s="20">
        <v>7</v>
      </c>
      <c r="K2320" s="20">
        <v>1</v>
      </c>
      <c r="L2320" s="20">
        <v>0</v>
      </c>
      <c r="M2320" s="20">
        <v>0</v>
      </c>
      <c r="N2320" s="20">
        <v>0</v>
      </c>
      <c r="O2320" s="75">
        <v>0</v>
      </c>
      <c r="P2320" s="76">
        <v>4.1000000000000002E-2</v>
      </c>
      <c r="Q2320" s="35" t="s">
        <v>154</v>
      </c>
    </row>
    <row r="2321" spans="1:17" ht="60" x14ac:dyDescent="0.25">
      <c r="A2321" s="23">
        <v>39267</v>
      </c>
      <c r="B2321" s="23">
        <v>39267</v>
      </c>
      <c r="C2321" s="27">
        <v>2007</v>
      </c>
      <c r="D2321" s="35" t="s">
        <v>17</v>
      </c>
      <c r="E2321" s="30" t="s">
        <v>1597</v>
      </c>
      <c r="F2321" s="7" t="s">
        <v>75</v>
      </c>
      <c r="G2321" s="25" t="s">
        <v>3537</v>
      </c>
      <c r="H2321" s="25" t="s">
        <v>3538</v>
      </c>
      <c r="I2321" s="20">
        <v>32</v>
      </c>
      <c r="J2321" s="20">
        <v>45</v>
      </c>
      <c r="K2321" s="20">
        <v>0</v>
      </c>
      <c r="L2321" s="20">
        <v>0</v>
      </c>
      <c r="M2321" s="20">
        <v>0</v>
      </c>
      <c r="N2321" s="20">
        <v>0</v>
      </c>
      <c r="O2321" s="75">
        <v>0</v>
      </c>
      <c r="P2321" s="76">
        <v>0</v>
      </c>
      <c r="Q2321" s="35" t="s">
        <v>154</v>
      </c>
    </row>
    <row r="2322" spans="1:17" ht="84" x14ac:dyDescent="0.25">
      <c r="A2322" s="23">
        <v>39270</v>
      </c>
      <c r="B2322" s="23">
        <v>39270</v>
      </c>
      <c r="C2322" s="27">
        <v>2007</v>
      </c>
      <c r="D2322" s="35" t="s">
        <v>17</v>
      </c>
      <c r="E2322" s="6" t="s">
        <v>1603</v>
      </c>
      <c r="F2322" s="28" t="s">
        <v>157</v>
      </c>
      <c r="G2322" s="25" t="s">
        <v>206</v>
      </c>
      <c r="H2322" s="25" t="s">
        <v>3539</v>
      </c>
      <c r="I2322" s="20">
        <v>1</v>
      </c>
      <c r="J2322" s="20">
        <v>151</v>
      </c>
      <c r="K2322" s="20">
        <v>30</v>
      </c>
      <c r="L2322" s="20">
        <v>0</v>
      </c>
      <c r="M2322" s="20">
        <v>0</v>
      </c>
      <c r="N2322" s="20">
        <v>0</v>
      </c>
      <c r="O2322" s="75">
        <v>0</v>
      </c>
      <c r="P2322" s="76">
        <v>0.34799999999999998</v>
      </c>
      <c r="Q2322" s="35" t="s">
        <v>154</v>
      </c>
    </row>
    <row r="2323" spans="1:17" ht="36" x14ac:dyDescent="0.25">
      <c r="A2323" s="23">
        <v>39301</v>
      </c>
      <c r="B2323" s="23">
        <v>39301</v>
      </c>
      <c r="C2323" s="27">
        <v>2007</v>
      </c>
      <c r="D2323" s="35" t="s">
        <v>17</v>
      </c>
      <c r="E2323" s="30" t="s">
        <v>1600</v>
      </c>
      <c r="F2323" s="7" t="s">
        <v>65</v>
      </c>
      <c r="G2323" s="25" t="s">
        <v>3540</v>
      </c>
      <c r="H2323" s="25" t="s">
        <v>3541</v>
      </c>
      <c r="I2323" s="20">
        <v>2</v>
      </c>
      <c r="J2323" s="20">
        <v>2</v>
      </c>
      <c r="K2323" s="20">
        <v>0</v>
      </c>
      <c r="L2323" s="20">
        <v>0</v>
      </c>
      <c r="M2323" s="20">
        <v>0</v>
      </c>
      <c r="N2323" s="20">
        <v>0</v>
      </c>
      <c r="O2323" s="75">
        <v>0</v>
      </c>
      <c r="P2323" s="76">
        <v>0</v>
      </c>
      <c r="Q2323" s="35" t="s">
        <v>154</v>
      </c>
    </row>
    <row r="2324" spans="1:17" ht="24" x14ac:dyDescent="0.25">
      <c r="A2324" s="23">
        <v>39312</v>
      </c>
      <c r="B2324" s="23">
        <v>39312</v>
      </c>
      <c r="C2324" s="27">
        <v>2007</v>
      </c>
      <c r="D2324" s="35" t="s">
        <v>17</v>
      </c>
      <c r="E2324" s="30" t="s">
        <v>1600</v>
      </c>
      <c r="F2324" s="7" t="s">
        <v>53</v>
      </c>
      <c r="G2324" s="25" t="s">
        <v>3542</v>
      </c>
      <c r="H2324" s="25" t="s">
        <v>3543</v>
      </c>
      <c r="I2324" s="20">
        <v>2</v>
      </c>
      <c r="J2324" s="20">
        <v>3</v>
      </c>
      <c r="K2324" s="20">
        <v>0</v>
      </c>
      <c r="L2324" s="20">
        <v>0</v>
      </c>
      <c r="M2324" s="20">
        <v>0</v>
      </c>
      <c r="N2324" s="20">
        <v>0</v>
      </c>
      <c r="O2324" s="75">
        <v>0</v>
      </c>
      <c r="P2324" s="76">
        <v>0</v>
      </c>
      <c r="Q2324" s="35" t="s">
        <v>154</v>
      </c>
    </row>
    <row r="2325" spans="1:17" ht="36" x14ac:dyDescent="0.25">
      <c r="A2325" s="23">
        <v>39316</v>
      </c>
      <c r="B2325" s="23">
        <v>39316</v>
      </c>
      <c r="C2325" s="27">
        <v>2007</v>
      </c>
      <c r="D2325" s="35" t="s">
        <v>17</v>
      </c>
      <c r="E2325" s="30" t="s">
        <v>1600</v>
      </c>
      <c r="F2325" s="7" t="s">
        <v>60</v>
      </c>
      <c r="G2325" s="25" t="s">
        <v>307</v>
      </c>
      <c r="H2325" s="25" t="s">
        <v>3544</v>
      </c>
      <c r="I2325" s="20">
        <v>1</v>
      </c>
      <c r="J2325" s="20">
        <v>2</v>
      </c>
      <c r="K2325" s="20">
        <v>1</v>
      </c>
      <c r="L2325" s="20">
        <v>0</v>
      </c>
      <c r="M2325" s="20">
        <v>0</v>
      </c>
      <c r="N2325" s="20">
        <v>0</v>
      </c>
      <c r="O2325" s="75">
        <v>0</v>
      </c>
      <c r="P2325" s="76">
        <v>0.04</v>
      </c>
      <c r="Q2325" s="35" t="s">
        <v>154</v>
      </c>
    </row>
    <row r="2326" spans="1:17" ht="24" x14ac:dyDescent="0.25">
      <c r="A2326" s="23">
        <v>39338</v>
      </c>
      <c r="B2326" s="23">
        <v>39338</v>
      </c>
      <c r="C2326" s="27">
        <v>2007</v>
      </c>
      <c r="D2326" s="35" t="s">
        <v>17</v>
      </c>
      <c r="E2326" s="30" t="s">
        <v>1597</v>
      </c>
      <c r="F2326" s="28" t="s">
        <v>160</v>
      </c>
      <c r="G2326" s="25" t="s">
        <v>3545</v>
      </c>
      <c r="H2326" s="25" t="s">
        <v>3546</v>
      </c>
      <c r="I2326" s="20">
        <v>1</v>
      </c>
      <c r="J2326" s="20">
        <v>1</v>
      </c>
      <c r="K2326" s="20">
        <v>0</v>
      </c>
      <c r="L2326" s="20">
        <v>0</v>
      </c>
      <c r="M2326" s="20">
        <v>0</v>
      </c>
      <c r="N2326" s="20">
        <v>0</v>
      </c>
      <c r="O2326" s="75">
        <v>0</v>
      </c>
      <c r="P2326" s="76">
        <v>0</v>
      </c>
      <c r="Q2326" s="35" t="s">
        <v>154</v>
      </c>
    </row>
    <row r="2327" spans="1:17" ht="72" x14ac:dyDescent="0.25">
      <c r="A2327" s="23">
        <v>39360</v>
      </c>
      <c r="B2327" s="23">
        <v>39360</v>
      </c>
      <c r="C2327" s="27">
        <v>2007</v>
      </c>
      <c r="D2327" s="35" t="s">
        <v>17</v>
      </c>
      <c r="E2327" s="30" t="s">
        <v>1597</v>
      </c>
      <c r="F2327" s="7" t="s">
        <v>58</v>
      </c>
      <c r="G2327" s="25" t="s">
        <v>2184</v>
      </c>
      <c r="H2327" s="25" t="s">
        <v>3547</v>
      </c>
      <c r="I2327" s="20">
        <v>1</v>
      </c>
      <c r="J2327" s="20">
        <v>8</v>
      </c>
      <c r="K2327" s="20">
        <v>0</v>
      </c>
      <c r="L2327" s="20">
        <v>0</v>
      </c>
      <c r="M2327" s="20">
        <v>0</v>
      </c>
      <c r="N2327" s="20">
        <v>0</v>
      </c>
      <c r="O2327" s="75">
        <v>0</v>
      </c>
      <c r="P2327" s="76">
        <v>0</v>
      </c>
      <c r="Q2327" s="35" t="s">
        <v>154</v>
      </c>
    </row>
    <row r="2328" spans="1:17" ht="36" x14ac:dyDescent="0.25">
      <c r="A2328" s="23">
        <v>39373</v>
      </c>
      <c r="B2328" s="23">
        <v>39373</v>
      </c>
      <c r="C2328" s="27">
        <v>2007</v>
      </c>
      <c r="D2328" s="35" t="s">
        <v>17</v>
      </c>
      <c r="E2328" s="6" t="s">
        <v>1603</v>
      </c>
      <c r="F2328" s="28" t="s">
        <v>210</v>
      </c>
      <c r="G2328" s="25" t="s">
        <v>3548</v>
      </c>
      <c r="H2328" s="25" t="s">
        <v>3549</v>
      </c>
      <c r="I2328" s="20">
        <v>0</v>
      </c>
      <c r="J2328" s="20">
        <v>40</v>
      </c>
      <c r="K2328" s="20">
        <v>8</v>
      </c>
      <c r="L2328" s="20">
        <v>0</v>
      </c>
      <c r="M2328" s="20">
        <v>0</v>
      </c>
      <c r="N2328" s="20">
        <v>0</v>
      </c>
      <c r="O2328" s="75">
        <v>0</v>
      </c>
      <c r="P2328" s="76">
        <v>0.33300000000000002</v>
      </c>
      <c r="Q2328" s="35" t="s">
        <v>154</v>
      </c>
    </row>
    <row r="2329" spans="1:17" ht="24" x14ac:dyDescent="0.25">
      <c r="A2329" s="23">
        <v>39380</v>
      </c>
      <c r="B2329" s="23">
        <v>39380</v>
      </c>
      <c r="C2329" s="27">
        <v>2007</v>
      </c>
      <c r="D2329" s="35" t="s">
        <v>17</v>
      </c>
      <c r="E2329" s="30" t="s">
        <v>1597</v>
      </c>
      <c r="F2329" s="7" t="s">
        <v>58</v>
      </c>
      <c r="G2329" s="25" t="s">
        <v>1194</v>
      </c>
      <c r="H2329" s="25" t="s">
        <v>3550</v>
      </c>
      <c r="I2329" s="20">
        <v>0</v>
      </c>
      <c r="J2329" s="20">
        <v>5</v>
      </c>
      <c r="K2329" s="20">
        <v>1</v>
      </c>
      <c r="L2329" s="20">
        <v>0</v>
      </c>
      <c r="M2329" s="20">
        <v>0</v>
      </c>
      <c r="N2329" s="20">
        <v>0</v>
      </c>
      <c r="O2329" s="75">
        <v>0</v>
      </c>
      <c r="P2329" s="76">
        <v>0.04</v>
      </c>
      <c r="Q2329" s="35" t="s">
        <v>154</v>
      </c>
    </row>
    <row r="2330" spans="1:17" ht="120" x14ac:dyDescent="0.25">
      <c r="A2330" s="23">
        <v>39390</v>
      </c>
      <c r="B2330" s="23">
        <v>39390</v>
      </c>
      <c r="C2330" s="27">
        <v>2007</v>
      </c>
      <c r="D2330" s="35" t="s">
        <v>17</v>
      </c>
      <c r="E2330" s="30" t="s">
        <v>1597</v>
      </c>
      <c r="F2330" s="7" t="s">
        <v>36</v>
      </c>
      <c r="G2330" s="25" t="s">
        <v>3551</v>
      </c>
      <c r="H2330" s="29" t="s">
        <v>3552</v>
      </c>
      <c r="I2330" s="20">
        <v>25</v>
      </c>
      <c r="J2330" s="20">
        <v>906</v>
      </c>
      <c r="K2330" s="20">
        <v>100</v>
      </c>
      <c r="L2330" s="20">
        <v>0</v>
      </c>
      <c r="M2330" s="20">
        <v>0</v>
      </c>
      <c r="N2330" s="20">
        <v>0</v>
      </c>
      <c r="O2330" s="75">
        <v>0</v>
      </c>
      <c r="P2330" s="76">
        <v>1015.946</v>
      </c>
      <c r="Q2330" s="27" t="s">
        <v>22</v>
      </c>
    </row>
    <row r="2331" spans="1:17" ht="36" x14ac:dyDescent="0.25">
      <c r="A2331" s="23">
        <v>39337</v>
      </c>
      <c r="B2331" s="23">
        <f>A2331</f>
        <v>39337</v>
      </c>
      <c r="C2331" s="27">
        <v>2007</v>
      </c>
      <c r="D2331" s="35" t="s">
        <v>17</v>
      </c>
      <c r="E2331" s="30" t="s">
        <v>1597</v>
      </c>
      <c r="F2331" s="7" t="s">
        <v>60</v>
      </c>
      <c r="G2331" s="25" t="s">
        <v>3553</v>
      </c>
      <c r="H2331" s="25" t="s">
        <v>3554</v>
      </c>
      <c r="I2331" s="20">
        <v>0</v>
      </c>
      <c r="J2331" s="20" t="s">
        <v>3339</v>
      </c>
      <c r="K2331" s="20" t="s">
        <v>3339</v>
      </c>
      <c r="L2331" s="20" t="s">
        <v>3339</v>
      </c>
      <c r="M2331" s="20" t="s">
        <v>3339</v>
      </c>
      <c r="N2331" s="20">
        <v>0</v>
      </c>
      <c r="O2331" s="75" t="s">
        <v>3339</v>
      </c>
      <c r="P2331" s="76">
        <v>8.1150000000000002</v>
      </c>
      <c r="Q2331" s="27" t="s">
        <v>186</v>
      </c>
    </row>
    <row r="2332" spans="1:17" ht="36" x14ac:dyDescent="0.25">
      <c r="A2332" s="23">
        <v>39083</v>
      </c>
      <c r="B2332" s="23">
        <v>39447</v>
      </c>
      <c r="C2332" s="27">
        <v>2007</v>
      </c>
      <c r="D2332" s="35" t="s">
        <v>28</v>
      </c>
      <c r="E2332" s="14" t="s">
        <v>29</v>
      </c>
      <c r="F2332" s="7" t="s">
        <v>25</v>
      </c>
      <c r="G2332" s="25" t="s">
        <v>2109</v>
      </c>
      <c r="H2332" s="25" t="s">
        <v>3555</v>
      </c>
      <c r="I2332" s="20">
        <v>0</v>
      </c>
      <c r="J2332" s="20">
        <v>0</v>
      </c>
      <c r="K2332" s="20">
        <v>0</v>
      </c>
      <c r="L2332" s="20">
        <v>0</v>
      </c>
      <c r="M2332" s="20">
        <v>0</v>
      </c>
      <c r="N2332" s="20">
        <v>0</v>
      </c>
      <c r="O2332" s="75">
        <v>310</v>
      </c>
      <c r="P2332" s="76">
        <v>0.31</v>
      </c>
      <c r="Q2332" s="27" t="s">
        <v>3556</v>
      </c>
    </row>
    <row r="2333" spans="1:17" ht="36" x14ac:dyDescent="0.25">
      <c r="A2333" s="23">
        <v>39083</v>
      </c>
      <c r="B2333" s="23">
        <v>39447</v>
      </c>
      <c r="C2333" s="27">
        <v>2007</v>
      </c>
      <c r="D2333" s="35" t="s">
        <v>28</v>
      </c>
      <c r="E2333" s="14" t="s">
        <v>29</v>
      </c>
      <c r="F2333" s="7" t="s">
        <v>30</v>
      </c>
      <c r="G2333" s="25" t="s">
        <v>2109</v>
      </c>
      <c r="H2333" s="25" t="s">
        <v>3557</v>
      </c>
      <c r="I2333" s="20">
        <v>0</v>
      </c>
      <c r="J2333" s="20">
        <v>0</v>
      </c>
      <c r="K2333" s="20">
        <v>0</v>
      </c>
      <c r="L2333" s="20">
        <v>0</v>
      </c>
      <c r="M2333" s="20">
        <v>0</v>
      </c>
      <c r="N2333" s="20">
        <v>0</v>
      </c>
      <c r="O2333" s="75">
        <v>29685.32</v>
      </c>
      <c r="P2333" s="76">
        <v>29.686</v>
      </c>
      <c r="Q2333" s="27" t="s">
        <v>3556</v>
      </c>
    </row>
    <row r="2334" spans="1:17" ht="36" x14ac:dyDescent="0.25">
      <c r="A2334" s="23">
        <v>39083</v>
      </c>
      <c r="B2334" s="23">
        <v>39447</v>
      </c>
      <c r="C2334" s="27">
        <v>2007</v>
      </c>
      <c r="D2334" s="35" t="s">
        <v>28</v>
      </c>
      <c r="E2334" s="14" t="s">
        <v>29</v>
      </c>
      <c r="F2334" s="7" t="s">
        <v>33</v>
      </c>
      <c r="G2334" s="25" t="s">
        <v>2109</v>
      </c>
      <c r="H2334" s="25" t="s">
        <v>3558</v>
      </c>
      <c r="I2334" s="20">
        <v>0</v>
      </c>
      <c r="J2334" s="20">
        <v>0</v>
      </c>
      <c r="K2334" s="20">
        <v>0</v>
      </c>
      <c r="L2334" s="20">
        <v>0</v>
      </c>
      <c r="M2334" s="20">
        <v>0</v>
      </c>
      <c r="N2334" s="20">
        <v>0</v>
      </c>
      <c r="O2334" s="75">
        <v>274.10000000000002</v>
      </c>
      <c r="P2334" s="76">
        <v>0.27400000000000002</v>
      </c>
      <c r="Q2334" s="27" t="s">
        <v>3556</v>
      </c>
    </row>
    <row r="2335" spans="1:17" ht="36" x14ac:dyDescent="0.25">
      <c r="A2335" s="23">
        <v>39083</v>
      </c>
      <c r="B2335" s="23">
        <v>39447</v>
      </c>
      <c r="C2335" s="27">
        <v>2007</v>
      </c>
      <c r="D2335" s="35" t="s">
        <v>28</v>
      </c>
      <c r="E2335" s="14" t="s">
        <v>29</v>
      </c>
      <c r="F2335" s="28" t="s">
        <v>151</v>
      </c>
      <c r="G2335" s="25" t="s">
        <v>2109</v>
      </c>
      <c r="H2335" s="25" t="s">
        <v>3559</v>
      </c>
      <c r="I2335" s="20">
        <v>0</v>
      </c>
      <c r="J2335" s="20">
        <v>0</v>
      </c>
      <c r="K2335" s="20">
        <v>0</v>
      </c>
      <c r="L2335" s="20">
        <v>0</v>
      </c>
      <c r="M2335" s="20">
        <v>0</v>
      </c>
      <c r="N2335" s="20">
        <v>0</v>
      </c>
      <c r="O2335" s="75">
        <v>316</v>
      </c>
      <c r="P2335" s="76">
        <v>0.316</v>
      </c>
      <c r="Q2335" s="27" t="s">
        <v>3556</v>
      </c>
    </row>
    <row r="2336" spans="1:17" ht="48" x14ac:dyDescent="0.25">
      <c r="A2336" s="23">
        <v>39083</v>
      </c>
      <c r="B2336" s="23">
        <v>39447</v>
      </c>
      <c r="C2336" s="27">
        <v>2007</v>
      </c>
      <c r="D2336" s="35" t="s">
        <v>28</v>
      </c>
      <c r="E2336" s="14" t="s">
        <v>29</v>
      </c>
      <c r="F2336" s="7" t="s">
        <v>45</v>
      </c>
      <c r="G2336" s="25" t="s">
        <v>2109</v>
      </c>
      <c r="H2336" s="25" t="s">
        <v>3560</v>
      </c>
      <c r="I2336" s="20">
        <v>0</v>
      </c>
      <c r="J2336" s="20">
        <v>0</v>
      </c>
      <c r="K2336" s="20">
        <v>0</v>
      </c>
      <c r="L2336" s="20">
        <v>0</v>
      </c>
      <c r="M2336" s="20">
        <v>0</v>
      </c>
      <c r="N2336" s="20">
        <v>0</v>
      </c>
      <c r="O2336" s="75">
        <v>618.70000000000005</v>
      </c>
      <c r="P2336" s="76">
        <v>0.61899999999999999</v>
      </c>
      <c r="Q2336" s="27" t="s">
        <v>3556</v>
      </c>
    </row>
    <row r="2337" spans="1:17" ht="36" x14ac:dyDescent="0.25">
      <c r="A2337" s="23">
        <v>39083</v>
      </c>
      <c r="B2337" s="23">
        <v>39447</v>
      </c>
      <c r="C2337" s="27">
        <v>2007</v>
      </c>
      <c r="D2337" s="35" t="s">
        <v>28</v>
      </c>
      <c r="E2337" s="14" t="s">
        <v>29</v>
      </c>
      <c r="F2337" s="7" t="s">
        <v>47</v>
      </c>
      <c r="G2337" s="25" t="s">
        <v>2109</v>
      </c>
      <c r="H2337" s="25" t="s">
        <v>3561</v>
      </c>
      <c r="I2337" s="20">
        <v>0</v>
      </c>
      <c r="J2337" s="20">
        <v>0</v>
      </c>
      <c r="K2337" s="20">
        <v>0</v>
      </c>
      <c r="L2337" s="20">
        <v>0</v>
      </c>
      <c r="M2337" s="20">
        <v>0</v>
      </c>
      <c r="N2337" s="20">
        <v>0</v>
      </c>
      <c r="O2337" s="75">
        <v>503</v>
      </c>
      <c r="P2337" s="76">
        <v>0.503</v>
      </c>
      <c r="Q2337" s="27" t="s">
        <v>3556</v>
      </c>
    </row>
    <row r="2338" spans="1:17" ht="48" x14ac:dyDescent="0.25">
      <c r="A2338" s="23">
        <v>39083</v>
      </c>
      <c r="B2338" s="23">
        <v>39447</v>
      </c>
      <c r="C2338" s="27">
        <v>2007</v>
      </c>
      <c r="D2338" s="35" t="s">
        <v>28</v>
      </c>
      <c r="E2338" s="14" t="s">
        <v>29</v>
      </c>
      <c r="F2338" s="7" t="s">
        <v>36</v>
      </c>
      <c r="G2338" s="25" t="s">
        <v>2109</v>
      </c>
      <c r="H2338" s="25" t="s">
        <v>3562</v>
      </c>
      <c r="I2338" s="20">
        <v>0</v>
      </c>
      <c r="J2338" s="20">
        <v>0</v>
      </c>
      <c r="K2338" s="20">
        <v>0</v>
      </c>
      <c r="L2338" s="20">
        <v>0</v>
      </c>
      <c r="M2338" s="20">
        <v>0</v>
      </c>
      <c r="N2338" s="20">
        <v>0</v>
      </c>
      <c r="O2338" s="75">
        <v>12893.56</v>
      </c>
      <c r="P2338" s="76">
        <v>12.893000000000001</v>
      </c>
      <c r="Q2338" s="27" t="s">
        <v>3556</v>
      </c>
    </row>
    <row r="2339" spans="1:17" ht="48" x14ac:dyDescent="0.25">
      <c r="A2339" s="23">
        <v>39083</v>
      </c>
      <c r="B2339" s="23">
        <v>39447</v>
      </c>
      <c r="C2339" s="27">
        <v>2007</v>
      </c>
      <c r="D2339" s="35" t="s">
        <v>28</v>
      </c>
      <c r="E2339" s="14" t="s">
        <v>29</v>
      </c>
      <c r="F2339" s="7" t="s">
        <v>40</v>
      </c>
      <c r="G2339" s="25" t="s">
        <v>2109</v>
      </c>
      <c r="H2339" s="25" t="s">
        <v>3563</v>
      </c>
      <c r="I2339" s="20">
        <v>0</v>
      </c>
      <c r="J2339" s="20">
        <v>0</v>
      </c>
      <c r="K2339" s="20">
        <v>0</v>
      </c>
      <c r="L2339" s="20">
        <v>0</v>
      </c>
      <c r="M2339" s="20">
        <v>0</v>
      </c>
      <c r="N2339" s="20">
        <v>0</v>
      </c>
      <c r="O2339" s="75">
        <v>10560.85</v>
      </c>
      <c r="P2339" s="76">
        <v>10.56</v>
      </c>
      <c r="Q2339" s="27" t="s">
        <v>3556</v>
      </c>
    </row>
    <row r="2340" spans="1:17" ht="36" x14ac:dyDescent="0.25">
      <c r="A2340" s="23">
        <v>39083</v>
      </c>
      <c r="B2340" s="23">
        <v>39447</v>
      </c>
      <c r="C2340" s="27">
        <v>2007</v>
      </c>
      <c r="D2340" s="35" t="s">
        <v>28</v>
      </c>
      <c r="E2340" s="14" t="s">
        <v>29</v>
      </c>
      <c r="F2340" s="28" t="s">
        <v>157</v>
      </c>
      <c r="G2340" s="25" t="s">
        <v>2109</v>
      </c>
      <c r="H2340" s="25" t="s">
        <v>3564</v>
      </c>
      <c r="I2340" s="20">
        <v>0</v>
      </c>
      <c r="J2340" s="20">
        <v>0</v>
      </c>
      <c r="K2340" s="20">
        <v>0</v>
      </c>
      <c r="L2340" s="20">
        <v>0</v>
      </c>
      <c r="M2340" s="20">
        <v>0</v>
      </c>
      <c r="N2340" s="20">
        <v>0</v>
      </c>
      <c r="O2340" s="75">
        <v>890.82</v>
      </c>
      <c r="P2340" s="76">
        <v>0.89100000000000001</v>
      </c>
      <c r="Q2340" s="27" t="s">
        <v>3556</v>
      </c>
    </row>
    <row r="2341" spans="1:17" ht="48" x14ac:dyDescent="0.25">
      <c r="A2341" s="23">
        <v>39083</v>
      </c>
      <c r="B2341" s="23">
        <v>39447</v>
      </c>
      <c r="C2341" s="27">
        <v>2007</v>
      </c>
      <c r="D2341" s="35" t="s">
        <v>28</v>
      </c>
      <c r="E2341" s="14" t="s">
        <v>29</v>
      </c>
      <c r="F2341" s="7" t="s">
        <v>49</v>
      </c>
      <c r="G2341" s="25" t="s">
        <v>2109</v>
      </c>
      <c r="H2341" s="25" t="s">
        <v>3565</v>
      </c>
      <c r="I2341" s="20">
        <v>0</v>
      </c>
      <c r="J2341" s="20">
        <v>0</v>
      </c>
      <c r="K2341" s="20">
        <v>0</v>
      </c>
      <c r="L2341" s="20">
        <v>0</v>
      </c>
      <c r="M2341" s="20">
        <v>0</v>
      </c>
      <c r="N2341" s="20">
        <v>0</v>
      </c>
      <c r="O2341" s="75">
        <v>4118</v>
      </c>
      <c r="P2341" s="76">
        <v>4.1180000000000003</v>
      </c>
      <c r="Q2341" s="27" t="s">
        <v>3556</v>
      </c>
    </row>
    <row r="2342" spans="1:17" ht="48" x14ac:dyDescent="0.25">
      <c r="A2342" s="23">
        <v>39083</v>
      </c>
      <c r="B2342" s="23">
        <v>39447</v>
      </c>
      <c r="C2342" s="27">
        <v>2007</v>
      </c>
      <c r="D2342" s="35" t="s">
        <v>28</v>
      </c>
      <c r="E2342" s="14" t="s">
        <v>29</v>
      </c>
      <c r="F2342" s="7" t="s">
        <v>56</v>
      </c>
      <c r="G2342" s="25" t="s">
        <v>2109</v>
      </c>
      <c r="H2342" s="25" t="s">
        <v>3566</v>
      </c>
      <c r="I2342" s="20">
        <v>0</v>
      </c>
      <c r="J2342" s="20">
        <v>0</v>
      </c>
      <c r="K2342" s="20">
        <v>0</v>
      </c>
      <c r="L2342" s="20">
        <v>0</v>
      </c>
      <c r="M2342" s="20">
        <v>0</v>
      </c>
      <c r="N2342" s="20">
        <v>0</v>
      </c>
      <c r="O2342" s="75">
        <v>603.5</v>
      </c>
      <c r="P2342" s="76">
        <v>0.60299999999999998</v>
      </c>
      <c r="Q2342" s="27" t="s">
        <v>3556</v>
      </c>
    </row>
    <row r="2343" spans="1:17" ht="48" x14ac:dyDescent="0.25">
      <c r="A2343" s="23">
        <v>39083</v>
      </c>
      <c r="B2343" s="23">
        <v>39447</v>
      </c>
      <c r="C2343" s="27">
        <v>2007</v>
      </c>
      <c r="D2343" s="35" t="s">
        <v>28</v>
      </c>
      <c r="E2343" s="14" t="s">
        <v>29</v>
      </c>
      <c r="F2343" s="7" t="s">
        <v>58</v>
      </c>
      <c r="G2343" s="25" t="s">
        <v>2109</v>
      </c>
      <c r="H2343" s="25" t="s">
        <v>3567</v>
      </c>
      <c r="I2343" s="20">
        <v>0</v>
      </c>
      <c r="J2343" s="20">
        <v>0</v>
      </c>
      <c r="K2343" s="20">
        <v>0</v>
      </c>
      <c r="L2343" s="20">
        <v>0</v>
      </c>
      <c r="M2343" s="20">
        <v>0</v>
      </c>
      <c r="N2343" s="20">
        <v>0</v>
      </c>
      <c r="O2343" s="75">
        <v>12621</v>
      </c>
      <c r="P2343" s="76">
        <v>12.621</v>
      </c>
      <c r="Q2343" s="27" t="s">
        <v>3556</v>
      </c>
    </row>
    <row r="2344" spans="1:17" ht="36" x14ac:dyDescent="0.25">
      <c r="A2344" s="23">
        <v>39083</v>
      </c>
      <c r="B2344" s="23">
        <v>39447</v>
      </c>
      <c r="C2344" s="27">
        <v>2007</v>
      </c>
      <c r="D2344" s="35" t="s">
        <v>28</v>
      </c>
      <c r="E2344" s="14" t="s">
        <v>29</v>
      </c>
      <c r="F2344" s="28" t="s">
        <v>160</v>
      </c>
      <c r="G2344" s="25" t="s">
        <v>2109</v>
      </c>
      <c r="H2344" s="25" t="s">
        <v>3568</v>
      </c>
      <c r="I2344" s="20">
        <v>0</v>
      </c>
      <c r="J2344" s="20">
        <v>0</v>
      </c>
      <c r="K2344" s="20">
        <v>0</v>
      </c>
      <c r="L2344" s="20">
        <v>0</v>
      </c>
      <c r="M2344" s="20">
        <v>0</v>
      </c>
      <c r="N2344" s="20">
        <v>0</v>
      </c>
      <c r="O2344" s="75">
        <v>159.25</v>
      </c>
      <c r="P2344" s="76">
        <v>0.159</v>
      </c>
      <c r="Q2344" s="27" t="s">
        <v>3556</v>
      </c>
    </row>
    <row r="2345" spans="1:17" ht="48" x14ac:dyDescent="0.25">
      <c r="A2345" s="23">
        <v>39083</v>
      </c>
      <c r="B2345" s="23">
        <v>39447</v>
      </c>
      <c r="C2345" s="27">
        <v>2007</v>
      </c>
      <c r="D2345" s="35" t="s">
        <v>28</v>
      </c>
      <c r="E2345" s="14" t="s">
        <v>29</v>
      </c>
      <c r="F2345" s="7" t="s">
        <v>60</v>
      </c>
      <c r="G2345" s="25" t="s">
        <v>2109</v>
      </c>
      <c r="H2345" s="25" t="s">
        <v>3569</v>
      </c>
      <c r="I2345" s="20">
        <v>0</v>
      </c>
      <c r="J2345" s="20">
        <v>0</v>
      </c>
      <c r="K2345" s="20">
        <v>0</v>
      </c>
      <c r="L2345" s="20">
        <v>0</v>
      </c>
      <c r="M2345" s="20">
        <v>0</v>
      </c>
      <c r="N2345" s="20">
        <v>0</v>
      </c>
      <c r="O2345" s="75">
        <v>14963</v>
      </c>
      <c r="P2345" s="76">
        <v>14.962999999999999</v>
      </c>
      <c r="Q2345" s="27" t="s">
        <v>3556</v>
      </c>
    </row>
    <row r="2346" spans="1:17" ht="48" x14ac:dyDescent="0.25">
      <c r="A2346" s="23">
        <v>39083</v>
      </c>
      <c r="B2346" s="23">
        <v>39447</v>
      </c>
      <c r="C2346" s="27">
        <v>2007</v>
      </c>
      <c r="D2346" s="35" t="s">
        <v>28</v>
      </c>
      <c r="E2346" s="14" t="s">
        <v>29</v>
      </c>
      <c r="F2346" s="7" t="s">
        <v>53</v>
      </c>
      <c r="G2346" s="25" t="s">
        <v>2109</v>
      </c>
      <c r="H2346" s="25" t="s">
        <v>3570</v>
      </c>
      <c r="I2346" s="20">
        <v>0</v>
      </c>
      <c r="J2346" s="20">
        <v>0</v>
      </c>
      <c r="K2346" s="20">
        <v>0</v>
      </c>
      <c r="L2346" s="20">
        <v>0</v>
      </c>
      <c r="M2346" s="20">
        <v>0</v>
      </c>
      <c r="N2346" s="20">
        <v>0</v>
      </c>
      <c r="O2346" s="75">
        <v>2750.3</v>
      </c>
      <c r="P2346" s="76">
        <v>2.75</v>
      </c>
      <c r="Q2346" s="27" t="s">
        <v>3556</v>
      </c>
    </row>
    <row r="2347" spans="1:17" ht="48" x14ac:dyDescent="0.25">
      <c r="A2347" s="23">
        <v>39083</v>
      </c>
      <c r="B2347" s="23">
        <v>39447</v>
      </c>
      <c r="C2347" s="27">
        <v>2007</v>
      </c>
      <c r="D2347" s="35" t="s">
        <v>28</v>
      </c>
      <c r="E2347" s="14" t="s">
        <v>29</v>
      </c>
      <c r="F2347" s="7" t="s">
        <v>62</v>
      </c>
      <c r="G2347" s="25" t="s">
        <v>2109</v>
      </c>
      <c r="H2347" s="25" t="s">
        <v>3571</v>
      </c>
      <c r="I2347" s="20">
        <v>0</v>
      </c>
      <c r="J2347" s="20">
        <v>0</v>
      </c>
      <c r="K2347" s="20">
        <v>0</v>
      </c>
      <c r="L2347" s="20">
        <v>0</v>
      </c>
      <c r="M2347" s="20">
        <v>0</v>
      </c>
      <c r="N2347" s="20">
        <v>0</v>
      </c>
      <c r="O2347" s="75">
        <v>11628.65</v>
      </c>
      <c r="P2347" s="76">
        <v>11.628</v>
      </c>
      <c r="Q2347" s="27" t="s">
        <v>3556</v>
      </c>
    </row>
    <row r="2348" spans="1:17" ht="48" x14ac:dyDescent="0.25">
      <c r="A2348" s="23">
        <v>39083</v>
      </c>
      <c r="B2348" s="23">
        <v>39447</v>
      </c>
      <c r="C2348" s="27">
        <v>2007</v>
      </c>
      <c r="D2348" s="35" t="s">
        <v>28</v>
      </c>
      <c r="E2348" s="14" t="s">
        <v>29</v>
      </c>
      <c r="F2348" s="7" t="s">
        <v>65</v>
      </c>
      <c r="G2348" s="25" t="s">
        <v>2109</v>
      </c>
      <c r="H2348" s="25" t="s">
        <v>3572</v>
      </c>
      <c r="I2348" s="20">
        <v>0</v>
      </c>
      <c r="J2348" s="20">
        <v>0</v>
      </c>
      <c r="K2348" s="20">
        <v>0</v>
      </c>
      <c r="L2348" s="20">
        <v>0</v>
      </c>
      <c r="M2348" s="20">
        <v>0</v>
      </c>
      <c r="N2348" s="20">
        <v>0</v>
      </c>
      <c r="O2348" s="75">
        <v>326.64999999999998</v>
      </c>
      <c r="P2348" s="76">
        <v>0.32700000000000001</v>
      </c>
      <c r="Q2348" s="27" t="s">
        <v>3556</v>
      </c>
    </row>
    <row r="2349" spans="1:17" ht="48" x14ac:dyDescent="0.25">
      <c r="A2349" s="23">
        <v>39083</v>
      </c>
      <c r="B2349" s="23">
        <v>39447</v>
      </c>
      <c r="C2349" s="27">
        <v>2007</v>
      </c>
      <c r="D2349" s="35" t="s">
        <v>28</v>
      </c>
      <c r="E2349" s="14" t="s">
        <v>29</v>
      </c>
      <c r="F2349" s="7" t="s">
        <v>67</v>
      </c>
      <c r="G2349" s="25" t="s">
        <v>2109</v>
      </c>
      <c r="H2349" s="25" t="s">
        <v>3573</v>
      </c>
      <c r="I2349" s="20">
        <v>0</v>
      </c>
      <c r="J2349" s="20">
        <v>0</v>
      </c>
      <c r="K2349" s="20">
        <v>0</v>
      </c>
      <c r="L2349" s="20">
        <v>0</v>
      </c>
      <c r="M2349" s="20">
        <v>0</v>
      </c>
      <c r="N2349" s="20">
        <v>0</v>
      </c>
      <c r="O2349" s="75">
        <v>3351</v>
      </c>
      <c r="P2349" s="76">
        <v>3.351</v>
      </c>
      <c r="Q2349" s="27" t="s">
        <v>3556</v>
      </c>
    </row>
    <row r="2350" spans="1:17" ht="48" x14ac:dyDescent="0.25">
      <c r="A2350" s="23">
        <v>39083</v>
      </c>
      <c r="B2350" s="23">
        <v>39447</v>
      </c>
      <c r="C2350" s="27">
        <v>2007</v>
      </c>
      <c r="D2350" s="35" t="s">
        <v>28</v>
      </c>
      <c r="E2350" s="14" t="s">
        <v>29</v>
      </c>
      <c r="F2350" s="7" t="s">
        <v>68</v>
      </c>
      <c r="G2350" s="25" t="s">
        <v>2109</v>
      </c>
      <c r="H2350" s="25" t="s">
        <v>3574</v>
      </c>
      <c r="I2350" s="20">
        <v>0</v>
      </c>
      <c r="J2350" s="20">
        <v>0</v>
      </c>
      <c r="K2350" s="20">
        <v>0</v>
      </c>
      <c r="L2350" s="20">
        <v>0</v>
      </c>
      <c r="M2350" s="20">
        <v>0</v>
      </c>
      <c r="N2350" s="20">
        <v>0</v>
      </c>
      <c r="O2350" s="75">
        <v>1844.2</v>
      </c>
      <c r="P2350" s="76">
        <v>1.8440000000000001</v>
      </c>
      <c r="Q2350" s="27" t="s">
        <v>3556</v>
      </c>
    </row>
    <row r="2351" spans="1:17" ht="48" x14ac:dyDescent="0.25">
      <c r="A2351" s="23">
        <v>39083</v>
      </c>
      <c r="B2351" s="23">
        <v>39447</v>
      </c>
      <c r="C2351" s="27">
        <v>2007</v>
      </c>
      <c r="D2351" s="35" t="s">
        <v>28</v>
      </c>
      <c r="E2351" s="14" t="s">
        <v>29</v>
      </c>
      <c r="F2351" s="7" t="s">
        <v>72</v>
      </c>
      <c r="G2351" s="25" t="s">
        <v>2109</v>
      </c>
      <c r="H2351" s="25" t="s">
        <v>3575</v>
      </c>
      <c r="I2351" s="20">
        <v>0</v>
      </c>
      <c r="J2351" s="20">
        <v>0</v>
      </c>
      <c r="K2351" s="20">
        <v>0</v>
      </c>
      <c r="L2351" s="20">
        <v>0</v>
      </c>
      <c r="M2351" s="20">
        <v>0</v>
      </c>
      <c r="N2351" s="20">
        <v>0</v>
      </c>
      <c r="O2351" s="75">
        <v>16032.5</v>
      </c>
      <c r="P2351" s="76">
        <v>16.032</v>
      </c>
      <c r="Q2351" s="27" t="s">
        <v>3556</v>
      </c>
    </row>
    <row r="2352" spans="1:17" ht="48" x14ac:dyDescent="0.25">
      <c r="A2352" s="23">
        <v>39083</v>
      </c>
      <c r="B2352" s="23">
        <v>39447</v>
      </c>
      <c r="C2352" s="27">
        <v>2007</v>
      </c>
      <c r="D2352" s="35" t="s">
        <v>28</v>
      </c>
      <c r="E2352" s="14" t="s">
        <v>29</v>
      </c>
      <c r="F2352" s="7" t="s">
        <v>75</v>
      </c>
      <c r="G2352" s="25" t="s">
        <v>2109</v>
      </c>
      <c r="H2352" s="25" t="s">
        <v>3576</v>
      </c>
      <c r="I2352" s="20">
        <v>0</v>
      </c>
      <c r="J2352" s="20">
        <v>0</v>
      </c>
      <c r="K2352" s="20">
        <v>0</v>
      </c>
      <c r="L2352" s="20">
        <v>0</v>
      </c>
      <c r="M2352" s="20">
        <v>0</v>
      </c>
      <c r="N2352" s="20">
        <v>0</v>
      </c>
      <c r="O2352" s="75">
        <v>693.95</v>
      </c>
      <c r="P2352" s="76">
        <v>0.69399999999999995</v>
      </c>
      <c r="Q2352" s="27" t="s">
        <v>3556</v>
      </c>
    </row>
    <row r="2353" spans="1:17" ht="36" x14ac:dyDescent="0.25">
      <c r="A2353" s="23">
        <v>39083</v>
      </c>
      <c r="B2353" s="23">
        <v>39447</v>
      </c>
      <c r="C2353" s="27">
        <v>2007</v>
      </c>
      <c r="D2353" s="35" t="s">
        <v>28</v>
      </c>
      <c r="E2353" s="14" t="s">
        <v>29</v>
      </c>
      <c r="F2353" s="7" t="s">
        <v>77</v>
      </c>
      <c r="G2353" s="25" t="s">
        <v>2109</v>
      </c>
      <c r="H2353" s="25" t="s">
        <v>3577</v>
      </c>
      <c r="I2353" s="20">
        <v>0</v>
      </c>
      <c r="J2353" s="20">
        <v>0</v>
      </c>
      <c r="K2353" s="20">
        <v>0</v>
      </c>
      <c r="L2353" s="20">
        <v>0</v>
      </c>
      <c r="M2353" s="20">
        <v>0</v>
      </c>
      <c r="N2353" s="20">
        <v>0</v>
      </c>
      <c r="O2353" s="75">
        <v>202.05</v>
      </c>
      <c r="P2353" s="76">
        <v>0.20300000000000001</v>
      </c>
      <c r="Q2353" s="27" t="s">
        <v>3556</v>
      </c>
    </row>
    <row r="2354" spans="1:17" ht="48" x14ac:dyDescent="0.25">
      <c r="A2354" s="23">
        <v>39083</v>
      </c>
      <c r="B2354" s="23">
        <v>39447</v>
      </c>
      <c r="C2354" s="27">
        <v>2007</v>
      </c>
      <c r="D2354" s="35" t="s">
        <v>28</v>
      </c>
      <c r="E2354" s="14" t="s">
        <v>29</v>
      </c>
      <c r="F2354" s="7" t="s">
        <v>80</v>
      </c>
      <c r="G2354" s="25" t="s">
        <v>2109</v>
      </c>
      <c r="H2354" s="25" t="s">
        <v>3578</v>
      </c>
      <c r="I2354" s="20">
        <v>0</v>
      </c>
      <c r="J2354" s="20">
        <v>0</v>
      </c>
      <c r="K2354" s="20">
        <v>0</v>
      </c>
      <c r="L2354" s="20">
        <v>0</v>
      </c>
      <c r="M2354" s="20">
        <v>0</v>
      </c>
      <c r="N2354" s="20">
        <v>0</v>
      </c>
      <c r="O2354" s="75">
        <v>757.7</v>
      </c>
      <c r="P2354" s="76">
        <v>0.75700000000000001</v>
      </c>
      <c r="Q2354" s="27" t="s">
        <v>3556</v>
      </c>
    </row>
    <row r="2355" spans="1:17" ht="48" x14ac:dyDescent="0.25">
      <c r="A2355" s="23">
        <v>39083</v>
      </c>
      <c r="B2355" s="23">
        <v>39447</v>
      </c>
      <c r="C2355" s="27">
        <v>2007</v>
      </c>
      <c r="D2355" s="35" t="s">
        <v>28</v>
      </c>
      <c r="E2355" s="14" t="s">
        <v>29</v>
      </c>
      <c r="F2355" s="7" t="s">
        <v>82</v>
      </c>
      <c r="G2355" s="25" t="s">
        <v>2109</v>
      </c>
      <c r="H2355" s="25" t="s">
        <v>3579</v>
      </c>
      <c r="I2355" s="20">
        <v>0</v>
      </c>
      <c r="J2355" s="20">
        <v>0</v>
      </c>
      <c r="K2355" s="20">
        <v>0</v>
      </c>
      <c r="L2355" s="20">
        <v>0</v>
      </c>
      <c r="M2355" s="20">
        <v>0</v>
      </c>
      <c r="N2355" s="20">
        <v>0</v>
      </c>
      <c r="O2355" s="75">
        <v>301</v>
      </c>
      <c r="P2355" s="76">
        <v>0.30099999999999999</v>
      </c>
      <c r="Q2355" s="27" t="s">
        <v>3556</v>
      </c>
    </row>
    <row r="2356" spans="1:17" ht="48" x14ac:dyDescent="0.25">
      <c r="A2356" s="23">
        <v>39083</v>
      </c>
      <c r="B2356" s="23">
        <v>39447</v>
      </c>
      <c r="C2356" s="27">
        <v>2007</v>
      </c>
      <c r="D2356" s="35" t="s">
        <v>28</v>
      </c>
      <c r="E2356" s="14" t="s">
        <v>29</v>
      </c>
      <c r="F2356" s="7" t="s">
        <v>84</v>
      </c>
      <c r="G2356" s="25" t="s">
        <v>2109</v>
      </c>
      <c r="H2356" s="25" t="s">
        <v>3580</v>
      </c>
      <c r="I2356" s="20">
        <v>0</v>
      </c>
      <c r="J2356" s="20">
        <v>0</v>
      </c>
      <c r="K2356" s="20">
        <v>0</v>
      </c>
      <c r="L2356" s="20">
        <v>0</v>
      </c>
      <c r="M2356" s="20">
        <v>0</v>
      </c>
      <c r="N2356" s="20">
        <v>0</v>
      </c>
      <c r="O2356" s="75">
        <v>4419.5</v>
      </c>
      <c r="P2356" s="76">
        <v>4.4195000000000002</v>
      </c>
      <c r="Q2356" s="27" t="s">
        <v>3556</v>
      </c>
    </row>
    <row r="2357" spans="1:17" ht="36" x14ac:dyDescent="0.25">
      <c r="A2357" s="23">
        <v>39083</v>
      </c>
      <c r="B2357" s="23">
        <v>39447</v>
      </c>
      <c r="C2357" s="27">
        <v>2007</v>
      </c>
      <c r="D2357" s="35" t="s">
        <v>28</v>
      </c>
      <c r="E2357" s="14" t="s">
        <v>29</v>
      </c>
      <c r="F2357" s="7" t="s">
        <v>87</v>
      </c>
      <c r="G2357" s="25" t="s">
        <v>2109</v>
      </c>
      <c r="H2357" s="25" t="s">
        <v>3581</v>
      </c>
      <c r="I2357" s="20">
        <v>0</v>
      </c>
      <c r="J2357" s="20">
        <v>0</v>
      </c>
      <c r="K2357" s="20">
        <v>0</v>
      </c>
      <c r="L2357" s="20">
        <v>0</v>
      </c>
      <c r="M2357" s="20">
        <v>0</v>
      </c>
      <c r="N2357" s="20">
        <v>0</v>
      </c>
      <c r="O2357" s="75">
        <v>4468.5</v>
      </c>
      <c r="P2357" s="76">
        <v>4.468</v>
      </c>
      <c r="Q2357" s="27" t="s">
        <v>3556</v>
      </c>
    </row>
    <row r="2358" spans="1:17" ht="48" x14ac:dyDescent="0.25">
      <c r="A2358" s="23">
        <v>39083</v>
      </c>
      <c r="B2358" s="23">
        <v>39447</v>
      </c>
      <c r="C2358" s="27">
        <v>2007</v>
      </c>
      <c r="D2358" s="35" t="s">
        <v>28</v>
      </c>
      <c r="E2358" s="14" t="s">
        <v>29</v>
      </c>
      <c r="F2358" s="25" t="s">
        <v>781</v>
      </c>
      <c r="G2358" s="25" t="s">
        <v>2109</v>
      </c>
      <c r="H2358" s="25" t="s">
        <v>3582</v>
      </c>
      <c r="I2358" s="20">
        <v>0</v>
      </c>
      <c r="J2358" s="20">
        <v>0</v>
      </c>
      <c r="K2358" s="20">
        <v>0</v>
      </c>
      <c r="L2358" s="20">
        <v>0</v>
      </c>
      <c r="M2358" s="20">
        <v>0</v>
      </c>
      <c r="N2358" s="20">
        <v>0</v>
      </c>
      <c r="O2358" s="75">
        <v>1645</v>
      </c>
      <c r="P2358" s="76">
        <v>1.645</v>
      </c>
      <c r="Q2358" s="27" t="s">
        <v>3556</v>
      </c>
    </row>
    <row r="2359" spans="1:17" ht="36" x14ac:dyDescent="0.25">
      <c r="A2359" s="23">
        <v>39083</v>
      </c>
      <c r="B2359" s="23">
        <v>39447</v>
      </c>
      <c r="C2359" s="27">
        <v>2007</v>
      </c>
      <c r="D2359" s="35" t="s">
        <v>28</v>
      </c>
      <c r="E2359" s="14" t="s">
        <v>29</v>
      </c>
      <c r="F2359" s="7" t="s">
        <v>91</v>
      </c>
      <c r="G2359" s="25" t="s">
        <v>2109</v>
      </c>
      <c r="H2359" s="25" t="s">
        <v>3583</v>
      </c>
      <c r="I2359" s="20">
        <v>0</v>
      </c>
      <c r="J2359" s="20">
        <v>0</v>
      </c>
      <c r="K2359" s="20">
        <v>0</v>
      </c>
      <c r="L2359" s="20">
        <v>0</v>
      </c>
      <c r="M2359" s="20">
        <v>0</v>
      </c>
      <c r="N2359" s="20">
        <v>0</v>
      </c>
      <c r="O2359" s="75">
        <v>112.5</v>
      </c>
      <c r="P2359" s="76">
        <v>0.112</v>
      </c>
      <c r="Q2359" s="27" t="s">
        <v>3556</v>
      </c>
    </row>
    <row r="2360" spans="1:17" ht="36" x14ac:dyDescent="0.25">
      <c r="A2360" s="23">
        <v>39083</v>
      </c>
      <c r="B2360" s="23">
        <v>39447</v>
      </c>
      <c r="C2360" s="27">
        <v>2007</v>
      </c>
      <c r="D2360" s="35" t="s">
        <v>28</v>
      </c>
      <c r="E2360" s="14" t="s">
        <v>29</v>
      </c>
      <c r="F2360" s="7" t="s">
        <v>97</v>
      </c>
      <c r="G2360" s="25" t="s">
        <v>2109</v>
      </c>
      <c r="H2360" s="25" t="s">
        <v>3584</v>
      </c>
      <c r="I2360" s="20">
        <v>0</v>
      </c>
      <c r="J2360" s="20">
        <v>0</v>
      </c>
      <c r="K2360" s="20">
        <v>0</v>
      </c>
      <c r="L2360" s="20">
        <v>0</v>
      </c>
      <c r="M2360" s="20">
        <v>0</v>
      </c>
      <c r="N2360" s="20">
        <v>0</v>
      </c>
      <c r="O2360" s="75">
        <v>259.5</v>
      </c>
      <c r="P2360" s="76">
        <v>0.25950000000000001</v>
      </c>
      <c r="Q2360" s="27" t="s">
        <v>3556</v>
      </c>
    </row>
    <row r="2361" spans="1:17" ht="48" x14ac:dyDescent="0.25">
      <c r="A2361" s="23">
        <v>39083</v>
      </c>
      <c r="B2361" s="23">
        <v>39447</v>
      </c>
      <c r="C2361" s="27">
        <v>2007</v>
      </c>
      <c r="D2361" s="35" t="s">
        <v>28</v>
      </c>
      <c r="E2361" s="14" t="s">
        <v>29</v>
      </c>
      <c r="F2361" s="28" t="s">
        <v>210</v>
      </c>
      <c r="G2361" s="25" t="s">
        <v>2109</v>
      </c>
      <c r="H2361" s="25" t="s">
        <v>3585</v>
      </c>
      <c r="I2361" s="20">
        <v>0</v>
      </c>
      <c r="J2361" s="20">
        <v>0</v>
      </c>
      <c r="K2361" s="20">
        <v>0</v>
      </c>
      <c r="L2361" s="20">
        <v>0</v>
      </c>
      <c r="M2361" s="20">
        <v>0</v>
      </c>
      <c r="N2361" s="20">
        <v>0</v>
      </c>
      <c r="O2361" s="75">
        <v>1287.5</v>
      </c>
      <c r="P2361" s="76">
        <v>1.2869999999999999</v>
      </c>
      <c r="Q2361" s="27" t="s">
        <v>3556</v>
      </c>
    </row>
    <row r="2362" spans="1:17" ht="48" x14ac:dyDescent="0.25">
      <c r="A2362" s="23">
        <v>39083</v>
      </c>
      <c r="B2362" s="23">
        <v>39447</v>
      </c>
      <c r="C2362" s="27">
        <v>2007</v>
      </c>
      <c r="D2362" s="35" t="s">
        <v>28</v>
      </c>
      <c r="E2362" s="14" t="s">
        <v>29</v>
      </c>
      <c r="F2362" s="28" t="s">
        <v>163</v>
      </c>
      <c r="G2362" s="25" t="s">
        <v>2109</v>
      </c>
      <c r="H2362" s="25" t="s">
        <v>3586</v>
      </c>
      <c r="I2362" s="20">
        <v>0</v>
      </c>
      <c r="J2362" s="20">
        <v>0</v>
      </c>
      <c r="K2362" s="20">
        <v>0</v>
      </c>
      <c r="L2362" s="20">
        <v>0</v>
      </c>
      <c r="M2362" s="20">
        <v>0</v>
      </c>
      <c r="N2362" s="20">
        <v>0</v>
      </c>
      <c r="O2362" s="75">
        <v>2678.5</v>
      </c>
      <c r="P2362" s="76">
        <v>2.6789999999999998</v>
      </c>
      <c r="Q2362" s="27" t="s">
        <v>3556</v>
      </c>
    </row>
    <row r="2363" spans="1:17" ht="36" x14ac:dyDescent="0.25">
      <c r="A2363" s="23">
        <v>39083</v>
      </c>
      <c r="B2363" s="23">
        <v>39447</v>
      </c>
      <c r="C2363" s="27">
        <v>2007</v>
      </c>
      <c r="D2363" s="35" t="s">
        <v>28</v>
      </c>
      <c r="E2363" s="14" t="s">
        <v>29</v>
      </c>
      <c r="F2363" s="7" t="s">
        <v>101</v>
      </c>
      <c r="G2363" s="25" t="s">
        <v>2109</v>
      </c>
      <c r="H2363" s="25" t="s">
        <v>3587</v>
      </c>
      <c r="I2363" s="20">
        <v>0</v>
      </c>
      <c r="J2363" s="20">
        <v>0</v>
      </c>
      <c r="K2363" s="20">
        <v>0</v>
      </c>
      <c r="L2363" s="20">
        <v>0</v>
      </c>
      <c r="M2363" s="20">
        <v>0</v>
      </c>
      <c r="N2363" s="20">
        <v>0</v>
      </c>
      <c r="O2363" s="75">
        <v>385</v>
      </c>
      <c r="P2363" s="76">
        <v>0.38500000000000001</v>
      </c>
      <c r="Q2363" s="27" t="s">
        <v>3556</v>
      </c>
    </row>
    <row r="2364" spans="1:17" ht="60" x14ac:dyDescent="0.25">
      <c r="A2364" s="23">
        <v>39107</v>
      </c>
      <c r="B2364" s="23">
        <v>39107</v>
      </c>
      <c r="C2364" s="27">
        <v>2007</v>
      </c>
      <c r="D2364" s="35" t="s">
        <v>28</v>
      </c>
      <c r="E2364" s="6" t="s">
        <v>149</v>
      </c>
      <c r="F2364" s="7" t="s">
        <v>80</v>
      </c>
      <c r="G2364" s="25" t="s">
        <v>3588</v>
      </c>
      <c r="H2364" s="29" t="s">
        <v>3589</v>
      </c>
      <c r="I2364" s="20">
        <v>2</v>
      </c>
      <c r="J2364" s="20">
        <v>18</v>
      </c>
      <c r="K2364" s="20">
        <v>0</v>
      </c>
      <c r="L2364" s="20">
        <v>0</v>
      </c>
      <c r="M2364" s="20">
        <v>0</v>
      </c>
      <c r="N2364" s="20">
        <v>0</v>
      </c>
      <c r="O2364" s="75">
        <v>0</v>
      </c>
      <c r="P2364" s="76">
        <v>0</v>
      </c>
      <c r="Q2364" s="35" t="s">
        <v>154</v>
      </c>
    </row>
    <row r="2365" spans="1:17" ht="36" x14ac:dyDescent="0.25">
      <c r="A2365" s="23">
        <v>39107</v>
      </c>
      <c r="B2365" s="23">
        <v>39107</v>
      </c>
      <c r="C2365" s="27">
        <v>2007</v>
      </c>
      <c r="D2365" s="35" t="s">
        <v>28</v>
      </c>
      <c r="E2365" s="6" t="s">
        <v>149</v>
      </c>
      <c r="F2365" s="7" t="s">
        <v>62</v>
      </c>
      <c r="G2365" s="25" t="s">
        <v>3590</v>
      </c>
      <c r="H2365" s="25" t="s">
        <v>3591</v>
      </c>
      <c r="I2365" s="20">
        <v>0</v>
      </c>
      <c r="J2365" s="20">
        <v>4</v>
      </c>
      <c r="K2365" s="20">
        <v>0</v>
      </c>
      <c r="L2365" s="20">
        <v>0</v>
      </c>
      <c r="M2365" s="20">
        <v>0</v>
      </c>
      <c r="N2365" s="20">
        <v>0</v>
      </c>
      <c r="O2365" s="75">
        <v>0</v>
      </c>
      <c r="P2365" s="76">
        <v>0</v>
      </c>
      <c r="Q2365" s="35" t="s">
        <v>154</v>
      </c>
    </row>
    <row r="2366" spans="1:17" ht="36" x14ac:dyDescent="0.25">
      <c r="A2366" s="23">
        <v>39113</v>
      </c>
      <c r="B2366" s="23">
        <v>39113</v>
      </c>
      <c r="C2366" s="27">
        <v>2007</v>
      </c>
      <c r="D2366" s="35" t="s">
        <v>28</v>
      </c>
      <c r="E2366" s="6" t="s">
        <v>149</v>
      </c>
      <c r="F2366" s="7" t="s">
        <v>56</v>
      </c>
      <c r="G2366" s="25" t="s">
        <v>3592</v>
      </c>
      <c r="H2366" s="29" t="s">
        <v>3593</v>
      </c>
      <c r="I2366" s="20">
        <v>0</v>
      </c>
      <c r="J2366" s="20">
        <v>0</v>
      </c>
      <c r="K2366" s="20">
        <v>0</v>
      </c>
      <c r="L2366" s="20">
        <v>0</v>
      </c>
      <c r="M2366" s="20">
        <v>0</v>
      </c>
      <c r="N2366" s="20">
        <v>0</v>
      </c>
      <c r="O2366" s="75">
        <v>0</v>
      </c>
      <c r="P2366" s="76">
        <v>0</v>
      </c>
      <c r="Q2366" s="35" t="s">
        <v>154</v>
      </c>
    </row>
    <row r="2367" spans="1:17" ht="36" x14ac:dyDescent="0.25">
      <c r="A2367" s="23">
        <v>39132</v>
      </c>
      <c r="B2367" s="23">
        <v>39132</v>
      </c>
      <c r="C2367" s="27">
        <v>2007</v>
      </c>
      <c r="D2367" s="35" t="s">
        <v>28</v>
      </c>
      <c r="E2367" s="6" t="s">
        <v>149</v>
      </c>
      <c r="F2367" s="7" t="s">
        <v>53</v>
      </c>
      <c r="G2367" s="25" t="s">
        <v>878</v>
      </c>
      <c r="H2367" s="25" t="s">
        <v>3594</v>
      </c>
      <c r="I2367" s="20">
        <v>0</v>
      </c>
      <c r="J2367" s="20">
        <v>1</v>
      </c>
      <c r="K2367" s="20">
        <v>0</v>
      </c>
      <c r="L2367" s="20">
        <v>0</v>
      </c>
      <c r="M2367" s="20">
        <v>0</v>
      </c>
      <c r="N2367" s="20">
        <v>0</v>
      </c>
      <c r="O2367" s="75">
        <v>0</v>
      </c>
      <c r="P2367" s="76">
        <v>0</v>
      </c>
      <c r="Q2367" s="35" t="s">
        <v>154</v>
      </c>
    </row>
    <row r="2368" spans="1:17" ht="24" x14ac:dyDescent="0.25">
      <c r="A2368" s="23">
        <v>39133</v>
      </c>
      <c r="B2368" s="23">
        <v>39133</v>
      </c>
      <c r="C2368" s="27">
        <v>2007</v>
      </c>
      <c r="D2368" s="35" t="s">
        <v>28</v>
      </c>
      <c r="E2368" s="6" t="s">
        <v>149</v>
      </c>
      <c r="F2368" s="28" t="s">
        <v>157</v>
      </c>
      <c r="G2368" s="25" t="s">
        <v>206</v>
      </c>
      <c r="H2368" s="25" t="s">
        <v>3595</v>
      </c>
      <c r="I2368" s="20">
        <v>0</v>
      </c>
      <c r="J2368" s="20">
        <v>0</v>
      </c>
      <c r="K2368" s="20">
        <v>0</v>
      </c>
      <c r="L2368" s="20">
        <v>0</v>
      </c>
      <c r="M2368" s="20">
        <v>0</v>
      </c>
      <c r="N2368" s="20">
        <v>0</v>
      </c>
      <c r="O2368" s="75">
        <v>0</v>
      </c>
      <c r="P2368" s="76">
        <v>0</v>
      </c>
      <c r="Q2368" s="35" t="s">
        <v>154</v>
      </c>
    </row>
    <row r="2369" spans="1:17" x14ac:dyDescent="0.25">
      <c r="A2369" s="23">
        <v>39135</v>
      </c>
      <c r="B2369" s="23">
        <v>39135</v>
      </c>
      <c r="C2369" s="27">
        <v>2007</v>
      </c>
      <c r="D2369" s="35" t="s">
        <v>28</v>
      </c>
      <c r="E2369" s="6" t="s">
        <v>149</v>
      </c>
      <c r="F2369" s="28" t="s">
        <v>157</v>
      </c>
      <c r="G2369" s="25" t="s">
        <v>1190</v>
      </c>
      <c r="H2369" s="25" t="s">
        <v>3596</v>
      </c>
      <c r="I2369" s="20">
        <v>0</v>
      </c>
      <c r="J2369" s="20">
        <v>2</v>
      </c>
      <c r="K2369" s="20">
        <v>0</v>
      </c>
      <c r="L2369" s="20">
        <v>0</v>
      </c>
      <c r="M2369" s="20">
        <v>0</v>
      </c>
      <c r="N2369" s="20">
        <v>0</v>
      </c>
      <c r="O2369" s="75">
        <v>0</v>
      </c>
      <c r="P2369" s="76">
        <v>0</v>
      </c>
      <c r="Q2369" s="35" t="s">
        <v>154</v>
      </c>
    </row>
    <row r="2370" spans="1:17" ht="48" x14ac:dyDescent="0.25">
      <c r="A2370" s="23">
        <v>39145</v>
      </c>
      <c r="B2370" s="23">
        <v>39145</v>
      </c>
      <c r="C2370" s="27">
        <v>2007</v>
      </c>
      <c r="D2370" s="35" t="s">
        <v>28</v>
      </c>
      <c r="E2370" s="6" t="s">
        <v>149</v>
      </c>
      <c r="F2370" s="7" t="s">
        <v>60</v>
      </c>
      <c r="G2370" s="25" t="s">
        <v>908</v>
      </c>
      <c r="H2370" s="25" t="s">
        <v>3597</v>
      </c>
      <c r="I2370" s="20">
        <v>0</v>
      </c>
      <c r="J2370" s="20">
        <v>0</v>
      </c>
      <c r="K2370" s="20">
        <v>0</v>
      </c>
      <c r="L2370" s="20">
        <v>0</v>
      </c>
      <c r="M2370" s="20">
        <v>0</v>
      </c>
      <c r="N2370" s="20">
        <v>0</v>
      </c>
      <c r="O2370" s="75">
        <v>0</v>
      </c>
      <c r="P2370" s="76">
        <v>0</v>
      </c>
      <c r="Q2370" s="35" t="s">
        <v>154</v>
      </c>
    </row>
    <row r="2371" spans="1:17" ht="36" x14ac:dyDescent="0.25">
      <c r="A2371" s="23">
        <v>39146</v>
      </c>
      <c r="B2371" s="23">
        <v>39146</v>
      </c>
      <c r="C2371" s="27">
        <v>2007</v>
      </c>
      <c r="D2371" s="35" t="s">
        <v>28</v>
      </c>
      <c r="E2371" s="6" t="s">
        <v>149</v>
      </c>
      <c r="F2371" s="7" t="s">
        <v>75</v>
      </c>
      <c r="G2371" s="25" t="s">
        <v>75</v>
      </c>
      <c r="H2371" s="25" t="s">
        <v>3598</v>
      </c>
      <c r="I2371" s="20">
        <v>0</v>
      </c>
      <c r="J2371" s="20">
        <v>0</v>
      </c>
      <c r="K2371" s="20">
        <v>0</v>
      </c>
      <c r="L2371" s="20">
        <v>0</v>
      </c>
      <c r="M2371" s="20">
        <v>0</v>
      </c>
      <c r="N2371" s="20">
        <v>0</v>
      </c>
      <c r="O2371" s="75">
        <v>0</v>
      </c>
      <c r="P2371" s="76">
        <v>0</v>
      </c>
      <c r="Q2371" s="35" t="s">
        <v>154</v>
      </c>
    </row>
    <row r="2372" spans="1:17" ht="36" x14ac:dyDescent="0.25">
      <c r="A2372" s="23">
        <v>39148</v>
      </c>
      <c r="B2372" s="23">
        <v>39148</v>
      </c>
      <c r="C2372" s="27">
        <v>2007</v>
      </c>
      <c r="D2372" s="35" t="s">
        <v>28</v>
      </c>
      <c r="E2372" s="6" t="s">
        <v>149</v>
      </c>
      <c r="F2372" s="7" t="s">
        <v>58</v>
      </c>
      <c r="G2372" s="25" t="s">
        <v>168</v>
      </c>
      <c r="H2372" s="25" t="s">
        <v>3599</v>
      </c>
      <c r="I2372" s="20">
        <v>0</v>
      </c>
      <c r="J2372" s="20">
        <v>0</v>
      </c>
      <c r="K2372" s="20">
        <v>0</v>
      </c>
      <c r="L2372" s="20">
        <v>0</v>
      </c>
      <c r="M2372" s="20">
        <v>0</v>
      </c>
      <c r="N2372" s="20">
        <v>0</v>
      </c>
      <c r="O2372" s="75">
        <v>0</v>
      </c>
      <c r="P2372" s="76">
        <v>0</v>
      </c>
      <c r="Q2372" s="35" t="s">
        <v>154</v>
      </c>
    </row>
    <row r="2373" spans="1:17" ht="36" x14ac:dyDescent="0.25">
      <c r="A2373" s="23">
        <v>39184</v>
      </c>
      <c r="B2373" s="23">
        <v>39184</v>
      </c>
      <c r="C2373" s="27">
        <v>2007</v>
      </c>
      <c r="D2373" s="35" t="s">
        <v>28</v>
      </c>
      <c r="E2373" s="6" t="s">
        <v>149</v>
      </c>
      <c r="F2373" s="7" t="s">
        <v>53</v>
      </c>
      <c r="G2373" s="25" t="s">
        <v>3600</v>
      </c>
      <c r="H2373" s="25" t="s">
        <v>3601</v>
      </c>
      <c r="I2373" s="20">
        <v>4</v>
      </c>
      <c r="J2373" s="20">
        <v>105</v>
      </c>
      <c r="K2373" s="20">
        <v>17</v>
      </c>
      <c r="L2373" s="20">
        <v>0</v>
      </c>
      <c r="M2373" s="20">
        <v>0</v>
      </c>
      <c r="N2373" s="20">
        <v>0</v>
      </c>
      <c r="O2373" s="75">
        <v>0</v>
      </c>
      <c r="P2373" s="76">
        <v>0.70799999999999996</v>
      </c>
      <c r="Q2373" s="35" t="s">
        <v>154</v>
      </c>
    </row>
    <row r="2374" spans="1:17" x14ac:dyDescent="0.25">
      <c r="A2374" s="23">
        <v>39216</v>
      </c>
      <c r="B2374" s="23">
        <v>39216</v>
      </c>
      <c r="C2374" s="27">
        <v>2007</v>
      </c>
      <c r="D2374" s="35" t="s">
        <v>28</v>
      </c>
      <c r="E2374" s="6" t="s">
        <v>149</v>
      </c>
      <c r="F2374" s="28" t="s">
        <v>157</v>
      </c>
      <c r="G2374" s="25" t="s">
        <v>1872</v>
      </c>
      <c r="H2374" s="25" t="s">
        <v>3602</v>
      </c>
      <c r="I2374" s="20">
        <v>0</v>
      </c>
      <c r="J2374" s="20">
        <v>8</v>
      </c>
      <c r="K2374" s="20">
        <v>0</v>
      </c>
      <c r="L2374" s="20">
        <v>0</v>
      </c>
      <c r="M2374" s="20">
        <v>0</v>
      </c>
      <c r="N2374" s="20">
        <v>0</v>
      </c>
      <c r="O2374" s="75">
        <v>0</v>
      </c>
      <c r="P2374" s="76">
        <v>0</v>
      </c>
      <c r="Q2374" s="35" t="s">
        <v>154</v>
      </c>
    </row>
    <row r="2375" spans="1:17" ht="48" x14ac:dyDescent="0.25">
      <c r="A2375" s="23">
        <v>39227</v>
      </c>
      <c r="B2375" s="23">
        <v>39227</v>
      </c>
      <c r="C2375" s="27">
        <v>2007</v>
      </c>
      <c r="D2375" s="35" t="s">
        <v>28</v>
      </c>
      <c r="E2375" s="6" t="s">
        <v>149</v>
      </c>
      <c r="F2375" s="7" t="s">
        <v>30</v>
      </c>
      <c r="G2375" s="25" t="s">
        <v>1078</v>
      </c>
      <c r="H2375" s="25" t="s">
        <v>3603</v>
      </c>
      <c r="I2375" s="20">
        <v>0</v>
      </c>
      <c r="J2375" s="20">
        <v>30</v>
      </c>
      <c r="K2375" s="20">
        <v>7</v>
      </c>
      <c r="L2375" s="20">
        <v>0</v>
      </c>
      <c r="M2375" s="20">
        <v>0</v>
      </c>
      <c r="N2375" s="20">
        <v>0</v>
      </c>
      <c r="O2375" s="75">
        <v>0</v>
      </c>
      <c r="P2375" s="76">
        <v>0.29099999999999998</v>
      </c>
      <c r="Q2375" s="35" t="s">
        <v>154</v>
      </c>
    </row>
    <row r="2376" spans="1:17" ht="24" x14ac:dyDescent="0.25">
      <c r="A2376" s="23">
        <v>39297</v>
      </c>
      <c r="B2376" s="23">
        <v>39297</v>
      </c>
      <c r="C2376" s="27">
        <v>2007</v>
      </c>
      <c r="D2376" s="35" t="s">
        <v>28</v>
      </c>
      <c r="E2376" s="6" t="s">
        <v>149</v>
      </c>
      <c r="F2376" s="7" t="s">
        <v>84</v>
      </c>
      <c r="G2376" s="25" t="s">
        <v>3161</v>
      </c>
      <c r="H2376" s="25" t="s">
        <v>3604</v>
      </c>
      <c r="I2376" s="20">
        <v>0</v>
      </c>
      <c r="J2376" s="20">
        <v>0</v>
      </c>
      <c r="K2376" s="20">
        <v>0</v>
      </c>
      <c r="L2376" s="20">
        <v>0</v>
      </c>
      <c r="M2376" s="20">
        <v>0</v>
      </c>
      <c r="N2376" s="20">
        <v>0</v>
      </c>
      <c r="O2376" s="75">
        <v>0</v>
      </c>
      <c r="P2376" s="76">
        <v>0</v>
      </c>
      <c r="Q2376" s="35" t="s">
        <v>154</v>
      </c>
    </row>
    <row r="2377" spans="1:17" ht="48" x14ac:dyDescent="0.25">
      <c r="A2377" s="23">
        <v>39328</v>
      </c>
      <c r="B2377" s="23">
        <v>39328</v>
      </c>
      <c r="C2377" s="27">
        <v>2007</v>
      </c>
      <c r="D2377" s="35" t="s">
        <v>28</v>
      </c>
      <c r="E2377" s="6" t="s">
        <v>149</v>
      </c>
      <c r="F2377" s="7" t="s">
        <v>62</v>
      </c>
      <c r="G2377" s="25" t="s">
        <v>165</v>
      </c>
      <c r="H2377" s="25" t="s">
        <v>3605</v>
      </c>
      <c r="I2377" s="20">
        <v>1</v>
      </c>
      <c r="J2377" s="20">
        <v>1</v>
      </c>
      <c r="K2377" s="20">
        <v>0</v>
      </c>
      <c r="L2377" s="20">
        <v>0</v>
      </c>
      <c r="M2377" s="20">
        <v>0</v>
      </c>
      <c r="N2377" s="20">
        <v>0</v>
      </c>
      <c r="O2377" s="75">
        <v>0</v>
      </c>
      <c r="P2377" s="76">
        <v>0</v>
      </c>
      <c r="Q2377" s="35" t="s">
        <v>154</v>
      </c>
    </row>
    <row r="2378" spans="1:17" ht="24" x14ac:dyDescent="0.25">
      <c r="A2378" s="23">
        <v>39352</v>
      </c>
      <c r="B2378" s="23">
        <v>39352</v>
      </c>
      <c r="C2378" s="27">
        <v>2007</v>
      </c>
      <c r="D2378" s="35" t="s">
        <v>28</v>
      </c>
      <c r="E2378" s="6" t="s">
        <v>149</v>
      </c>
      <c r="F2378" s="28" t="s">
        <v>157</v>
      </c>
      <c r="G2378" s="25" t="s">
        <v>3606</v>
      </c>
      <c r="H2378" s="25" t="s">
        <v>3607</v>
      </c>
      <c r="I2378" s="20">
        <v>1</v>
      </c>
      <c r="J2378" s="20">
        <v>1</v>
      </c>
      <c r="K2378" s="20">
        <v>0</v>
      </c>
      <c r="L2378" s="20">
        <v>0</v>
      </c>
      <c r="M2378" s="20">
        <v>0</v>
      </c>
      <c r="N2378" s="20">
        <v>0</v>
      </c>
      <c r="O2378" s="75">
        <v>0</v>
      </c>
      <c r="P2378" s="76">
        <v>0</v>
      </c>
      <c r="Q2378" s="35" t="s">
        <v>154</v>
      </c>
    </row>
    <row r="2379" spans="1:17" ht="84" x14ac:dyDescent="0.25">
      <c r="A2379" s="23">
        <v>39381</v>
      </c>
      <c r="B2379" s="23">
        <v>39381</v>
      </c>
      <c r="C2379" s="27">
        <v>2007</v>
      </c>
      <c r="D2379" s="35" t="s">
        <v>28</v>
      </c>
      <c r="E2379" s="30" t="s">
        <v>136</v>
      </c>
      <c r="F2379" s="7" t="s">
        <v>40</v>
      </c>
      <c r="G2379" s="25" t="s">
        <v>3608</v>
      </c>
      <c r="H2379" s="25" t="s">
        <v>3609</v>
      </c>
      <c r="I2379" s="20">
        <v>3</v>
      </c>
      <c r="J2379" s="20">
        <v>3</v>
      </c>
      <c r="K2379" s="20">
        <v>0</v>
      </c>
      <c r="L2379" s="20">
        <v>0</v>
      </c>
      <c r="M2379" s="20">
        <v>0</v>
      </c>
      <c r="N2379" s="20">
        <v>0</v>
      </c>
      <c r="O2379" s="75">
        <v>0</v>
      </c>
      <c r="P2379" s="76">
        <v>0</v>
      </c>
      <c r="Q2379" s="35" t="s">
        <v>154</v>
      </c>
    </row>
    <row r="2380" spans="1:17" ht="36" x14ac:dyDescent="0.25">
      <c r="A2380" s="23">
        <v>39408</v>
      </c>
      <c r="B2380" s="23">
        <v>39408</v>
      </c>
      <c r="C2380" s="27">
        <v>2007</v>
      </c>
      <c r="D2380" s="35" t="s">
        <v>28</v>
      </c>
      <c r="E2380" s="6" t="s">
        <v>149</v>
      </c>
      <c r="F2380" s="28" t="s">
        <v>157</v>
      </c>
      <c r="G2380" s="25" t="s">
        <v>3610</v>
      </c>
      <c r="H2380" s="25" t="s">
        <v>3611</v>
      </c>
      <c r="I2380" s="20">
        <v>0</v>
      </c>
      <c r="J2380" s="20">
        <v>175</v>
      </c>
      <c r="K2380" s="20">
        <v>11</v>
      </c>
      <c r="L2380" s="20">
        <v>0</v>
      </c>
      <c r="M2380" s="20">
        <v>0</v>
      </c>
      <c r="N2380" s="20">
        <v>0</v>
      </c>
      <c r="O2380" s="75">
        <v>0</v>
      </c>
      <c r="P2380" s="76">
        <v>0.127</v>
      </c>
      <c r="Q2380" s="35" t="s">
        <v>154</v>
      </c>
    </row>
    <row r="2381" spans="1:17" ht="36" x14ac:dyDescent="0.25">
      <c r="A2381" s="23">
        <v>39414</v>
      </c>
      <c r="B2381" s="23">
        <v>39414</v>
      </c>
      <c r="C2381" s="27">
        <v>2007</v>
      </c>
      <c r="D2381" s="35" t="s">
        <v>28</v>
      </c>
      <c r="E2381" s="6" t="s">
        <v>149</v>
      </c>
      <c r="F2381" s="7" t="s">
        <v>56</v>
      </c>
      <c r="G2381" s="25" t="s">
        <v>646</v>
      </c>
      <c r="H2381" s="25" t="s">
        <v>3612</v>
      </c>
      <c r="I2381" s="20">
        <v>0</v>
      </c>
      <c r="J2381" s="20">
        <v>27</v>
      </c>
      <c r="K2381" s="20">
        <v>0</v>
      </c>
      <c r="L2381" s="20">
        <v>0</v>
      </c>
      <c r="M2381" s="20">
        <v>0</v>
      </c>
      <c r="N2381" s="20">
        <v>0</v>
      </c>
      <c r="O2381" s="75">
        <v>0</v>
      </c>
      <c r="P2381" s="76">
        <v>0</v>
      </c>
      <c r="Q2381" s="35" t="s">
        <v>154</v>
      </c>
    </row>
    <row r="2382" spans="1:17" ht="24" x14ac:dyDescent="0.25">
      <c r="A2382" s="23">
        <v>39421</v>
      </c>
      <c r="B2382" s="23">
        <v>39421</v>
      </c>
      <c r="C2382" s="27">
        <v>2007</v>
      </c>
      <c r="D2382" s="35" t="s">
        <v>28</v>
      </c>
      <c r="E2382" s="6" t="s">
        <v>149</v>
      </c>
      <c r="F2382" s="7" t="s">
        <v>91</v>
      </c>
      <c r="G2382" s="25" t="s">
        <v>1874</v>
      </c>
      <c r="H2382" s="25" t="s">
        <v>3613</v>
      </c>
      <c r="I2382" s="20">
        <v>0</v>
      </c>
      <c r="J2382" s="20">
        <v>8</v>
      </c>
      <c r="K2382" s="20">
        <v>0</v>
      </c>
      <c r="L2382" s="20">
        <v>0</v>
      </c>
      <c r="M2382" s="20">
        <v>0</v>
      </c>
      <c r="N2382" s="20">
        <v>0</v>
      </c>
      <c r="O2382" s="75">
        <v>0</v>
      </c>
      <c r="P2382" s="76">
        <v>0</v>
      </c>
      <c r="Q2382" s="35" t="s">
        <v>154</v>
      </c>
    </row>
    <row r="2383" spans="1:17" ht="36" x14ac:dyDescent="0.25">
      <c r="A2383" s="23">
        <v>39427</v>
      </c>
      <c r="B2383" s="23">
        <f>A2383</f>
        <v>39427</v>
      </c>
      <c r="C2383" s="27">
        <v>2007</v>
      </c>
      <c r="D2383" s="35" t="s">
        <v>28</v>
      </c>
      <c r="E2383" s="6" t="s">
        <v>149</v>
      </c>
      <c r="F2383" s="7" t="s">
        <v>53</v>
      </c>
      <c r="G2383" s="25" t="s">
        <v>1304</v>
      </c>
      <c r="H2383" s="25" t="s">
        <v>3614</v>
      </c>
      <c r="I2383" s="20">
        <v>5</v>
      </c>
      <c r="J2383" s="20">
        <v>6</v>
      </c>
      <c r="K2383" s="20">
        <v>1</v>
      </c>
      <c r="L2383" s="20">
        <v>0</v>
      </c>
      <c r="M2383" s="20">
        <v>0</v>
      </c>
      <c r="N2383" s="20">
        <v>0</v>
      </c>
      <c r="O2383" s="75">
        <v>0</v>
      </c>
      <c r="P2383" s="76">
        <v>0.04</v>
      </c>
      <c r="Q2383" s="35" t="s">
        <v>154</v>
      </c>
    </row>
    <row r="2384" spans="1:17" x14ac:dyDescent="0.25">
      <c r="A2384" s="23">
        <v>39097</v>
      </c>
      <c r="B2384" s="23">
        <v>39097</v>
      </c>
      <c r="C2384" s="27">
        <v>2007</v>
      </c>
      <c r="D2384" s="35" t="s">
        <v>28</v>
      </c>
      <c r="E2384" s="30" t="s">
        <v>133</v>
      </c>
      <c r="F2384" s="7" t="s">
        <v>53</v>
      </c>
      <c r="G2384" s="25" t="s">
        <v>20</v>
      </c>
      <c r="H2384" s="25" t="s">
        <v>3615</v>
      </c>
      <c r="I2384" s="20">
        <v>4</v>
      </c>
      <c r="J2384" s="20">
        <v>4</v>
      </c>
      <c r="K2384" s="20">
        <v>0</v>
      </c>
      <c r="L2384" s="20">
        <v>0</v>
      </c>
      <c r="M2384" s="20">
        <v>0</v>
      </c>
      <c r="N2384" s="20">
        <v>0</v>
      </c>
      <c r="O2384" s="75">
        <v>0</v>
      </c>
      <c r="P2384" s="76">
        <v>0</v>
      </c>
      <c r="Q2384" s="35" t="s">
        <v>154</v>
      </c>
    </row>
    <row r="2385" spans="1:17" ht="48" x14ac:dyDescent="0.25">
      <c r="A2385" s="23">
        <v>39097</v>
      </c>
      <c r="B2385" s="23">
        <v>39097</v>
      </c>
      <c r="C2385" s="27">
        <v>2007</v>
      </c>
      <c r="D2385" s="35" t="s">
        <v>28</v>
      </c>
      <c r="E2385" s="30" t="s">
        <v>133</v>
      </c>
      <c r="F2385" s="7" t="s">
        <v>58</v>
      </c>
      <c r="G2385" s="25" t="s">
        <v>168</v>
      </c>
      <c r="H2385" s="29" t="s">
        <v>3616</v>
      </c>
      <c r="I2385" s="20">
        <v>0</v>
      </c>
      <c r="J2385" s="20">
        <v>10</v>
      </c>
      <c r="K2385" s="20">
        <v>2</v>
      </c>
      <c r="L2385" s="20">
        <v>0</v>
      </c>
      <c r="M2385" s="20">
        <v>0</v>
      </c>
      <c r="N2385" s="20">
        <v>0</v>
      </c>
      <c r="O2385" s="75">
        <v>0</v>
      </c>
      <c r="P2385" s="76">
        <v>0.08</v>
      </c>
      <c r="Q2385" s="35" t="s">
        <v>154</v>
      </c>
    </row>
    <row r="2386" spans="1:17" ht="48" x14ac:dyDescent="0.25">
      <c r="A2386" s="23">
        <v>39104</v>
      </c>
      <c r="B2386" s="23">
        <v>39104</v>
      </c>
      <c r="C2386" s="27">
        <v>2007</v>
      </c>
      <c r="D2386" s="35" t="s">
        <v>28</v>
      </c>
      <c r="E2386" s="30" t="s">
        <v>133</v>
      </c>
      <c r="F2386" s="25" t="s">
        <v>781</v>
      </c>
      <c r="G2386" s="25" t="s">
        <v>781</v>
      </c>
      <c r="H2386" s="29" t="s">
        <v>3617</v>
      </c>
      <c r="I2386" s="20">
        <v>0</v>
      </c>
      <c r="J2386" s="20">
        <v>242</v>
      </c>
      <c r="K2386" s="20">
        <v>5</v>
      </c>
      <c r="L2386" s="20">
        <v>0</v>
      </c>
      <c r="M2386" s="20">
        <v>0</v>
      </c>
      <c r="N2386" s="20">
        <v>0</v>
      </c>
      <c r="O2386" s="75">
        <v>3</v>
      </c>
      <c r="P2386" s="76">
        <v>0.20799999999999999</v>
      </c>
      <c r="Q2386" s="35" t="s">
        <v>154</v>
      </c>
    </row>
    <row r="2387" spans="1:17" ht="24" x14ac:dyDescent="0.25">
      <c r="A2387" s="23">
        <v>39112</v>
      </c>
      <c r="B2387" s="23">
        <v>39112</v>
      </c>
      <c r="C2387" s="27">
        <v>2007</v>
      </c>
      <c r="D2387" s="35" t="s">
        <v>28</v>
      </c>
      <c r="E2387" s="30" t="s">
        <v>133</v>
      </c>
      <c r="F2387" s="7" t="s">
        <v>53</v>
      </c>
      <c r="G2387" s="25" t="s">
        <v>451</v>
      </c>
      <c r="H2387" s="25" t="s">
        <v>3618</v>
      </c>
      <c r="I2387" s="20">
        <v>0</v>
      </c>
      <c r="J2387" s="20">
        <v>1</v>
      </c>
      <c r="K2387" s="20">
        <v>0</v>
      </c>
      <c r="L2387" s="20">
        <v>0</v>
      </c>
      <c r="M2387" s="20">
        <v>0</v>
      </c>
      <c r="N2387" s="20">
        <v>0</v>
      </c>
      <c r="O2387" s="75">
        <v>0</v>
      </c>
      <c r="P2387" s="76">
        <v>0</v>
      </c>
      <c r="Q2387" s="35" t="s">
        <v>154</v>
      </c>
    </row>
    <row r="2388" spans="1:17" x14ac:dyDescent="0.25">
      <c r="A2388" s="23">
        <v>39136</v>
      </c>
      <c r="B2388" s="23">
        <v>39136</v>
      </c>
      <c r="C2388" s="27">
        <v>2007</v>
      </c>
      <c r="D2388" s="35" t="s">
        <v>28</v>
      </c>
      <c r="E2388" s="30" t="s">
        <v>133</v>
      </c>
      <c r="F2388" s="7" t="s">
        <v>53</v>
      </c>
      <c r="G2388" s="25" t="s">
        <v>847</v>
      </c>
      <c r="H2388" s="25" t="s">
        <v>3619</v>
      </c>
      <c r="I2388" s="20">
        <v>0</v>
      </c>
      <c r="J2388" s="20">
        <v>0</v>
      </c>
      <c r="K2388" s="20">
        <v>2</v>
      </c>
      <c r="L2388" s="20">
        <v>0</v>
      </c>
      <c r="M2388" s="20">
        <v>0</v>
      </c>
      <c r="N2388" s="20">
        <v>0</v>
      </c>
      <c r="O2388" s="75">
        <v>0</v>
      </c>
      <c r="P2388" s="76">
        <v>8.3000000000000004E-2</v>
      </c>
      <c r="Q2388" s="35" t="s">
        <v>154</v>
      </c>
    </row>
    <row r="2389" spans="1:17" ht="72" x14ac:dyDescent="0.25">
      <c r="A2389" s="23">
        <v>39136</v>
      </c>
      <c r="B2389" s="23">
        <v>39136</v>
      </c>
      <c r="C2389" s="27">
        <v>2007</v>
      </c>
      <c r="D2389" s="35" t="s">
        <v>28</v>
      </c>
      <c r="E2389" s="30" t="s">
        <v>133</v>
      </c>
      <c r="F2389" s="7" t="s">
        <v>97</v>
      </c>
      <c r="G2389" s="25" t="s">
        <v>3620</v>
      </c>
      <c r="H2389" s="25" t="s">
        <v>3621</v>
      </c>
      <c r="I2389" s="20">
        <v>0</v>
      </c>
      <c r="J2389" s="20">
        <v>3</v>
      </c>
      <c r="K2389" s="20">
        <v>0</v>
      </c>
      <c r="L2389" s="20">
        <v>0</v>
      </c>
      <c r="M2389" s="20">
        <v>0</v>
      </c>
      <c r="N2389" s="20">
        <v>0</v>
      </c>
      <c r="O2389" s="75">
        <v>0</v>
      </c>
      <c r="P2389" s="76">
        <v>0</v>
      </c>
      <c r="Q2389" s="35" t="s">
        <v>154</v>
      </c>
    </row>
    <row r="2390" spans="1:17" ht="24" x14ac:dyDescent="0.25">
      <c r="A2390" s="23">
        <v>39140</v>
      </c>
      <c r="B2390" s="23">
        <v>39140</v>
      </c>
      <c r="C2390" s="27">
        <v>2007</v>
      </c>
      <c r="D2390" s="35" t="s">
        <v>28</v>
      </c>
      <c r="E2390" s="30" t="s">
        <v>133</v>
      </c>
      <c r="F2390" s="7" t="s">
        <v>91</v>
      </c>
      <c r="G2390" s="25" t="s">
        <v>2315</v>
      </c>
      <c r="H2390" s="25" t="s">
        <v>3622</v>
      </c>
      <c r="I2390" s="20">
        <v>0</v>
      </c>
      <c r="J2390" s="20">
        <v>0</v>
      </c>
      <c r="K2390" s="20">
        <v>0</v>
      </c>
      <c r="L2390" s="20">
        <v>0</v>
      </c>
      <c r="M2390" s="20">
        <v>0</v>
      </c>
      <c r="N2390" s="20">
        <v>0</v>
      </c>
      <c r="O2390" s="75">
        <v>0</v>
      </c>
      <c r="P2390" s="76">
        <v>0</v>
      </c>
      <c r="Q2390" s="35" t="s">
        <v>154</v>
      </c>
    </row>
    <row r="2391" spans="1:17" ht="24" x14ac:dyDescent="0.25">
      <c r="A2391" s="23">
        <v>39146</v>
      </c>
      <c r="B2391" s="23">
        <v>39146</v>
      </c>
      <c r="C2391" s="27">
        <v>2007</v>
      </c>
      <c r="D2391" s="35" t="s">
        <v>28</v>
      </c>
      <c r="E2391" s="30" t="s">
        <v>133</v>
      </c>
      <c r="F2391" s="28" t="s">
        <v>210</v>
      </c>
      <c r="G2391" s="25" t="s">
        <v>3623</v>
      </c>
      <c r="H2391" s="25" t="s">
        <v>3624</v>
      </c>
      <c r="I2391" s="20">
        <v>0</v>
      </c>
      <c r="J2391" s="20">
        <v>2</v>
      </c>
      <c r="K2391" s="20">
        <v>0</v>
      </c>
      <c r="L2391" s="20">
        <v>0</v>
      </c>
      <c r="M2391" s="20">
        <v>0</v>
      </c>
      <c r="N2391" s="20">
        <v>0</v>
      </c>
      <c r="O2391" s="75">
        <v>0</v>
      </c>
      <c r="P2391" s="76">
        <v>0.27</v>
      </c>
      <c r="Q2391" s="35" t="s">
        <v>154</v>
      </c>
    </row>
    <row r="2392" spans="1:17" ht="24" x14ac:dyDescent="0.25">
      <c r="A2392" s="23">
        <v>39170</v>
      </c>
      <c r="B2392" s="23">
        <v>39170</v>
      </c>
      <c r="C2392" s="27">
        <v>2007</v>
      </c>
      <c r="D2392" s="35" t="s">
        <v>28</v>
      </c>
      <c r="E2392" s="30" t="s">
        <v>133</v>
      </c>
      <c r="F2392" s="7" t="s">
        <v>82</v>
      </c>
      <c r="G2392" s="25" t="s">
        <v>3625</v>
      </c>
      <c r="H2392" s="25" t="s">
        <v>3626</v>
      </c>
      <c r="I2392" s="20">
        <v>0</v>
      </c>
      <c r="J2392" s="20">
        <v>5</v>
      </c>
      <c r="K2392" s="20">
        <v>0</v>
      </c>
      <c r="L2392" s="20">
        <v>0</v>
      </c>
      <c r="M2392" s="20">
        <v>0</v>
      </c>
      <c r="N2392" s="20">
        <v>0</v>
      </c>
      <c r="O2392" s="75">
        <v>0</v>
      </c>
      <c r="P2392" s="76">
        <v>0</v>
      </c>
      <c r="Q2392" s="35" t="s">
        <v>154</v>
      </c>
    </row>
    <row r="2393" spans="1:17" ht="24" x14ac:dyDescent="0.25">
      <c r="A2393" s="23">
        <v>39174</v>
      </c>
      <c r="B2393" s="23">
        <v>39174</v>
      </c>
      <c r="C2393" s="27">
        <v>2007</v>
      </c>
      <c r="D2393" s="35" t="s">
        <v>28</v>
      </c>
      <c r="E2393" s="30" t="s">
        <v>133</v>
      </c>
      <c r="F2393" s="7" t="s">
        <v>53</v>
      </c>
      <c r="G2393" s="25" t="s">
        <v>847</v>
      </c>
      <c r="H2393" s="25" t="s">
        <v>3627</v>
      </c>
      <c r="I2393" s="20">
        <v>0</v>
      </c>
      <c r="J2393" s="20">
        <v>1</v>
      </c>
      <c r="K2393" s="20">
        <v>0</v>
      </c>
      <c r="L2393" s="20">
        <v>0</v>
      </c>
      <c r="M2393" s="20">
        <v>0</v>
      </c>
      <c r="N2393" s="20">
        <v>0</v>
      </c>
      <c r="O2393" s="75">
        <v>0</v>
      </c>
      <c r="P2393" s="76">
        <v>0</v>
      </c>
      <c r="Q2393" s="35" t="s">
        <v>154</v>
      </c>
    </row>
    <row r="2394" spans="1:17" ht="24" x14ac:dyDescent="0.25">
      <c r="A2394" s="23">
        <v>39183</v>
      </c>
      <c r="B2394" s="23">
        <v>39183</v>
      </c>
      <c r="C2394" s="27">
        <v>2007</v>
      </c>
      <c r="D2394" s="35" t="s">
        <v>28</v>
      </c>
      <c r="E2394" s="30" t="s">
        <v>133</v>
      </c>
      <c r="F2394" s="7" t="s">
        <v>91</v>
      </c>
      <c r="G2394" s="25" t="s">
        <v>2315</v>
      </c>
      <c r="H2394" s="25" t="s">
        <v>3628</v>
      </c>
      <c r="I2394" s="20">
        <v>3</v>
      </c>
      <c r="J2394" s="20">
        <v>4</v>
      </c>
      <c r="K2394" s="20">
        <v>1</v>
      </c>
      <c r="L2394" s="20">
        <v>0</v>
      </c>
      <c r="M2394" s="20">
        <v>0</v>
      </c>
      <c r="N2394" s="20">
        <v>0</v>
      </c>
      <c r="O2394" s="75">
        <v>0</v>
      </c>
      <c r="P2394" s="76">
        <v>4.1000000000000002E-2</v>
      </c>
      <c r="Q2394" s="35" t="s">
        <v>154</v>
      </c>
    </row>
    <row r="2395" spans="1:17" ht="24" x14ac:dyDescent="0.25">
      <c r="A2395" s="23">
        <v>39191</v>
      </c>
      <c r="B2395" s="23">
        <v>39191</v>
      </c>
      <c r="C2395" s="27">
        <v>2007</v>
      </c>
      <c r="D2395" s="35" t="s">
        <v>28</v>
      </c>
      <c r="E2395" s="30" t="s">
        <v>133</v>
      </c>
      <c r="F2395" s="28" t="s">
        <v>210</v>
      </c>
      <c r="G2395" s="25" t="s">
        <v>210</v>
      </c>
      <c r="H2395" s="25" t="s">
        <v>3629</v>
      </c>
      <c r="I2395" s="20">
        <v>0</v>
      </c>
      <c r="J2395" s="20">
        <v>3</v>
      </c>
      <c r="K2395" s="20">
        <v>1</v>
      </c>
      <c r="L2395" s="20">
        <v>0</v>
      </c>
      <c r="M2395" s="20">
        <v>0</v>
      </c>
      <c r="N2395" s="20">
        <v>0</v>
      </c>
      <c r="O2395" s="75">
        <v>0</v>
      </c>
      <c r="P2395" s="76">
        <v>4.1000000000000002E-2</v>
      </c>
      <c r="Q2395" s="35" t="s">
        <v>154</v>
      </c>
    </row>
    <row r="2396" spans="1:17" ht="48" x14ac:dyDescent="0.25">
      <c r="A2396" s="23">
        <v>39192</v>
      </c>
      <c r="B2396" s="23">
        <v>39192</v>
      </c>
      <c r="C2396" s="27">
        <v>2007</v>
      </c>
      <c r="D2396" s="35" t="s">
        <v>28</v>
      </c>
      <c r="E2396" s="30" t="s">
        <v>133</v>
      </c>
      <c r="F2396" s="28" t="s">
        <v>157</v>
      </c>
      <c r="G2396" s="25" t="s">
        <v>882</v>
      </c>
      <c r="H2396" s="25" t="s">
        <v>3630</v>
      </c>
      <c r="I2396" s="20">
        <v>2</v>
      </c>
      <c r="J2396" s="20">
        <v>10</v>
      </c>
      <c r="K2396" s="20">
        <v>0</v>
      </c>
      <c r="L2396" s="20">
        <v>0</v>
      </c>
      <c r="M2396" s="20">
        <v>0</v>
      </c>
      <c r="N2396" s="20">
        <v>0</v>
      </c>
      <c r="O2396" s="75">
        <v>0</v>
      </c>
      <c r="P2396" s="76">
        <v>0</v>
      </c>
      <c r="Q2396" s="35" t="s">
        <v>154</v>
      </c>
    </row>
    <row r="2397" spans="1:17" ht="36" x14ac:dyDescent="0.25">
      <c r="A2397" s="23">
        <v>39195</v>
      </c>
      <c r="B2397" s="23">
        <v>39195</v>
      </c>
      <c r="C2397" s="27">
        <v>2007</v>
      </c>
      <c r="D2397" s="35" t="s">
        <v>28</v>
      </c>
      <c r="E2397" s="30" t="s">
        <v>133</v>
      </c>
      <c r="F2397" s="7" t="s">
        <v>53</v>
      </c>
      <c r="G2397" s="25" t="s">
        <v>3631</v>
      </c>
      <c r="H2397" s="25" t="s">
        <v>3632</v>
      </c>
      <c r="I2397" s="20">
        <v>0</v>
      </c>
      <c r="J2397" s="20">
        <v>2</v>
      </c>
      <c r="K2397" s="20">
        <v>0</v>
      </c>
      <c r="L2397" s="20">
        <v>0</v>
      </c>
      <c r="M2397" s="20">
        <v>0</v>
      </c>
      <c r="N2397" s="20">
        <v>0</v>
      </c>
      <c r="O2397" s="75">
        <v>0</v>
      </c>
      <c r="P2397" s="76">
        <v>0</v>
      </c>
      <c r="Q2397" s="35" t="s">
        <v>154</v>
      </c>
    </row>
    <row r="2398" spans="1:17" ht="36" x14ac:dyDescent="0.25">
      <c r="A2398" s="23">
        <v>39258</v>
      </c>
      <c r="B2398" s="23">
        <v>39258</v>
      </c>
      <c r="C2398" s="27">
        <v>2007</v>
      </c>
      <c r="D2398" s="35" t="s">
        <v>28</v>
      </c>
      <c r="E2398" s="30" t="s">
        <v>133</v>
      </c>
      <c r="F2398" s="7" t="s">
        <v>87</v>
      </c>
      <c r="G2398" s="25" t="s">
        <v>567</v>
      </c>
      <c r="H2398" s="25" t="s">
        <v>3633</v>
      </c>
      <c r="I2398" s="20">
        <v>0</v>
      </c>
      <c r="J2398" s="20">
        <v>8</v>
      </c>
      <c r="K2398" s="20">
        <v>0</v>
      </c>
      <c r="L2398" s="20">
        <v>0</v>
      </c>
      <c r="M2398" s="20">
        <v>0</v>
      </c>
      <c r="N2398" s="20">
        <v>0</v>
      </c>
      <c r="O2398" s="75">
        <v>0</v>
      </c>
      <c r="P2398" s="76">
        <v>0</v>
      </c>
      <c r="Q2398" s="35" t="s">
        <v>154</v>
      </c>
    </row>
    <row r="2399" spans="1:17" ht="60" x14ac:dyDescent="0.25">
      <c r="A2399" s="23">
        <v>39265</v>
      </c>
      <c r="B2399" s="23">
        <v>39265</v>
      </c>
      <c r="C2399" s="27">
        <v>2007</v>
      </c>
      <c r="D2399" s="35" t="s">
        <v>28</v>
      </c>
      <c r="E2399" s="30" t="s">
        <v>133</v>
      </c>
      <c r="F2399" s="7" t="s">
        <v>45</v>
      </c>
      <c r="G2399" s="25" t="s">
        <v>3634</v>
      </c>
      <c r="H2399" s="25" t="s">
        <v>3635</v>
      </c>
      <c r="I2399" s="20">
        <v>0</v>
      </c>
      <c r="J2399" s="20">
        <v>72</v>
      </c>
      <c r="K2399" s="20">
        <v>0</v>
      </c>
      <c r="L2399" s="20">
        <v>0</v>
      </c>
      <c r="M2399" s="20">
        <v>0</v>
      </c>
      <c r="N2399" s="20">
        <v>0</v>
      </c>
      <c r="O2399" s="75">
        <v>0</v>
      </c>
      <c r="P2399" s="76">
        <v>0</v>
      </c>
      <c r="Q2399" s="35" t="s">
        <v>154</v>
      </c>
    </row>
    <row r="2400" spans="1:17" x14ac:dyDescent="0.25">
      <c r="A2400" s="23">
        <v>39272</v>
      </c>
      <c r="B2400" s="23">
        <v>39272</v>
      </c>
      <c r="C2400" s="27">
        <v>2007</v>
      </c>
      <c r="D2400" s="35" t="s">
        <v>28</v>
      </c>
      <c r="E2400" s="30" t="s">
        <v>133</v>
      </c>
      <c r="F2400" s="28" t="s">
        <v>157</v>
      </c>
      <c r="G2400" s="25" t="s">
        <v>206</v>
      </c>
      <c r="H2400" s="25" t="s">
        <v>3636</v>
      </c>
      <c r="I2400" s="20">
        <v>0</v>
      </c>
      <c r="J2400" s="20">
        <v>7</v>
      </c>
      <c r="K2400" s="20">
        <v>0</v>
      </c>
      <c r="L2400" s="20">
        <v>0</v>
      </c>
      <c r="M2400" s="20">
        <v>0</v>
      </c>
      <c r="N2400" s="20">
        <v>0</v>
      </c>
      <c r="O2400" s="75">
        <v>0</v>
      </c>
      <c r="P2400" s="76">
        <v>0</v>
      </c>
      <c r="Q2400" s="35" t="s">
        <v>154</v>
      </c>
    </row>
    <row r="2401" spans="1:17" x14ac:dyDescent="0.25">
      <c r="A2401" s="23">
        <v>39275</v>
      </c>
      <c r="B2401" s="23">
        <v>39275</v>
      </c>
      <c r="C2401" s="27">
        <v>2007</v>
      </c>
      <c r="D2401" s="35" t="s">
        <v>28</v>
      </c>
      <c r="E2401" s="30" t="s">
        <v>133</v>
      </c>
      <c r="F2401" s="7" t="s">
        <v>97</v>
      </c>
      <c r="G2401" s="25" t="s">
        <v>3637</v>
      </c>
      <c r="H2401" s="25" t="s">
        <v>3638</v>
      </c>
      <c r="I2401" s="20">
        <v>0</v>
      </c>
      <c r="J2401" s="20">
        <v>1</v>
      </c>
      <c r="K2401" s="20">
        <v>0</v>
      </c>
      <c r="L2401" s="20">
        <v>0</v>
      </c>
      <c r="M2401" s="20">
        <v>0</v>
      </c>
      <c r="N2401" s="20">
        <v>0</v>
      </c>
      <c r="O2401" s="75">
        <v>0</v>
      </c>
      <c r="P2401" s="76">
        <v>0</v>
      </c>
      <c r="Q2401" s="35" t="s">
        <v>154</v>
      </c>
    </row>
    <row r="2402" spans="1:17" ht="36" x14ac:dyDescent="0.25">
      <c r="A2402" s="23">
        <v>39282</v>
      </c>
      <c r="B2402" s="23">
        <v>39282</v>
      </c>
      <c r="C2402" s="27">
        <v>2007</v>
      </c>
      <c r="D2402" s="35" t="s">
        <v>28</v>
      </c>
      <c r="E2402" s="30" t="s">
        <v>133</v>
      </c>
      <c r="F2402" s="7" t="s">
        <v>75</v>
      </c>
      <c r="G2402" s="25" t="s">
        <v>3500</v>
      </c>
      <c r="H2402" s="25" t="s">
        <v>3639</v>
      </c>
      <c r="I2402" s="20">
        <v>1</v>
      </c>
      <c r="J2402" s="20">
        <v>3</v>
      </c>
      <c r="K2402" s="20">
        <v>0</v>
      </c>
      <c r="L2402" s="20">
        <v>0</v>
      </c>
      <c r="M2402" s="20">
        <v>0</v>
      </c>
      <c r="N2402" s="20">
        <v>0</v>
      </c>
      <c r="O2402" s="75">
        <v>0</v>
      </c>
      <c r="P2402" s="76">
        <v>0</v>
      </c>
      <c r="Q2402" s="35" t="s">
        <v>154</v>
      </c>
    </row>
    <row r="2403" spans="1:17" x14ac:dyDescent="0.25">
      <c r="A2403" s="23">
        <v>39282</v>
      </c>
      <c r="B2403" s="23">
        <v>39282</v>
      </c>
      <c r="C2403" s="27">
        <v>2007</v>
      </c>
      <c r="D2403" s="35" t="s">
        <v>28</v>
      </c>
      <c r="E2403" s="30" t="s">
        <v>133</v>
      </c>
      <c r="F2403" s="7" t="s">
        <v>75</v>
      </c>
      <c r="G2403" s="25" t="s">
        <v>3640</v>
      </c>
      <c r="H2403" s="25" t="s">
        <v>3641</v>
      </c>
      <c r="I2403" s="20">
        <v>0</v>
      </c>
      <c r="J2403" s="20">
        <v>0</v>
      </c>
      <c r="K2403" s="20">
        <v>0</v>
      </c>
      <c r="L2403" s="20">
        <v>0</v>
      </c>
      <c r="M2403" s="20">
        <v>0</v>
      </c>
      <c r="N2403" s="20">
        <v>0</v>
      </c>
      <c r="O2403" s="75">
        <v>0</v>
      </c>
      <c r="P2403" s="76">
        <v>0</v>
      </c>
      <c r="Q2403" s="35" t="s">
        <v>154</v>
      </c>
    </row>
    <row r="2404" spans="1:17" ht="36" x14ac:dyDescent="0.25">
      <c r="A2404" s="23">
        <v>39288</v>
      </c>
      <c r="B2404" s="23">
        <v>39288</v>
      </c>
      <c r="C2404" s="27">
        <v>2007</v>
      </c>
      <c r="D2404" s="35" t="s">
        <v>28</v>
      </c>
      <c r="E2404" s="30" t="s">
        <v>133</v>
      </c>
      <c r="F2404" s="7" t="s">
        <v>53</v>
      </c>
      <c r="G2404" s="25" t="s">
        <v>1304</v>
      </c>
      <c r="H2404" s="25" t="s">
        <v>3642</v>
      </c>
      <c r="I2404" s="20">
        <v>0</v>
      </c>
      <c r="J2404" s="20">
        <v>11</v>
      </c>
      <c r="K2404" s="20">
        <v>0</v>
      </c>
      <c r="L2404" s="20">
        <v>0</v>
      </c>
      <c r="M2404" s="20">
        <v>0</v>
      </c>
      <c r="N2404" s="20">
        <v>0</v>
      </c>
      <c r="O2404" s="75">
        <v>0</v>
      </c>
      <c r="P2404" s="76">
        <v>0</v>
      </c>
      <c r="Q2404" s="35" t="s">
        <v>154</v>
      </c>
    </row>
    <row r="2405" spans="1:17" ht="48" x14ac:dyDescent="0.25">
      <c r="A2405" s="23">
        <v>39290</v>
      </c>
      <c r="B2405" s="23">
        <v>39290</v>
      </c>
      <c r="C2405" s="27">
        <v>2007</v>
      </c>
      <c r="D2405" s="35" t="s">
        <v>28</v>
      </c>
      <c r="E2405" s="30" t="s">
        <v>133</v>
      </c>
      <c r="F2405" s="7" t="s">
        <v>58</v>
      </c>
      <c r="G2405" s="25" t="s">
        <v>3643</v>
      </c>
      <c r="H2405" s="25" t="s">
        <v>3644</v>
      </c>
      <c r="I2405" s="20">
        <v>1</v>
      </c>
      <c r="J2405" s="20">
        <v>4</v>
      </c>
      <c r="K2405" s="20">
        <v>0</v>
      </c>
      <c r="L2405" s="20">
        <v>0</v>
      </c>
      <c r="M2405" s="20">
        <v>0</v>
      </c>
      <c r="N2405" s="20">
        <v>0</v>
      </c>
      <c r="O2405" s="75">
        <v>0</v>
      </c>
      <c r="P2405" s="76">
        <v>0</v>
      </c>
      <c r="Q2405" s="35" t="s">
        <v>154</v>
      </c>
    </row>
    <row r="2406" spans="1:17" ht="24" x14ac:dyDescent="0.25">
      <c r="A2406" s="23">
        <v>39300</v>
      </c>
      <c r="B2406" s="23">
        <v>39300</v>
      </c>
      <c r="C2406" s="27">
        <v>2007</v>
      </c>
      <c r="D2406" s="35" t="s">
        <v>28</v>
      </c>
      <c r="E2406" s="30" t="s">
        <v>133</v>
      </c>
      <c r="F2406" s="7" t="s">
        <v>62</v>
      </c>
      <c r="G2406" s="25" t="s">
        <v>3384</v>
      </c>
      <c r="H2406" s="25" t="s">
        <v>3645</v>
      </c>
      <c r="I2406" s="20">
        <v>2</v>
      </c>
      <c r="J2406" s="20">
        <v>6</v>
      </c>
      <c r="K2406" s="20">
        <v>0</v>
      </c>
      <c r="L2406" s="20">
        <v>0</v>
      </c>
      <c r="M2406" s="20">
        <v>0</v>
      </c>
      <c r="N2406" s="20">
        <v>0</v>
      </c>
      <c r="O2406" s="75">
        <v>0</v>
      </c>
      <c r="P2406" s="76">
        <v>0</v>
      </c>
      <c r="Q2406" s="35" t="s">
        <v>154</v>
      </c>
    </row>
    <row r="2407" spans="1:17" ht="24" x14ac:dyDescent="0.25">
      <c r="A2407" s="23">
        <v>39306</v>
      </c>
      <c r="B2407" s="23">
        <v>39306</v>
      </c>
      <c r="C2407" s="27">
        <v>2007</v>
      </c>
      <c r="D2407" s="35" t="s">
        <v>28</v>
      </c>
      <c r="E2407" s="30" t="s">
        <v>133</v>
      </c>
      <c r="F2407" s="7" t="s">
        <v>101</v>
      </c>
      <c r="G2407" s="25" t="s">
        <v>781</v>
      </c>
      <c r="H2407" s="25" t="s">
        <v>3646</v>
      </c>
      <c r="I2407" s="20">
        <v>1</v>
      </c>
      <c r="J2407" s="20">
        <v>5</v>
      </c>
      <c r="K2407" s="20">
        <v>0</v>
      </c>
      <c r="L2407" s="20">
        <v>0</v>
      </c>
      <c r="M2407" s="20">
        <v>0</v>
      </c>
      <c r="N2407" s="20">
        <v>0</v>
      </c>
      <c r="O2407" s="75">
        <v>0</v>
      </c>
      <c r="P2407" s="76">
        <v>0</v>
      </c>
      <c r="Q2407" s="35" t="s">
        <v>154</v>
      </c>
    </row>
    <row r="2408" spans="1:17" ht="36" x14ac:dyDescent="0.25">
      <c r="A2408" s="23">
        <v>39328</v>
      </c>
      <c r="B2408" s="23">
        <v>39328</v>
      </c>
      <c r="C2408" s="27">
        <v>2007</v>
      </c>
      <c r="D2408" s="35" t="s">
        <v>28</v>
      </c>
      <c r="E2408" s="30" t="s">
        <v>133</v>
      </c>
      <c r="F2408" s="7" t="s">
        <v>87</v>
      </c>
      <c r="G2408" s="25" t="s">
        <v>3647</v>
      </c>
      <c r="H2408" s="25" t="s">
        <v>3648</v>
      </c>
      <c r="I2408" s="20">
        <v>0</v>
      </c>
      <c r="J2408" s="20">
        <v>4</v>
      </c>
      <c r="K2408" s="20">
        <v>0</v>
      </c>
      <c r="L2408" s="20">
        <v>0</v>
      </c>
      <c r="M2408" s="20">
        <v>0</v>
      </c>
      <c r="N2408" s="20">
        <v>0</v>
      </c>
      <c r="O2408" s="75">
        <v>0</v>
      </c>
      <c r="P2408" s="76">
        <v>0</v>
      </c>
      <c r="Q2408" s="35" t="s">
        <v>154</v>
      </c>
    </row>
    <row r="2409" spans="1:17" ht="24" x14ac:dyDescent="0.25">
      <c r="A2409" s="23">
        <v>39342</v>
      </c>
      <c r="B2409" s="23">
        <v>39342</v>
      </c>
      <c r="C2409" s="27">
        <v>2007</v>
      </c>
      <c r="D2409" s="35" t="s">
        <v>28</v>
      </c>
      <c r="E2409" s="30" t="s">
        <v>133</v>
      </c>
      <c r="F2409" s="28" t="s">
        <v>160</v>
      </c>
      <c r="G2409" s="25" t="s">
        <v>3649</v>
      </c>
      <c r="H2409" s="25" t="s">
        <v>3650</v>
      </c>
      <c r="I2409" s="20">
        <v>0</v>
      </c>
      <c r="J2409" s="20">
        <v>1</v>
      </c>
      <c r="K2409" s="20">
        <v>0</v>
      </c>
      <c r="L2409" s="20">
        <v>0</v>
      </c>
      <c r="M2409" s="20">
        <v>0</v>
      </c>
      <c r="N2409" s="20">
        <v>0</v>
      </c>
      <c r="O2409" s="75">
        <v>0</v>
      </c>
      <c r="P2409" s="76">
        <v>0</v>
      </c>
      <c r="Q2409" s="35" t="s">
        <v>154</v>
      </c>
    </row>
    <row r="2410" spans="1:17" ht="36" x14ac:dyDescent="0.25">
      <c r="A2410" s="23">
        <v>39363</v>
      </c>
      <c r="B2410" s="23">
        <v>39363</v>
      </c>
      <c r="C2410" s="27">
        <v>2007</v>
      </c>
      <c r="D2410" s="35" t="s">
        <v>28</v>
      </c>
      <c r="E2410" s="30" t="s">
        <v>133</v>
      </c>
      <c r="F2410" s="25" t="s">
        <v>781</v>
      </c>
      <c r="G2410" s="25" t="s">
        <v>1995</v>
      </c>
      <c r="H2410" s="25" t="s">
        <v>3651</v>
      </c>
      <c r="I2410" s="20">
        <v>1</v>
      </c>
      <c r="J2410" s="20">
        <v>1</v>
      </c>
      <c r="K2410" s="20">
        <v>0</v>
      </c>
      <c r="L2410" s="20">
        <v>0</v>
      </c>
      <c r="M2410" s="20">
        <v>0</v>
      </c>
      <c r="N2410" s="20">
        <v>0</v>
      </c>
      <c r="O2410" s="75">
        <v>0</v>
      </c>
      <c r="P2410" s="76">
        <v>0</v>
      </c>
      <c r="Q2410" s="35" t="s">
        <v>154</v>
      </c>
    </row>
    <row r="2411" spans="1:17" ht="48" x14ac:dyDescent="0.25">
      <c r="A2411" s="23">
        <v>39380</v>
      </c>
      <c r="B2411" s="23">
        <v>39380</v>
      </c>
      <c r="C2411" s="27">
        <v>2007</v>
      </c>
      <c r="D2411" s="35" t="s">
        <v>28</v>
      </c>
      <c r="E2411" s="30" t="s">
        <v>133</v>
      </c>
      <c r="F2411" s="7" t="s">
        <v>72</v>
      </c>
      <c r="G2411" s="25" t="s">
        <v>1946</v>
      </c>
      <c r="H2411" s="25" t="s">
        <v>3652</v>
      </c>
      <c r="I2411" s="20">
        <v>1</v>
      </c>
      <c r="J2411" s="20">
        <v>3</v>
      </c>
      <c r="K2411" s="20">
        <v>0</v>
      </c>
      <c r="L2411" s="20">
        <v>0</v>
      </c>
      <c r="M2411" s="20">
        <v>0</v>
      </c>
      <c r="N2411" s="20">
        <v>0</v>
      </c>
      <c r="O2411" s="75">
        <v>0</v>
      </c>
      <c r="P2411" s="76">
        <v>0</v>
      </c>
      <c r="Q2411" s="35" t="s">
        <v>154</v>
      </c>
    </row>
    <row r="2412" spans="1:17" ht="24" x14ac:dyDescent="0.25">
      <c r="A2412" s="23">
        <v>39401</v>
      </c>
      <c r="B2412" s="23">
        <v>39401</v>
      </c>
      <c r="C2412" s="27">
        <v>2007</v>
      </c>
      <c r="D2412" s="35" t="s">
        <v>28</v>
      </c>
      <c r="E2412" s="30" t="s">
        <v>133</v>
      </c>
      <c r="F2412" s="7" t="s">
        <v>60</v>
      </c>
      <c r="G2412" s="25" t="s">
        <v>3653</v>
      </c>
      <c r="H2412" s="25" t="s">
        <v>3654</v>
      </c>
      <c r="I2412" s="20">
        <v>2</v>
      </c>
      <c r="J2412" s="20">
        <v>7</v>
      </c>
      <c r="K2412" s="20">
        <v>1</v>
      </c>
      <c r="L2412" s="20">
        <v>0</v>
      </c>
      <c r="M2412" s="20">
        <v>0</v>
      </c>
      <c r="N2412" s="20">
        <v>0</v>
      </c>
      <c r="O2412" s="75">
        <v>0</v>
      </c>
      <c r="P2412" s="76">
        <v>0.04</v>
      </c>
      <c r="Q2412" s="35" t="s">
        <v>154</v>
      </c>
    </row>
    <row r="2413" spans="1:17" ht="24" x14ac:dyDescent="0.25">
      <c r="A2413" s="23">
        <v>39419</v>
      </c>
      <c r="B2413" s="23">
        <v>39419</v>
      </c>
      <c r="C2413" s="27">
        <v>2007</v>
      </c>
      <c r="D2413" s="35" t="s">
        <v>28</v>
      </c>
      <c r="E2413" s="30" t="s">
        <v>133</v>
      </c>
      <c r="F2413" s="7" t="s">
        <v>56</v>
      </c>
      <c r="G2413" s="25" t="s">
        <v>218</v>
      </c>
      <c r="H2413" s="25" t="s">
        <v>3655</v>
      </c>
      <c r="I2413" s="20">
        <v>0</v>
      </c>
      <c r="J2413" s="20">
        <v>10</v>
      </c>
      <c r="K2413" s="20">
        <v>0</v>
      </c>
      <c r="L2413" s="20">
        <v>0</v>
      </c>
      <c r="M2413" s="20">
        <v>0</v>
      </c>
      <c r="N2413" s="20">
        <v>0</v>
      </c>
      <c r="O2413" s="75">
        <v>0</v>
      </c>
      <c r="P2413" s="76">
        <v>0</v>
      </c>
      <c r="Q2413" s="35" t="s">
        <v>154</v>
      </c>
    </row>
    <row r="2414" spans="1:17" ht="48" x14ac:dyDescent="0.25">
      <c r="A2414" s="23">
        <v>39421</v>
      </c>
      <c r="B2414" s="23">
        <v>39421</v>
      </c>
      <c r="C2414" s="27">
        <v>2007</v>
      </c>
      <c r="D2414" s="35" t="s">
        <v>28</v>
      </c>
      <c r="E2414" s="30" t="s">
        <v>133</v>
      </c>
      <c r="F2414" s="7" t="s">
        <v>30</v>
      </c>
      <c r="G2414" s="25" t="s">
        <v>3656</v>
      </c>
      <c r="H2414" s="25" t="s">
        <v>3657</v>
      </c>
      <c r="I2414" s="20">
        <v>1</v>
      </c>
      <c r="J2414" s="20">
        <v>4</v>
      </c>
      <c r="K2414" s="20">
        <v>0</v>
      </c>
      <c r="L2414" s="20">
        <v>0</v>
      </c>
      <c r="M2414" s="20">
        <v>0</v>
      </c>
      <c r="N2414" s="20">
        <v>0</v>
      </c>
      <c r="O2414" s="75">
        <v>0</v>
      </c>
      <c r="P2414" s="76">
        <v>0</v>
      </c>
      <c r="Q2414" s="35" t="s">
        <v>154</v>
      </c>
    </row>
    <row r="2415" spans="1:17" ht="36" x14ac:dyDescent="0.25">
      <c r="A2415" s="23">
        <v>39422</v>
      </c>
      <c r="B2415" s="23">
        <v>39422</v>
      </c>
      <c r="C2415" s="27">
        <v>2007</v>
      </c>
      <c r="D2415" s="35" t="s">
        <v>28</v>
      </c>
      <c r="E2415" s="30" t="s">
        <v>133</v>
      </c>
      <c r="F2415" s="28" t="s">
        <v>157</v>
      </c>
      <c r="G2415" s="25" t="s">
        <v>3658</v>
      </c>
      <c r="H2415" s="25" t="s">
        <v>3659</v>
      </c>
      <c r="I2415" s="20">
        <v>0</v>
      </c>
      <c r="J2415" s="20">
        <v>5</v>
      </c>
      <c r="K2415" s="20">
        <v>0</v>
      </c>
      <c r="L2415" s="20">
        <v>0</v>
      </c>
      <c r="M2415" s="20">
        <v>0</v>
      </c>
      <c r="N2415" s="20">
        <v>0</v>
      </c>
      <c r="O2415" s="75">
        <v>0</v>
      </c>
      <c r="P2415" s="76">
        <v>0</v>
      </c>
      <c r="Q2415" s="35" t="s">
        <v>154</v>
      </c>
    </row>
    <row r="2416" spans="1:17" ht="36" x14ac:dyDescent="0.25">
      <c r="A2416" s="23">
        <v>39422</v>
      </c>
      <c r="B2416" s="23">
        <v>39422</v>
      </c>
      <c r="C2416" s="27">
        <v>2007</v>
      </c>
      <c r="D2416" s="35" t="s">
        <v>28</v>
      </c>
      <c r="E2416" s="30" t="s">
        <v>133</v>
      </c>
      <c r="F2416" s="7" t="s">
        <v>53</v>
      </c>
      <c r="G2416" s="25" t="s">
        <v>3660</v>
      </c>
      <c r="H2416" s="25" t="s">
        <v>3661</v>
      </c>
      <c r="I2416" s="20">
        <v>1</v>
      </c>
      <c r="J2416" s="20">
        <v>3</v>
      </c>
      <c r="K2416" s="20">
        <v>0</v>
      </c>
      <c r="L2416" s="20">
        <v>0</v>
      </c>
      <c r="M2416" s="20">
        <v>0</v>
      </c>
      <c r="N2416" s="20">
        <v>0</v>
      </c>
      <c r="O2416" s="75">
        <v>0</v>
      </c>
      <c r="P2416" s="76">
        <v>0</v>
      </c>
      <c r="Q2416" s="35" t="s">
        <v>154</v>
      </c>
    </row>
    <row r="2417" spans="1:17" ht="36" x14ac:dyDescent="0.25">
      <c r="A2417" s="23">
        <v>39433</v>
      </c>
      <c r="B2417" s="23">
        <v>39433</v>
      </c>
      <c r="C2417" s="27">
        <v>2007</v>
      </c>
      <c r="D2417" s="35" t="s">
        <v>28</v>
      </c>
      <c r="E2417" s="30" t="s">
        <v>133</v>
      </c>
      <c r="F2417" s="28" t="s">
        <v>160</v>
      </c>
      <c r="G2417" s="25" t="s">
        <v>3662</v>
      </c>
      <c r="H2417" s="25" t="s">
        <v>3663</v>
      </c>
      <c r="I2417" s="20">
        <v>0</v>
      </c>
      <c r="J2417" s="20">
        <v>2</v>
      </c>
      <c r="K2417" s="20">
        <v>0</v>
      </c>
      <c r="L2417" s="20">
        <v>0</v>
      </c>
      <c r="M2417" s="20">
        <v>0</v>
      </c>
      <c r="N2417" s="20">
        <v>0</v>
      </c>
      <c r="O2417" s="75">
        <v>0</v>
      </c>
      <c r="P2417" s="123">
        <v>0</v>
      </c>
      <c r="Q2417" s="35" t="s">
        <v>154</v>
      </c>
    </row>
    <row r="2418" spans="1:17" ht="36" x14ac:dyDescent="0.25">
      <c r="A2418" s="23">
        <v>39434</v>
      </c>
      <c r="B2418" s="23">
        <v>39434</v>
      </c>
      <c r="C2418" s="27">
        <v>2007</v>
      </c>
      <c r="D2418" s="35" t="s">
        <v>28</v>
      </c>
      <c r="E2418" s="30" t="s">
        <v>133</v>
      </c>
      <c r="F2418" s="28" t="s">
        <v>157</v>
      </c>
      <c r="G2418" s="25" t="s">
        <v>3664</v>
      </c>
      <c r="H2418" s="25" t="s">
        <v>3665</v>
      </c>
      <c r="I2418" s="20">
        <v>0</v>
      </c>
      <c r="J2418" s="20">
        <v>5</v>
      </c>
      <c r="K2418" s="20">
        <v>0</v>
      </c>
      <c r="L2418" s="20">
        <v>0</v>
      </c>
      <c r="M2418" s="20">
        <v>0</v>
      </c>
      <c r="N2418" s="20">
        <v>0</v>
      </c>
      <c r="O2418" s="75">
        <v>0</v>
      </c>
      <c r="P2418" s="123">
        <v>0</v>
      </c>
      <c r="Q2418" s="35" t="s">
        <v>154</v>
      </c>
    </row>
    <row r="2419" spans="1:17" ht="24" x14ac:dyDescent="0.25">
      <c r="A2419" s="23">
        <v>39443</v>
      </c>
      <c r="B2419" s="23">
        <v>39443</v>
      </c>
      <c r="C2419" s="27">
        <v>2007</v>
      </c>
      <c r="D2419" s="35" t="s">
        <v>28</v>
      </c>
      <c r="E2419" s="30" t="s">
        <v>133</v>
      </c>
      <c r="F2419" s="7" t="s">
        <v>53</v>
      </c>
      <c r="G2419" s="25" t="s">
        <v>3666</v>
      </c>
      <c r="H2419" s="25" t="s">
        <v>3667</v>
      </c>
      <c r="I2419" s="20">
        <v>0</v>
      </c>
      <c r="J2419" s="20">
        <v>2</v>
      </c>
      <c r="K2419" s="20">
        <v>1</v>
      </c>
      <c r="L2419" s="20">
        <v>0</v>
      </c>
      <c r="M2419" s="20">
        <v>0</v>
      </c>
      <c r="N2419" s="20">
        <v>0</v>
      </c>
      <c r="O2419" s="75">
        <v>0</v>
      </c>
      <c r="P2419" s="123">
        <v>0.04</v>
      </c>
      <c r="Q2419" s="35" t="s">
        <v>154</v>
      </c>
    </row>
    <row r="2420" spans="1:17" ht="72" x14ac:dyDescent="0.25">
      <c r="A2420" s="23">
        <v>39444</v>
      </c>
      <c r="B2420" s="23">
        <v>39444</v>
      </c>
      <c r="C2420" s="27">
        <v>2007</v>
      </c>
      <c r="D2420" s="35" t="s">
        <v>28</v>
      </c>
      <c r="E2420" s="30" t="s">
        <v>133</v>
      </c>
      <c r="F2420" s="7" t="s">
        <v>53</v>
      </c>
      <c r="G2420" s="25" t="s">
        <v>2309</v>
      </c>
      <c r="H2420" s="25" t="s">
        <v>3668</v>
      </c>
      <c r="I2420" s="20">
        <v>3</v>
      </c>
      <c r="J2420" s="20">
        <v>4</v>
      </c>
      <c r="K2420" s="20">
        <v>1</v>
      </c>
      <c r="L2420" s="20">
        <v>0</v>
      </c>
      <c r="M2420" s="20">
        <v>0</v>
      </c>
      <c r="N2420" s="20">
        <v>0</v>
      </c>
      <c r="O2420" s="75">
        <v>0</v>
      </c>
      <c r="P2420" s="123">
        <v>0.04</v>
      </c>
      <c r="Q2420" s="35" t="s">
        <v>154</v>
      </c>
    </row>
    <row r="2421" spans="1:17" x14ac:dyDescent="0.25">
      <c r="A2421" s="23">
        <v>39124</v>
      </c>
      <c r="B2421" s="23">
        <v>39124</v>
      </c>
      <c r="C2421" s="27">
        <v>2007</v>
      </c>
      <c r="D2421" s="35" t="s">
        <v>28</v>
      </c>
      <c r="E2421" s="6" t="s">
        <v>369</v>
      </c>
      <c r="F2421" s="7" t="s">
        <v>87</v>
      </c>
      <c r="G2421" s="25" t="s">
        <v>3647</v>
      </c>
      <c r="H2421" s="25" t="s">
        <v>3669</v>
      </c>
      <c r="I2421" s="20">
        <v>0</v>
      </c>
      <c r="J2421" s="20">
        <v>6</v>
      </c>
      <c r="K2421" s="20">
        <v>0</v>
      </c>
      <c r="L2421" s="20">
        <v>0</v>
      </c>
      <c r="M2421" s="20">
        <v>0</v>
      </c>
      <c r="N2421" s="20">
        <v>0</v>
      </c>
      <c r="O2421" s="75">
        <v>0</v>
      </c>
      <c r="P2421" s="76">
        <v>0</v>
      </c>
      <c r="Q2421" s="35" t="s">
        <v>154</v>
      </c>
    </row>
    <row r="2422" spans="1:17" x14ac:dyDescent="0.25">
      <c r="A2422" s="23">
        <v>39296</v>
      </c>
      <c r="B2422" s="23">
        <v>39296</v>
      </c>
      <c r="C2422" s="27">
        <v>2007</v>
      </c>
      <c r="D2422" s="35" t="s">
        <v>28</v>
      </c>
      <c r="E2422" s="6" t="s">
        <v>369</v>
      </c>
      <c r="F2422" s="28" t="s">
        <v>160</v>
      </c>
      <c r="G2422" s="25" t="s">
        <v>428</v>
      </c>
      <c r="H2422" s="25" t="s">
        <v>3670</v>
      </c>
      <c r="I2422" s="20">
        <v>0</v>
      </c>
      <c r="J2422" s="20">
        <v>0</v>
      </c>
      <c r="K2422" s="20">
        <v>0</v>
      </c>
      <c r="L2422" s="20">
        <v>0</v>
      </c>
      <c r="M2422" s="20">
        <v>0</v>
      </c>
      <c r="N2422" s="20">
        <v>0</v>
      </c>
      <c r="O2422" s="75">
        <v>0</v>
      </c>
      <c r="P2422" s="76">
        <v>0</v>
      </c>
      <c r="Q2422" s="35" t="s">
        <v>154</v>
      </c>
    </row>
    <row r="2423" spans="1:17" ht="48" x14ac:dyDescent="0.25">
      <c r="A2423" s="23">
        <v>39378</v>
      </c>
      <c r="B2423" s="23">
        <v>39378</v>
      </c>
      <c r="C2423" s="27">
        <v>2007</v>
      </c>
      <c r="D2423" s="35" t="s">
        <v>28</v>
      </c>
      <c r="E2423" s="6" t="s">
        <v>369</v>
      </c>
      <c r="F2423" s="7" t="s">
        <v>80</v>
      </c>
      <c r="G2423" s="25" t="s">
        <v>3028</v>
      </c>
      <c r="H2423" s="25" t="s">
        <v>3671</v>
      </c>
      <c r="I2423" s="20">
        <v>0</v>
      </c>
      <c r="J2423" s="20">
        <v>302</v>
      </c>
      <c r="K2423" s="20">
        <v>0</v>
      </c>
      <c r="L2423" s="20">
        <v>0</v>
      </c>
      <c r="M2423" s="20">
        <v>0</v>
      </c>
      <c r="N2423" s="20">
        <v>0</v>
      </c>
      <c r="O2423" s="75">
        <v>0</v>
      </c>
      <c r="P2423" s="76">
        <v>0</v>
      </c>
      <c r="Q2423" s="35" t="s">
        <v>154</v>
      </c>
    </row>
    <row r="2424" spans="1:17" ht="48" x14ac:dyDescent="0.25">
      <c r="A2424" s="23">
        <v>39379</v>
      </c>
      <c r="B2424" s="23">
        <v>39379</v>
      </c>
      <c r="C2424" s="27">
        <v>2007</v>
      </c>
      <c r="D2424" s="35" t="s">
        <v>28</v>
      </c>
      <c r="E2424" s="6" t="s">
        <v>369</v>
      </c>
      <c r="F2424" s="28" t="s">
        <v>210</v>
      </c>
      <c r="G2424" s="25" t="s">
        <v>3672</v>
      </c>
      <c r="H2424" s="25" t="s">
        <v>3673</v>
      </c>
      <c r="I2424" s="20">
        <v>0</v>
      </c>
      <c r="J2424" s="20">
        <v>3</v>
      </c>
      <c r="K2424" s="20">
        <v>0</v>
      </c>
      <c r="L2424" s="20">
        <v>0</v>
      </c>
      <c r="M2424" s="20">
        <v>0</v>
      </c>
      <c r="N2424" s="20">
        <v>0</v>
      </c>
      <c r="O2424" s="75">
        <v>0</v>
      </c>
      <c r="P2424" s="76">
        <v>0</v>
      </c>
      <c r="Q2424" s="35" t="s">
        <v>154</v>
      </c>
    </row>
    <row r="2425" spans="1:17" ht="24" x14ac:dyDescent="0.25">
      <c r="A2425" s="23">
        <v>39154</v>
      </c>
      <c r="B2425" s="23">
        <v>39154</v>
      </c>
      <c r="C2425" s="27">
        <v>2007</v>
      </c>
      <c r="D2425" s="35" t="s">
        <v>28</v>
      </c>
      <c r="E2425" s="30" t="s">
        <v>125</v>
      </c>
      <c r="F2425" s="28" t="s">
        <v>157</v>
      </c>
      <c r="G2425" s="25" t="s">
        <v>110</v>
      </c>
      <c r="H2425" s="25" t="s">
        <v>3674</v>
      </c>
      <c r="I2425" s="20">
        <v>0</v>
      </c>
      <c r="J2425" s="20">
        <v>0</v>
      </c>
      <c r="K2425" s="20">
        <v>0</v>
      </c>
      <c r="L2425" s="20">
        <v>0</v>
      </c>
      <c r="M2425" s="20">
        <v>0</v>
      </c>
      <c r="N2425" s="20">
        <v>0</v>
      </c>
      <c r="O2425" s="75">
        <v>0</v>
      </c>
      <c r="P2425" s="76">
        <v>0</v>
      </c>
      <c r="Q2425" s="35" t="s">
        <v>154</v>
      </c>
    </row>
    <row r="2426" spans="1:17" ht="72" x14ac:dyDescent="0.25">
      <c r="A2426" s="23">
        <v>39156</v>
      </c>
      <c r="B2426" s="23">
        <v>39156</v>
      </c>
      <c r="C2426" s="27">
        <v>2007</v>
      </c>
      <c r="D2426" s="35" t="s">
        <v>28</v>
      </c>
      <c r="E2426" s="30" t="s">
        <v>125</v>
      </c>
      <c r="F2426" s="7" t="s">
        <v>45</v>
      </c>
      <c r="G2426" s="25" t="s">
        <v>577</v>
      </c>
      <c r="H2426" s="25" t="s">
        <v>3675</v>
      </c>
      <c r="I2426" s="20">
        <v>0</v>
      </c>
      <c r="J2426" s="20">
        <v>28</v>
      </c>
      <c r="K2426" s="20">
        <v>0</v>
      </c>
      <c r="L2426" s="20">
        <v>0</v>
      </c>
      <c r="M2426" s="20">
        <v>0</v>
      </c>
      <c r="N2426" s="20">
        <v>0</v>
      </c>
      <c r="O2426" s="75">
        <v>0</v>
      </c>
      <c r="P2426" s="76">
        <v>0</v>
      </c>
      <c r="Q2426" s="35" t="s">
        <v>154</v>
      </c>
    </row>
    <row r="2427" spans="1:17" ht="24" x14ac:dyDescent="0.25">
      <c r="A2427" s="23">
        <v>39169</v>
      </c>
      <c r="B2427" s="23">
        <v>39169</v>
      </c>
      <c r="C2427" s="27">
        <v>2007</v>
      </c>
      <c r="D2427" s="35" t="s">
        <v>28</v>
      </c>
      <c r="E2427" s="30" t="s">
        <v>125</v>
      </c>
      <c r="F2427" s="28" t="s">
        <v>210</v>
      </c>
      <c r="G2427" s="25" t="s">
        <v>3676</v>
      </c>
      <c r="H2427" s="25" t="s">
        <v>3677</v>
      </c>
      <c r="I2427" s="20">
        <v>0</v>
      </c>
      <c r="J2427" s="20">
        <v>0</v>
      </c>
      <c r="K2427" s="20">
        <v>0</v>
      </c>
      <c r="L2427" s="20">
        <v>0</v>
      </c>
      <c r="M2427" s="20">
        <v>0</v>
      </c>
      <c r="N2427" s="20">
        <v>0</v>
      </c>
      <c r="O2427" s="75">
        <v>0</v>
      </c>
      <c r="P2427" s="76">
        <v>0</v>
      </c>
      <c r="Q2427" s="35" t="s">
        <v>154</v>
      </c>
    </row>
    <row r="2428" spans="1:17" ht="36" x14ac:dyDescent="0.25">
      <c r="A2428" s="23">
        <v>39182</v>
      </c>
      <c r="B2428" s="23">
        <v>39182</v>
      </c>
      <c r="C2428" s="27">
        <v>2007</v>
      </c>
      <c r="D2428" s="35" t="s">
        <v>28</v>
      </c>
      <c r="E2428" s="30" t="s">
        <v>125</v>
      </c>
      <c r="F2428" s="7" t="s">
        <v>56</v>
      </c>
      <c r="G2428" s="25" t="s">
        <v>2281</v>
      </c>
      <c r="H2428" s="25" t="s">
        <v>3678</v>
      </c>
      <c r="I2428" s="20">
        <v>0</v>
      </c>
      <c r="J2428" s="20">
        <v>2</v>
      </c>
      <c r="K2428" s="20">
        <v>0</v>
      </c>
      <c r="L2428" s="20">
        <v>0</v>
      </c>
      <c r="M2428" s="20">
        <v>0</v>
      </c>
      <c r="N2428" s="20">
        <v>0</v>
      </c>
      <c r="O2428" s="75">
        <v>0</v>
      </c>
      <c r="P2428" s="76">
        <v>0</v>
      </c>
      <c r="Q2428" s="35" t="s">
        <v>154</v>
      </c>
    </row>
    <row r="2429" spans="1:17" x14ac:dyDescent="0.25">
      <c r="A2429" s="23">
        <v>39210</v>
      </c>
      <c r="B2429" s="23">
        <v>39210</v>
      </c>
      <c r="C2429" s="27">
        <v>2007</v>
      </c>
      <c r="D2429" s="35" t="s">
        <v>28</v>
      </c>
      <c r="E2429" s="30" t="s">
        <v>125</v>
      </c>
      <c r="F2429" s="7" t="s">
        <v>77</v>
      </c>
      <c r="G2429" s="25" t="s">
        <v>3679</v>
      </c>
      <c r="H2429" s="25" t="s">
        <v>3680</v>
      </c>
      <c r="I2429" s="20">
        <v>0</v>
      </c>
      <c r="J2429" s="20">
        <v>0</v>
      </c>
      <c r="K2429" s="20">
        <v>0</v>
      </c>
      <c r="L2429" s="20">
        <v>0</v>
      </c>
      <c r="M2429" s="20">
        <v>0</v>
      </c>
      <c r="N2429" s="20">
        <v>0</v>
      </c>
      <c r="O2429" s="75">
        <v>0</v>
      </c>
      <c r="P2429" s="76">
        <v>0</v>
      </c>
      <c r="Q2429" s="35" t="s">
        <v>154</v>
      </c>
    </row>
    <row r="2430" spans="1:17" ht="60" x14ac:dyDescent="0.25">
      <c r="A2430" s="23">
        <v>39288</v>
      </c>
      <c r="B2430" s="23">
        <v>39288</v>
      </c>
      <c r="C2430" s="27">
        <v>2007</v>
      </c>
      <c r="D2430" s="35" t="s">
        <v>28</v>
      </c>
      <c r="E2430" s="30" t="s">
        <v>125</v>
      </c>
      <c r="F2430" s="28" t="s">
        <v>157</v>
      </c>
      <c r="G2430" s="25" t="s">
        <v>1190</v>
      </c>
      <c r="H2430" s="25" t="s">
        <v>3681</v>
      </c>
      <c r="I2430" s="20">
        <v>0</v>
      </c>
      <c r="J2430" s="20">
        <v>27</v>
      </c>
      <c r="K2430" s="20">
        <v>0</v>
      </c>
      <c r="L2430" s="20">
        <v>0</v>
      </c>
      <c r="M2430" s="20">
        <v>0</v>
      </c>
      <c r="N2430" s="20">
        <v>0</v>
      </c>
      <c r="O2430" s="75">
        <v>0</v>
      </c>
      <c r="P2430" s="76">
        <v>0</v>
      </c>
      <c r="Q2430" s="35" t="s">
        <v>154</v>
      </c>
    </row>
    <row r="2431" spans="1:17" ht="36" x14ac:dyDescent="0.25">
      <c r="A2431" s="23">
        <v>39302</v>
      </c>
      <c r="B2431" s="23">
        <v>39302</v>
      </c>
      <c r="C2431" s="27">
        <v>2007</v>
      </c>
      <c r="D2431" s="35" t="s">
        <v>28</v>
      </c>
      <c r="E2431" s="30" t="s">
        <v>125</v>
      </c>
      <c r="F2431" s="28" t="s">
        <v>157</v>
      </c>
      <c r="G2431" s="25" t="s">
        <v>1029</v>
      </c>
      <c r="H2431" s="25" t="s">
        <v>3682</v>
      </c>
      <c r="I2431" s="20">
        <v>0</v>
      </c>
      <c r="J2431" s="20">
        <v>2</v>
      </c>
      <c r="K2431" s="20">
        <v>0</v>
      </c>
      <c r="L2431" s="20">
        <v>0</v>
      </c>
      <c r="M2431" s="20">
        <v>0</v>
      </c>
      <c r="N2431" s="20">
        <v>0</v>
      </c>
      <c r="O2431" s="75">
        <v>0</v>
      </c>
      <c r="P2431" s="76">
        <v>0</v>
      </c>
      <c r="Q2431" s="35" t="s">
        <v>154</v>
      </c>
    </row>
    <row r="2432" spans="1:17" ht="48" x14ac:dyDescent="0.25">
      <c r="A2432" s="23">
        <v>39319</v>
      </c>
      <c r="B2432" s="23">
        <v>39319</v>
      </c>
      <c r="C2432" s="27">
        <v>2007</v>
      </c>
      <c r="D2432" s="35" t="s">
        <v>28</v>
      </c>
      <c r="E2432" s="30" t="s">
        <v>125</v>
      </c>
      <c r="F2432" s="7" t="s">
        <v>30</v>
      </c>
      <c r="G2432" s="25" t="s">
        <v>395</v>
      </c>
      <c r="H2432" s="25" t="s">
        <v>3683</v>
      </c>
      <c r="I2432" s="20">
        <v>0</v>
      </c>
      <c r="J2432" s="20">
        <v>250</v>
      </c>
      <c r="K2432" s="20">
        <v>0</v>
      </c>
      <c r="L2432" s="20">
        <v>0</v>
      </c>
      <c r="M2432" s="20">
        <v>0</v>
      </c>
      <c r="N2432" s="20">
        <v>0</v>
      </c>
      <c r="O2432" s="75">
        <v>0</v>
      </c>
      <c r="P2432" s="76">
        <v>0</v>
      </c>
      <c r="Q2432" s="35" t="s">
        <v>154</v>
      </c>
    </row>
    <row r="2433" spans="1:17" ht="36" x14ac:dyDescent="0.25">
      <c r="A2433" s="23">
        <v>39385</v>
      </c>
      <c r="B2433" s="23">
        <v>39385</v>
      </c>
      <c r="C2433" s="27">
        <v>2007</v>
      </c>
      <c r="D2433" s="35" t="s">
        <v>28</v>
      </c>
      <c r="E2433" s="30" t="s">
        <v>125</v>
      </c>
      <c r="F2433" s="28" t="s">
        <v>210</v>
      </c>
      <c r="G2433" s="25" t="s">
        <v>3684</v>
      </c>
      <c r="H2433" s="25" t="s">
        <v>3685</v>
      </c>
      <c r="I2433" s="20">
        <v>0</v>
      </c>
      <c r="J2433" s="20">
        <v>448</v>
      </c>
      <c r="K2433" s="20">
        <v>0</v>
      </c>
      <c r="L2433" s="20">
        <v>0</v>
      </c>
      <c r="M2433" s="20">
        <v>0</v>
      </c>
      <c r="N2433" s="20">
        <v>0</v>
      </c>
      <c r="O2433" s="75">
        <v>0</v>
      </c>
      <c r="P2433" s="76">
        <v>0</v>
      </c>
      <c r="Q2433" s="35" t="s">
        <v>154</v>
      </c>
    </row>
    <row r="2434" spans="1:17" ht="24" x14ac:dyDescent="0.25">
      <c r="A2434" s="23">
        <v>39391</v>
      </c>
      <c r="B2434" s="23">
        <v>39391</v>
      </c>
      <c r="C2434" s="27">
        <v>2007</v>
      </c>
      <c r="D2434" s="35" t="s">
        <v>28</v>
      </c>
      <c r="E2434" s="30" t="s">
        <v>125</v>
      </c>
      <c r="F2434" s="7" t="s">
        <v>56</v>
      </c>
      <c r="G2434" s="25" t="s">
        <v>1160</v>
      </c>
      <c r="H2434" s="25" t="s">
        <v>3686</v>
      </c>
      <c r="I2434" s="20">
        <v>0</v>
      </c>
      <c r="J2434" s="20">
        <v>2</v>
      </c>
      <c r="K2434" s="20">
        <v>0</v>
      </c>
      <c r="L2434" s="20">
        <v>0</v>
      </c>
      <c r="M2434" s="20">
        <v>0</v>
      </c>
      <c r="N2434" s="20">
        <v>0</v>
      </c>
      <c r="O2434" s="75">
        <v>0</v>
      </c>
      <c r="P2434" s="76">
        <v>0</v>
      </c>
      <c r="Q2434" s="35" t="s">
        <v>154</v>
      </c>
    </row>
    <row r="2435" spans="1:17" ht="24" x14ac:dyDescent="0.25">
      <c r="A2435" s="23">
        <v>39400</v>
      </c>
      <c r="B2435" s="23">
        <v>39400</v>
      </c>
      <c r="C2435" s="27">
        <v>2007</v>
      </c>
      <c r="D2435" s="35" t="s">
        <v>28</v>
      </c>
      <c r="E2435" s="30" t="s">
        <v>125</v>
      </c>
      <c r="F2435" s="7" t="s">
        <v>56</v>
      </c>
      <c r="G2435" s="25" t="s">
        <v>2786</v>
      </c>
      <c r="H2435" s="25" t="s">
        <v>3687</v>
      </c>
      <c r="I2435" s="20">
        <v>0</v>
      </c>
      <c r="J2435" s="20">
        <v>2</v>
      </c>
      <c r="K2435" s="20">
        <v>0</v>
      </c>
      <c r="L2435" s="20">
        <v>0</v>
      </c>
      <c r="M2435" s="20">
        <v>0</v>
      </c>
      <c r="N2435" s="20">
        <v>0</v>
      </c>
      <c r="O2435" s="75">
        <v>0</v>
      </c>
      <c r="P2435" s="76">
        <v>0</v>
      </c>
      <c r="Q2435" s="35" t="s">
        <v>154</v>
      </c>
    </row>
    <row r="2436" spans="1:17" ht="48" x14ac:dyDescent="0.25">
      <c r="A2436" s="23">
        <v>39407</v>
      </c>
      <c r="B2436" s="23">
        <v>39407</v>
      </c>
      <c r="C2436" s="27">
        <v>2007</v>
      </c>
      <c r="D2436" s="35" t="s">
        <v>28</v>
      </c>
      <c r="E2436" s="30" t="s">
        <v>125</v>
      </c>
      <c r="F2436" s="7" t="s">
        <v>56</v>
      </c>
      <c r="G2436" s="25" t="s">
        <v>1160</v>
      </c>
      <c r="H2436" s="25" t="s">
        <v>3688</v>
      </c>
      <c r="I2436" s="20">
        <v>0</v>
      </c>
      <c r="J2436" s="20">
        <v>205</v>
      </c>
      <c r="K2436" s="20">
        <v>0</v>
      </c>
      <c r="L2436" s="20">
        <v>0</v>
      </c>
      <c r="M2436" s="20">
        <v>0</v>
      </c>
      <c r="N2436" s="20">
        <v>0</v>
      </c>
      <c r="O2436" s="75">
        <v>0</v>
      </c>
      <c r="P2436" s="76">
        <v>0</v>
      </c>
      <c r="Q2436" s="35" t="s">
        <v>154</v>
      </c>
    </row>
    <row r="2437" spans="1:17" ht="48" x14ac:dyDescent="0.25">
      <c r="A2437" s="23">
        <v>39085</v>
      </c>
      <c r="B2437" s="23">
        <v>39085</v>
      </c>
      <c r="C2437" s="27">
        <v>2007</v>
      </c>
      <c r="D2437" s="24" t="s">
        <v>141</v>
      </c>
      <c r="E2437" s="30" t="s">
        <v>142</v>
      </c>
      <c r="F2437" s="7" t="s">
        <v>25</v>
      </c>
      <c r="G2437" s="25" t="s">
        <v>3689</v>
      </c>
      <c r="H2437" s="29" t="s">
        <v>3690</v>
      </c>
      <c r="I2437" s="20">
        <v>0</v>
      </c>
      <c r="J2437" s="20">
        <v>0</v>
      </c>
      <c r="K2437" s="20">
        <v>0</v>
      </c>
      <c r="L2437" s="20">
        <v>0</v>
      </c>
      <c r="M2437" s="20">
        <v>0</v>
      </c>
      <c r="N2437" s="20">
        <v>0</v>
      </c>
      <c r="O2437" s="75">
        <v>0</v>
      </c>
      <c r="P2437" s="76">
        <v>0</v>
      </c>
      <c r="Q2437" s="35" t="s">
        <v>154</v>
      </c>
    </row>
    <row r="2438" spans="1:17" ht="24" x14ac:dyDescent="0.25">
      <c r="A2438" s="23">
        <v>39093</v>
      </c>
      <c r="B2438" s="23">
        <v>39093</v>
      </c>
      <c r="C2438" s="27">
        <v>2007</v>
      </c>
      <c r="D2438" s="24" t="s">
        <v>141</v>
      </c>
      <c r="E2438" s="30" t="s">
        <v>142</v>
      </c>
      <c r="F2438" s="7" t="s">
        <v>60</v>
      </c>
      <c r="G2438" s="25" t="s">
        <v>3691</v>
      </c>
      <c r="H2438" s="29" t="s">
        <v>3692</v>
      </c>
      <c r="I2438" s="20">
        <v>0</v>
      </c>
      <c r="J2438" s="20">
        <v>0</v>
      </c>
      <c r="K2438" s="20">
        <v>0</v>
      </c>
      <c r="L2438" s="20">
        <v>0</v>
      </c>
      <c r="M2438" s="20">
        <v>0</v>
      </c>
      <c r="N2438" s="20">
        <v>0</v>
      </c>
      <c r="O2438" s="75">
        <v>0</v>
      </c>
      <c r="P2438" s="76">
        <v>0.27</v>
      </c>
      <c r="Q2438" s="35" t="s">
        <v>154</v>
      </c>
    </row>
    <row r="2439" spans="1:17" ht="24" x14ac:dyDescent="0.25">
      <c r="A2439" s="23">
        <v>39100</v>
      </c>
      <c r="B2439" s="23">
        <v>39100</v>
      </c>
      <c r="C2439" s="27">
        <v>2007</v>
      </c>
      <c r="D2439" s="24" t="s">
        <v>141</v>
      </c>
      <c r="E2439" s="30" t="s">
        <v>142</v>
      </c>
      <c r="F2439" s="7" t="s">
        <v>91</v>
      </c>
      <c r="G2439" s="25" t="s">
        <v>2315</v>
      </c>
      <c r="H2439" s="25" t="s">
        <v>3693</v>
      </c>
      <c r="I2439" s="20">
        <v>1</v>
      </c>
      <c r="J2439" s="20">
        <v>1</v>
      </c>
      <c r="K2439" s="20">
        <v>0</v>
      </c>
      <c r="L2439" s="20">
        <v>0</v>
      </c>
      <c r="M2439" s="20">
        <v>0</v>
      </c>
      <c r="N2439" s="20">
        <v>0</v>
      </c>
      <c r="O2439" s="75">
        <v>0</v>
      </c>
      <c r="P2439" s="76">
        <v>0.54</v>
      </c>
      <c r="Q2439" s="35" t="s">
        <v>154</v>
      </c>
    </row>
    <row r="2440" spans="1:17" x14ac:dyDescent="0.25">
      <c r="A2440" s="23">
        <v>39106</v>
      </c>
      <c r="B2440" s="23">
        <v>39106</v>
      </c>
      <c r="C2440" s="27">
        <v>2007</v>
      </c>
      <c r="D2440" s="24" t="s">
        <v>141</v>
      </c>
      <c r="E2440" s="30" t="s">
        <v>142</v>
      </c>
      <c r="F2440" s="7" t="s">
        <v>72</v>
      </c>
      <c r="G2440" s="25" t="s">
        <v>3694</v>
      </c>
      <c r="H2440" s="25" t="s">
        <v>3695</v>
      </c>
      <c r="I2440" s="20">
        <v>26</v>
      </c>
      <c r="J2440" s="20">
        <v>51</v>
      </c>
      <c r="K2440" s="20">
        <v>0</v>
      </c>
      <c r="L2440" s="20">
        <v>0</v>
      </c>
      <c r="M2440" s="20">
        <v>0</v>
      </c>
      <c r="N2440" s="20">
        <v>0</v>
      </c>
      <c r="O2440" s="75">
        <v>0</v>
      </c>
      <c r="P2440" s="76">
        <v>0.6</v>
      </c>
      <c r="Q2440" s="35" t="s">
        <v>154</v>
      </c>
    </row>
    <row r="2441" spans="1:17" ht="36" x14ac:dyDescent="0.25">
      <c r="A2441" s="23">
        <v>39112</v>
      </c>
      <c r="B2441" s="23">
        <v>39112</v>
      </c>
      <c r="C2441" s="27">
        <v>2007</v>
      </c>
      <c r="D2441" s="24" t="s">
        <v>141</v>
      </c>
      <c r="E2441" s="30" t="s">
        <v>142</v>
      </c>
      <c r="F2441" s="7" t="s">
        <v>53</v>
      </c>
      <c r="G2441" s="25" t="s">
        <v>1236</v>
      </c>
      <c r="H2441" s="29" t="s">
        <v>3696</v>
      </c>
      <c r="I2441" s="20">
        <v>0</v>
      </c>
      <c r="J2441" s="20">
        <v>0</v>
      </c>
      <c r="K2441" s="20">
        <v>0</v>
      </c>
      <c r="L2441" s="20">
        <v>0</v>
      </c>
      <c r="M2441" s="20">
        <v>0</v>
      </c>
      <c r="N2441" s="20">
        <v>0</v>
      </c>
      <c r="O2441" s="75">
        <v>0</v>
      </c>
      <c r="P2441" s="76">
        <v>0.78700000000000003</v>
      </c>
      <c r="Q2441" s="35" t="s">
        <v>154</v>
      </c>
    </row>
    <row r="2442" spans="1:17" ht="36" x14ac:dyDescent="0.25">
      <c r="A2442" s="23">
        <v>39114</v>
      </c>
      <c r="B2442" s="23">
        <v>39114</v>
      </c>
      <c r="C2442" s="27">
        <v>2007</v>
      </c>
      <c r="D2442" s="24" t="s">
        <v>141</v>
      </c>
      <c r="E2442" s="30" t="s">
        <v>142</v>
      </c>
      <c r="F2442" s="7" t="s">
        <v>87</v>
      </c>
      <c r="G2442" s="25" t="s">
        <v>567</v>
      </c>
      <c r="H2442" s="25" t="s">
        <v>3697</v>
      </c>
      <c r="I2442" s="20">
        <v>4</v>
      </c>
      <c r="J2442" s="20">
        <v>17</v>
      </c>
      <c r="K2442" s="20">
        <v>0</v>
      </c>
      <c r="L2442" s="20">
        <v>0</v>
      </c>
      <c r="M2442" s="20">
        <v>0</v>
      </c>
      <c r="N2442" s="20">
        <v>0</v>
      </c>
      <c r="O2442" s="75">
        <v>0</v>
      </c>
      <c r="P2442" s="76">
        <v>0</v>
      </c>
      <c r="Q2442" s="35" t="s">
        <v>154</v>
      </c>
    </row>
    <row r="2443" spans="1:17" ht="24" x14ac:dyDescent="0.25">
      <c r="A2443" s="23">
        <v>39115</v>
      </c>
      <c r="B2443" s="23">
        <v>39115</v>
      </c>
      <c r="C2443" s="27">
        <v>2007</v>
      </c>
      <c r="D2443" s="24" t="s">
        <v>141</v>
      </c>
      <c r="E2443" s="30" t="s">
        <v>142</v>
      </c>
      <c r="F2443" s="28" t="s">
        <v>210</v>
      </c>
      <c r="G2443" s="25" t="s">
        <v>893</v>
      </c>
      <c r="H2443" s="25" t="s">
        <v>3698</v>
      </c>
      <c r="I2443" s="20">
        <v>6</v>
      </c>
      <c r="J2443" s="20">
        <v>33</v>
      </c>
      <c r="K2443" s="20">
        <v>0</v>
      </c>
      <c r="L2443" s="20">
        <v>0</v>
      </c>
      <c r="M2443" s="20">
        <v>0</v>
      </c>
      <c r="N2443" s="20">
        <v>0</v>
      </c>
      <c r="O2443" s="75">
        <v>0</v>
      </c>
      <c r="P2443" s="76">
        <v>0</v>
      </c>
      <c r="Q2443" s="35" t="s">
        <v>154</v>
      </c>
    </row>
    <row r="2444" spans="1:17" ht="36" x14ac:dyDescent="0.25">
      <c r="A2444" s="23">
        <v>39122</v>
      </c>
      <c r="B2444" s="23">
        <v>39122</v>
      </c>
      <c r="C2444" s="27">
        <v>2007</v>
      </c>
      <c r="D2444" s="24" t="s">
        <v>141</v>
      </c>
      <c r="E2444" s="30" t="s">
        <v>142</v>
      </c>
      <c r="F2444" s="7" t="s">
        <v>60</v>
      </c>
      <c r="G2444" s="25" t="s">
        <v>2896</v>
      </c>
      <c r="H2444" s="25" t="s">
        <v>3699</v>
      </c>
      <c r="I2444" s="20">
        <v>1</v>
      </c>
      <c r="J2444" s="20">
        <v>3</v>
      </c>
      <c r="K2444" s="20">
        <v>0</v>
      </c>
      <c r="L2444" s="20">
        <v>0</v>
      </c>
      <c r="M2444" s="20">
        <v>0</v>
      </c>
      <c r="N2444" s="20">
        <v>0</v>
      </c>
      <c r="O2444" s="75">
        <v>0</v>
      </c>
      <c r="P2444" s="76">
        <v>0</v>
      </c>
      <c r="Q2444" s="35" t="s">
        <v>154</v>
      </c>
    </row>
    <row r="2445" spans="1:17" ht="48" x14ac:dyDescent="0.25">
      <c r="A2445" s="23">
        <v>39128</v>
      </c>
      <c r="B2445" s="23">
        <v>39128</v>
      </c>
      <c r="C2445" s="27">
        <v>2007</v>
      </c>
      <c r="D2445" s="24" t="s">
        <v>141</v>
      </c>
      <c r="E2445" s="30" t="s">
        <v>142</v>
      </c>
      <c r="F2445" s="7" t="s">
        <v>53</v>
      </c>
      <c r="G2445" s="25" t="s">
        <v>1304</v>
      </c>
      <c r="H2445" s="25" t="s">
        <v>3700</v>
      </c>
      <c r="I2445" s="20">
        <v>0</v>
      </c>
      <c r="J2445" s="20">
        <v>1</v>
      </c>
      <c r="K2445" s="20">
        <v>0</v>
      </c>
      <c r="L2445" s="20">
        <v>0</v>
      </c>
      <c r="M2445" s="20">
        <v>0</v>
      </c>
      <c r="N2445" s="20">
        <v>0</v>
      </c>
      <c r="O2445" s="75">
        <v>0</v>
      </c>
      <c r="P2445" s="76">
        <v>0.27</v>
      </c>
      <c r="Q2445" s="35" t="s">
        <v>154</v>
      </c>
    </row>
    <row r="2446" spans="1:17" x14ac:dyDescent="0.25">
      <c r="A2446" s="23">
        <v>39140</v>
      </c>
      <c r="B2446" s="23">
        <v>39140</v>
      </c>
      <c r="C2446" s="27">
        <v>2007</v>
      </c>
      <c r="D2446" s="24" t="s">
        <v>141</v>
      </c>
      <c r="E2446" s="30" t="s">
        <v>142</v>
      </c>
      <c r="F2446" s="7" t="s">
        <v>91</v>
      </c>
      <c r="G2446" s="25" t="s">
        <v>1943</v>
      </c>
      <c r="H2446" s="25" t="s">
        <v>3701</v>
      </c>
      <c r="I2446" s="20">
        <v>3</v>
      </c>
      <c r="J2446" s="20">
        <v>3</v>
      </c>
      <c r="K2446" s="20">
        <v>0</v>
      </c>
      <c r="L2446" s="20">
        <v>0</v>
      </c>
      <c r="M2446" s="20">
        <v>0</v>
      </c>
      <c r="N2446" s="20">
        <v>0</v>
      </c>
      <c r="O2446" s="75">
        <v>0</v>
      </c>
      <c r="P2446" s="76">
        <v>1</v>
      </c>
      <c r="Q2446" s="35" t="s">
        <v>154</v>
      </c>
    </row>
    <row r="2447" spans="1:17" ht="24" x14ac:dyDescent="0.25">
      <c r="A2447" s="23">
        <v>39143</v>
      </c>
      <c r="B2447" s="23">
        <v>39143</v>
      </c>
      <c r="C2447" s="27">
        <v>2007</v>
      </c>
      <c r="D2447" s="24" t="s">
        <v>141</v>
      </c>
      <c r="E2447" s="30" t="s">
        <v>142</v>
      </c>
      <c r="F2447" s="7" t="s">
        <v>56</v>
      </c>
      <c r="G2447" s="25" t="s">
        <v>3592</v>
      </c>
      <c r="H2447" s="29" t="s">
        <v>3702</v>
      </c>
      <c r="I2447" s="20">
        <v>1</v>
      </c>
      <c r="J2447" s="20">
        <v>1</v>
      </c>
      <c r="K2447" s="20">
        <v>0</v>
      </c>
      <c r="L2447" s="20">
        <v>0</v>
      </c>
      <c r="M2447" s="20">
        <v>0</v>
      </c>
      <c r="N2447" s="20">
        <v>0</v>
      </c>
      <c r="O2447" s="75">
        <v>0</v>
      </c>
      <c r="P2447" s="76">
        <v>0.27</v>
      </c>
      <c r="Q2447" s="35" t="s">
        <v>154</v>
      </c>
    </row>
    <row r="2448" spans="1:17" x14ac:dyDescent="0.25">
      <c r="A2448" s="23">
        <v>39143</v>
      </c>
      <c r="B2448" s="23">
        <v>39143</v>
      </c>
      <c r="C2448" s="27">
        <v>2007</v>
      </c>
      <c r="D2448" s="24" t="s">
        <v>141</v>
      </c>
      <c r="E2448" s="30" t="s">
        <v>142</v>
      </c>
      <c r="F2448" s="7" t="s">
        <v>87</v>
      </c>
      <c r="G2448" s="25" t="s">
        <v>3703</v>
      </c>
      <c r="H2448" s="25" t="s">
        <v>3704</v>
      </c>
      <c r="I2448" s="20">
        <v>1</v>
      </c>
      <c r="J2448" s="20">
        <v>1</v>
      </c>
      <c r="K2448" s="20">
        <v>0</v>
      </c>
      <c r="L2448" s="20">
        <v>0</v>
      </c>
      <c r="M2448" s="20">
        <v>0</v>
      </c>
      <c r="N2448" s="20">
        <v>0</v>
      </c>
      <c r="O2448" s="75">
        <v>0</v>
      </c>
      <c r="P2448" s="76">
        <v>0.27</v>
      </c>
      <c r="Q2448" s="35" t="s">
        <v>154</v>
      </c>
    </row>
    <row r="2449" spans="1:17" ht="48" x14ac:dyDescent="0.25">
      <c r="A2449" s="23">
        <v>39147</v>
      </c>
      <c r="B2449" s="23">
        <v>39147</v>
      </c>
      <c r="C2449" s="27">
        <v>2007</v>
      </c>
      <c r="D2449" s="24" t="s">
        <v>141</v>
      </c>
      <c r="E2449" s="30" t="s">
        <v>142</v>
      </c>
      <c r="F2449" s="28" t="s">
        <v>210</v>
      </c>
      <c r="G2449" s="25" t="s">
        <v>1107</v>
      </c>
      <c r="H2449" s="25" t="s">
        <v>3705</v>
      </c>
      <c r="I2449" s="20">
        <v>0</v>
      </c>
      <c r="J2449" s="20">
        <v>0</v>
      </c>
      <c r="K2449" s="20">
        <v>0</v>
      </c>
      <c r="L2449" s="20">
        <v>0</v>
      </c>
      <c r="M2449" s="20">
        <v>0</v>
      </c>
      <c r="N2449" s="20">
        <v>0</v>
      </c>
      <c r="O2449" s="75">
        <v>0</v>
      </c>
      <c r="P2449" s="76">
        <v>0</v>
      </c>
      <c r="Q2449" s="35" t="s">
        <v>154</v>
      </c>
    </row>
    <row r="2450" spans="1:17" ht="24" x14ac:dyDescent="0.25">
      <c r="A2450" s="23">
        <v>39150</v>
      </c>
      <c r="B2450" s="23">
        <v>39150</v>
      </c>
      <c r="C2450" s="27">
        <v>2007</v>
      </c>
      <c r="D2450" s="24" t="s">
        <v>141</v>
      </c>
      <c r="E2450" s="30" t="s">
        <v>142</v>
      </c>
      <c r="F2450" s="28" t="s">
        <v>157</v>
      </c>
      <c r="G2450" s="25" t="s">
        <v>716</v>
      </c>
      <c r="H2450" s="25" t="s">
        <v>3706</v>
      </c>
      <c r="I2450" s="20">
        <v>0</v>
      </c>
      <c r="J2450" s="20">
        <v>2</v>
      </c>
      <c r="K2450" s="20">
        <v>0</v>
      </c>
      <c r="L2450" s="20">
        <v>0</v>
      </c>
      <c r="M2450" s="20">
        <v>0</v>
      </c>
      <c r="N2450" s="20">
        <v>0</v>
      </c>
      <c r="O2450" s="75">
        <v>0</v>
      </c>
      <c r="P2450" s="76">
        <v>1</v>
      </c>
      <c r="Q2450" s="35" t="s">
        <v>154</v>
      </c>
    </row>
    <row r="2451" spans="1:17" ht="48" x14ac:dyDescent="0.25">
      <c r="A2451" s="23">
        <v>39153</v>
      </c>
      <c r="B2451" s="23">
        <v>39153</v>
      </c>
      <c r="C2451" s="27">
        <v>2007</v>
      </c>
      <c r="D2451" s="24" t="s">
        <v>141</v>
      </c>
      <c r="E2451" s="30" t="s">
        <v>142</v>
      </c>
      <c r="F2451" s="7" t="s">
        <v>75</v>
      </c>
      <c r="G2451" s="25" t="s">
        <v>3707</v>
      </c>
      <c r="H2451" s="25" t="s">
        <v>3708</v>
      </c>
      <c r="I2451" s="20">
        <v>0</v>
      </c>
      <c r="J2451" s="20">
        <v>0</v>
      </c>
      <c r="K2451" s="20">
        <v>0</v>
      </c>
      <c r="L2451" s="20">
        <v>0</v>
      </c>
      <c r="M2451" s="20">
        <v>0</v>
      </c>
      <c r="N2451" s="20">
        <v>0</v>
      </c>
      <c r="O2451" s="75">
        <v>0</v>
      </c>
      <c r="P2451" s="76">
        <v>0.27</v>
      </c>
      <c r="Q2451" s="35" t="s">
        <v>154</v>
      </c>
    </row>
    <row r="2452" spans="1:17" x14ac:dyDescent="0.25">
      <c r="A2452" s="23">
        <v>39167</v>
      </c>
      <c r="B2452" s="23">
        <v>39167</v>
      </c>
      <c r="C2452" s="27">
        <v>2007</v>
      </c>
      <c r="D2452" s="24" t="s">
        <v>141</v>
      </c>
      <c r="E2452" s="30" t="s">
        <v>142</v>
      </c>
      <c r="F2452" s="7" t="s">
        <v>36</v>
      </c>
      <c r="G2452" s="25" t="s">
        <v>3709</v>
      </c>
      <c r="H2452" s="25" t="s">
        <v>3710</v>
      </c>
      <c r="I2452" s="20">
        <v>0</v>
      </c>
      <c r="J2452" s="20">
        <v>9</v>
      </c>
      <c r="K2452" s="20">
        <v>0</v>
      </c>
      <c r="L2452" s="20">
        <v>0</v>
      </c>
      <c r="M2452" s="20">
        <v>0</v>
      </c>
      <c r="N2452" s="20">
        <v>0</v>
      </c>
      <c r="O2452" s="75">
        <v>0</v>
      </c>
      <c r="P2452" s="76">
        <v>0.01</v>
      </c>
      <c r="Q2452" s="35" t="s">
        <v>154</v>
      </c>
    </row>
    <row r="2453" spans="1:17" ht="24" x14ac:dyDescent="0.25">
      <c r="A2453" s="23">
        <v>39169</v>
      </c>
      <c r="B2453" s="23">
        <v>39169</v>
      </c>
      <c r="C2453" s="27">
        <v>2007</v>
      </c>
      <c r="D2453" s="24" t="s">
        <v>141</v>
      </c>
      <c r="E2453" s="30" t="s">
        <v>142</v>
      </c>
      <c r="F2453" s="7" t="s">
        <v>87</v>
      </c>
      <c r="G2453" s="25" t="s">
        <v>2608</v>
      </c>
      <c r="H2453" s="25" t="s">
        <v>3711</v>
      </c>
      <c r="I2453" s="20">
        <v>1</v>
      </c>
      <c r="J2453" s="20">
        <v>1</v>
      </c>
      <c r="K2453" s="20">
        <v>0</v>
      </c>
      <c r="L2453" s="20">
        <v>0</v>
      </c>
      <c r="M2453" s="20">
        <v>0</v>
      </c>
      <c r="N2453" s="20">
        <v>0</v>
      </c>
      <c r="O2453" s="75">
        <v>0</v>
      </c>
      <c r="P2453" s="76">
        <v>1</v>
      </c>
      <c r="Q2453" s="35" t="s">
        <v>154</v>
      </c>
    </row>
    <row r="2454" spans="1:17" ht="36" x14ac:dyDescent="0.25">
      <c r="A2454" s="23">
        <v>39171</v>
      </c>
      <c r="B2454" s="23">
        <v>39171</v>
      </c>
      <c r="C2454" s="27">
        <v>2007</v>
      </c>
      <c r="D2454" s="24" t="s">
        <v>141</v>
      </c>
      <c r="E2454" s="30" t="s">
        <v>142</v>
      </c>
      <c r="F2454" s="7" t="s">
        <v>40</v>
      </c>
      <c r="G2454" s="25" t="s">
        <v>26</v>
      </c>
      <c r="H2454" s="25" t="s">
        <v>3712</v>
      </c>
      <c r="I2454" s="20">
        <v>7</v>
      </c>
      <c r="J2454" s="20">
        <v>31</v>
      </c>
      <c r="K2454" s="20">
        <v>0</v>
      </c>
      <c r="L2454" s="20">
        <v>0</v>
      </c>
      <c r="M2454" s="20">
        <v>0</v>
      </c>
      <c r="N2454" s="20">
        <v>0</v>
      </c>
      <c r="O2454" s="75">
        <v>0</v>
      </c>
      <c r="P2454" s="76">
        <v>0</v>
      </c>
      <c r="Q2454" s="35" t="s">
        <v>154</v>
      </c>
    </row>
    <row r="2455" spans="1:17" ht="48" x14ac:dyDescent="0.25">
      <c r="A2455" s="23">
        <v>39175</v>
      </c>
      <c r="B2455" s="23">
        <v>39175</v>
      </c>
      <c r="C2455" s="27">
        <v>2007</v>
      </c>
      <c r="D2455" s="24" t="s">
        <v>141</v>
      </c>
      <c r="E2455" s="30" t="s">
        <v>142</v>
      </c>
      <c r="F2455" s="7" t="s">
        <v>56</v>
      </c>
      <c r="G2455" s="25" t="s">
        <v>1160</v>
      </c>
      <c r="H2455" s="25" t="s">
        <v>3713</v>
      </c>
      <c r="I2455" s="20">
        <v>2</v>
      </c>
      <c r="J2455" s="20">
        <v>5</v>
      </c>
      <c r="K2455" s="20">
        <v>0</v>
      </c>
      <c r="L2455" s="20">
        <v>0</v>
      </c>
      <c r="M2455" s="20">
        <v>0</v>
      </c>
      <c r="N2455" s="20">
        <v>0</v>
      </c>
      <c r="O2455" s="75">
        <v>0</v>
      </c>
      <c r="P2455" s="76">
        <v>0</v>
      </c>
      <c r="Q2455" s="35" t="s">
        <v>154</v>
      </c>
    </row>
    <row r="2456" spans="1:17" ht="24" x14ac:dyDescent="0.25">
      <c r="A2456" s="23">
        <v>39182</v>
      </c>
      <c r="B2456" s="23">
        <v>39182</v>
      </c>
      <c r="C2456" s="27">
        <v>2007</v>
      </c>
      <c r="D2456" s="24" t="s">
        <v>141</v>
      </c>
      <c r="E2456" s="30" t="s">
        <v>142</v>
      </c>
      <c r="F2456" s="7" t="s">
        <v>97</v>
      </c>
      <c r="G2456" s="25" t="s">
        <v>3714</v>
      </c>
      <c r="H2456" s="25" t="s">
        <v>3715</v>
      </c>
      <c r="I2456" s="20">
        <v>1</v>
      </c>
      <c r="J2456" s="20">
        <v>1</v>
      </c>
      <c r="K2456" s="20">
        <v>0</v>
      </c>
      <c r="L2456" s="20">
        <v>0</v>
      </c>
      <c r="M2456" s="20">
        <v>0</v>
      </c>
      <c r="N2456" s="20">
        <v>0</v>
      </c>
      <c r="O2456" s="75">
        <v>0</v>
      </c>
      <c r="P2456" s="76">
        <v>0.27</v>
      </c>
      <c r="Q2456" s="35" t="s">
        <v>154</v>
      </c>
    </row>
    <row r="2457" spans="1:17" ht="60" x14ac:dyDescent="0.25">
      <c r="A2457" s="23">
        <v>39182</v>
      </c>
      <c r="B2457" s="23">
        <v>39182</v>
      </c>
      <c r="C2457" s="27">
        <v>2007</v>
      </c>
      <c r="D2457" s="24" t="s">
        <v>141</v>
      </c>
      <c r="E2457" s="30" t="s">
        <v>142</v>
      </c>
      <c r="F2457" s="28" t="s">
        <v>210</v>
      </c>
      <c r="G2457" s="25" t="s">
        <v>2076</v>
      </c>
      <c r="H2457" s="25" t="s">
        <v>3716</v>
      </c>
      <c r="I2457" s="20">
        <v>0</v>
      </c>
      <c r="J2457" s="20">
        <v>0</v>
      </c>
      <c r="K2457" s="20">
        <v>0</v>
      </c>
      <c r="L2457" s="20">
        <v>0</v>
      </c>
      <c r="M2457" s="20">
        <v>0</v>
      </c>
      <c r="N2457" s="20">
        <v>0</v>
      </c>
      <c r="O2457" s="75">
        <v>0</v>
      </c>
      <c r="P2457" s="76">
        <v>0.27</v>
      </c>
      <c r="Q2457" s="35" t="s">
        <v>154</v>
      </c>
    </row>
    <row r="2458" spans="1:17" ht="48" x14ac:dyDescent="0.25">
      <c r="A2458" s="23">
        <v>39183</v>
      </c>
      <c r="B2458" s="23">
        <v>39183</v>
      </c>
      <c r="C2458" s="27">
        <v>2007</v>
      </c>
      <c r="D2458" s="24" t="s">
        <v>141</v>
      </c>
      <c r="E2458" s="30" t="s">
        <v>142</v>
      </c>
      <c r="F2458" s="28" t="s">
        <v>210</v>
      </c>
      <c r="G2458" s="25" t="s">
        <v>3717</v>
      </c>
      <c r="H2458" s="25" t="s">
        <v>3718</v>
      </c>
      <c r="I2458" s="20">
        <v>8</v>
      </c>
      <c r="J2458" s="20">
        <v>18</v>
      </c>
      <c r="K2458" s="20">
        <v>0</v>
      </c>
      <c r="L2458" s="20">
        <v>0</v>
      </c>
      <c r="M2458" s="20">
        <v>0</v>
      </c>
      <c r="N2458" s="20">
        <v>0</v>
      </c>
      <c r="O2458" s="75">
        <v>0</v>
      </c>
      <c r="P2458" s="76">
        <v>0.87</v>
      </c>
      <c r="Q2458" s="35" t="s">
        <v>154</v>
      </c>
    </row>
    <row r="2459" spans="1:17" ht="36" x14ac:dyDescent="0.25">
      <c r="A2459" s="23">
        <v>39184</v>
      </c>
      <c r="B2459" s="23">
        <v>39184</v>
      </c>
      <c r="C2459" s="27">
        <v>2007</v>
      </c>
      <c r="D2459" s="24" t="s">
        <v>141</v>
      </c>
      <c r="E2459" s="30" t="s">
        <v>142</v>
      </c>
      <c r="F2459" s="7" t="s">
        <v>62</v>
      </c>
      <c r="G2459" s="25" t="s">
        <v>959</v>
      </c>
      <c r="H2459" s="25" t="s">
        <v>3719</v>
      </c>
      <c r="I2459" s="20">
        <v>0</v>
      </c>
      <c r="J2459" s="20">
        <v>15</v>
      </c>
      <c r="K2459" s="20">
        <v>0</v>
      </c>
      <c r="L2459" s="20">
        <v>0</v>
      </c>
      <c r="M2459" s="20">
        <v>0</v>
      </c>
      <c r="N2459" s="20">
        <v>0</v>
      </c>
      <c r="O2459" s="75">
        <v>0</v>
      </c>
      <c r="P2459" s="76">
        <v>0.6</v>
      </c>
      <c r="Q2459" s="35" t="s">
        <v>154</v>
      </c>
    </row>
    <row r="2460" spans="1:17" ht="48" x14ac:dyDescent="0.25">
      <c r="A2460" s="23">
        <v>39205</v>
      </c>
      <c r="B2460" s="23">
        <v>39205</v>
      </c>
      <c r="C2460" s="27">
        <v>2007</v>
      </c>
      <c r="D2460" s="24" t="s">
        <v>141</v>
      </c>
      <c r="E2460" s="30" t="s">
        <v>142</v>
      </c>
      <c r="F2460" s="7" t="s">
        <v>72</v>
      </c>
      <c r="G2460" s="25" t="s">
        <v>110</v>
      </c>
      <c r="H2460" s="25" t="s">
        <v>3720</v>
      </c>
      <c r="I2460" s="20">
        <v>0</v>
      </c>
      <c r="J2460" s="20">
        <v>750</v>
      </c>
      <c r="K2460" s="20">
        <v>0</v>
      </c>
      <c r="L2460" s="20">
        <v>0</v>
      </c>
      <c r="M2460" s="20">
        <v>0</v>
      </c>
      <c r="N2460" s="20">
        <v>0</v>
      </c>
      <c r="O2460" s="75">
        <v>0</v>
      </c>
      <c r="P2460" s="76">
        <v>0.27</v>
      </c>
      <c r="Q2460" s="35" t="s">
        <v>154</v>
      </c>
    </row>
    <row r="2461" spans="1:17" ht="36" x14ac:dyDescent="0.25">
      <c r="A2461" s="23">
        <v>39209</v>
      </c>
      <c r="B2461" s="23">
        <v>39209</v>
      </c>
      <c r="C2461" s="27">
        <v>2007</v>
      </c>
      <c r="D2461" s="24" t="s">
        <v>141</v>
      </c>
      <c r="E2461" s="30" t="s">
        <v>142</v>
      </c>
      <c r="F2461" s="7" t="s">
        <v>62</v>
      </c>
      <c r="G2461" s="25" t="s">
        <v>165</v>
      </c>
      <c r="H2461" s="25" t="s">
        <v>3721</v>
      </c>
      <c r="I2461" s="20">
        <v>0</v>
      </c>
      <c r="J2461" s="20">
        <v>19</v>
      </c>
      <c r="K2461" s="20">
        <v>0</v>
      </c>
      <c r="L2461" s="20">
        <v>0</v>
      </c>
      <c r="M2461" s="20">
        <v>0</v>
      </c>
      <c r="N2461" s="20">
        <v>0</v>
      </c>
      <c r="O2461" s="75">
        <v>0</v>
      </c>
      <c r="P2461" s="76">
        <v>0.87</v>
      </c>
      <c r="Q2461" s="35" t="s">
        <v>154</v>
      </c>
    </row>
    <row r="2462" spans="1:17" ht="48" x14ac:dyDescent="0.25">
      <c r="A2462" s="23">
        <v>39219</v>
      </c>
      <c r="B2462" s="23">
        <v>39219</v>
      </c>
      <c r="C2462" s="27">
        <v>2007</v>
      </c>
      <c r="D2462" s="24" t="s">
        <v>141</v>
      </c>
      <c r="E2462" s="30" t="s">
        <v>142</v>
      </c>
      <c r="F2462" s="7" t="s">
        <v>56</v>
      </c>
      <c r="G2462" s="25" t="s">
        <v>3722</v>
      </c>
      <c r="H2462" s="25" t="s">
        <v>3723</v>
      </c>
      <c r="I2462" s="20">
        <v>2</v>
      </c>
      <c r="J2462" s="20">
        <v>4</v>
      </c>
      <c r="K2462" s="20">
        <v>0</v>
      </c>
      <c r="L2462" s="20">
        <v>0</v>
      </c>
      <c r="M2462" s="20">
        <v>0</v>
      </c>
      <c r="N2462" s="20">
        <v>0</v>
      </c>
      <c r="O2462" s="75">
        <v>0</v>
      </c>
      <c r="P2462" s="76">
        <v>0</v>
      </c>
      <c r="Q2462" s="35" t="s">
        <v>154</v>
      </c>
    </row>
    <row r="2463" spans="1:17" ht="48" x14ac:dyDescent="0.25">
      <c r="A2463" s="23">
        <v>39220</v>
      </c>
      <c r="B2463" s="23">
        <v>39220</v>
      </c>
      <c r="C2463" s="27">
        <v>2007</v>
      </c>
      <c r="D2463" s="24" t="s">
        <v>141</v>
      </c>
      <c r="E2463" s="30" t="s">
        <v>142</v>
      </c>
      <c r="F2463" s="7" t="s">
        <v>30</v>
      </c>
      <c r="G2463" s="25" t="s">
        <v>1078</v>
      </c>
      <c r="H2463" s="25" t="s">
        <v>3724</v>
      </c>
      <c r="I2463" s="20">
        <v>0</v>
      </c>
      <c r="J2463" s="20">
        <v>0</v>
      </c>
      <c r="K2463" s="20">
        <v>0</v>
      </c>
      <c r="L2463" s="20">
        <v>0</v>
      </c>
      <c r="M2463" s="20">
        <v>0</v>
      </c>
      <c r="N2463" s="20">
        <v>0</v>
      </c>
      <c r="O2463" s="75">
        <v>0</v>
      </c>
      <c r="P2463" s="76">
        <v>0.41</v>
      </c>
      <c r="Q2463" s="35" t="s">
        <v>154</v>
      </c>
    </row>
    <row r="2464" spans="1:17" ht="24" x14ac:dyDescent="0.25">
      <c r="A2464" s="23">
        <v>39224</v>
      </c>
      <c r="B2464" s="23">
        <v>39224</v>
      </c>
      <c r="C2464" s="27">
        <v>2007</v>
      </c>
      <c r="D2464" s="24" t="s">
        <v>141</v>
      </c>
      <c r="E2464" s="30" t="s">
        <v>142</v>
      </c>
      <c r="F2464" s="7" t="s">
        <v>67</v>
      </c>
      <c r="G2464" s="25" t="s">
        <v>2973</v>
      </c>
      <c r="H2464" s="25" t="s">
        <v>3725</v>
      </c>
      <c r="I2464" s="20">
        <v>10</v>
      </c>
      <c r="J2464" s="20">
        <v>10</v>
      </c>
      <c r="K2464" s="20">
        <v>0</v>
      </c>
      <c r="L2464" s="20">
        <v>0</v>
      </c>
      <c r="M2464" s="20">
        <v>0</v>
      </c>
      <c r="N2464" s="20">
        <v>0</v>
      </c>
      <c r="O2464" s="75">
        <v>0</v>
      </c>
      <c r="P2464" s="76">
        <v>0</v>
      </c>
      <c r="Q2464" s="35" t="s">
        <v>154</v>
      </c>
    </row>
    <row r="2465" spans="1:17" ht="60" x14ac:dyDescent="0.25">
      <c r="A2465" s="23">
        <v>39225</v>
      </c>
      <c r="B2465" s="23">
        <v>39225</v>
      </c>
      <c r="C2465" s="27">
        <v>2007</v>
      </c>
      <c r="D2465" s="24" t="s">
        <v>141</v>
      </c>
      <c r="E2465" s="30" t="s">
        <v>142</v>
      </c>
      <c r="F2465" s="7" t="s">
        <v>30</v>
      </c>
      <c r="G2465" s="25" t="s">
        <v>1070</v>
      </c>
      <c r="H2465" s="25" t="s">
        <v>3726</v>
      </c>
      <c r="I2465" s="20">
        <v>0</v>
      </c>
      <c r="J2465" s="20">
        <v>1</v>
      </c>
      <c r="K2465" s="20">
        <v>0</v>
      </c>
      <c r="L2465" s="20">
        <v>0</v>
      </c>
      <c r="M2465" s="20">
        <v>0</v>
      </c>
      <c r="N2465" s="20">
        <v>0</v>
      </c>
      <c r="O2465" s="75">
        <v>0</v>
      </c>
      <c r="P2465" s="76">
        <v>0.4</v>
      </c>
      <c r="Q2465" s="35" t="s">
        <v>154</v>
      </c>
    </row>
    <row r="2466" spans="1:17" ht="36" x14ac:dyDescent="0.25">
      <c r="A2466" s="23">
        <v>39236</v>
      </c>
      <c r="B2466" s="23">
        <v>39236</v>
      </c>
      <c r="C2466" s="27">
        <v>2007</v>
      </c>
      <c r="D2466" s="24" t="s">
        <v>141</v>
      </c>
      <c r="E2466" s="30" t="s">
        <v>142</v>
      </c>
      <c r="F2466" s="7" t="s">
        <v>56</v>
      </c>
      <c r="G2466" s="25" t="s">
        <v>711</v>
      </c>
      <c r="H2466" s="25" t="s">
        <v>3727</v>
      </c>
      <c r="I2466" s="20">
        <v>0</v>
      </c>
      <c r="J2466" s="20">
        <v>4</v>
      </c>
      <c r="K2466" s="20">
        <v>0</v>
      </c>
      <c r="L2466" s="20">
        <v>0</v>
      </c>
      <c r="M2466" s="20">
        <v>0</v>
      </c>
      <c r="N2466" s="20">
        <v>0</v>
      </c>
      <c r="O2466" s="75">
        <v>0</v>
      </c>
      <c r="P2466" s="76">
        <v>0</v>
      </c>
      <c r="Q2466" s="35" t="s">
        <v>154</v>
      </c>
    </row>
    <row r="2467" spans="1:17" ht="48" x14ac:dyDescent="0.25">
      <c r="A2467" s="23">
        <v>39236</v>
      </c>
      <c r="B2467" s="23">
        <v>39236</v>
      </c>
      <c r="C2467" s="27">
        <v>2007</v>
      </c>
      <c r="D2467" s="24" t="s">
        <v>141</v>
      </c>
      <c r="E2467" s="30" t="s">
        <v>142</v>
      </c>
      <c r="F2467" s="7" t="s">
        <v>72</v>
      </c>
      <c r="G2467" s="25" t="s">
        <v>3728</v>
      </c>
      <c r="H2467" s="25" t="s">
        <v>3729</v>
      </c>
      <c r="I2467" s="20">
        <v>6</v>
      </c>
      <c r="J2467" s="20">
        <v>17</v>
      </c>
      <c r="K2467" s="20">
        <v>0</v>
      </c>
      <c r="L2467" s="20">
        <v>0</v>
      </c>
      <c r="M2467" s="20">
        <v>0</v>
      </c>
      <c r="N2467" s="20">
        <v>0</v>
      </c>
      <c r="O2467" s="75">
        <v>0</v>
      </c>
      <c r="P2467" s="76">
        <v>0.6</v>
      </c>
      <c r="Q2467" s="35" t="s">
        <v>154</v>
      </c>
    </row>
    <row r="2468" spans="1:17" ht="48" x14ac:dyDescent="0.25">
      <c r="A2468" s="23">
        <v>39240</v>
      </c>
      <c r="B2468" s="23">
        <v>39240</v>
      </c>
      <c r="C2468" s="27">
        <v>2007</v>
      </c>
      <c r="D2468" s="24" t="s">
        <v>141</v>
      </c>
      <c r="E2468" s="30" t="s">
        <v>142</v>
      </c>
      <c r="F2468" s="7" t="s">
        <v>91</v>
      </c>
      <c r="G2468" s="25" t="s">
        <v>160</v>
      </c>
      <c r="H2468" s="25" t="s">
        <v>3730</v>
      </c>
      <c r="I2468" s="20">
        <v>0</v>
      </c>
      <c r="J2468" s="20">
        <v>0</v>
      </c>
      <c r="K2468" s="20">
        <v>0</v>
      </c>
      <c r="L2468" s="20">
        <v>0</v>
      </c>
      <c r="M2468" s="20">
        <v>0</v>
      </c>
      <c r="N2468" s="20">
        <v>0</v>
      </c>
      <c r="O2468" s="75">
        <v>0</v>
      </c>
      <c r="P2468" s="76">
        <v>0.27</v>
      </c>
      <c r="Q2468" s="35" t="s">
        <v>154</v>
      </c>
    </row>
    <row r="2469" spans="1:17" ht="60" x14ac:dyDescent="0.25">
      <c r="A2469" s="23">
        <v>39247</v>
      </c>
      <c r="B2469" s="23">
        <v>39247</v>
      </c>
      <c r="C2469" s="27">
        <v>2007</v>
      </c>
      <c r="D2469" s="24" t="s">
        <v>141</v>
      </c>
      <c r="E2469" s="30" t="s">
        <v>142</v>
      </c>
      <c r="F2469" s="7" t="s">
        <v>53</v>
      </c>
      <c r="G2469" s="25" t="s">
        <v>3731</v>
      </c>
      <c r="H2469" s="25" t="s">
        <v>3732</v>
      </c>
      <c r="I2469" s="20">
        <v>1</v>
      </c>
      <c r="J2469" s="20">
        <v>4</v>
      </c>
      <c r="K2469" s="20">
        <v>0</v>
      </c>
      <c r="L2469" s="20">
        <v>0</v>
      </c>
      <c r="M2469" s="20">
        <v>0</v>
      </c>
      <c r="N2469" s="20">
        <v>0</v>
      </c>
      <c r="O2469" s="75">
        <v>0</v>
      </c>
      <c r="P2469" s="76">
        <v>0.27</v>
      </c>
      <c r="Q2469" s="35" t="s">
        <v>154</v>
      </c>
    </row>
    <row r="2470" spans="1:17" ht="72" x14ac:dyDescent="0.25">
      <c r="A2470" s="23">
        <v>39248</v>
      </c>
      <c r="B2470" s="23">
        <v>39248</v>
      </c>
      <c r="C2470" s="27">
        <v>2007</v>
      </c>
      <c r="D2470" s="24" t="s">
        <v>141</v>
      </c>
      <c r="E2470" s="30" t="s">
        <v>142</v>
      </c>
      <c r="F2470" s="7" t="s">
        <v>62</v>
      </c>
      <c r="G2470" s="25" t="s">
        <v>165</v>
      </c>
      <c r="H2470" s="25" t="s">
        <v>3733</v>
      </c>
      <c r="I2470" s="20">
        <v>0</v>
      </c>
      <c r="J2470" s="20">
        <v>0</v>
      </c>
      <c r="K2470" s="20">
        <v>0</v>
      </c>
      <c r="L2470" s="20">
        <v>0</v>
      </c>
      <c r="M2470" s="20">
        <v>0</v>
      </c>
      <c r="N2470" s="20">
        <v>0</v>
      </c>
      <c r="O2470" s="75">
        <v>0</v>
      </c>
      <c r="P2470" s="76">
        <v>0.39600000000000002</v>
      </c>
      <c r="Q2470" s="35" t="s">
        <v>154</v>
      </c>
    </row>
    <row r="2471" spans="1:17" ht="36" x14ac:dyDescent="0.25">
      <c r="A2471" s="23">
        <v>39253</v>
      </c>
      <c r="B2471" s="23">
        <v>39253</v>
      </c>
      <c r="C2471" s="27">
        <v>2007</v>
      </c>
      <c r="D2471" s="24" t="s">
        <v>141</v>
      </c>
      <c r="E2471" s="30" t="s">
        <v>142</v>
      </c>
      <c r="F2471" s="7" t="s">
        <v>87</v>
      </c>
      <c r="G2471" s="25" t="s">
        <v>3734</v>
      </c>
      <c r="H2471" s="25" t="s">
        <v>3735</v>
      </c>
      <c r="I2471" s="20">
        <v>7</v>
      </c>
      <c r="J2471" s="20">
        <v>27</v>
      </c>
      <c r="K2471" s="20">
        <v>0</v>
      </c>
      <c r="L2471" s="20">
        <v>0</v>
      </c>
      <c r="M2471" s="20">
        <v>0</v>
      </c>
      <c r="N2471" s="20">
        <v>0</v>
      </c>
      <c r="O2471" s="75">
        <v>0</v>
      </c>
      <c r="P2471" s="76">
        <v>0</v>
      </c>
      <c r="Q2471" s="35" t="s">
        <v>154</v>
      </c>
    </row>
    <row r="2472" spans="1:17" ht="60" x14ac:dyDescent="0.25">
      <c r="A2472" s="23">
        <v>39254</v>
      </c>
      <c r="B2472" s="23">
        <v>39254</v>
      </c>
      <c r="C2472" s="27">
        <v>2007</v>
      </c>
      <c r="D2472" s="24" t="s">
        <v>141</v>
      </c>
      <c r="E2472" s="30" t="s">
        <v>142</v>
      </c>
      <c r="F2472" s="7" t="s">
        <v>87</v>
      </c>
      <c r="G2472" s="25" t="s">
        <v>3736</v>
      </c>
      <c r="H2472" s="25" t="s">
        <v>3737</v>
      </c>
      <c r="I2472" s="20">
        <v>0</v>
      </c>
      <c r="J2472" s="20">
        <v>1</v>
      </c>
      <c r="K2472" s="20">
        <v>0</v>
      </c>
      <c r="L2472" s="20">
        <v>0</v>
      </c>
      <c r="M2472" s="20">
        <v>0</v>
      </c>
      <c r="N2472" s="20">
        <v>0</v>
      </c>
      <c r="O2472" s="75">
        <v>0</v>
      </c>
      <c r="P2472" s="76">
        <v>0.27</v>
      </c>
      <c r="Q2472" s="35" t="s">
        <v>154</v>
      </c>
    </row>
    <row r="2473" spans="1:17" ht="24" x14ac:dyDescent="0.25">
      <c r="A2473" s="23">
        <v>39256</v>
      </c>
      <c r="B2473" s="23">
        <v>39256</v>
      </c>
      <c r="C2473" s="27">
        <v>2007</v>
      </c>
      <c r="D2473" s="24" t="s">
        <v>141</v>
      </c>
      <c r="E2473" s="30" t="s">
        <v>142</v>
      </c>
      <c r="F2473" s="7" t="s">
        <v>87</v>
      </c>
      <c r="G2473" s="25" t="s">
        <v>3738</v>
      </c>
      <c r="H2473" s="25" t="s">
        <v>3739</v>
      </c>
      <c r="I2473" s="20">
        <v>3</v>
      </c>
      <c r="J2473" s="20">
        <v>3</v>
      </c>
      <c r="K2473" s="20">
        <v>0</v>
      </c>
      <c r="L2473" s="20">
        <v>0</v>
      </c>
      <c r="M2473" s="20">
        <v>0</v>
      </c>
      <c r="N2473" s="20">
        <v>0</v>
      </c>
      <c r="O2473" s="75">
        <v>0</v>
      </c>
      <c r="P2473" s="76">
        <v>1</v>
      </c>
      <c r="Q2473" s="35" t="s">
        <v>154</v>
      </c>
    </row>
    <row r="2474" spans="1:17" ht="24" x14ac:dyDescent="0.25">
      <c r="A2474" s="23">
        <v>39268</v>
      </c>
      <c r="B2474" s="23">
        <v>39268</v>
      </c>
      <c r="C2474" s="27">
        <v>2007</v>
      </c>
      <c r="D2474" s="24" t="s">
        <v>141</v>
      </c>
      <c r="E2474" s="30" t="s">
        <v>142</v>
      </c>
      <c r="F2474" s="7" t="s">
        <v>84</v>
      </c>
      <c r="G2474" s="25" t="s">
        <v>3740</v>
      </c>
      <c r="H2474" s="25" t="s">
        <v>3741</v>
      </c>
      <c r="I2474" s="20">
        <v>9</v>
      </c>
      <c r="J2474" s="20">
        <v>24</v>
      </c>
      <c r="K2474" s="20">
        <v>0</v>
      </c>
      <c r="L2474" s="20">
        <v>0</v>
      </c>
      <c r="M2474" s="20">
        <v>0</v>
      </c>
      <c r="N2474" s="20">
        <v>0</v>
      </c>
      <c r="O2474" s="75">
        <v>0</v>
      </c>
      <c r="P2474" s="76">
        <v>1</v>
      </c>
      <c r="Q2474" s="35" t="s">
        <v>154</v>
      </c>
    </row>
    <row r="2475" spans="1:17" ht="24" x14ac:dyDescent="0.25">
      <c r="A2475" s="23">
        <v>39280</v>
      </c>
      <c r="B2475" s="23">
        <v>39280</v>
      </c>
      <c r="C2475" s="27">
        <v>2007</v>
      </c>
      <c r="D2475" s="24" t="s">
        <v>141</v>
      </c>
      <c r="E2475" s="30" t="s">
        <v>142</v>
      </c>
      <c r="F2475" s="7" t="s">
        <v>97</v>
      </c>
      <c r="G2475" s="25" t="s">
        <v>3742</v>
      </c>
      <c r="H2475" s="25" t="s">
        <v>3743</v>
      </c>
      <c r="I2475" s="20">
        <v>2</v>
      </c>
      <c r="J2475" s="20">
        <v>17</v>
      </c>
      <c r="K2475" s="20">
        <v>0</v>
      </c>
      <c r="L2475" s="20">
        <v>0</v>
      </c>
      <c r="M2475" s="20">
        <v>0</v>
      </c>
      <c r="N2475" s="20">
        <v>0</v>
      </c>
      <c r="O2475" s="75">
        <v>0</v>
      </c>
      <c r="P2475" s="76">
        <v>0.87</v>
      </c>
      <c r="Q2475" s="35" t="s">
        <v>154</v>
      </c>
    </row>
    <row r="2476" spans="1:17" ht="24" x14ac:dyDescent="0.25">
      <c r="A2476" s="23">
        <v>39287</v>
      </c>
      <c r="B2476" s="23">
        <v>39287</v>
      </c>
      <c r="C2476" s="27">
        <v>2007</v>
      </c>
      <c r="D2476" s="24" t="s">
        <v>141</v>
      </c>
      <c r="E2476" s="30" t="s">
        <v>142</v>
      </c>
      <c r="F2476" s="7" t="s">
        <v>87</v>
      </c>
      <c r="G2476" s="25" t="s">
        <v>2168</v>
      </c>
      <c r="H2476" s="25" t="s">
        <v>3744</v>
      </c>
      <c r="I2476" s="20">
        <v>3</v>
      </c>
      <c r="J2476" s="20">
        <v>3</v>
      </c>
      <c r="K2476" s="20">
        <v>0</v>
      </c>
      <c r="L2476" s="20">
        <v>0</v>
      </c>
      <c r="M2476" s="20">
        <v>0</v>
      </c>
      <c r="N2476" s="20">
        <v>0</v>
      </c>
      <c r="O2476" s="75">
        <v>0</v>
      </c>
      <c r="P2476" s="76">
        <v>0</v>
      </c>
      <c r="Q2476" s="35" t="s">
        <v>154</v>
      </c>
    </row>
    <row r="2477" spans="1:17" ht="24" x14ac:dyDescent="0.25">
      <c r="A2477" s="23">
        <v>39287</v>
      </c>
      <c r="B2477" s="23">
        <v>39287</v>
      </c>
      <c r="C2477" s="27">
        <v>2007</v>
      </c>
      <c r="D2477" s="24" t="s">
        <v>141</v>
      </c>
      <c r="E2477" s="30" t="s">
        <v>142</v>
      </c>
      <c r="F2477" s="28" t="s">
        <v>157</v>
      </c>
      <c r="G2477" s="25" t="s">
        <v>206</v>
      </c>
      <c r="H2477" s="25" t="s">
        <v>3745</v>
      </c>
      <c r="I2477" s="20">
        <v>2</v>
      </c>
      <c r="J2477" s="20">
        <v>28</v>
      </c>
      <c r="K2477" s="20">
        <v>0</v>
      </c>
      <c r="L2477" s="20">
        <v>0</v>
      </c>
      <c r="M2477" s="20">
        <v>0</v>
      </c>
      <c r="N2477" s="20">
        <v>0</v>
      </c>
      <c r="O2477" s="75">
        <v>0</v>
      </c>
      <c r="P2477" s="76">
        <v>0.55800000000000005</v>
      </c>
      <c r="Q2477" s="35" t="s">
        <v>154</v>
      </c>
    </row>
    <row r="2478" spans="1:17" ht="36" x14ac:dyDescent="0.25">
      <c r="A2478" s="23">
        <v>39296</v>
      </c>
      <c r="B2478" s="23">
        <v>39296</v>
      </c>
      <c r="C2478" s="27">
        <v>2007</v>
      </c>
      <c r="D2478" s="24" t="s">
        <v>141</v>
      </c>
      <c r="E2478" s="30" t="s">
        <v>142</v>
      </c>
      <c r="F2478" s="7" t="s">
        <v>84</v>
      </c>
      <c r="G2478" s="25" t="s">
        <v>2846</v>
      </c>
      <c r="H2478" s="25" t="s">
        <v>3746</v>
      </c>
      <c r="I2478" s="20">
        <v>0</v>
      </c>
      <c r="J2478" s="20">
        <v>3</v>
      </c>
      <c r="K2478" s="20">
        <v>0</v>
      </c>
      <c r="L2478" s="20">
        <v>0</v>
      </c>
      <c r="M2478" s="20">
        <v>0</v>
      </c>
      <c r="N2478" s="20">
        <v>0</v>
      </c>
      <c r="O2478" s="75">
        <v>0</v>
      </c>
      <c r="P2478" s="76">
        <v>1</v>
      </c>
      <c r="Q2478" s="35" t="s">
        <v>154</v>
      </c>
    </row>
    <row r="2479" spans="1:17" ht="48" x14ac:dyDescent="0.25">
      <c r="A2479" s="23">
        <v>39296</v>
      </c>
      <c r="B2479" s="23">
        <v>39296</v>
      </c>
      <c r="C2479" s="27">
        <v>2007</v>
      </c>
      <c r="D2479" s="24" t="s">
        <v>141</v>
      </c>
      <c r="E2479" s="30" t="s">
        <v>142</v>
      </c>
      <c r="F2479" s="7" t="s">
        <v>36</v>
      </c>
      <c r="G2479" s="25" t="s">
        <v>3747</v>
      </c>
      <c r="H2479" s="25" t="s">
        <v>3748</v>
      </c>
      <c r="I2479" s="20">
        <v>1</v>
      </c>
      <c r="J2479" s="20">
        <v>11</v>
      </c>
      <c r="K2479" s="20">
        <v>0</v>
      </c>
      <c r="L2479" s="20">
        <v>0</v>
      </c>
      <c r="M2479" s="20">
        <v>0</v>
      </c>
      <c r="N2479" s="20">
        <v>0</v>
      </c>
      <c r="O2479" s="75">
        <v>0</v>
      </c>
      <c r="P2479" s="76">
        <v>0.27</v>
      </c>
      <c r="Q2479" s="35" t="s">
        <v>154</v>
      </c>
    </row>
    <row r="2480" spans="1:17" x14ac:dyDescent="0.25">
      <c r="A2480" s="23">
        <v>39299</v>
      </c>
      <c r="B2480" s="23">
        <v>39299</v>
      </c>
      <c r="C2480" s="27">
        <v>2007</v>
      </c>
      <c r="D2480" s="24" t="s">
        <v>141</v>
      </c>
      <c r="E2480" s="30" t="s">
        <v>142</v>
      </c>
      <c r="F2480" s="7" t="s">
        <v>72</v>
      </c>
      <c r="G2480" s="25" t="s">
        <v>3749</v>
      </c>
      <c r="H2480" s="25" t="s">
        <v>3750</v>
      </c>
      <c r="I2480" s="20">
        <v>1</v>
      </c>
      <c r="J2480" s="20">
        <v>1</v>
      </c>
      <c r="K2480" s="20">
        <v>0</v>
      </c>
      <c r="L2480" s="20">
        <v>0</v>
      </c>
      <c r="M2480" s="20">
        <v>0</v>
      </c>
      <c r="N2480" s="20">
        <v>0</v>
      </c>
      <c r="O2480" s="75">
        <v>0</v>
      </c>
      <c r="P2480" s="76">
        <v>0.27</v>
      </c>
      <c r="Q2480" s="35" t="s">
        <v>154</v>
      </c>
    </row>
    <row r="2481" spans="1:17" ht="36" x14ac:dyDescent="0.25">
      <c r="A2481" s="23">
        <v>39308</v>
      </c>
      <c r="B2481" s="23">
        <v>39308</v>
      </c>
      <c r="C2481" s="27">
        <v>2007</v>
      </c>
      <c r="D2481" s="24" t="s">
        <v>141</v>
      </c>
      <c r="E2481" s="30" t="s">
        <v>142</v>
      </c>
      <c r="F2481" s="28" t="s">
        <v>210</v>
      </c>
      <c r="G2481" s="25" t="s">
        <v>567</v>
      </c>
      <c r="H2481" s="25" t="s">
        <v>3751</v>
      </c>
      <c r="I2481" s="20">
        <v>0</v>
      </c>
      <c r="J2481" s="20">
        <v>3</v>
      </c>
      <c r="K2481" s="20">
        <v>0</v>
      </c>
      <c r="L2481" s="20">
        <v>0</v>
      </c>
      <c r="M2481" s="20">
        <v>0</v>
      </c>
      <c r="N2481" s="20">
        <v>0</v>
      </c>
      <c r="O2481" s="75">
        <v>0</v>
      </c>
      <c r="P2481" s="76">
        <v>0.34200000000000003</v>
      </c>
      <c r="Q2481" s="35" t="s">
        <v>154</v>
      </c>
    </row>
    <row r="2482" spans="1:17" ht="36" x14ac:dyDescent="0.25">
      <c r="A2482" s="23">
        <v>39310</v>
      </c>
      <c r="B2482" s="23">
        <v>39310</v>
      </c>
      <c r="C2482" s="27">
        <v>2007</v>
      </c>
      <c r="D2482" s="24" t="s">
        <v>141</v>
      </c>
      <c r="E2482" s="30" t="s">
        <v>142</v>
      </c>
      <c r="F2482" s="7" t="s">
        <v>56</v>
      </c>
      <c r="G2482" s="25" t="s">
        <v>495</v>
      </c>
      <c r="H2482" s="25" t="s">
        <v>3752</v>
      </c>
      <c r="I2482" s="20">
        <v>2</v>
      </c>
      <c r="J2482" s="20">
        <v>2</v>
      </c>
      <c r="K2482" s="20">
        <v>0</v>
      </c>
      <c r="L2482" s="20">
        <v>0</v>
      </c>
      <c r="M2482" s="20">
        <v>0</v>
      </c>
      <c r="N2482" s="20">
        <v>0</v>
      </c>
      <c r="O2482" s="75">
        <v>0</v>
      </c>
      <c r="P2482" s="76">
        <v>0.54</v>
      </c>
      <c r="Q2482" s="35" t="s">
        <v>154</v>
      </c>
    </row>
    <row r="2483" spans="1:17" ht="24" x14ac:dyDescent="0.25">
      <c r="A2483" s="23">
        <v>39325</v>
      </c>
      <c r="B2483" s="23">
        <v>39325</v>
      </c>
      <c r="C2483" s="27">
        <v>2007</v>
      </c>
      <c r="D2483" s="24" t="s">
        <v>141</v>
      </c>
      <c r="E2483" s="30" t="s">
        <v>142</v>
      </c>
      <c r="F2483" s="7" t="s">
        <v>62</v>
      </c>
      <c r="G2483" s="25" t="s">
        <v>2604</v>
      </c>
      <c r="H2483" s="25" t="s">
        <v>3753</v>
      </c>
      <c r="I2483" s="20">
        <v>2</v>
      </c>
      <c r="J2483" s="20">
        <v>2</v>
      </c>
      <c r="K2483" s="20">
        <v>0</v>
      </c>
      <c r="L2483" s="20">
        <v>0</v>
      </c>
      <c r="M2483" s="20">
        <v>0</v>
      </c>
      <c r="N2483" s="20">
        <v>0</v>
      </c>
      <c r="O2483" s="75">
        <v>0</v>
      </c>
      <c r="P2483" s="76">
        <v>1</v>
      </c>
      <c r="Q2483" s="35" t="s">
        <v>154</v>
      </c>
    </row>
    <row r="2484" spans="1:17" ht="36" x14ac:dyDescent="0.25">
      <c r="A2484" s="23">
        <v>39334</v>
      </c>
      <c r="B2484" s="23">
        <v>39334</v>
      </c>
      <c r="C2484" s="27">
        <v>2007</v>
      </c>
      <c r="D2484" s="24" t="s">
        <v>141</v>
      </c>
      <c r="E2484" s="30" t="s">
        <v>142</v>
      </c>
      <c r="F2484" s="7" t="s">
        <v>60</v>
      </c>
      <c r="G2484" s="25" t="s">
        <v>3754</v>
      </c>
      <c r="H2484" s="25" t="s">
        <v>3755</v>
      </c>
      <c r="I2484" s="20">
        <v>0</v>
      </c>
      <c r="J2484" s="20">
        <v>30</v>
      </c>
      <c r="K2484" s="20">
        <v>0</v>
      </c>
      <c r="L2484" s="20">
        <v>0</v>
      </c>
      <c r="M2484" s="20">
        <v>0</v>
      </c>
      <c r="N2484" s="20">
        <v>0</v>
      </c>
      <c r="O2484" s="75">
        <v>0</v>
      </c>
      <c r="P2484" s="76">
        <v>0.6</v>
      </c>
      <c r="Q2484" s="35" t="s">
        <v>154</v>
      </c>
    </row>
    <row r="2485" spans="1:17" ht="96" x14ac:dyDescent="0.25">
      <c r="A2485" s="23">
        <v>39334</v>
      </c>
      <c r="B2485" s="23">
        <v>39334</v>
      </c>
      <c r="C2485" s="27">
        <v>2007</v>
      </c>
      <c r="D2485" s="24" t="s">
        <v>141</v>
      </c>
      <c r="E2485" s="30" t="s">
        <v>142</v>
      </c>
      <c r="F2485" s="7" t="s">
        <v>45</v>
      </c>
      <c r="G2485" s="25" t="s">
        <v>3756</v>
      </c>
      <c r="H2485" s="29" t="s">
        <v>3757</v>
      </c>
      <c r="I2485" s="20">
        <v>29</v>
      </c>
      <c r="J2485" s="20">
        <v>173</v>
      </c>
      <c r="K2485" s="20">
        <v>20</v>
      </c>
      <c r="L2485" s="20">
        <v>0</v>
      </c>
      <c r="M2485" s="20">
        <v>0</v>
      </c>
      <c r="N2485" s="20">
        <v>0</v>
      </c>
      <c r="O2485" s="75">
        <v>0</v>
      </c>
      <c r="P2485" s="76">
        <v>3.81</v>
      </c>
      <c r="Q2485" s="35" t="s">
        <v>154</v>
      </c>
    </row>
    <row r="2486" spans="1:17" x14ac:dyDescent="0.25">
      <c r="A2486" s="23">
        <v>39337</v>
      </c>
      <c r="B2486" s="23">
        <v>39337</v>
      </c>
      <c r="C2486" s="27">
        <v>2007</v>
      </c>
      <c r="D2486" s="24" t="s">
        <v>141</v>
      </c>
      <c r="E2486" s="30" t="s">
        <v>142</v>
      </c>
      <c r="F2486" s="7" t="s">
        <v>84</v>
      </c>
      <c r="G2486" s="25" t="s">
        <v>3161</v>
      </c>
      <c r="H2486" s="25" t="s">
        <v>3758</v>
      </c>
      <c r="I2486" s="20">
        <v>1</v>
      </c>
      <c r="J2486" s="20">
        <v>1</v>
      </c>
      <c r="K2486" s="20">
        <v>0</v>
      </c>
      <c r="L2486" s="20">
        <v>0</v>
      </c>
      <c r="M2486" s="20">
        <v>0</v>
      </c>
      <c r="N2486" s="20">
        <v>0</v>
      </c>
      <c r="O2486" s="75">
        <v>0</v>
      </c>
      <c r="P2486" s="76">
        <v>1</v>
      </c>
      <c r="Q2486" s="35" t="s">
        <v>154</v>
      </c>
    </row>
    <row r="2487" spans="1:17" ht="36" x14ac:dyDescent="0.25">
      <c r="A2487" s="23">
        <v>39340</v>
      </c>
      <c r="B2487" s="23">
        <v>39340</v>
      </c>
      <c r="C2487" s="27">
        <v>2007</v>
      </c>
      <c r="D2487" s="24" t="s">
        <v>141</v>
      </c>
      <c r="E2487" s="30" t="s">
        <v>142</v>
      </c>
      <c r="F2487" s="7" t="s">
        <v>67</v>
      </c>
      <c r="G2487" s="25" t="s">
        <v>1033</v>
      </c>
      <c r="H2487" s="25" t="s">
        <v>3759</v>
      </c>
      <c r="I2487" s="20">
        <v>17</v>
      </c>
      <c r="J2487" s="20">
        <v>36</v>
      </c>
      <c r="K2487" s="20">
        <v>0</v>
      </c>
      <c r="L2487" s="20">
        <v>0</v>
      </c>
      <c r="M2487" s="20">
        <v>0</v>
      </c>
      <c r="N2487" s="20">
        <v>0</v>
      </c>
      <c r="O2487" s="75">
        <v>0</v>
      </c>
      <c r="P2487" s="76">
        <v>0.6</v>
      </c>
      <c r="Q2487" s="35" t="s">
        <v>154</v>
      </c>
    </row>
    <row r="2488" spans="1:17" ht="24" x14ac:dyDescent="0.25">
      <c r="A2488" s="23">
        <v>39357</v>
      </c>
      <c r="B2488" s="23">
        <v>39357</v>
      </c>
      <c r="C2488" s="27">
        <v>2007</v>
      </c>
      <c r="D2488" s="24" t="s">
        <v>141</v>
      </c>
      <c r="E2488" s="30" t="s">
        <v>142</v>
      </c>
      <c r="F2488" s="7" t="s">
        <v>53</v>
      </c>
      <c r="G2488" s="25" t="s">
        <v>2309</v>
      </c>
      <c r="H2488" s="25" t="s">
        <v>3760</v>
      </c>
      <c r="I2488" s="20">
        <v>1</v>
      </c>
      <c r="J2488" s="20">
        <v>6</v>
      </c>
      <c r="K2488" s="20">
        <v>1</v>
      </c>
      <c r="L2488" s="20">
        <v>0</v>
      </c>
      <c r="M2488" s="20">
        <v>0</v>
      </c>
      <c r="N2488" s="20">
        <v>0</v>
      </c>
      <c r="O2488" s="75">
        <v>0</v>
      </c>
      <c r="P2488" s="76">
        <v>1</v>
      </c>
      <c r="Q2488" s="35" t="s">
        <v>154</v>
      </c>
    </row>
    <row r="2489" spans="1:17" ht="36" x14ac:dyDescent="0.25">
      <c r="A2489" s="23">
        <v>39366</v>
      </c>
      <c r="B2489" s="23">
        <v>39366</v>
      </c>
      <c r="C2489" s="27">
        <v>2007</v>
      </c>
      <c r="D2489" s="24" t="s">
        <v>141</v>
      </c>
      <c r="E2489" s="30" t="s">
        <v>142</v>
      </c>
      <c r="F2489" s="7" t="s">
        <v>60</v>
      </c>
      <c r="G2489" s="25" t="s">
        <v>425</v>
      </c>
      <c r="H2489" s="25" t="s">
        <v>3761</v>
      </c>
      <c r="I2489" s="20">
        <v>16</v>
      </c>
      <c r="J2489" s="20">
        <v>50</v>
      </c>
      <c r="K2489" s="20">
        <v>0</v>
      </c>
      <c r="L2489" s="20">
        <v>0</v>
      </c>
      <c r="M2489" s="20">
        <v>0</v>
      </c>
      <c r="N2489" s="20">
        <v>0</v>
      </c>
      <c r="O2489" s="75">
        <v>0</v>
      </c>
      <c r="P2489" s="76">
        <v>0.87</v>
      </c>
      <c r="Q2489" s="35" t="s">
        <v>154</v>
      </c>
    </row>
    <row r="2490" spans="1:17" ht="48" x14ac:dyDescent="0.25">
      <c r="A2490" s="23">
        <v>39370</v>
      </c>
      <c r="B2490" s="23">
        <v>39370</v>
      </c>
      <c r="C2490" s="27">
        <v>2007</v>
      </c>
      <c r="D2490" s="24" t="s">
        <v>141</v>
      </c>
      <c r="E2490" s="30" t="s">
        <v>142</v>
      </c>
      <c r="F2490" s="7" t="s">
        <v>56</v>
      </c>
      <c r="G2490" s="25" t="s">
        <v>56</v>
      </c>
      <c r="H2490" s="25" t="s">
        <v>3762</v>
      </c>
      <c r="I2490" s="20">
        <v>0</v>
      </c>
      <c r="J2490" s="20">
        <v>17</v>
      </c>
      <c r="K2490" s="20">
        <v>0</v>
      </c>
      <c r="L2490" s="20">
        <v>0</v>
      </c>
      <c r="M2490" s="20">
        <v>0</v>
      </c>
      <c r="N2490" s="20">
        <v>0</v>
      </c>
      <c r="O2490" s="75">
        <v>0</v>
      </c>
      <c r="P2490" s="76">
        <v>0.6</v>
      </c>
      <c r="Q2490" s="35" t="s">
        <v>154</v>
      </c>
    </row>
    <row r="2491" spans="1:17" ht="48" x14ac:dyDescent="0.25">
      <c r="A2491" s="23">
        <v>39375</v>
      </c>
      <c r="B2491" s="23">
        <v>39375</v>
      </c>
      <c r="C2491" s="27">
        <v>2007</v>
      </c>
      <c r="D2491" s="24" t="s">
        <v>141</v>
      </c>
      <c r="E2491" s="30" t="s">
        <v>142</v>
      </c>
      <c r="F2491" s="7" t="s">
        <v>36</v>
      </c>
      <c r="G2491" s="25" t="s">
        <v>3014</v>
      </c>
      <c r="H2491" s="25" t="s">
        <v>3763</v>
      </c>
      <c r="I2491" s="20">
        <v>1</v>
      </c>
      <c r="J2491" s="20">
        <v>17</v>
      </c>
      <c r="K2491" s="20">
        <v>0</v>
      </c>
      <c r="L2491" s="20">
        <v>0</v>
      </c>
      <c r="M2491" s="20">
        <v>0</v>
      </c>
      <c r="N2491" s="20">
        <v>0</v>
      </c>
      <c r="O2491" s="75">
        <v>0</v>
      </c>
      <c r="P2491" s="76">
        <v>0.6</v>
      </c>
      <c r="Q2491" s="35" t="s">
        <v>154</v>
      </c>
    </row>
    <row r="2492" spans="1:17" ht="24" x14ac:dyDescent="0.25">
      <c r="A2492" s="23">
        <v>39379</v>
      </c>
      <c r="B2492" s="23">
        <v>39379</v>
      </c>
      <c r="C2492" s="27">
        <v>2007</v>
      </c>
      <c r="D2492" s="24" t="s">
        <v>141</v>
      </c>
      <c r="E2492" s="30" t="s">
        <v>142</v>
      </c>
      <c r="F2492" s="7" t="s">
        <v>84</v>
      </c>
      <c r="G2492" s="25" t="s">
        <v>3740</v>
      </c>
      <c r="H2492" s="25" t="s">
        <v>3764</v>
      </c>
      <c r="I2492" s="20">
        <v>1</v>
      </c>
      <c r="J2492" s="20">
        <v>14</v>
      </c>
      <c r="K2492" s="20">
        <v>0</v>
      </c>
      <c r="L2492" s="20">
        <v>0</v>
      </c>
      <c r="M2492" s="20">
        <v>0</v>
      </c>
      <c r="N2492" s="20">
        <v>0</v>
      </c>
      <c r="O2492" s="75">
        <v>0</v>
      </c>
      <c r="P2492" s="76">
        <v>0</v>
      </c>
      <c r="Q2492" s="35" t="s">
        <v>154</v>
      </c>
    </row>
    <row r="2493" spans="1:17" ht="36" x14ac:dyDescent="0.25">
      <c r="A2493" s="23">
        <v>39391</v>
      </c>
      <c r="B2493" s="23">
        <v>39391</v>
      </c>
      <c r="C2493" s="27">
        <v>2007</v>
      </c>
      <c r="D2493" s="24" t="s">
        <v>141</v>
      </c>
      <c r="E2493" s="30" t="s">
        <v>142</v>
      </c>
      <c r="F2493" s="7" t="s">
        <v>62</v>
      </c>
      <c r="G2493" s="25" t="s">
        <v>3384</v>
      </c>
      <c r="H2493" s="25" t="s">
        <v>3765</v>
      </c>
      <c r="I2493" s="20">
        <v>1</v>
      </c>
      <c r="J2493" s="20">
        <v>1</v>
      </c>
      <c r="K2493" s="20">
        <v>0</v>
      </c>
      <c r="L2493" s="20">
        <v>0</v>
      </c>
      <c r="M2493" s="20">
        <v>0</v>
      </c>
      <c r="N2493" s="20">
        <v>0</v>
      </c>
      <c r="O2493" s="75">
        <v>0</v>
      </c>
      <c r="P2493" s="76">
        <v>0.54</v>
      </c>
      <c r="Q2493" s="35" t="s">
        <v>154</v>
      </c>
    </row>
    <row r="2494" spans="1:17" ht="24" x14ac:dyDescent="0.25">
      <c r="A2494" s="23">
        <v>39391</v>
      </c>
      <c r="B2494" s="23">
        <v>39391</v>
      </c>
      <c r="C2494" s="27">
        <v>2007</v>
      </c>
      <c r="D2494" s="24" t="s">
        <v>141</v>
      </c>
      <c r="E2494" s="30" t="s">
        <v>142</v>
      </c>
      <c r="F2494" s="7" t="s">
        <v>84</v>
      </c>
      <c r="G2494" s="25" t="s">
        <v>3740</v>
      </c>
      <c r="H2494" s="25" t="s">
        <v>3766</v>
      </c>
      <c r="I2494" s="20">
        <v>0</v>
      </c>
      <c r="J2494" s="20">
        <v>14</v>
      </c>
      <c r="K2494" s="20">
        <v>0</v>
      </c>
      <c r="L2494" s="20">
        <v>0</v>
      </c>
      <c r="M2494" s="20">
        <v>0</v>
      </c>
      <c r="N2494" s="20">
        <v>0</v>
      </c>
      <c r="O2494" s="75">
        <v>0</v>
      </c>
      <c r="P2494" s="76">
        <v>1</v>
      </c>
      <c r="Q2494" s="35" t="s">
        <v>154</v>
      </c>
    </row>
    <row r="2495" spans="1:17" ht="60" x14ac:dyDescent="0.25">
      <c r="A2495" s="23">
        <v>39393</v>
      </c>
      <c r="B2495" s="23">
        <v>39393</v>
      </c>
      <c r="C2495" s="27">
        <v>2007</v>
      </c>
      <c r="D2495" s="24" t="s">
        <v>141</v>
      </c>
      <c r="E2495" s="30" t="s">
        <v>142</v>
      </c>
      <c r="F2495" s="7" t="s">
        <v>53</v>
      </c>
      <c r="G2495" s="25" t="s">
        <v>451</v>
      </c>
      <c r="H2495" s="25" t="s">
        <v>3767</v>
      </c>
      <c r="I2495" s="20">
        <v>6</v>
      </c>
      <c r="J2495" s="20">
        <v>8</v>
      </c>
      <c r="K2495" s="20">
        <v>0</v>
      </c>
      <c r="L2495" s="20">
        <v>0</v>
      </c>
      <c r="M2495" s="20">
        <v>0</v>
      </c>
      <c r="N2495" s="20">
        <v>0</v>
      </c>
      <c r="O2495" s="75">
        <v>0</v>
      </c>
      <c r="P2495" s="76">
        <v>1.8919999999999999</v>
      </c>
      <c r="Q2495" s="35" t="s">
        <v>154</v>
      </c>
    </row>
    <row r="2496" spans="1:17" ht="48" x14ac:dyDescent="0.25">
      <c r="A2496" s="23">
        <v>39398</v>
      </c>
      <c r="B2496" s="23">
        <v>39398</v>
      </c>
      <c r="C2496" s="27">
        <v>2007</v>
      </c>
      <c r="D2496" s="24" t="s">
        <v>141</v>
      </c>
      <c r="E2496" s="30" t="s">
        <v>142</v>
      </c>
      <c r="F2496" s="7" t="s">
        <v>30</v>
      </c>
      <c r="G2496" s="25" t="s">
        <v>1078</v>
      </c>
      <c r="H2496" s="25" t="s">
        <v>3768</v>
      </c>
      <c r="I2496" s="20">
        <v>0</v>
      </c>
      <c r="J2496" s="20">
        <v>100</v>
      </c>
      <c r="K2496" s="20">
        <v>0</v>
      </c>
      <c r="L2496" s="20">
        <v>0</v>
      </c>
      <c r="M2496" s="20">
        <v>0</v>
      </c>
      <c r="N2496" s="20">
        <v>0</v>
      </c>
      <c r="O2496" s="75">
        <v>0</v>
      </c>
      <c r="P2496" s="76">
        <v>0</v>
      </c>
      <c r="Q2496" s="35" t="s">
        <v>154</v>
      </c>
    </row>
    <row r="2497" spans="1:17" ht="36" x14ac:dyDescent="0.25">
      <c r="A2497" s="23">
        <v>39401</v>
      </c>
      <c r="B2497" s="23">
        <v>39401</v>
      </c>
      <c r="C2497" s="27">
        <v>2007</v>
      </c>
      <c r="D2497" s="24" t="s">
        <v>141</v>
      </c>
      <c r="E2497" s="30" t="s">
        <v>142</v>
      </c>
      <c r="F2497" s="7" t="s">
        <v>65</v>
      </c>
      <c r="G2497" s="25" t="s">
        <v>2952</v>
      </c>
      <c r="H2497" s="25" t="s">
        <v>3769</v>
      </c>
      <c r="I2497" s="20">
        <v>0</v>
      </c>
      <c r="J2497" s="20">
        <v>2</v>
      </c>
      <c r="K2497" s="20">
        <v>0</v>
      </c>
      <c r="L2497" s="20">
        <v>0</v>
      </c>
      <c r="M2497" s="20">
        <v>0</v>
      </c>
      <c r="N2497" s="20">
        <v>0</v>
      </c>
      <c r="O2497" s="75">
        <v>0</v>
      </c>
      <c r="P2497" s="76">
        <v>0</v>
      </c>
      <c r="Q2497" s="35" t="s">
        <v>154</v>
      </c>
    </row>
    <row r="2498" spans="1:17" ht="24" x14ac:dyDescent="0.25">
      <c r="A2498" s="23">
        <v>39408</v>
      </c>
      <c r="B2498" s="23">
        <v>39408</v>
      </c>
      <c r="C2498" s="27">
        <v>2007</v>
      </c>
      <c r="D2498" s="24" t="s">
        <v>141</v>
      </c>
      <c r="E2498" s="30" t="s">
        <v>142</v>
      </c>
      <c r="F2498" s="7" t="s">
        <v>60</v>
      </c>
      <c r="G2498" s="25" t="s">
        <v>1256</v>
      </c>
      <c r="H2498" s="25" t="s">
        <v>3770</v>
      </c>
      <c r="I2498" s="20">
        <v>0</v>
      </c>
      <c r="J2498" s="20">
        <v>40</v>
      </c>
      <c r="K2498" s="20">
        <v>0</v>
      </c>
      <c r="L2498" s="20">
        <v>0</v>
      </c>
      <c r="M2498" s="20">
        <v>0</v>
      </c>
      <c r="N2498" s="20">
        <v>0</v>
      </c>
      <c r="O2498" s="75">
        <v>0</v>
      </c>
      <c r="P2498" s="76">
        <v>0.87</v>
      </c>
      <c r="Q2498" s="35" t="s">
        <v>154</v>
      </c>
    </row>
    <row r="2499" spans="1:17" ht="24" x14ac:dyDescent="0.25">
      <c r="A2499" s="23">
        <v>39422</v>
      </c>
      <c r="B2499" s="23">
        <v>39422</v>
      </c>
      <c r="C2499" s="27">
        <v>2007</v>
      </c>
      <c r="D2499" s="24" t="s">
        <v>141</v>
      </c>
      <c r="E2499" s="30" t="s">
        <v>142</v>
      </c>
      <c r="F2499" s="7" t="s">
        <v>45</v>
      </c>
      <c r="G2499" s="25" t="s">
        <v>1920</v>
      </c>
      <c r="H2499" s="25" t="s">
        <v>3771</v>
      </c>
      <c r="I2499" s="20">
        <v>3</v>
      </c>
      <c r="J2499" s="20">
        <v>3</v>
      </c>
      <c r="K2499" s="20">
        <v>0</v>
      </c>
      <c r="L2499" s="20">
        <v>0</v>
      </c>
      <c r="M2499" s="20">
        <v>0</v>
      </c>
      <c r="N2499" s="20">
        <v>0</v>
      </c>
      <c r="O2499" s="75">
        <v>0</v>
      </c>
      <c r="P2499" s="76">
        <v>1</v>
      </c>
      <c r="Q2499" s="35" t="s">
        <v>154</v>
      </c>
    </row>
    <row r="2500" spans="1:17" ht="48" x14ac:dyDescent="0.25">
      <c r="A2500" s="23">
        <v>39425</v>
      </c>
      <c r="B2500" s="23">
        <v>39425</v>
      </c>
      <c r="C2500" s="27">
        <v>2007</v>
      </c>
      <c r="D2500" s="24" t="s">
        <v>141</v>
      </c>
      <c r="E2500" s="30" t="s">
        <v>142</v>
      </c>
      <c r="F2500" s="7" t="s">
        <v>56</v>
      </c>
      <c r="G2500" s="25" t="s">
        <v>56</v>
      </c>
      <c r="H2500" s="25" t="s">
        <v>3772</v>
      </c>
      <c r="I2500" s="20">
        <v>8</v>
      </c>
      <c r="J2500" s="20">
        <v>40</v>
      </c>
      <c r="K2500" s="20">
        <v>0</v>
      </c>
      <c r="L2500" s="20">
        <v>0</v>
      </c>
      <c r="M2500" s="20">
        <v>0</v>
      </c>
      <c r="N2500" s="20">
        <v>0</v>
      </c>
      <c r="O2500" s="75">
        <v>0</v>
      </c>
      <c r="P2500" s="76">
        <v>0.6</v>
      </c>
      <c r="Q2500" s="35" t="s">
        <v>154</v>
      </c>
    </row>
    <row r="2501" spans="1:17" ht="48" x14ac:dyDescent="0.25">
      <c r="A2501" s="23">
        <v>39427</v>
      </c>
      <c r="B2501" s="23">
        <v>39427</v>
      </c>
      <c r="C2501" s="27">
        <v>2007</v>
      </c>
      <c r="D2501" s="24" t="s">
        <v>141</v>
      </c>
      <c r="E2501" s="30" t="s">
        <v>142</v>
      </c>
      <c r="F2501" s="7" t="s">
        <v>58</v>
      </c>
      <c r="G2501" s="25" t="s">
        <v>168</v>
      </c>
      <c r="H2501" s="25" t="s">
        <v>3773</v>
      </c>
      <c r="I2501" s="20">
        <v>0</v>
      </c>
      <c r="J2501" s="20">
        <v>2</v>
      </c>
      <c r="K2501" s="20">
        <v>0</v>
      </c>
      <c r="L2501" s="20">
        <v>0</v>
      </c>
      <c r="M2501" s="20">
        <v>0</v>
      </c>
      <c r="N2501" s="20">
        <v>0</v>
      </c>
      <c r="O2501" s="75">
        <v>0</v>
      </c>
      <c r="P2501" s="76">
        <v>1</v>
      </c>
      <c r="Q2501" s="35" t="s">
        <v>154</v>
      </c>
    </row>
    <row r="2502" spans="1:17" ht="48" x14ac:dyDescent="0.25">
      <c r="A2502" s="23">
        <v>39432</v>
      </c>
      <c r="B2502" s="23">
        <v>39432</v>
      </c>
      <c r="C2502" s="27">
        <v>2007</v>
      </c>
      <c r="D2502" s="24" t="s">
        <v>141</v>
      </c>
      <c r="E2502" s="30" t="s">
        <v>142</v>
      </c>
      <c r="F2502" s="7" t="s">
        <v>75</v>
      </c>
      <c r="G2502" s="25" t="s">
        <v>3774</v>
      </c>
      <c r="H2502" s="25" t="s">
        <v>3775</v>
      </c>
      <c r="I2502" s="20">
        <v>20</v>
      </c>
      <c r="J2502" s="20">
        <v>62</v>
      </c>
      <c r="K2502" s="20">
        <v>0</v>
      </c>
      <c r="L2502" s="20">
        <v>0</v>
      </c>
      <c r="M2502" s="20">
        <v>0</v>
      </c>
      <c r="N2502" s="20">
        <v>0</v>
      </c>
      <c r="O2502" s="75">
        <v>0</v>
      </c>
      <c r="P2502" s="76">
        <v>0.27</v>
      </c>
      <c r="Q2502" s="35" t="s">
        <v>154</v>
      </c>
    </row>
    <row r="2503" spans="1:17" ht="48" x14ac:dyDescent="0.25">
      <c r="A2503" s="23">
        <v>39443</v>
      </c>
      <c r="B2503" s="23">
        <v>39443</v>
      </c>
      <c r="C2503" s="27">
        <v>2007</v>
      </c>
      <c r="D2503" s="24" t="s">
        <v>141</v>
      </c>
      <c r="E2503" s="30" t="s">
        <v>142</v>
      </c>
      <c r="F2503" s="7" t="s">
        <v>36</v>
      </c>
      <c r="G2503" s="25" t="s">
        <v>3776</v>
      </c>
      <c r="H2503" s="25" t="s">
        <v>3777</v>
      </c>
      <c r="I2503" s="20">
        <v>1</v>
      </c>
      <c r="J2503" s="20">
        <v>3</v>
      </c>
      <c r="K2503" s="20">
        <v>0</v>
      </c>
      <c r="L2503" s="20">
        <v>0</v>
      </c>
      <c r="M2503" s="20">
        <v>0</v>
      </c>
      <c r="N2503" s="20">
        <v>0</v>
      </c>
      <c r="O2503" s="75">
        <v>0</v>
      </c>
      <c r="P2503" s="76">
        <v>0</v>
      </c>
      <c r="Q2503" s="35" t="s">
        <v>154</v>
      </c>
    </row>
    <row r="2504" spans="1:17" ht="60" x14ac:dyDescent="0.25">
      <c r="A2504" s="23">
        <v>39125</v>
      </c>
      <c r="B2504" s="23">
        <v>39125</v>
      </c>
      <c r="C2504" s="27">
        <v>2007</v>
      </c>
      <c r="D2504" s="24" t="s">
        <v>141</v>
      </c>
      <c r="E2504" s="42" t="s">
        <v>447</v>
      </c>
      <c r="F2504" s="28" t="s">
        <v>157</v>
      </c>
      <c r="G2504" s="25" t="s">
        <v>526</v>
      </c>
      <c r="H2504" s="25" t="s">
        <v>3778</v>
      </c>
      <c r="I2504" s="20">
        <v>0</v>
      </c>
      <c r="J2504" s="20">
        <v>850</v>
      </c>
      <c r="K2504" s="20">
        <v>0</v>
      </c>
      <c r="L2504" s="20">
        <v>0</v>
      </c>
      <c r="M2504" s="20">
        <v>0</v>
      </c>
      <c r="N2504" s="20">
        <v>0</v>
      </c>
      <c r="O2504" s="75">
        <v>0</v>
      </c>
      <c r="P2504" s="76">
        <v>0</v>
      </c>
      <c r="Q2504" s="35" t="s">
        <v>154</v>
      </c>
    </row>
    <row r="2505" spans="1:17" ht="36" x14ac:dyDescent="0.25">
      <c r="A2505" s="23">
        <v>39427</v>
      </c>
      <c r="B2505" s="23">
        <v>39427</v>
      </c>
      <c r="C2505" s="27">
        <v>2007</v>
      </c>
      <c r="D2505" s="24" t="s">
        <v>141</v>
      </c>
      <c r="E2505" s="42" t="s">
        <v>447</v>
      </c>
      <c r="F2505" s="28" t="s">
        <v>157</v>
      </c>
      <c r="G2505" s="25" t="s">
        <v>526</v>
      </c>
      <c r="H2505" s="25" t="s">
        <v>3779</v>
      </c>
      <c r="I2505" s="20">
        <v>0</v>
      </c>
      <c r="J2505" s="20">
        <v>3274</v>
      </c>
      <c r="K2505" s="20">
        <v>0</v>
      </c>
      <c r="L2505" s="20">
        <v>0</v>
      </c>
      <c r="M2505" s="20">
        <v>0</v>
      </c>
      <c r="N2505" s="20">
        <v>0</v>
      </c>
      <c r="O2505" s="75">
        <v>0</v>
      </c>
      <c r="P2505" s="76">
        <v>0</v>
      </c>
      <c r="Q2505" s="35" t="s">
        <v>154</v>
      </c>
    </row>
    <row r="2506" spans="1:17" ht="48" x14ac:dyDescent="0.25">
      <c r="A2506" s="23">
        <v>39335</v>
      </c>
      <c r="B2506" s="23">
        <v>39335</v>
      </c>
      <c r="C2506" s="27">
        <v>2007</v>
      </c>
      <c r="D2506" s="24" t="s">
        <v>141</v>
      </c>
      <c r="E2506" s="30" t="s">
        <v>133</v>
      </c>
      <c r="F2506" s="7" t="s">
        <v>97</v>
      </c>
      <c r="G2506" s="25" t="s">
        <v>3780</v>
      </c>
      <c r="H2506" s="25" t="s">
        <v>3781</v>
      </c>
      <c r="I2506" s="20">
        <v>0</v>
      </c>
      <c r="J2506" s="20">
        <v>1500</v>
      </c>
      <c r="K2506" s="20">
        <v>0</v>
      </c>
      <c r="L2506" s="20">
        <v>0</v>
      </c>
      <c r="M2506" s="20">
        <v>0</v>
      </c>
      <c r="N2506" s="20">
        <v>0</v>
      </c>
      <c r="O2506" s="75">
        <v>0</v>
      </c>
      <c r="P2506" s="76">
        <v>0</v>
      </c>
      <c r="Q2506" s="35" t="s">
        <v>154</v>
      </c>
    </row>
    <row r="2507" spans="1:17" ht="60" x14ac:dyDescent="0.25">
      <c r="A2507" s="23">
        <v>39335</v>
      </c>
      <c r="B2507" s="23">
        <v>39335</v>
      </c>
      <c r="C2507" s="27">
        <v>2007</v>
      </c>
      <c r="D2507" s="24" t="s">
        <v>141</v>
      </c>
      <c r="E2507" s="30" t="s">
        <v>133</v>
      </c>
      <c r="F2507" s="28" t="s">
        <v>210</v>
      </c>
      <c r="G2507" s="25" t="s">
        <v>3782</v>
      </c>
      <c r="H2507" s="25" t="s">
        <v>3783</v>
      </c>
      <c r="I2507" s="20">
        <v>0</v>
      </c>
      <c r="J2507" s="20">
        <v>24181</v>
      </c>
      <c r="K2507" s="20">
        <v>0</v>
      </c>
      <c r="L2507" s="20">
        <v>0</v>
      </c>
      <c r="M2507" s="20">
        <v>0</v>
      </c>
      <c r="N2507" s="20">
        <v>0</v>
      </c>
      <c r="O2507" s="75">
        <v>0</v>
      </c>
      <c r="P2507" s="76">
        <v>0</v>
      </c>
      <c r="Q2507" s="35" t="s">
        <v>154</v>
      </c>
    </row>
    <row r="2508" spans="1:17" ht="24" x14ac:dyDescent="0.25">
      <c r="A2508" s="23">
        <v>39401</v>
      </c>
      <c r="B2508" s="23">
        <v>39401</v>
      </c>
      <c r="C2508" s="27">
        <v>2007</v>
      </c>
      <c r="D2508" s="24" t="s">
        <v>141</v>
      </c>
      <c r="E2508" s="6" t="s">
        <v>333</v>
      </c>
      <c r="F2508" s="7" t="s">
        <v>56</v>
      </c>
      <c r="G2508" s="25" t="s">
        <v>2792</v>
      </c>
      <c r="H2508" s="25" t="s">
        <v>3784</v>
      </c>
      <c r="I2508" s="20">
        <v>0</v>
      </c>
      <c r="J2508" s="20">
        <v>995</v>
      </c>
      <c r="K2508" s="20">
        <v>0</v>
      </c>
      <c r="L2508" s="20">
        <v>0</v>
      </c>
      <c r="M2508" s="20">
        <v>0</v>
      </c>
      <c r="N2508" s="20">
        <v>0</v>
      </c>
      <c r="O2508" s="75">
        <v>0</v>
      </c>
      <c r="P2508" s="76">
        <v>0</v>
      </c>
      <c r="Q2508" s="35" t="s">
        <v>154</v>
      </c>
    </row>
    <row r="2509" spans="1:17" ht="84" x14ac:dyDescent="0.25">
      <c r="A2509" s="21">
        <v>39448</v>
      </c>
      <c r="B2509" s="21">
        <v>39448</v>
      </c>
      <c r="C2509" s="45">
        <v>2008</v>
      </c>
      <c r="D2509" s="351" t="s">
        <v>23</v>
      </c>
      <c r="E2509" s="30" t="s">
        <v>52</v>
      </c>
      <c r="F2509" s="28" t="s">
        <v>210</v>
      </c>
      <c r="G2509" s="25" t="s">
        <v>3785</v>
      </c>
      <c r="H2509" s="25" t="s">
        <v>3786</v>
      </c>
      <c r="I2509" s="46">
        <v>0</v>
      </c>
      <c r="J2509" s="46">
        <v>2929</v>
      </c>
      <c r="K2509" s="46">
        <v>0</v>
      </c>
      <c r="L2509" s="46">
        <v>0</v>
      </c>
      <c r="M2509" s="46">
        <v>0</v>
      </c>
      <c r="N2509" s="46">
        <v>0</v>
      </c>
      <c r="O2509" s="124">
        <v>7390.5</v>
      </c>
      <c r="P2509" s="102">
        <v>42.677999999999997</v>
      </c>
      <c r="Q2509" s="45" t="s">
        <v>3787</v>
      </c>
    </row>
    <row r="2510" spans="1:17" ht="48" x14ac:dyDescent="0.25">
      <c r="A2510" s="21">
        <v>39449</v>
      </c>
      <c r="B2510" s="21">
        <v>39449</v>
      </c>
      <c r="C2510" s="45">
        <v>2008</v>
      </c>
      <c r="D2510" s="351" t="s">
        <v>23</v>
      </c>
      <c r="E2510" s="30" t="s">
        <v>86</v>
      </c>
      <c r="F2510" s="7" t="s">
        <v>36</v>
      </c>
      <c r="G2510" s="25" t="s">
        <v>3788</v>
      </c>
      <c r="H2510" s="25" t="s">
        <v>3789</v>
      </c>
      <c r="I2510" s="46">
        <v>0</v>
      </c>
      <c r="J2510" s="46">
        <f t="shared" ref="J2510:J2520" si="11">(K2510*5)+I2510</f>
        <v>450</v>
      </c>
      <c r="K2510" s="46">
        <v>90</v>
      </c>
      <c r="L2510" s="46">
        <v>0</v>
      </c>
      <c r="M2510" s="46">
        <v>0</v>
      </c>
      <c r="N2510" s="46">
        <v>0</v>
      </c>
      <c r="O2510" s="124">
        <v>0</v>
      </c>
      <c r="P2510" s="102">
        <v>0.419796</v>
      </c>
      <c r="Q2510" s="45" t="s">
        <v>154</v>
      </c>
    </row>
    <row r="2511" spans="1:17" ht="60" x14ac:dyDescent="0.25">
      <c r="A2511" s="21">
        <v>39454</v>
      </c>
      <c r="B2511" s="21">
        <v>39454</v>
      </c>
      <c r="C2511" s="45">
        <v>2008</v>
      </c>
      <c r="D2511" s="351" t="s">
        <v>23</v>
      </c>
      <c r="E2511" s="30" t="s">
        <v>86</v>
      </c>
      <c r="F2511" s="7" t="s">
        <v>30</v>
      </c>
      <c r="G2511" s="25" t="s">
        <v>1078</v>
      </c>
      <c r="H2511" s="29" t="s">
        <v>3790</v>
      </c>
      <c r="I2511" s="46">
        <v>1</v>
      </c>
      <c r="J2511" s="46">
        <f t="shared" si="11"/>
        <v>11</v>
      </c>
      <c r="K2511" s="46">
        <v>2</v>
      </c>
      <c r="L2511" s="46">
        <v>0</v>
      </c>
      <c r="M2511" s="46">
        <v>0</v>
      </c>
      <c r="N2511" s="46">
        <v>0</v>
      </c>
      <c r="O2511" s="124">
        <v>0</v>
      </c>
      <c r="P2511" s="102">
        <v>9.9000000000000005E-2</v>
      </c>
      <c r="Q2511" s="45" t="s">
        <v>154</v>
      </c>
    </row>
    <row r="2512" spans="1:17" ht="36" x14ac:dyDescent="0.25">
      <c r="A2512" s="21">
        <v>39466</v>
      </c>
      <c r="B2512" s="21">
        <v>39466</v>
      </c>
      <c r="C2512" s="45">
        <v>2008</v>
      </c>
      <c r="D2512" s="351" t="s">
        <v>23</v>
      </c>
      <c r="E2512" s="30" t="s">
        <v>86</v>
      </c>
      <c r="F2512" s="28" t="s">
        <v>163</v>
      </c>
      <c r="G2512" s="25" t="s">
        <v>3791</v>
      </c>
      <c r="H2512" s="25" t="s">
        <v>3792</v>
      </c>
      <c r="I2512" s="46">
        <v>0</v>
      </c>
      <c r="J2512" s="46">
        <f t="shared" si="11"/>
        <v>100</v>
      </c>
      <c r="K2512" s="46">
        <v>20</v>
      </c>
      <c r="L2512" s="46">
        <v>0</v>
      </c>
      <c r="M2512" s="46">
        <v>0</v>
      </c>
      <c r="N2512" s="46">
        <v>0</v>
      </c>
      <c r="O2512" s="124">
        <v>0</v>
      </c>
      <c r="P2512" s="102">
        <v>9.3287999999999996E-2</v>
      </c>
      <c r="Q2512" s="45" t="s">
        <v>154</v>
      </c>
    </row>
    <row r="2513" spans="1:17" ht="60" x14ac:dyDescent="0.25">
      <c r="A2513" s="21">
        <v>39504</v>
      </c>
      <c r="B2513" s="21">
        <v>39504</v>
      </c>
      <c r="C2513" s="45">
        <v>2008</v>
      </c>
      <c r="D2513" s="351" t="s">
        <v>23</v>
      </c>
      <c r="E2513" s="30" t="s">
        <v>86</v>
      </c>
      <c r="F2513" s="7" t="s">
        <v>75</v>
      </c>
      <c r="G2513" s="25" t="s">
        <v>3793</v>
      </c>
      <c r="H2513" s="25" t="s">
        <v>3794</v>
      </c>
      <c r="I2513" s="46">
        <v>0</v>
      </c>
      <c r="J2513" s="46">
        <f t="shared" si="11"/>
        <v>325</v>
      </c>
      <c r="K2513" s="46">
        <v>65</v>
      </c>
      <c r="L2513" s="46">
        <v>0</v>
      </c>
      <c r="M2513" s="46">
        <v>0</v>
      </c>
      <c r="N2513" s="46">
        <v>0</v>
      </c>
      <c r="O2513" s="124">
        <v>0</v>
      </c>
      <c r="P2513" s="102">
        <v>0.75587199999999999</v>
      </c>
      <c r="Q2513" s="45" t="s">
        <v>154</v>
      </c>
    </row>
    <row r="2514" spans="1:17" ht="48" x14ac:dyDescent="0.25">
      <c r="A2514" s="21">
        <v>39505</v>
      </c>
      <c r="B2514" s="21">
        <v>39505</v>
      </c>
      <c r="C2514" s="45">
        <v>2008</v>
      </c>
      <c r="D2514" s="351" t="s">
        <v>23</v>
      </c>
      <c r="E2514" s="30" t="s">
        <v>86</v>
      </c>
      <c r="F2514" s="7" t="s">
        <v>36</v>
      </c>
      <c r="G2514" s="25" t="s">
        <v>3795</v>
      </c>
      <c r="H2514" s="25" t="s">
        <v>3796</v>
      </c>
      <c r="I2514" s="46">
        <v>0</v>
      </c>
      <c r="J2514" s="46">
        <f t="shared" si="11"/>
        <v>15</v>
      </c>
      <c r="K2514" s="46">
        <v>3</v>
      </c>
      <c r="L2514" s="46">
        <v>0</v>
      </c>
      <c r="M2514" s="46">
        <v>0</v>
      </c>
      <c r="N2514" s="46">
        <v>0</v>
      </c>
      <c r="O2514" s="124">
        <v>0</v>
      </c>
      <c r="P2514" s="102">
        <v>3.4886E-2</v>
      </c>
      <c r="Q2514" s="45" t="s">
        <v>154</v>
      </c>
    </row>
    <row r="2515" spans="1:17" ht="120" x14ac:dyDescent="0.25">
      <c r="A2515" s="21">
        <v>39511</v>
      </c>
      <c r="B2515" s="21">
        <v>39511</v>
      </c>
      <c r="C2515" s="45">
        <v>2008</v>
      </c>
      <c r="D2515" s="351" t="s">
        <v>23</v>
      </c>
      <c r="E2515" s="30" t="s">
        <v>86</v>
      </c>
      <c r="F2515" s="28" t="s">
        <v>210</v>
      </c>
      <c r="G2515" s="25" t="s">
        <v>3797</v>
      </c>
      <c r="H2515" s="25" t="s">
        <v>3798</v>
      </c>
      <c r="I2515" s="46">
        <v>0</v>
      </c>
      <c r="J2515" s="46">
        <f t="shared" si="11"/>
        <v>5</v>
      </c>
      <c r="K2515" s="46">
        <v>1</v>
      </c>
      <c r="L2515" s="46">
        <v>0</v>
      </c>
      <c r="M2515" s="46">
        <v>0</v>
      </c>
      <c r="N2515" s="46">
        <v>0</v>
      </c>
      <c r="O2515" s="124">
        <v>0</v>
      </c>
      <c r="P2515" s="102">
        <v>0.101628</v>
      </c>
      <c r="Q2515" s="45" t="s">
        <v>154</v>
      </c>
    </row>
    <row r="2516" spans="1:17" ht="48" x14ac:dyDescent="0.25">
      <c r="A2516" s="21">
        <v>39546</v>
      </c>
      <c r="B2516" s="21">
        <v>39546</v>
      </c>
      <c r="C2516" s="45">
        <v>2008</v>
      </c>
      <c r="D2516" s="351" t="s">
        <v>23</v>
      </c>
      <c r="E2516" s="30" t="s">
        <v>86</v>
      </c>
      <c r="F2516" s="7" t="s">
        <v>36</v>
      </c>
      <c r="G2516" s="25" t="s">
        <v>3799</v>
      </c>
      <c r="H2516" s="25" t="s">
        <v>3800</v>
      </c>
      <c r="I2516" s="46">
        <v>0</v>
      </c>
      <c r="J2516" s="46">
        <f t="shared" si="11"/>
        <v>60</v>
      </c>
      <c r="K2516" s="46">
        <v>12</v>
      </c>
      <c r="L2516" s="46">
        <v>0</v>
      </c>
      <c r="M2516" s="46">
        <v>0</v>
      </c>
      <c r="N2516" s="46">
        <v>0</v>
      </c>
      <c r="O2516" s="124">
        <v>0</v>
      </c>
      <c r="P2516" s="102">
        <v>0.139545</v>
      </c>
      <c r="Q2516" s="45" t="s">
        <v>154</v>
      </c>
    </row>
    <row r="2517" spans="1:17" ht="48" x14ac:dyDescent="0.25">
      <c r="A2517" s="21">
        <v>39546</v>
      </c>
      <c r="B2517" s="21">
        <v>39546</v>
      </c>
      <c r="C2517" s="45">
        <v>2008</v>
      </c>
      <c r="D2517" s="351" t="s">
        <v>23</v>
      </c>
      <c r="E2517" s="30" t="s">
        <v>86</v>
      </c>
      <c r="F2517" s="28" t="s">
        <v>151</v>
      </c>
      <c r="G2517" s="25" t="s">
        <v>3801</v>
      </c>
      <c r="H2517" s="25" t="s">
        <v>3802</v>
      </c>
      <c r="I2517" s="46">
        <v>0</v>
      </c>
      <c r="J2517" s="46">
        <f t="shared" si="11"/>
        <v>50</v>
      </c>
      <c r="K2517" s="46">
        <v>10</v>
      </c>
      <c r="L2517" s="46">
        <v>0</v>
      </c>
      <c r="M2517" s="46">
        <v>0</v>
      </c>
      <c r="N2517" s="46">
        <v>0</v>
      </c>
      <c r="O2517" s="124">
        <v>0</v>
      </c>
      <c r="P2517" s="102">
        <v>0.116288</v>
      </c>
      <c r="Q2517" s="45" t="s">
        <v>154</v>
      </c>
    </row>
    <row r="2518" spans="1:17" ht="48" x14ac:dyDescent="0.25">
      <c r="A2518" s="21">
        <v>39550</v>
      </c>
      <c r="B2518" s="21">
        <v>39550</v>
      </c>
      <c r="C2518" s="45">
        <v>2008</v>
      </c>
      <c r="D2518" s="351" t="s">
        <v>23</v>
      </c>
      <c r="E2518" s="30" t="s">
        <v>86</v>
      </c>
      <c r="F2518" s="7" t="s">
        <v>82</v>
      </c>
      <c r="G2518" s="25" t="s">
        <v>3803</v>
      </c>
      <c r="H2518" s="25" t="s">
        <v>3804</v>
      </c>
      <c r="I2518" s="46">
        <v>0</v>
      </c>
      <c r="J2518" s="46">
        <f t="shared" si="11"/>
        <v>50</v>
      </c>
      <c r="K2518" s="46">
        <v>10</v>
      </c>
      <c r="L2518" s="46">
        <v>0</v>
      </c>
      <c r="M2518" s="46">
        <v>0</v>
      </c>
      <c r="N2518" s="46">
        <v>0</v>
      </c>
      <c r="O2518" s="124">
        <v>0</v>
      </c>
      <c r="P2518" s="102">
        <v>0.12</v>
      </c>
      <c r="Q2518" s="45" t="s">
        <v>154</v>
      </c>
    </row>
    <row r="2519" spans="1:17" ht="24" x14ac:dyDescent="0.25">
      <c r="A2519" s="21">
        <v>39550</v>
      </c>
      <c r="B2519" s="21">
        <v>39550</v>
      </c>
      <c r="C2519" s="45">
        <v>2008</v>
      </c>
      <c r="D2519" s="351" t="s">
        <v>23</v>
      </c>
      <c r="E2519" s="30" t="s">
        <v>86</v>
      </c>
      <c r="F2519" s="7" t="s">
        <v>97</v>
      </c>
      <c r="G2519" s="25" t="s">
        <v>3805</v>
      </c>
      <c r="H2519" s="25" t="s">
        <v>3806</v>
      </c>
      <c r="I2519" s="46">
        <v>0</v>
      </c>
      <c r="J2519" s="46">
        <f t="shared" si="11"/>
        <v>250</v>
      </c>
      <c r="K2519" s="46">
        <v>50</v>
      </c>
      <c r="L2519" s="46">
        <v>0</v>
      </c>
      <c r="M2519" s="46">
        <v>0</v>
      </c>
      <c r="N2519" s="46">
        <v>0</v>
      </c>
      <c r="O2519" s="124">
        <v>0</v>
      </c>
      <c r="P2519" s="102">
        <v>0.23322000000000001</v>
      </c>
      <c r="Q2519" s="45" t="s">
        <v>154</v>
      </c>
    </row>
    <row r="2520" spans="1:17" ht="48" x14ac:dyDescent="0.25">
      <c r="A2520" s="21">
        <v>39550</v>
      </c>
      <c r="B2520" s="21">
        <v>39550</v>
      </c>
      <c r="C2520" s="45">
        <v>2008</v>
      </c>
      <c r="D2520" s="351" t="s">
        <v>23</v>
      </c>
      <c r="E2520" s="30" t="s">
        <v>86</v>
      </c>
      <c r="F2520" s="28" t="s">
        <v>210</v>
      </c>
      <c r="G2520" s="25" t="s">
        <v>3807</v>
      </c>
      <c r="H2520" s="25" t="s">
        <v>3808</v>
      </c>
      <c r="I2520" s="46">
        <v>0</v>
      </c>
      <c r="J2520" s="46">
        <f t="shared" si="11"/>
        <v>3640</v>
      </c>
      <c r="K2520" s="46">
        <v>728</v>
      </c>
      <c r="L2520" s="46">
        <v>0</v>
      </c>
      <c r="M2520" s="46">
        <v>0</v>
      </c>
      <c r="N2520" s="46">
        <v>0</v>
      </c>
      <c r="O2520" s="124">
        <v>0</v>
      </c>
      <c r="P2520" s="102">
        <v>3.395683</v>
      </c>
      <c r="Q2520" s="45" t="s">
        <v>154</v>
      </c>
    </row>
    <row r="2521" spans="1:17" ht="84" x14ac:dyDescent="0.25">
      <c r="A2521" s="21">
        <v>39551</v>
      </c>
      <c r="B2521" s="21">
        <v>39551</v>
      </c>
      <c r="C2521" s="45">
        <v>2008</v>
      </c>
      <c r="D2521" s="351" t="s">
        <v>23</v>
      </c>
      <c r="E2521" s="30" t="s">
        <v>86</v>
      </c>
      <c r="F2521" s="7" t="s">
        <v>62</v>
      </c>
      <c r="G2521" s="25" t="s">
        <v>622</v>
      </c>
      <c r="H2521" s="25" t="s">
        <v>3809</v>
      </c>
      <c r="I2521" s="46">
        <v>0</v>
      </c>
      <c r="J2521" s="46">
        <v>17</v>
      </c>
      <c r="K2521" s="46">
        <v>3</v>
      </c>
      <c r="L2521" s="46">
        <v>0</v>
      </c>
      <c r="M2521" s="46">
        <v>1</v>
      </c>
      <c r="N2521" s="46">
        <v>0</v>
      </c>
      <c r="O2521" s="124">
        <v>0</v>
      </c>
      <c r="P2521" s="102">
        <v>1.3990000000000001E-2</v>
      </c>
      <c r="Q2521" s="45" t="s">
        <v>154</v>
      </c>
    </row>
    <row r="2522" spans="1:17" ht="48" x14ac:dyDescent="0.25">
      <c r="A2522" s="21">
        <v>39561</v>
      </c>
      <c r="B2522" s="21">
        <v>39561</v>
      </c>
      <c r="C2522" s="45">
        <v>2008</v>
      </c>
      <c r="D2522" s="351" t="s">
        <v>23</v>
      </c>
      <c r="E2522" s="30" t="s">
        <v>86</v>
      </c>
      <c r="F2522" s="7" t="s">
        <v>97</v>
      </c>
      <c r="G2522" s="25" t="s">
        <v>489</v>
      </c>
      <c r="H2522" s="25" t="s">
        <v>3810</v>
      </c>
      <c r="I2522" s="46">
        <v>0</v>
      </c>
      <c r="J2522" s="46">
        <v>350</v>
      </c>
      <c r="K2522" s="46">
        <v>70</v>
      </c>
      <c r="L2522" s="46">
        <v>0</v>
      </c>
      <c r="M2522" s="46">
        <v>0</v>
      </c>
      <c r="N2522" s="46">
        <v>0</v>
      </c>
      <c r="O2522" s="124">
        <v>0</v>
      </c>
      <c r="P2522" s="102">
        <v>0.81401599999999996</v>
      </c>
      <c r="Q2522" s="45" t="s">
        <v>154</v>
      </c>
    </row>
    <row r="2523" spans="1:17" ht="48" x14ac:dyDescent="0.25">
      <c r="A2523" s="21">
        <v>39561</v>
      </c>
      <c r="B2523" s="21">
        <v>39561</v>
      </c>
      <c r="C2523" s="45">
        <v>2008</v>
      </c>
      <c r="D2523" s="351" t="s">
        <v>23</v>
      </c>
      <c r="E2523" s="30" t="s">
        <v>86</v>
      </c>
      <c r="F2523" s="7" t="s">
        <v>97</v>
      </c>
      <c r="G2523" s="25" t="s">
        <v>3811</v>
      </c>
      <c r="H2523" s="25" t="s">
        <v>3812</v>
      </c>
      <c r="I2523" s="46">
        <v>0</v>
      </c>
      <c r="J2523" s="46">
        <v>45</v>
      </c>
      <c r="K2523" s="46">
        <v>9</v>
      </c>
      <c r="L2523" s="46">
        <v>0</v>
      </c>
      <c r="M2523" s="46">
        <v>0</v>
      </c>
      <c r="N2523" s="46">
        <v>0</v>
      </c>
      <c r="O2523" s="124">
        <v>0</v>
      </c>
      <c r="P2523" s="102">
        <v>0.104659</v>
      </c>
      <c r="Q2523" s="45" t="s">
        <v>154</v>
      </c>
    </row>
    <row r="2524" spans="1:17" ht="48" x14ac:dyDescent="0.25">
      <c r="A2524" s="21">
        <v>39561</v>
      </c>
      <c r="B2524" s="21">
        <v>39561</v>
      </c>
      <c r="C2524" s="45">
        <v>2008</v>
      </c>
      <c r="D2524" s="351" t="s">
        <v>23</v>
      </c>
      <c r="E2524" s="30" t="s">
        <v>86</v>
      </c>
      <c r="F2524" s="7" t="s">
        <v>45</v>
      </c>
      <c r="G2524" s="25" t="s">
        <v>3813</v>
      </c>
      <c r="H2524" s="25" t="s">
        <v>3814</v>
      </c>
      <c r="I2524" s="46">
        <v>0</v>
      </c>
      <c r="J2524" s="46">
        <v>100</v>
      </c>
      <c r="K2524" s="46">
        <v>20</v>
      </c>
      <c r="L2524" s="46">
        <v>0</v>
      </c>
      <c r="M2524" s="46">
        <v>0</v>
      </c>
      <c r="N2524" s="46">
        <v>0</v>
      </c>
      <c r="O2524" s="124">
        <v>0</v>
      </c>
      <c r="P2524" s="102">
        <v>0.232576</v>
      </c>
      <c r="Q2524" s="45" t="s">
        <v>154</v>
      </c>
    </row>
    <row r="2525" spans="1:17" ht="60" x14ac:dyDescent="0.25">
      <c r="A2525" s="21">
        <v>39562</v>
      </c>
      <c r="B2525" s="21">
        <v>39562</v>
      </c>
      <c r="C2525" s="45">
        <v>2008</v>
      </c>
      <c r="D2525" s="351" t="s">
        <v>23</v>
      </c>
      <c r="E2525" s="30" t="s">
        <v>86</v>
      </c>
      <c r="F2525" s="28" t="s">
        <v>160</v>
      </c>
      <c r="G2525" s="25" t="s">
        <v>3815</v>
      </c>
      <c r="H2525" s="25" t="s">
        <v>3816</v>
      </c>
      <c r="I2525" s="46">
        <v>0</v>
      </c>
      <c r="J2525" s="46">
        <v>30</v>
      </c>
      <c r="K2525" s="46">
        <v>6</v>
      </c>
      <c r="L2525" s="46">
        <v>0</v>
      </c>
      <c r="M2525" s="46">
        <v>0</v>
      </c>
      <c r="N2525" s="46">
        <v>0</v>
      </c>
      <c r="O2525" s="124">
        <v>0</v>
      </c>
      <c r="P2525" s="102">
        <v>6.9772000000000001E-2</v>
      </c>
      <c r="Q2525" s="45" t="s">
        <v>154</v>
      </c>
    </row>
    <row r="2526" spans="1:17" ht="36" x14ac:dyDescent="0.25">
      <c r="A2526" s="21">
        <v>39564</v>
      </c>
      <c r="B2526" s="21">
        <v>39564</v>
      </c>
      <c r="C2526" s="45">
        <v>2008</v>
      </c>
      <c r="D2526" s="351" t="s">
        <v>23</v>
      </c>
      <c r="E2526" s="30" t="s">
        <v>86</v>
      </c>
      <c r="F2526" s="7" t="s">
        <v>91</v>
      </c>
      <c r="G2526" s="25" t="s">
        <v>3386</v>
      </c>
      <c r="H2526" s="25" t="s">
        <v>3817</v>
      </c>
      <c r="I2526" s="46">
        <v>1</v>
      </c>
      <c r="J2526" s="46">
        <v>1</v>
      </c>
      <c r="K2526" s="46">
        <v>0</v>
      </c>
      <c r="L2526" s="46">
        <v>0</v>
      </c>
      <c r="M2526" s="46">
        <v>0</v>
      </c>
      <c r="N2526" s="46">
        <v>0</v>
      </c>
      <c r="O2526" s="124">
        <v>0</v>
      </c>
      <c r="P2526" s="102">
        <v>4.4999999999999998E-2</v>
      </c>
      <c r="Q2526" s="45" t="s">
        <v>154</v>
      </c>
    </row>
    <row r="2527" spans="1:17" ht="84" x14ac:dyDescent="0.25">
      <c r="A2527" s="21">
        <v>39565</v>
      </c>
      <c r="B2527" s="21">
        <v>39565</v>
      </c>
      <c r="C2527" s="45">
        <v>2008</v>
      </c>
      <c r="D2527" s="351" t="s">
        <v>23</v>
      </c>
      <c r="E2527" s="30" t="s">
        <v>86</v>
      </c>
      <c r="F2527" s="7" t="s">
        <v>72</v>
      </c>
      <c r="G2527" s="25" t="s">
        <v>3818</v>
      </c>
      <c r="H2527" s="25" t="s">
        <v>3819</v>
      </c>
      <c r="I2527" s="46">
        <v>2</v>
      </c>
      <c r="J2527" s="46">
        <v>2</v>
      </c>
      <c r="K2527" s="46">
        <v>0</v>
      </c>
      <c r="L2527" s="46">
        <v>0</v>
      </c>
      <c r="M2527" s="46">
        <v>0</v>
      </c>
      <c r="N2527" s="46">
        <v>0</v>
      </c>
      <c r="O2527" s="124">
        <v>0</v>
      </c>
      <c r="P2527" s="102">
        <v>0</v>
      </c>
      <c r="Q2527" s="45" t="s">
        <v>154</v>
      </c>
    </row>
    <row r="2528" spans="1:17" ht="60" x14ac:dyDescent="0.25">
      <c r="A2528" s="21">
        <v>39567</v>
      </c>
      <c r="B2528" s="21">
        <v>39567</v>
      </c>
      <c r="C2528" s="45">
        <v>2008</v>
      </c>
      <c r="D2528" s="351" t="s">
        <v>23</v>
      </c>
      <c r="E2528" s="30" t="s">
        <v>86</v>
      </c>
      <c r="F2528" s="25" t="s">
        <v>781</v>
      </c>
      <c r="G2528" s="25" t="s">
        <v>3820</v>
      </c>
      <c r="H2528" s="25" t="s">
        <v>3821</v>
      </c>
      <c r="I2528" s="46">
        <v>1</v>
      </c>
      <c r="J2528" s="46">
        <v>1</v>
      </c>
      <c r="K2528" s="46">
        <v>0</v>
      </c>
      <c r="L2528" s="46">
        <v>0</v>
      </c>
      <c r="M2528" s="46">
        <v>0</v>
      </c>
      <c r="N2528" s="46">
        <v>0</v>
      </c>
      <c r="O2528" s="124">
        <v>0</v>
      </c>
      <c r="P2528" s="102">
        <v>0</v>
      </c>
      <c r="Q2528" s="45" t="s">
        <v>154</v>
      </c>
    </row>
    <row r="2529" spans="1:17" ht="60" x14ac:dyDescent="0.25">
      <c r="A2529" s="21">
        <v>39574</v>
      </c>
      <c r="B2529" s="21">
        <v>39574</v>
      </c>
      <c r="C2529" s="45">
        <v>2008</v>
      </c>
      <c r="D2529" s="351" t="s">
        <v>23</v>
      </c>
      <c r="E2529" s="30" t="s">
        <v>86</v>
      </c>
      <c r="F2529" s="7" t="s">
        <v>91</v>
      </c>
      <c r="G2529" s="25" t="s">
        <v>3822</v>
      </c>
      <c r="H2529" s="25" t="s">
        <v>3823</v>
      </c>
      <c r="I2529" s="46">
        <v>0</v>
      </c>
      <c r="J2529" s="46">
        <v>1000</v>
      </c>
      <c r="K2529" s="46">
        <v>200</v>
      </c>
      <c r="L2529" s="46">
        <v>0</v>
      </c>
      <c r="M2529" s="46">
        <v>0</v>
      </c>
      <c r="N2529" s="46">
        <v>0</v>
      </c>
      <c r="O2529" s="124">
        <v>0</v>
      </c>
      <c r="P2529" s="102">
        <v>0.4</v>
      </c>
      <c r="Q2529" s="45" t="s">
        <v>154</v>
      </c>
    </row>
    <row r="2530" spans="1:17" ht="60" x14ac:dyDescent="0.25">
      <c r="A2530" s="21">
        <v>39579</v>
      </c>
      <c r="B2530" s="21">
        <v>39579</v>
      </c>
      <c r="C2530" s="45">
        <v>2008</v>
      </c>
      <c r="D2530" s="351" t="s">
        <v>23</v>
      </c>
      <c r="E2530" s="30" t="s">
        <v>86</v>
      </c>
      <c r="F2530" s="28" t="s">
        <v>157</v>
      </c>
      <c r="G2530" s="25" t="s">
        <v>2698</v>
      </c>
      <c r="H2530" s="25" t="s">
        <v>3824</v>
      </c>
      <c r="I2530" s="46">
        <v>0</v>
      </c>
      <c r="J2530" s="46">
        <v>6</v>
      </c>
      <c r="K2530" s="46">
        <v>0</v>
      </c>
      <c r="L2530" s="46">
        <v>0</v>
      </c>
      <c r="M2530" s="46">
        <v>0</v>
      </c>
      <c r="N2530" s="46">
        <v>0</v>
      </c>
      <c r="O2530" s="124">
        <v>0</v>
      </c>
      <c r="P2530" s="102">
        <v>0</v>
      </c>
      <c r="Q2530" s="45" t="s">
        <v>154</v>
      </c>
    </row>
    <row r="2531" spans="1:17" ht="48" x14ac:dyDescent="0.25">
      <c r="A2531" s="21">
        <v>39581</v>
      </c>
      <c r="B2531" s="21">
        <v>39581</v>
      </c>
      <c r="C2531" s="45">
        <v>2008</v>
      </c>
      <c r="D2531" s="351" t="s">
        <v>23</v>
      </c>
      <c r="E2531" s="30" t="s">
        <v>86</v>
      </c>
      <c r="F2531" s="7" t="s">
        <v>75</v>
      </c>
      <c r="G2531" s="25" t="s">
        <v>3825</v>
      </c>
      <c r="H2531" s="25" t="s">
        <v>3826</v>
      </c>
      <c r="I2531" s="46">
        <v>0</v>
      </c>
      <c r="J2531" s="46">
        <v>500</v>
      </c>
      <c r="K2531" s="46">
        <v>100</v>
      </c>
      <c r="L2531" s="46">
        <v>0</v>
      </c>
      <c r="M2531" s="46">
        <v>0</v>
      </c>
      <c r="N2531" s="46">
        <v>0</v>
      </c>
      <c r="O2531" s="124">
        <v>0</v>
      </c>
      <c r="P2531" s="102">
        <v>1.1628799999999999</v>
      </c>
      <c r="Q2531" s="45" t="s">
        <v>154</v>
      </c>
    </row>
    <row r="2532" spans="1:17" ht="36" x14ac:dyDescent="0.25">
      <c r="A2532" s="21">
        <v>39582</v>
      </c>
      <c r="B2532" s="21">
        <v>39582</v>
      </c>
      <c r="C2532" s="45">
        <v>2008</v>
      </c>
      <c r="D2532" s="351" t="s">
        <v>23</v>
      </c>
      <c r="E2532" s="30" t="s">
        <v>86</v>
      </c>
      <c r="F2532" s="7" t="s">
        <v>36</v>
      </c>
      <c r="G2532" s="25" t="s">
        <v>3827</v>
      </c>
      <c r="H2532" s="25" t="s">
        <v>3828</v>
      </c>
      <c r="I2532" s="46">
        <v>0</v>
      </c>
      <c r="J2532" s="46">
        <v>450</v>
      </c>
      <c r="K2532" s="46">
        <v>90</v>
      </c>
      <c r="L2532" s="46">
        <v>0</v>
      </c>
      <c r="M2532" s="46">
        <v>0</v>
      </c>
      <c r="N2532" s="46">
        <v>0</v>
      </c>
      <c r="O2532" s="124">
        <v>0</v>
      </c>
      <c r="P2532" s="102">
        <v>1.257083</v>
      </c>
      <c r="Q2532" s="45" t="s">
        <v>154</v>
      </c>
    </row>
    <row r="2533" spans="1:17" ht="60" x14ac:dyDescent="0.25">
      <c r="A2533" s="21">
        <v>39583</v>
      </c>
      <c r="B2533" s="21">
        <v>39583</v>
      </c>
      <c r="C2533" s="45">
        <v>2008</v>
      </c>
      <c r="D2533" s="351" t="s">
        <v>23</v>
      </c>
      <c r="E2533" s="30" t="s">
        <v>86</v>
      </c>
      <c r="F2533" s="28" t="s">
        <v>210</v>
      </c>
      <c r="G2533" s="25" t="s">
        <v>3829</v>
      </c>
      <c r="H2533" s="25" t="s">
        <v>3830</v>
      </c>
      <c r="I2533" s="46">
        <v>0</v>
      </c>
      <c r="J2533" s="46">
        <v>12550</v>
      </c>
      <c r="K2533" s="46">
        <v>2510</v>
      </c>
      <c r="L2533" s="46">
        <v>0</v>
      </c>
      <c r="M2533" s="46">
        <v>0</v>
      </c>
      <c r="N2533" s="46">
        <v>0</v>
      </c>
      <c r="O2533" s="124">
        <v>0</v>
      </c>
      <c r="P2533" s="102">
        <v>5.0199999999999996</v>
      </c>
      <c r="Q2533" s="45" t="s">
        <v>154</v>
      </c>
    </row>
    <row r="2534" spans="1:17" ht="48" x14ac:dyDescent="0.25">
      <c r="A2534" s="21">
        <v>39586</v>
      </c>
      <c r="B2534" s="21">
        <v>39586</v>
      </c>
      <c r="C2534" s="45">
        <v>2008</v>
      </c>
      <c r="D2534" s="351" t="s">
        <v>23</v>
      </c>
      <c r="E2534" s="30" t="s">
        <v>86</v>
      </c>
      <c r="F2534" s="7" t="s">
        <v>75</v>
      </c>
      <c r="G2534" s="25" t="s">
        <v>3831</v>
      </c>
      <c r="H2534" s="25" t="s">
        <v>3832</v>
      </c>
      <c r="I2534" s="46">
        <v>0</v>
      </c>
      <c r="J2534" s="46">
        <v>600</v>
      </c>
      <c r="K2534" s="46">
        <v>120</v>
      </c>
      <c r="L2534" s="46">
        <v>0</v>
      </c>
      <c r="M2534" s="46">
        <v>0</v>
      </c>
      <c r="N2534" s="46">
        <v>0</v>
      </c>
      <c r="O2534" s="124">
        <v>0</v>
      </c>
      <c r="P2534" s="102">
        <v>0.24</v>
      </c>
      <c r="Q2534" s="45" t="s">
        <v>154</v>
      </c>
    </row>
    <row r="2535" spans="1:17" ht="36" x14ac:dyDescent="0.25">
      <c r="A2535" s="21">
        <v>39587</v>
      </c>
      <c r="B2535" s="21">
        <v>39587</v>
      </c>
      <c r="C2535" s="45">
        <v>2008</v>
      </c>
      <c r="D2535" s="351" t="s">
        <v>23</v>
      </c>
      <c r="E2535" s="30" t="s">
        <v>86</v>
      </c>
      <c r="F2535" s="7" t="s">
        <v>56</v>
      </c>
      <c r="G2535" s="25" t="s">
        <v>1707</v>
      </c>
      <c r="H2535" s="25" t="s">
        <v>3833</v>
      </c>
      <c r="I2535" s="46">
        <v>1</v>
      </c>
      <c r="J2535" s="46">
        <v>1</v>
      </c>
      <c r="K2535" s="46">
        <v>0</v>
      </c>
      <c r="L2535" s="46">
        <v>0</v>
      </c>
      <c r="M2535" s="46">
        <v>0</v>
      </c>
      <c r="N2535" s="46">
        <v>0</v>
      </c>
      <c r="O2535" s="124">
        <v>0</v>
      </c>
      <c r="P2535" s="102">
        <v>0</v>
      </c>
      <c r="Q2535" s="45" t="s">
        <v>154</v>
      </c>
    </row>
    <row r="2536" spans="1:17" ht="36" x14ac:dyDescent="0.25">
      <c r="A2536" s="21">
        <v>39594</v>
      </c>
      <c r="B2536" s="21">
        <v>39594</v>
      </c>
      <c r="C2536" s="45">
        <v>2008</v>
      </c>
      <c r="D2536" s="351" t="s">
        <v>23</v>
      </c>
      <c r="E2536" s="30" t="s">
        <v>86</v>
      </c>
      <c r="F2536" s="7" t="s">
        <v>72</v>
      </c>
      <c r="G2536" s="25" t="s">
        <v>3834</v>
      </c>
      <c r="H2536" s="25" t="s">
        <v>3835</v>
      </c>
      <c r="I2536" s="46">
        <v>0</v>
      </c>
      <c r="J2536" s="46">
        <v>40</v>
      </c>
      <c r="K2536" s="46">
        <v>8</v>
      </c>
      <c r="L2536" s="46">
        <v>1</v>
      </c>
      <c r="M2536" s="46">
        <v>0</v>
      </c>
      <c r="N2536" s="46">
        <v>0</v>
      </c>
      <c r="O2536" s="124">
        <v>0</v>
      </c>
      <c r="P2536" s="102">
        <v>9.3030000000000002E-2</v>
      </c>
      <c r="Q2536" s="45" t="s">
        <v>154</v>
      </c>
    </row>
    <row r="2537" spans="1:17" ht="24" x14ac:dyDescent="0.25">
      <c r="A2537" s="21">
        <v>39595</v>
      </c>
      <c r="B2537" s="21">
        <v>39595</v>
      </c>
      <c r="C2537" s="45">
        <v>2008</v>
      </c>
      <c r="D2537" s="351" t="s">
        <v>23</v>
      </c>
      <c r="E2537" s="30" t="s">
        <v>86</v>
      </c>
      <c r="F2537" s="28" t="s">
        <v>210</v>
      </c>
      <c r="G2537" s="25" t="s">
        <v>2317</v>
      </c>
      <c r="H2537" s="25" t="s">
        <v>3836</v>
      </c>
      <c r="I2537" s="46">
        <v>0</v>
      </c>
      <c r="J2537" s="46">
        <v>100</v>
      </c>
      <c r="K2537" s="46">
        <v>20</v>
      </c>
      <c r="L2537" s="46">
        <v>0</v>
      </c>
      <c r="M2537" s="46">
        <v>0</v>
      </c>
      <c r="N2537" s="46">
        <v>0</v>
      </c>
      <c r="O2537" s="124">
        <v>0</v>
      </c>
      <c r="P2537" s="102">
        <v>0.04</v>
      </c>
      <c r="Q2537" s="45" t="s">
        <v>154</v>
      </c>
    </row>
    <row r="2538" spans="1:17" ht="36" x14ac:dyDescent="0.25">
      <c r="A2538" s="125">
        <v>39600</v>
      </c>
      <c r="B2538" s="125">
        <v>39600</v>
      </c>
      <c r="C2538" s="45">
        <v>2008</v>
      </c>
      <c r="D2538" s="351" t="s">
        <v>23</v>
      </c>
      <c r="E2538" s="30" t="s">
        <v>86</v>
      </c>
      <c r="F2538" s="7" t="s">
        <v>36</v>
      </c>
      <c r="G2538" s="25" t="s">
        <v>3837</v>
      </c>
      <c r="H2538" s="25" t="s">
        <v>3838</v>
      </c>
      <c r="I2538" s="46">
        <v>0</v>
      </c>
      <c r="J2538" s="46">
        <v>0</v>
      </c>
      <c r="K2538" s="46">
        <v>0</v>
      </c>
      <c r="L2538" s="46">
        <v>0</v>
      </c>
      <c r="M2538" s="46">
        <v>0</v>
      </c>
      <c r="N2538" s="46">
        <v>0</v>
      </c>
      <c r="O2538" s="124">
        <v>0</v>
      </c>
      <c r="P2538" s="102">
        <v>58.539225999999999</v>
      </c>
      <c r="Q2538" s="45" t="str">
        <f>+fo</f>
        <v>FONDEN</v>
      </c>
    </row>
    <row r="2539" spans="1:17" ht="84" x14ac:dyDescent="0.25">
      <c r="A2539" s="21">
        <v>39600</v>
      </c>
      <c r="B2539" s="21">
        <v>39600</v>
      </c>
      <c r="C2539" s="45">
        <v>2008</v>
      </c>
      <c r="D2539" s="351" t="s">
        <v>23</v>
      </c>
      <c r="E2539" s="14" t="s">
        <v>32</v>
      </c>
      <c r="F2539" s="7" t="s">
        <v>36</v>
      </c>
      <c r="G2539" s="25" t="s">
        <v>3839</v>
      </c>
      <c r="H2539" s="25" t="s">
        <v>3840</v>
      </c>
      <c r="I2539" s="46">
        <v>0</v>
      </c>
      <c r="J2539" s="46">
        <v>561</v>
      </c>
      <c r="K2539" s="46">
        <v>49</v>
      </c>
      <c r="L2539" s="46">
        <v>0</v>
      </c>
      <c r="M2539" s="46">
        <v>0</v>
      </c>
      <c r="N2539" s="46">
        <v>0</v>
      </c>
      <c r="O2539" s="124">
        <v>0</v>
      </c>
      <c r="P2539" s="102">
        <v>0.22855500000000001</v>
      </c>
      <c r="Q2539" s="45" t="s">
        <v>154</v>
      </c>
    </row>
    <row r="2540" spans="1:17" ht="96" x14ac:dyDescent="0.25">
      <c r="A2540" s="21">
        <v>39600</v>
      </c>
      <c r="B2540" s="21">
        <v>39600</v>
      </c>
      <c r="C2540" s="45">
        <v>2008</v>
      </c>
      <c r="D2540" s="351" t="s">
        <v>23</v>
      </c>
      <c r="E2540" s="14" t="s">
        <v>32</v>
      </c>
      <c r="F2540" s="25" t="s">
        <v>781</v>
      </c>
      <c r="G2540" s="25" t="s">
        <v>3841</v>
      </c>
      <c r="H2540" s="25" t="s">
        <v>3842</v>
      </c>
      <c r="I2540" s="46">
        <v>0</v>
      </c>
      <c r="J2540" s="46">
        <v>3517</v>
      </c>
      <c r="K2540" s="46">
        <v>881</v>
      </c>
      <c r="L2540" s="46">
        <v>0</v>
      </c>
      <c r="M2540" s="46">
        <v>0</v>
      </c>
      <c r="N2540" s="46">
        <v>0</v>
      </c>
      <c r="O2540" s="124">
        <v>0</v>
      </c>
      <c r="P2540" s="102">
        <v>1.762</v>
      </c>
      <c r="Q2540" s="45" t="s">
        <v>154</v>
      </c>
    </row>
    <row r="2541" spans="1:17" ht="24" x14ac:dyDescent="0.25">
      <c r="A2541" s="125">
        <v>39601</v>
      </c>
      <c r="B2541" s="125">
        <v>39601</v>
      </c>
      <c r="C2541" s="45">
        <v>2008</v>
      </c>
      <c r="D2541" s="351" t="s">
        <v>23</v>
      </c>
      <c r="E2541" s="30" t="s">
        <v>86</v>
      </c>
      <c r="F2541" s="7" t="s">
        <v>80</v>
      </c>
      <c r="G2541" s="25" t="s">
        <v>3294</v>
      </c>
      <c r="H2541" s="25" t="s">
        <v>3843</v>
      </c>
      <c r="I2541" s="46">
        <v>0</v>
      </c>
      <c r="J2541" s="46">
        <v>0</v>
      </c>
      <c r="K2541" s="46">
        <v>0</v>
      </c>
      <c r="L2541" s="46">
        <v>0</v>
      </c>
      <c r="M2541" s="46">
        <v>0</v>
      </c>
      <c r="N2541" s="46">
        <v>0</v>
      </c>
      <c r="O2541" s="124">
        <v>0</v>
      </c>
      <c r="P2541" s="102">
        <v>140.64006499999999</v>
      </c>
      <c r="Q2541" s="45" t="s">
        <v>186</v>
      </c>
    </row>
    <row r="2542" spans="1:17" ht="192" x14ac:dyDescent="0.25">
      <c r="A2542" s="125">
        <v>39603</v>
      </c>
      <c r="B2542" s="125">
        <v>39603</v>
      </c>
      <c r="C2542" s="45">
        <v>2008</v>
      </c>
      <c r="D2542" s="351" t="s">
        <v>23</v>
      </c>
      <c r="E2542" s="30" t="s">
        <v>86</v>
      </c>
      <c r="F2542" s="7" t="s">
        <v>72</v>
      </c>
      <c r="G2542" s="25" t="s">
        <v>3844</v>
      </c>
      <c r="H2542" s="25" t="s">
        <v>3845</v>
      </c>
      <c r="I2542" s="46">
        <v>0</v>
      </c>
      <c r="J2542" s="46">
        <f>(K2542*5)</f>
        <v>2575</v>
      </c>
      <c r="K2542" s="46">
        <v>515</v>
      </c>
      <c r="L2542" s="46">
        <v>0</v>
      </c>
      <c r="M2542" s="46">
        <v>0</v>
      </c>
      <c r="N2542" s="46">
        <v>0</v>
      </c>
      <c r="O2542" s="124">
        <v>0</v>
      </c>
      <c r="P2542" s="102">
        <v>480.30592000000001</v>
      </c>
      <c r="Q2542" s="45" t="s">
        <v>186</v>
      </c>
    </row>
    <row r="2543" spans="1:17" ht="48" x14ac:dyDescent="0.25">
      <c r="A2543" s="125">
        <v>39603</v>
      </c>
      <c r="B2543" s="125">
        <v>39603</v>
      </c>
      <c r="C2543" s="45">
        <v>2008</v>
      </c>
      <c r="D2543" s="351" t="s">
        <v>23</v>
      </c>
      <c r="E2543" s="30" t="s">
        <v>86</v>
      </c>
      <c r="F2543" s="28" t="s">
        <v>210</v>
      </c>
      <c r="G2543" s="25" t="s">
        <v>3846</v>
      </c>
      <c r="H2543" s="25" t="s">
        <v>3847</v>
      </c>
      <c r="I2543" s="46">
        <v>0</v>
      </c>
      <c r="J2543" s="46">
        <v>0</v>
      </c>
      <c r="K2543" s="46">
        <v>309</v>
      </c>
      <c r="L2543" s="46">
        <v>0</v>
      </c>
      <c r="M2543" s="46">
        <v>40</v>
      </c>
      <c r="N2543" s="46">
        <v>0</v>
      </c>
      <c r="O2543" s="124">
        <v>0</v>
      </c>
      <c r="P2543" s="102">
        <v>179.08199999999999</v>
      </c>
      <c r="Q2543" s="45" t="s">
        <v>186</v>
      </c>
    </row>
    <row r="2544" spans="1:17" ht="36" x14ac:dyDescent="0.25">
      <c r="A2544" s="21">
        <v>39605</v>
      </c>
      <c r="B2544" s="21">
        <v>39605</v>
      </c>
      <c r="C2544" s="45">
        <v>2008</v>
      </c>
      <c r="D2544" s="351" t="s">
        <v>23</v>
      </c>
      <c r="E2544" s="30" t="s">
        <v>86</v>
      </c>
      <c r="F2544" s="7" t="s">
        <v>72</v>
      </c>
      <c r="G2544" s="25" t="s">
        <v>3848</v>
      </c>
      <c r="H2544" s="25" t="s">
        <v>3849</v>
      </c>
      <c r="I2544" s="46">
        <v>1</v>
      </c>
      <c r="J2544" s="46">
        <v>1</v>
      </c>
      <c r="K2544" s="46">
        <v>0</v>
      </c>
      <c r="L2544" s="46">
        <v>0</v>
      </c>
      <c r="M2544" s="46">
        <v>0</v>
      </c>
      <c r="N2544" s="46">
        <v>0</v>
      </c>
      <c r="O2544" s="124">
        <v>0</v>
      </c>
      <c r="P2544" s="102">
        <v>0</v>
      </c>
      <c r="Q2544" s="45" t="s">
        <v>154</v>
      </c>
    </row>
    <row r="2545" spans="1:17" ht="48" x14ac:dyDescent="0.25">
      <c r="A2545" s="125">
        <v>39605</v>
      </c>
      <c r="B2545" s="125">
        <v>39605</v>
      </c>
      <c r="C2545" s="45">
        <v>2008</v>
      </c>
      <c r="D2545" s="351" t="s">
        <v>23</v>
      </c>
      <c r="E2545" s="30" t="s">
        <v>86</v>
      </c>
      <c r="F2545" s="7" t="s">
        <v>82</v>
      </c>
      <c r="G2545" s="25" t="s">
        <v>3850</v>
      </c>
      <c r="H2545" s="25" t="s">
        <v>3851</v>
      </c>
      <c r="I2545" s="46">
        <v>0</v>
      </c>
      <c r="J2545" s="46">
        <v>395</v>
      </c>
      <c r="K2545" s="46">
        <v>0</v>
      </c>
      <c r="L2545" s="46">
        <v>0</v>
      </c>
      <c r="M2545" s="46">
        <v>0</v>
      </c>
      <c r="N2545" s="46">
        <v>0</v>
      </c>
      <c r="O2545" s="124">
        <v>0</v>
      </c>
      <c r="P2545" s="102">
        <v>0</v>
      </c>
      <c r="Q2545" s="45" t="s">
        <v>154</v>
      </c>
    </row>
    <row r="2546" spans="1:17" ht="96" x14ac:dyDescent="0.25">
      <c r="A2546" s="125">
        <v>39605</v>
      </c>
      <c r="B2546" s="125">
        <v>39605</v>
      </c>
      <c r="C2546" s="45">
        <v>2008</v>
      </c>
      <c r="D2546" s="351" t="s">
        <v>23</v>
      </c>
      <c r="E2546" s="30" t="s">
        <v>52</v>
      </c>
      <c r="F2546" s="7" t="s">
        <v>82</v>
      </c>
      <c r="G2546" s="25" t="s">
        <v>3852</v>
      </c>
      <c r="H2546" s="25" t="s">
        <v>3853</v>
      </c>
      <c r="I2546" s="46">
        <v>0</v>
      </c>
      <c r="J2546" s="46">
        <v>3185</v>
      </c>
      <c r="K2546" s="46">
        <v>0</v>
      </c>
      <c r="L2546" s="46">
        <v>0</v>
      </c>
      <c r="M2546" s="46">
        <v>0</v>
      </c>
      <c r="N2546" s="46">
        <v>0</v>
      </c>
      <c r="O2546" s="124">
        <v>4964.8999999999996</v>
      </c>
      <c r="P2546" s="102">
        <v>11.717000000000001</v>
      </c>
      <c r="Q2546" s="45" t="s">
        <v>3787</v>
      </c>
    </row>
    <row r="2547" spans="1:17" ht="84" x14ac:dyDescent="0.25">
      <c r="A2547" s="125">
        <v>39605</v>
      </c>
      <c r="B2547" s="125">
        <v>39605</v>
      </c>
      <c r="C2547" s="45">
        <v>2008</v>
      </c>
      <c r="D2547" s="351" t="s">
        <v>23</v>
      </c>
      <c r="E2547" s="30" t="s">
        <v>52</v>
      </c>
      <c r="F2547" s="7" t="s">
        <v>82</v>
      </c>
      <c r="G2547" s="25" t="s">
        <v>3854</v>
      </c>
      <c r="H2547" s="25" t="s">
        <v>3855</v>
      </c>
      <c r="I2547" s="46">
        <v>0</v>
      </c>
      <c r="J2547" s="46">
        <v>320</v>
      </c>
      <c r="K2547" s="46">
        <v>0</v>
      </c>
      <c r="L2547" s="46">
        <v>0</v>
      </c>
      <c r="M2547" s="46">
        <v>0</v>
      </c>
      <c r="N2547" s="46">
        <v>0</v>
      </c>
      <c r="O2547" s="124">
        <v>428.5</v>
      </c>
      <c r="P2547" s="102">
        <v>0.28599999999999998</v>
      </c>
      <c r="Q2547" s="45" t="s">
        <v>3787</v>
      </c>
    </row>
    <row r="2548" spans="1:17" ht="108" x14ac:dyDescent="0.25">
      <c r="A2548" s="21">
        <v>39606</v>
      </c>
      <c r="B2548" s="21">
        <v>39606</v>
      </c>
      <c r="C2548" s="45">
        <v>2008</v>
      </c>
      <c r="D2548" s="351" t="s">
        <v>23</v>
      </c>
      <c r="E2548" s="30" t="s">
        <v>86</v>
      </c>
      <c r="F2548" s="7" t="s">
        <v>72</v>
      </c>
      <c r="G2548" s="25" t="s">
        <v>3856</v>
      </c>
      <c r="H2548" s="25" t="s">
        <v>3857</v>
      </c>
      <c r="I2548" s="46">
        <v>0</v>
      </c>
      <c r="J2548" s="46">
        <v>2750</v>
      </c>
      <c r="K2548" s="46">
        <v>550</v>
      </c>
      <c r="L2548" s="46">
        <v>0</v>
      </c>
      <c r="M2548" s="46">
        <v>0</v>
      </c>
      <c r="N2548" s="46">
        <v>0</v>
      </c>
      <c r="O2548" s="124">
        <v>0</v>
      </c>
      <c r="P2548" s="102">
        <v>2.56542</v>
      </c>
      <c r="Q2548" s="45" t="s">
        <v>154</v>
      </c>
    </row>
    <row r="2549" spans="1:17" ht="48" x14ac:dyDescent="0.25">
      <c r="A2549" s="21">
        <v>39606</v>
      </c>
      <c r="B2549" s="21">
        <v>39606</v>
      </c>
      <c r="C2549" s="45">
        <v>2008</v>
      </c>
      <c r="D2549" s="351" t="s">
        <v>23</v>
      </c>
      <c r="E2549" s="30" t="s">
        <v>86</v>
      </c>
      <c r="F2549" s="7" t="s">
        <v>75</v>
      </c>
      <c r="G2549" s="25" t="s">
        <v>3858</v>
      </c>
      <c r="H2549" s="25" t="s">
        <v>3859</v>
      </c>
      <c r="I2549" s="46">
        <v>0</v>
      </c>
      <c r="J2549" s="46">
        <v>65</v>
      </c>
      <c r="K2549" s="46">
        <v>13</v>
      </c>
      <c r="L2549" s="46">
        <v>4</v>
      </c>
      <c r="M2549" s="46">
        <v>0</v>
      </c>
      <c r="N2549" s="46">
        <v>0</v>
      </c>
      <c r="O2549" s="124">
        <v>0</v>
      </c>
      <c r="P2549" s="102">
        <v>6.0630000000000003E-2</v>
      </c>
      <c r="Q2549" s="45" t="s">
        <v>154</v>
      </c>
    </row>
    <row r="2550" spans="1:17" ht="60" x14ac:dyDescent="0.25">
      <c r="A2550" s="21">
        <v>39606</v>
      </c>
      <c r="B2550" s="21">
        <v>39606</v>
      </c>
      <c r="C2550" s="45">
        <v>2008</v>
      </c>
      <c r="D2550" s="351" t="s">
        <v>23</v>
      </c>
      <c r="E2550" s="30" t="s">
        <v>86</v>
      </c>
      <c r="F2550" s="7" t="s">
        <v>36</v>
      </c>
      <c r="G2550" s="25" t="s">
        <v>3860</v>
      </c>
      <c r="H2550" s="25" t="s">
        <v>3861</v>
      </c>
      <c r="I2550" s="46">
        <v>0</v>
      </c>
      <c r="J2550" s="46">
        <v>3320</v>
      </c>
      <c r="K2550" s="46">
        <v>664</v>
      </c>
      <c r="L2550" s="46">
        <v>0</v>
      </c>
      <c r="M2550" s="46">
        <v>0</v>
      </c>
      <c r="N2550" s="46">
        <v>0</v>
      </c>
      <c r="O2550" s="124">
        <v>0</v>
      </c>
      <c r="P2550" s="102">
        <v>1.5145</v>
      </c>
      <c r="Q2550" s="45" t="s">
        <v>154</v>
      </c>
    </row>
    <row r="2551" spans="1:17" ht="36" x14ac:dyDescent="0.25">
      <c r="A2551" s="125">
        <v>39606</v>
      </c>
      <c r="B2551" s="125">
        <v>39606</v>
      </c>
      <c r="C2551" s="45">
        <v>2008</v>
      </c>
      <c r="D2551" s="351" t="s">
        <v>23</v>
      </c>
      <c r="E2551" s="30" t="s">
        <v>86</v>
      </c>
      <c r="F2551" s="25" t="s">
        <v>781</v>
      </c>
      <c r="G2551" s="25" t="s">
        <v>3862</v>
      </c>
      <c r="H2551" s="25" t="s">
        <v>3863</v>
      </c>
      <c r="I2551" s="46">
        <v>0</v>
      </c>
      <c r="J2551" s="46">
        <v>0</v>
      </c>
      <c r="K2551" s="46">
        <v>0</v>
      </c>
      <c r="L2551" s="46">
        <v>0</v>
      </c>
      <c r="M2551" s="46">
        <v>0</v>
      </c>
      <c r="N2551" s="46">
        <v>0</v>
      </c>
      <c r="O2551" s="124">
        <v>0</v>
      </c>
      <c r="P2551" s="102">
        <v>0</v>
      </c>
      <c r="Q2551" s="45" t="s">
        <v>154</v>
      </c>
    </row>
    <row r="2552" spans="1:17" ht="36" x14ac:dyDescent="0.25">
      <c r="A2552" s="21">
        <v>39607</v>
      </c>
      <c r="B2552" s="21">
        <v>39607</v>
      </c>
      <c r="C2552" s="45">
        <v>2008</v>
      </c>
      <c r="D2552" s="351" t="s">
        <v>23</v>
      </c>
      <c r="E2552" s="30" t="s">
        <v>86</v>
      </c>
      <c r="F2552" s="7" t="s">
        <v>25</v>
      </c>
      <c r="G2552" s="25" t="s">
        <v>3864</v>
      </c>
      <c r="H2552" s="25" t="s">
        <v>3865</v>
      </c>
      <c r="I2552" s="46">
        <v>0</v>
      </c>
      <c r="J2552" s="46">
        <v>0</v>
      </c>
      <c r="K2552" s="46">
        <v>0</v>
      </c>
      <c r="L2552" s="46">
        <v>0</v>
      </c>
      <c r="M2552" s="46">
        <v>0</v>
      </c>
      <c r="N2552" s="46">
        <v>0</v>
      </c>
      <c r="O2552" s="124">
        <v>0</v>
      </c>
      <c r="P2552" s="102">
        <v>0</v>
      </c>
      <c r="Q2552" s="45" t="s">
        <v>154</v>
      </c>
    </row>
    <row r="2553" spans="1:17" ht="72" x14ac:dyDescent="0.25">
      <c r="A2553" s="21">
        <v>39607</v>
      </c>
      <c r="B2553" s="21">
        <v>39607</v>
      </c>
      <c r="C2553" s="45">
        <v>2008</v>
      </c>
      <c r="D2553" s="351" t="s">
        <v>23</v>
      </c>
      <c r="E2553" s="30" t="s">
        <v>86</v>
      </c>
      <c r="F2553" s="7" t="s">
        <v>60</v>
      </c>
      <c r="G2553" s="25" t="s">
        <v>3866</v>
      </c>
      <c r="H2553" s="25" t="s">
        <v>3867</v>
      </c>
      <c r="I2553" s="46">
        <v>0</v>
      </c>
      <c r="J2553" s="46">
        <v>955</v>
      </c>
      <c r="K2553" s="46">
        <v>191</v>
      </c>
      <c r="L2553" s="46">
        <v>0</v>
      </c>
      <c r="M2553" s="46">
        <v>0</v>
      </c>
      <c r="N2553" s="46">
        <v>0</v>
      </c>
      <c r="O2553" s="124">
        <v>0</v>
      </c>
      <c r="P2553" s="102">
        <v>0.38200000000000001</v>
      </c>
      <c r="Q2553" s="45" t="s">
        <v>154</v>
      </c>
    </row>
    <row r="2554" spans="1:17" ht="36" x14ac:dyDescent="0.25">
      <c r="A2554" s="21">
        <v>39607</v>
      </c>
      <c r="B2554" s="21">
        <v>39607</v>
      </c>
      <c r="C2554" s="45">
        <v>2008</v>
      </c>
      <c r="D2554" s="351" t="s">
        <v>23</v>
      </c>
      <c r="E2554" s="30" t="s">
        <v>86</v>
      </c>
      <c r="F2554" s="7" t="s">
        <v>65</v>
      </c>
      <c r="G2554" s="25" t="s">
        <v>1346</v>
      </c>
      <c r="H2554" s="25" t="s">
        <v>3868</v>
      </c>
      <c r="I2554" s="46">
        <v>0</v>
      </c>
      <c r="J2554" s="46">
        <v>100</v>
      </c>
      <c r="K2554" s="46">
        <v>20</v>
      </c>
      <c r="L2554" s="46">
        <v>0</v>
      </c>
      <c r="M2554" s="46">
        <v>0</v>
      </c>
      <c r="N2554" s="46">
        <v>0</v>
      </c>
      <c r="O2554" s="124">
        <v>0</v>
      </c>
      <c r="P2554" s="102">
        <v>0.04</v>
      </c>
      <c r="Q2554" s="45" t="s">
        <v>154</v>
      </c>
    </row>
    <row r="2555" spans="1:17" ht="36" x14ac:dyDescent="0.25">
      <c r="A2555" s="21">
        <v>39607</v>
      </c>
      <c r="B2555" s="21">
        <v>39607</v>
      </c>
      <c r="C2555" s="45">
        <v>2008</v>
      </c>
      <c r="D2555" s="351" t="s">
        <v>23</v>
      </c>
      <c r="E2555" s="30" t="s">
        <v>86</v>
      </c>
      <c r="F2555" s="28" t="s">
        <v>210</v>
      </c>
      <c r="G2555" s="25" t="s">
        <v>865</v>
      </c>
      <c r="H2555" s="25" t="s">
        <v>3869</v>
      </c>
      <c r="I2555" s="46">
        <v>1</v>
      </c>
      <c r="J2555" s="46">
        <v>1</v>
      </c>
      <c r="K2555" s="46">
        <v>0</v>
      </c>
      <c r="L2555" s="46">
        <v>0</v>
      </c>
      <c r="M2555" s="46">
        <v>0</v>
      </c>
      <c r="N2555" s="46">
        <v>0</v>
      </c>
      <c r="O2555" s="124">
        <v>0</v>
      </c>
      <c r="P2555" s="102">
        <v>0</v>
      </c>
      <c r="Q2555" s="45" t="s">
        <v>154</v>
      </c>
    </row>
    <row r="2556" spans="1:17" ht="60" x14ac:dyDescent="0.25">
      <c r="A2556" s="21">
        <v>39608</v>
      </c>
      <c r="B2556" s="21">
        <v>39608</v>
      </c>
      <c r="C2556" s="45">
        <v>2008</v>
      </c>
      <c r="D2556" s="351" t="s">
        <v>23</v>
      </c>
      <c r="E2556" s="30" t="s">
        <v>86</v>
      </c>
      <c r="F2556" s="7" t="s">
        <v>58</v>
      </c>
      <c r="G2556" s="25" t="s">
        <v>3870</v>
      </c>
      <c r="H2556" s="25" t="s">
        <v>3871</v>
      </c>
      <c r="I2556" s="46">
        <v>0</v>
      </c>
      <c r="J2556" s="46">
        <v>57</v>
      </c>
      <c r="K2556" s="46">
        <v>11</v>
      </c>
      <c r="L2556" s="46">
        <v>0</v>
      </c>
      <c r="M2556" s="46">
        <v>0</v>
      </c>
      <c r="N2556" s="46">
        <v>0</v>
      </c>
      <c r="O2556" s="124">
        <v>0</v>
      </c>
      <c r="P2556" s="102">
        <v>0.127916</v>
      </c>
      <c r="Q2556" s="45" t="s">
        <v>154</v>
      </c>
    </row>
    <row r="2557" spans="1:17" ht="60" x14ac:dyDescent="0.25">
      <c r="A2557" s="21">
        <v>39609</v>
      </c>
      <c r="B2557" s="21">
        <v>39609</v>
      </c>
      <c r="C2557" s="45">
        <v>2008</v>
      </c>
      <c r="D2557" s="351" t="s">
        <v>23</v>
      </c>
      <c r="E2557" s="30" t="s">
        <v>86</v>
      </c>
      <c r="F2557" s="7" t="s">
        <v>25</v>
      </c>
      <c r="G2557" s="25" t="s">
        <v>25</v>
      </c>
      <c r="H2557" s="25" t="s">
        <v>3872</v>
      </c>
      <c r="I2557" s="46">
        <v>0</v>
      </c>
      <c r="J2557" s="46">
        <v>40</v>
      </c>
      <c r="K2557" s="46">
        <v>8</v>
      </c>
      <c r="L2557" s="46">
        <v>0</v>
      </c>
      <c r="M2557" s="46">
        <v>0</v>
      </c>
      <c r="N2557" s="46">
        <v>0</v>
      </c>
      <c r="O2557" s="124">
        <v>0</v>
      </c>
      <c r="P2557" s="102">
        <v>0.35567199999999999</v>
      </c>
      <c r="Q2557" s="45" t="s">
        <v>154</v>
      </c>
    </row>
    <row r="2558" spans="1:17" ht="36" x14ac:dyDescent="0.25">
      <c r="A2558" s="21">
        <v>39609</v>
      </c>
      <c r="B2558" s="21">
        <v>39609</v>
      </c>
      <c r="C2558" s="45">
        <v>2008</v>
      </c>
      <c r="D2558" s="351" t="s">
        <v>23</v>
      </c>
      <c r="E2558" s="30" t="s">
        <v>86</v>
      </c>
      <c r="F2558" s="28" t="s">
        <v>151</v>
      </c>
      <c r="G2558" s="25" t="s">
        <v>1477</v>
      </c>
      <c r="H2558" s="25" t="s">
        <v>3873</v>
      </c>
      <c r="I2558" s="46">
        <v>0</v>
      </c>
      <c r="J2558" s="46">
        <v>35</v>
      </c>
      <c r="K2558" s="46">
        <v>7</v>
      </c>
      <c r="L2558" s="46">
        <v>0</v>
      </c>
      <c r="M2558" s="46">
        <v>0</v>
      </c>
      <c r="N2558" s="46">
        <v>0</v>
      </c>
      <c r="O2558" s="124">
        <v>0</v>
      </c>
      <c r="P2558" s="102">
        <v>8.1401000000000001E-2</v>
      </c>
      <c r="Q2558" s="45" t="s">
        <v>154</v>
      </c>
    </row>
    <row r="2559" spans="1:17" ht="48" x14ac:dyDescent="0.25">
      <c r="A2559" s="21">
        <v>39610</v>
      </c>
      <c r="B2559" s="21">
        <v>39610</v>
      </c>
      <c r="C2559" s="45">
        <v>2008</v>
      </c>
      <c r="D2559" s="351" t="s">
        <v>23</v>
      </c>
      <c r="E2559" s="30" t="s">
        <v>86</v>
      </c>
      <c r="F2559" s="7" t="s">
        <v>56</v>
      </c>
      <c r="G2559" s="25" t="s">
        <v>3874</v>
      </c>
      <c r="H2559" s="25" t="s">
        <v>3875</v>
      </c>
      <c r="I2559" s="46">
        <v>1</v>
      </c>
      <c r="J2559" s="46">
        <v>2</v>
      </c>
      <c r="K2559" s="46">
        <v>0</v>
      </c>
      <c r="L2559" s="46">
        <v>0</v>
      </c>
      <c r="M2559" s="46">
        <v>0</v>
      </c>
      <c r="N2559" s="46">
        <v>0</v>
      </c>
      <c r="O2559" s="124">
        <v>0</v>
      </c>
      <c r="P2559" s="102">
        <v>0</v>
      </c>
      <c r="Q2559" s="45" t="s">
        <v>154</v>
      </c>
    </row>
    <row r="2560" spans="1:17" ht="60" x14ac:dyDescent="0.25">
      <c r="A2560" s="21">
        <v>39610</v>
      </c>
      <c r="B2560" s="21">
        <v>39610</v>
      </c>
      <c r="C2560" s="45">
        <v>2008</v>
      </c>
      <c r="D2560" s="351" t="s">
        <v>23</v>
      </c>
      <c r="E2560" s="30" t="s">
        <v>86</v>
      </c>
      <c r="F2560" s="7" t="s">
        <v>75</v>
      </c>
      <c r="G2560" s="25" t="s">
        <v>3876</v>
      </c>
      <c r="H2560" s="25" t="s">
        <v>3877</v>
      </c>
      <c r="I2560" s="46">
        <v>0</v>
      </c>
      <c r="J2560" s="46">
        <v>200</v>
      </c>
      <c r="K2560" s="46">
        <v>40</v>
      </c>
      <c r="L2560" s="46">
        <v>0</v>
      </c>
      <c r="M2560" s="46">
        <v>0</v>
      </c>
      <c r="N2560" s="46">
        <v>0</v>
      </c>
      <c r="O2560" s="124">
        <v>0</v>
      </c>
      <c r="P2560" s="102">
        <v>0.08</v>
      </c>
      <c r="Q2560" s="45" t="s">
        <v>154</v>
      </c>
    </row>
    <row r="2561" spans="1:17" ht="96" x14ac:dyDescent="0.25">
      <c r="A2561" s="125">
        <v>39609</v>
      </c>
      <c r="B2561" s="125">
        <v>39609</v>
      </c>
      <c r="C2561" s="45">
        <v>2008</v>
      </c>
      <c r="D2561" s="351" t="s">
        <v>23</v>
      </c>
      <c r="E2561" s="30" t="s">
        <v>86</v>
      </c>
      <c r="F2561" s="28" t="s">
        <v>210</v>
      </c>
      <c r="G2561" s="25" t="s">
        <v>3878</v>
      </c>
      <c r="H2561" s="25" t="s">
        <v>3879</v>
      </c>
      <c r="I2561" s="46">
        <v>0</v>
      </c>
      <c r="J2561" s="46">
        <f>(K2561*5)</f>
        <v>4490</v>
      </c>
      <c r="K2561" s="46">
        <v>898</v>
      </c>
      <c r="L2561" s="46">
        <v>0</v>
      </c>
      <c r="M2561" s="46">
        <v>0</v>
      </c>
      <c r="N2561" s="46">
        <v>0</v>
      </c>
      <c r="O2561" s="124">
        <v>0</v>
      </c>
      <c r="P2561" s="102">
        <v>1.796</v>
      </c>
      <c r="Q2561" s="45" t="s">
        <v>154</v>
      </c>
    </row>
    <row r="2562" spans="1:17" ht="48" x14ac:dyDescent="0.25">
      <c r="A2562" s="21">
        <v>39615</v>
      </c>
      <c r="B2562" s="21">
        <v>39615</v>
      </c>
      <c r="C2562" s="45">
        <v>2008</v>
      </c>
      <c r="D2562" s="351" t="s">
        <v>23</v>
      </c>
      <c r="E2562" s="30" t="s">
        <v>86</v>
      </c>
      <c r="F2562" s="7" t="s">
        <v>60</v>
      </c>
      <c r="G2562" s="25" t="s">
        <v>3880</v>
      </c>
      <c r="H2562" s="25" t="s">
        <v>3881</v>
      </c>
      <c r="I2562" s="46">
        <v>1</v>
      </c>
      <c r="J2562" s="46">
        <v>2</v>
      </c>
      <c r="K2562" s="46">
        <v>0</v>
      </c>
      <c r="L2562" s="46">
        <v>0</v>
      </c>
      <c r="M2562" s="46">
        <v>0</v>
      </c>
      <c r="N2562" s="46">
        <v>0</v>
      </c>
      <c r="O2562" s="124">
        <v>0</v>
      </c>
      <c r="P2562" s="102">
        <v>0</v>
      </c>
      <c r="Q2562" s="45" t="s">
        <v>154</v>
      </c>
    </row>
    <row r="2563" spans="1:17" ht="24" x14ac:dyDescent="0.25">
      <c r="A2563" s="21">
        <v>39615</v>
      </c>
      <c r="B2563" s="21">
        <v>39615</v>
      </c>
      <c r="C2563" s="45">
        <v>2008</v>
      </c>
      <c r="D2563" s="351" t="s">
        <v>23</v>
      </c>
      <c r="E2563" s="30" t="s">
        <v>86</v>
      </c>
      <c r="F2563" s="7" t="s">
        <v>97</v>
      </c>
      <c r="G2563" s="25" t="s">
        <v>3882</v>
      </c>
      <c r="H2563" s="25" t="s">
        <v>3883</v>
      </c>
      <c r="I2563" s="46">
        <v>0</v>
      </c>
      <c r="J2563" s="46">
        <v>1000</v>
      </c>
      <c r="K2563" s="46">
        <v>200</v>
      </c>
      <c r="L2563" s="46">
        <v>0</v>
      </c>
      <c r="M2563" s="46">
        <v>0</v>
      </c>
      <c r="N2563" s="46">
        <v>0</v>
      </c>
      <c r="O2563" s="124">
        <v>0</v>
      </c>
      <c r="P2563" s="102">
        <v>2.3257599999999998</v>
      </c>
      <c r="Q2563" s="45" t="s">
        <v>154</v>
      </c>
    </row>
    <row r="2564" spans="1:17" ht="36" x14ac:dyDescent="0.25">
      <c r="A2564" s="21">
        <v>39616</v>
      </c>
      <c r="B2564" s="21">
        <v>39616</v>
      </c>
      <c r="C2564" s="45">
        <v>2008</v>
      </c>
      <c r="D2564" s="351" t="s">
        <v>23</v>
      </c>
      <c r="E2564" s="30" t="s">
        <v>86</v>
      </c>
      <c r="F2564" s="7" t="s">
        <v>56</v>
      </c>
      <c r="G2564" s="25" t="s">
        <v>3884</v>
      </c>
      <c r="H2564" s="25" t="s">
        <v>3885</v>
      </c>
      <c r="I2564" s="46">
        <v>0</v>
      </c>
      <c r="J2564" s="46">
        <v>95</v>
      </c>
      <c r="K2564" s="46">
        <v>19</v>
      </c>
      <c r="L2564" s="46">
        <v>0</v>
      </c>
      <c r="M2564" s="46">
        <v>0</v>
      </c>
      <c r="N2564" s="46">
        <v>0</v>
      </c>
      <c r="O2564" s="124">
        <v>0</v>
      </c>
      <c r="P2564" s="102">
        <v>0.31362299999999999</v>
      </c>
      <c r="Q2564" s="45" t="s">
        <v>154</v>
      </c>
    </row>
    <row r="2565" spans="1:17" ht="36" x14ac:dyDescent="0.25">
      <c r="A2565" s="21">
        <v>39620</v>
      </c>
      <c r="B2565" s="21">
        <v>39620</v>
      </c>
      <c r="C2565" s="45">
        <v>2008</v>
      </c>
      <c r="D2565" s="351" t="s">
        <v>23</v>
      </c>
      <c r="E2565" s="30" t="s">
        <v>86</v>
      </c>
      <c r="F2565" s="7" t="s">
        <v>101</v>
      </c>
      <c r="G2565" s="25" t="s">
        <v>3886</v>
      </c>
      <c r="H2565" s="25" t="s">
        <v>3887</v>
      </c>
      <c r="I2565" s="46">
        <v>0</v>
      </c>
      <c r="J2565" s="46">
        <v>325</v>
      </c>
      <c r="K2565" s="46">
        <v>65</v>
      </c>
      <c r="L2565" s="46">
        <v>0</v>
      </c>
      <c r="M2565" s="46">
        <v>0</v>
      </c>
      <c r="N2565" s="46">
        <v>0</v>
      </c>
      <c r="O2565" s="124">
        <v>190</v>
      </c>
      <c r="P2565" s="102">
        <v>7.5865999999999998</v>
      </c>
      <c r="Q2565" s="45" t="s">
        <v>154</v>
      </c>
    </row>
    <row r="2566" spans="1:17" ht="36" x14ac:dyDescent="0.25">
      <c r="A2566" s="21">
        <v>39621</v>
      </c>
      <c r="B2566" s="21">
        <v>39621</v>
      </c>
      <c r="C2566" s="45">
        <v>2008</v>
      </c>
      <c r="D2566" s="351" t="s">
        <v>23</v>
      </c>
      <c r="E2566" s="30" t="s">
        <v>86</v>
      </c>
      <c r="F2566" s="7" t="s">
        <v>53</v>
      </c>
      <c r="G2566" s="25" t="s">
        <v>460</v>
      </c>
      <c r="H2566" s="25" t="s">
        <v>3888</v>
      </c>
      <c r="I2566" s="46">
        <v>0</v>
      </c>
      <c r="J2566" s="46">
        <v>750</v>
      </c>
      <c r="K2566" s="46">
        <v>150</v>
      </c>
      <c r="L2566" s="46">
        <v>0</v>
      </c>
      <c r="M2566" s="46">
        <v>0</v>
      </c>
      <c r="N2566" s="46">
        <v>0</v>
      </c>
      <c r="O2566" s="124">
        <v>0</v>
      </c>
      <c r="P2566" s="102">
        <v>1.2</v>
      </c>
      <c r="Q2566" s="45" t="s">
        <v>154</v>
      </c>
    </row>
    <row r="2567" spans="1:17" ht="24" x14ac:dyDescent="0.25">
      <c r="A2567" s="21">
        <v>39622</v>
      </c>
      <c r="B2567" s="21">
        <v>39622</v>
      </c>
      <c r="C2567" s="45">
        <v>2008</v>
      </c>
      <c r="D2567" s="351" t="s">
        <v>23</v>
      </c>
      <c r="E2567" s="30" t="s">
        <v>86</v>
      </c>
      <c r="F2567" s="28" t="s">
        <v>210</v>
      </c>
      <c r="G2567" s="25" t="s">
        <v>3889</v>
      </c>
      <c r="H2567" s="25" t="s">
        <v>3890</v>
      </c>
      <c r="I2567" s="46">
        <v>0</v>
      </c>
      <c r="J2567" s="46">
        <v>355</v>
      </c>
      <c r="K2567" s="46">
        <v>71</v>
      </c>
      <c r="L2567" s="46">
        <v>0</v>
      </c>
      <c r="M2567" s="46">
        <v>0</v>
      </c>
      <c r="N2567" s="46">
        <v>0</v>
      </c>
      <c r="O2567" s="124">
        <v>0</v>
      </c>
      <c r="P2567" s="102">
        <v>0.33117200000000002</v>
      </c>
      <c r="Q2567" s="45" t="s">
        <v>154</v>
      </c>
    </row>
    <row r="2568" spans="1:17" ht="36" x14ac:dyDescent="0.25">
      <c r="A2568" s="21">
        <v>39623</v>
      </c>
      <c r="B2568" s="21">
        <v>39623</v>
      </c>
      <c r="C2568" s="45">
        <v>2008</v>
      </c>
      <c r="D2568" s="351" t="s">
        <v>23</v>
      </c>
      <c r="E2568" s="30" t="s">
        <v>86</v>
      </c>
      <c r="F2568" s="28" t="s">
        <v>210</v>
      </c>
      <c r="G2568" s="25" t="s">
        <v>3891</v>
      </c>
      <c r="H2568" s="25" t="s">
        <v>3892</v>
      </c>
      <c r="I2568" s="46">
        <v>0</v>
      </c>
      <c r="J2568" s="46">
        <v>350</v>
      </c>
      <c r="K2568" s="46">
        <v>70</v>
      </c>
      <c r="L2568" s="46">
        <v>0</v>
      </c>
      <c r="M2568" s="46">
        <v>0</v>
      </c>
      <c r="N2568" s="46">
        <v>0</v>
      </c>
      <c r="O2568" s="124">
        <v>0</v>
      </c>
      <c r="P2568" s="102">
        <v>0.14000000000000001</v>
      </c>
      <c r="Q2568" s="45" t="s">
        <v>154</v>
      </c>
    </row>
    <row r="2569" spans="1:17" ht="24" x14ac:dyDescent="0.25">
      <c r="A2569" s="21">
        <v>39628</v>
      </c>
      <c r="B2569" s="21">
        <v>39628</v>
      </c>
      <c r="C2569" s="45">
        <v>2008</v>
      </c>
      <c r="D2569" s="351" t="s">
        <v>23</v>
      </c>
      <c r="E2569" s="30" t="s">
        <v>86</v>
      </c>
      <c r="F2569" s="7" t="s">
        <v>72</v>
      </c>
      <c r="G2569" s="25" t="s">
        <v>809</v>
      </c>
      <c r="H2569" s="25" t="s">
        <v>3893</v>
      </c>
      <c r="I2569" s="46">
        <v>0</v>
      </c>
      <c r="J2569" s="46">
        <v>400</v>
      </c>
      <c r="K2569" s="46">
        <v>80</v>
      </c>
      <c r="L2569" s="46">
        <v>0</v>
      </c>
      <c r="M2569" s="46">
        <v>0</v>
      </c>
      <c r="N2569" s="46">
        <v>0</v>
      </c>
      <c r="O2569" s="124">
        <v>0</v>
      </c>
      <c r="P2569" s="102">
        <v>0.16</v>
      </c>
      <c r="Q2569" s="45" t="s">
        <v>154</v>
      </c>
    </row>
    <row r="2570" spans="1:17" ht="48" x14ac:dyDescent="0.25">
      <c r="A2570" s="21">
        <v>39629</v>
      </c>
      <c r="B2570" s="21">
        <v>39630</v>
      </c>
      <c r="C2570" s="45">
        <v>2008</v>
      </c>
      <c r="D2570" s="351" t="s">
        <v>23</v>
      </c>
      <c r="E2570" s="30" t="s">
        <v>86</v>
      </c>
      <c r="F2570" s="28" t="s">
        <v>210</v>
      </c>
      <c r="G2570" s="25" t="s">
        <v>3894</v>
      </c>
      <c r="H2570" s="25" t="s">
        <v>3895</v>
      </c>
      <c r="I2570" s="46">
        <v>0</v>
      </c>
      <c r="J2570" s="46">
        <f>K2570*5</f>
        <v>4470</v>
      </c>
      <c r="K2570" s="46">
        <v>894</v>
      </c>
      <c r="L2570" s="46">
        <v>0</v>
      </c>
      <c r="M2570" s="46">
        <v>0</v>
      </c>
      <c r="N2570" s="46">
        <v>0</v>
      </c>
      <c r="O2570" s="124">
        <v>0</v>
      </c>
      <c r="P2570" s="102">
        <v>508.567566</v>
      </c>
      <c r="Q2570" s="45" t="str">
        <f>+fo</f>
        <v>FONDEN</v>
      </c>
    </row>
    <row r="2571" spans="1:17" ht="108" x14ac:dyDescent="0.25">
      <c r="A2571" s="21">
        <v>39630</v>
      </c>
      <c r="B2571" s="21">
        <v>39630</v>
      </c>
      <c r="C2571" s="45">
        <v>2008</v>
      </c>
      <c r="D2571" s="351" t="s">
        <v>23</v>
      </c>
      <c r="E2571" s="30" t="s">
        <v>86</v>
      </c>
      <c r="F2571" s="28" t="s">
        <v>210</v>
      </c>
      <c r="G2571" s="25" t="s">
        <v>3896</v>
      </c>
      <c r="H2571" s="25" t="s">
        <v>3897</v>
      </c>
      <c r="I2571" s="46">
        <v>0</v>
      </c>
      <c r="J2571" s="46">
        <v>4210</v>
      </c>
      <c r="K2571" s="46">
        <v>842</v>
      </c>
      <c r="L2571" s="46">
        <v>0</v>
      </c>
      <c r="M2571" s="46">
        <v>0</v>
      </c>
      <c r="N2571" s="46">
        <v>0</v>
      </c>
      <c r="O2571" s="124">
        <v>0</v>
      </c>
      <c r="P2571" s="102">
        <v>3.144091</v>
      </c>
      <c r="Q2571" s="45" t="s">
        <v>154</v>
      </c>
    </row>
    <row r="2572" spans="1:17" ht="72" x14ac:dyDescent="0.25">
      <c r="A2572" s="125">
        <v>39632</v>
      </c>
      <c r="B2572" s="125">
        <v>39632</v>
      </c>
      <c r="C2572" s="45">
        <v>2008</v>
      </c>
      <c r="D2572" s="351" t="s">
        <v>23</v>
      </c>
      <c r="E2572" s="30" t="s">
        <v>86</v>
      </c>
      <c r="F2572" s="7" t="s">
        <v>72</v>
      </c>
      <c r="G2572" s="25" t="s">
        <v>3898</v>
      </c>
      <c r="H2572" s="25" t="s">
        <v>3899</v>
      </c>
      <c r="I2572" s="46">
        <v>0</v>
      </c>
      <c r="J2572" s="46">
        <f>(K2572*5)</f>
        <v>510</v>
      </c>
      <c r="K2572" s="46">
        <v>102</v>
      </c>
      <c r="L2572" s="46">
        <v>0</v>
      </c>
      <c r="M2572" s="46">
        <v>0</v>
      </c>
      <c r="N2572" s="46">
        <v>0</v>
      </c>
      <c r="O2572" s="124">
        <v>0</v>
      </c>
      <c r="P2572" s="102">
        <v>0.47576800000000002</v>
      </c>
      <c r="Q2572" s="45" t="s">
        <v>154</v>
      </c>
    </row>
    <row r="2573" spans="1:17" ht="72" x14ac:dyDescent="0.25">
      <c r="A2573" s="21">
        <v>39633</v>
      </c>
      <c r="B2573" s="21">
        <v>39639</v>
      </c>
      <c r="C2573" s="45">
        <v>2008</v>
      </c>
      <c r="D2573" s="351" t="s">
        <v>23</v>
      </c>
      <c r="E2573" s="30" t="s">
        <v>86</v>
      </c>
      <c r="F2573" s="7" t="s">
        <v>91</v>
      </c>
      <c r="G2573" s="25" t="s">
        <v>3900</v>
      </c>
      <c r="H2573" s="25" t="s">
        <v>3901</v>
      </c>
      <c r="I2573" s="46">
        <v>0</v>
      </c>
      <c r="J2573" s="46">
        <v>0</v>
      </c>
      <c r="K2573" s="46">
        <v>720</v>
      </c>
      <c r="L2573" s="46">
        <v>7</v>
      </c>
      <c r="M2573" s="46">
        <v>0</v>
      </c>
      <c r="N2573" s="46">
        <v>0</v>
      </c>
      <c r="O2573" s="124">
        <v>0</v>
      </c>
      <c r="P2573" s="102">
        <v>359.28402599999998</v>
      </c>
      <c r="Q2573" s="45" t="s">
        <v>186</v>
      </c>
    </row>
    <row r="2574" spans="1:17" ht="96" x14ac:dyDescent="0.25">
      <c r="A2574" s="21">
        <v>39633</v>
      </c>
      <c r="B2574" s="21">
        <v>39634</v>
      </c>
      <c r="C2574" s="45">
        <v>2008</v>
      </c>
      <c r="D2574" s="351" t="s">
        <v>23</v>
      </c>
      <c r="E2574" s="30" t="s">
        <v>86</v>
      </c>
      <c r="F2574" s="28" t="s">
        <v>210</v>
      </c>
      <c r="G2574" s="25" t="s">
        <v>3902</v>
      </c>
      <c r="H2574" s="25" t="s">
        <v>3903</v>
      </c>
      <c r="I2574" s="46">
        <v>0</v>
      </c>
      <c r="J2574" s="46">
        <v>760</v>
      </c>
      <c r="K2574" s="46">
        <v>358</v>
      </c>
      <c r="L2574" s="46">
        <v>0</v>
      </c>
      <c r="M2574" s="46">
        <v>0</v>
      </c>
      <c r="N2574" s="46">
        <v>0</v>
      </c>
      <c r="O2574" s="124">
        <v>0</v>
      </c>
      <c r="P2574" s="102">
        <v>0.79539800000000005</v>
      </c>
      <c r="Q2574" s="45" t="s">
        <v>154</v>
      </c>
    </row>
    <row r="2575" spans="1:17" ht="36" x14ac:dyDescent="0.25">
      <c r="A2575" s="21">
        <v>39633</v>
      </c>
      <c r="B2575" s="21">
        <v>39633</v>
      </c>
      <c r="C2575" s="45">
        <v>2008</v>
      </c>
      <c r="D2575" s="351" t="s">
        <v>23</v>
      </c>
      <c r="E2575" s="30" t="s">
        <v>86</v>
      </c>
      <c r="F2575" s="7" t="s">
        <v>87</v>
      </c>
      <c r="G2575" s="25" t="s">
        <v>87</v>
      </c>
      <c r="H2575" s="25" t="s">
        <v>3904</v>
      </c>
      <c r="I2575" s="46">
        <v>0</v>
      </c>
      <c r="J2575" s="46">
        <v>125</v>
      </c>
      <c r="K2575" s="46">
        <v>25</v>
      </c>
      <c r="L2575" s="46">
        <v>0</v>
      </c>
      <c r="M2575" s="46">
        <v>0</v>
      </c>
      <c r="N2575" s="46">
        <v>0</v>
      </c>
      <c r="O2575" s="124">
        <v>0</v>
      </c>
      <c r="P2575" s="102">
        <v>0.11661000000000001</v>
      </c>
      <c r="Q2575" s="45" t="s">
        <v>154</v>
      </c>
    </row>
    <row r="2576" spans="1:17" ht="24" x14ac:dyDescent="0.25">
      <c r="A2576" s="125">
        <v>39634</v>
      </c>
      <c r="B2576" s="125">
        <v>39634</v>
      </c>
      <c r="C2576" s="45">
        <v>2008</v>
      </c>
      <c r="D2576" s="351" t="s">
        <v>23</v>
      </c>
      <c r="E2576" s="30" t="s">
        <v>86</v>
      </c>
      <c r="F2576" s="7" t="s">
        <v>101</v>
      </c>
      <c r="G2576" s="25" t="s">
        <v>3905</v>
      </c>
      <c r="H2576" s="25" t="s">
        <v>3906</v>
      </c>
      <c r="I2576" s="46">
        <v>0</v>
      </c>
      <c r="J2576" s="46">
        <v>0</v>
      </c>
      <c r="K2576" s="46">
        <v>347</v>
      </c>
      <c r="L2576" s="46">
        <v>0</v>
      </c>
      <c r="M2576" s="46">
        <v>0</v>
      </c>
      <c r="N2576" s="46">
        <v>0</v>
      </c>
      <c r="O2576" s="124">
        <v>0</v>
      </c>
      <c r="P2576" s="102">
        <v>0.69399999999999995</v>
      </c>
      <c r="Q2576" s="45" t="s">
        <v>154</v>
      </c>
    </row>
    <row r="2577" spans="1:17" ht="24" x14ac:dyDescent="0.25">
      <c r="A2577" s="21">
        <v>39634</v>
      </c>
      <c r="B2577" s="21">
        <v>39634</v>
      </c>
      <c r="C2577" s="45">
        <v>2008</v>
      </c>
      <c r="D2577" s="351" t="s">
        <v>23</v>
      </c>
      <c r="E2577" s="30" t="s">
        <v>86</v>
      </c>
      <c r="F2577" s="7" t="s">
        <v>36</v>
      </c>
      <c r="G2577" s="25" t="s">
        <v>673</v>
      </c>
      <c r="H2577" s="25" t="s">
        <v>3907</v>
      </c>
      <c r="I2577" s="46">
        <v>0</v>
      </c>
      <c r="J2577" s="46">
        <v>150</v>
      </c>
      <c r="K2577" s="46">
        <v>30</v>
      </c>
      <c r="L2577" s="46">
        <v>0</v>
      </c>
      <c r="M2577" s="46">
        <v>0</v>
      </c>
      <c r="N2577" s="46">
        <v>0</v>
      </c>
      <c r="O2577" s="124">
        <v>0</v>
      </c>
      <c r="P2577" s="102">
        <v>0.139932</v>
      </c>
      <c r="Q2577" s="45" t="s">
        <v>154</v>
      </c>
    </row>
    <row r="2578" spans="1:17" ht="24" x14ac:dyDescent="0.25">
      <c r="A2578" s="21">
        <v>39604</v>
      </c>
      <c r="B2578" s="21">
        <v>39605</v>
      </c>
      <c r="C2578" s="45">
        <v>2008</v>
      </c>
      <c r="D2578" s="351" t="s">
        <v>23</v>
      </c>
      <c r="E2578" s="30" t="s">
        <v>86</v>
      </c>
      <c r="F2578" s="7" t="s">
        <v>101</v>
      </c>
      <c r="G2578" s="25" t="s">
        <v>3908</v>
      </c>
      <c r="H2578" s="25" t="s">
        <v>3909</v>
      </c>
      <c r="I2578" s="46">
        <v>0</v>
      </c>
      <c r="J2578" s="46">
        <f>K2578*5</f>
        <v>1700</v>
      </c>
      <c r="K2578" s="46">
        <v>340</v>
      </c>
      <c r="L2578" s="46"/>
      <c r="M2578" s="46">
        <v>0</v>
      </c>
      <c r="N2578" s="46">
        <v>0</v>
      </c>
      <c r="O2578" s="124">
        <v>0</v>
      </c>
      <c r="P2578" s="102">
        <v>0.68</v>
      </c>
      <c r="Q2578" s="45" t="s">
        <v>154</v>
      </c>
    </row>
    <row r="2579" spans="1:17" ht="48" x14ac:dyDescent="0.25">
      <c r="A2579" s="21">
        <v>39604</v>
      </c>
      <c r="B2579" s="21">
        <v>39605</v>
      </c>
      <c r="C2579" s="45">
        <v>2008</v>
      </c>
      <c r="D2579" s="351" t="s">
        <v>23</v>
      </c>
      <c r="E2579" s="30" t="s">
        <v>86</v>
      </c>
      <c r="F2579" s="7" t="s">
        <v>91</v>
      </c>
      <c r="G2579" s="25" t="s">
        <v>3910</v>
      </c>
      <c r="H2579" s="25" t="s">
        <v>3911</v>
      </c>
      <c r="I2579" s="46">
        <v>0</v>
      </c>
      <c r="J2579" s="46">
        <v>2800</v>
      </c>
      <c r="K2579" s="46">
        <v>0</v>
      </c>
      <c r="L2579" s="46">
        <v>0</v>
      </c>
      <c r="M2579" s="46">
        <v>0</v>
      </c>
      <c r="N2579" s="46">
        <v>0</v>
      </c>
      <c r="O2579" s="124">
        <v>0</v>
      </c>
      <c r="P2579" s="102">
        <v>0</v>
      </c>
      <c r="Q2579" s="45" t="s">
        <v>154</v>
      </c>
    </row>
    <row r="2580" spans="1:17" ht="36" x14ac:dyDescent="0.25">
      <c r="A2580" s="21">
        <v>39635</v>
      </c>
      <c r="B2580" s="21">
        <v>39635</v>
      </c>
      <c r="C2580" s="45">
        <v>2008</v>
      </c>
      <c r="D2580" s="351" t="s">
        <v>23</v>
      </c>
      <c r="E2580" s="30" t="s">
        <v>86</v>
      </c>
      <c r="F2580" s="7" t="s">
        <v>68</v>
      </c>
      <c r="G2580" s="25" t="s">
        <v>752</v>
      </c>
      <c r="H2580" s="25" t="s">
        <v>3912</v>
      </c>
      <c r="I2580" s="46">
        <v>1</v>
      </c>
      <c r="J2580" s="46">
        <v>3</v>
      </c>
      <c r="K2580" s="46">
        <v>0</v>
      </c>
      <c r="L2580" s="46">
        <v>0</v>
      </c>
      <c r="M2580" s="46">
        <v>0</v>
      </c>
      <c r="N2580" s="46">
        <v>0</v>
      </c>
      <c r="O2580" s="124">
        <v>0</v>
      </c>
      <c r="P2580" s="102">
        <v>0</v>
      </c>
      <c r="Q2580" s="45" t="s">
        <v>154</v>
      </c>
    </row>
    <row r="2581" spans="1:17" ht="60" x14ac:dyDescent="0.25">
      <c r="A2581" s="21">
        <v>39635</v>
      </c>
      <c r="B2581" s="21">
        <v>39635</v>
      </c>
      <c r="C2581" s="45">
        <v>2008</v>
      </c>
      <c r="D2581" s="351" t="s">
        <v>23</v>
      </c>
      <c r="E2581" s="30" t="s">
        <v>86</v>
      </c>
      <c r="F2581" s="7" t="s">
        <v>91</v>
      </c>
      <c r="G2581" s="25" t="s">
        <v>3913</v>
      </c>
      <c r="H2581" s="25" t="s">
        <v>3914</v>
      </c>
      <c r="I2581" s="46">
        <v>3</v>
      </c>
      <c r="J2581" s="46">
        <v>3</v>
      </c>
      <c r="K2581" s="46">
        <v>0</v>
      </c>
      <c r="L2581" s="46">
        <v>0</v>
      </c>
      <c r="M2581" s="46">
        <v>0</v>
      </c>
      <c r="N2581" s="46">
        <v>0</v>
      </c>
      <c r="O2581" s="124">
        <v>0</v>
      </c>
      <c r="P2581" s="102">
        <v>0</v>
      </c>
      <c r="Q2581" s="45" t="s">
        <v>154</v>
      </c>
    </row>
    <row r="2582" spans="1:17" ht="36" x14ac:dyDescent="0.25">
      <c r="A2582" s="21">
        <v>39634</v>
      </c>
      <c r="B2582" s="21">
        <v>39636</v>
      </c>
      <c r="C2582" s="45">
        <v>2008</v>
      </c>
      <c r="D2582" s="351" t="s">
        <v>23</v>
      </c>
      <c r="E2582" s="30" t="s">
        <v>86</v>
      </c>
      <c r="F2582" s="7" t="s">
        <v>60</v>
      </c>
      <c r="G2582" s="25" t="s">
        <v>3915</v>
      </c>
      <c r="H2582" s="25" t="s">
        <v>3916</v>
      </c>
      <c r="I2582" s="46">
        <v>1</v>
      </c>
      <c r="J2582" s="46">
        <v>1</v>
      </c>
      <c r="K2582" s="46">
        <v>0</v>
      </c>
      <c r="L2582" s="46">
        <v>0</v>
      </c>
      <c r="M2582" s="46">
        <v>0</v>
      </c>
      <c r="N2582" s="46">
        <v>0</v>
      </c>
      <c r="O2582" s="124">
        <v>0</v>
      </c>
      <c r="P2582" s="102">
        <v>0</v>
      </c>
      <c r="Q2582" s="45" t="s">
        <v>154</v>
      </c>
    </row>
    <row r="2583" spans="1:17" ht="36" x14ac:dyDescent="0.25">
      <c r="A2583" s="21">
        <v>39635</v>
      </c>
      <c r="B2583" s="21">
        <v>39636</v>
      </c>
      <c r="C2583" s="45">
        <v>2008</v>
      </c>
      <c r="D2583" s="351" t="s">
        <v>23</v>
      </c>
      <c r="E2583" s="30" t="s">
        <v>86</v>
      </c>
      <c r="F2583" s="7" t="s">
        <v>72</v>
      </c>
      <c r="G2583" s="25" t="s">
        <v>3917</v>
      </c>
      <c r="H2583" s="25" t="s">
        <v>3918</v>
      </c>
      <c r="I2583" s="46">
        <v>0</v>
      </c>
      <c r="J2583" s="46">
        <f>(K2583*5)</f>
        <v>660</v>
      </c>
      <c r="K2583" s="46">
        <v>132</v>
      </c>
      <c r="L2583" s="46">
        <v>0</v>
      </c>
      <c r="M2583" s="46">
        <v>0</v>
      </c>
      <c r="N2583" s="46">
        <v>0</v>
      </c>
      <c r="O2583" s="124">
        <v>0</v>
      </c>
      <c r="P2583" s="102">
        <v>131.012451</v>
      </c>
      <c r="Q2583" s="45" t="str">
        <f>+fo</f>
        <v>FONDEN</v>
      </c>
    </row>
    <row r="2584" spans="1:17" ht="72" x14ac:dyDescent="0.25">
      <c r="A2584" s="21">
        <v>39635</v>
      </c>
      <c r="B2584" s="21">
        <v>39636</v>
      </c>
      <c r="C2584" s="45">
        <v>2008</v>
      </c>
      <c r="D2584" s="351" t="s">
        <v>23</v>
      </c>
      <c r="E2584" s="30" t="s">
        <v>86</v>
      </c>
      <c r="F2584" s="28" t="s">
        <v>210</v>
      </c>
      <c r="G2584" s="25" t="s">
        <v>3919</v>
      </c>
      <c r="H2584" s="25" t="s">
        <v>3916</v>
      </c>
      <c r="I2584" s="46">
        <v>1</v>
      </c>
      <c r="J2584" s="46">
        <v>1</v>
      </c>
      <c r="K2584" s="46">
        <v>0</v>
      </c>
      <c r="L2584" s="46">
        <v>0</v>
      </c>
      <c r="M2584" s="46">
        <v>0</v>
      </c>
      <c r="N2584" s="46">
        <v>0</v>
      </c>
      <c r="O2584" s="124">
        <v>0</v>
      </c>
      <c r="P2584" s="102">
        <v>0</v>
      </c>
      <c r="Q2584" s="45" t="s">
        <v>154</v>
      </c>
    </row>
    <row r="2585" spans="1:17" ht="36" x14ac:dyDescent="0.25">
      <c r="A2585" s="125">
        <v>39635</v>
      </c>
      <c r="B2585" s="125">
        <v>39635</v>
      </c>
      <c r="C2585" s="45">
        <v>2008</v>
      </c>
      <c r="D2585" s="351" t="s">
        <v>23</v>
      </c>
      <c r="E2585" s="30" t="s">
        <v>86</v>
      </c>
      <c r="F2585" s="28" t="s">
        <v>160</v>
      </c>
      <c r="G2585" s="25" t="s">
        <v>3920</v>
      </c>
      <c r="H2585" s="25" t="s">
        <v>3914</v>
      </c>
      <c r="I2585" s="46">
        <v>3</v>
      </c>
      <c r="J2585" s="46">
        <v>3</v>
      </c>
      <c r="K2585" s="46">
        <v>0</v>
      </c>
      <c r="L2585" s="46">
        <v>0</v>
      </c>
      <c r="M2585" s="46">
        <v>0</v>
      </c>
      <c r="N2585" s="46">
        <v>0</v>
      </c>
      <c r="O2585" s="124">
        <v>0</v>
      </c>
      <c r="P2585" s="102">
        <v>0</v>
      </c>
      <c r="Q2585" s="45" t="s">
        <v>154</v>
      </c>
    </row>
    <row r="2586" spans="1:17" ht="36" x14ac:dyDescent="0.25">
      <c r="A2586" s="125">
        <v>39636</v>
      </c>
      <c r="B2586" s="125">
        <v>39636</v>
      </c>
      <c r="C2586" s="45">
        <v>2008</v>
      </c>
      <c r="D2586" s="351" t="s">
        <v>23</v>
      </c>
      <c r="E2586" s="30" t="s">
        <v>86</v>
      </c>
      <c r="F2586" s="25" t="s">
        <v>781</v>
      </c>
      <c r="G2586" s="25" t="s">
        <v>3862</v>
      </c>
      <c r="H2586" s="25" t="s">
        <v>3921</v>
      </c>
      <c r="I2586" s="46">
        <v>0</v>
      </c>
      <c r="J2586" s="46">
        <v>0</v>
      </c>
      <c r="K2586" s="46">
        <v>0</v>
      </c>
      <c r="L2586" s="46">
        <v>0</v>
      </c>
      <c r="M2586" s="46">
        <v>0</v>
      </c>
      <c r="N2586" s="46">
        <v>0</v>
      </c>
      <c r="O2586" s="124">
        <v>0</v>
      </c>
      <c r="P2586" s="102">
        <v>0</v>
      </c>
      <c r="Q2586" s="45" t="s">
        <v>154</v>
      </c>
    </row>
    <row r="2587" spans="1:17" ht="60" x14ac:dyDescent="0.25">
      <c r="A2587" s="21">
        <v>39637</v>
      </c>
      <c r="B2587" s="21">
        <v>39640</v>
      </c>
      <c r="C2587" s="45">
        <v>2008</v>
      </c>
      <c r="D2587" s="351" t="s">
        <v>23</v>
      </c>
      <c r="E2587" s="30" t="s">
        <v>52</v>
      </c>
      <c r="F2587" s="7" t="s">
        <v>82</v>
      </c>
      <c r="G2587" s="25" t="s">
        <v>3922</v>
      </c>
      <c r="H2587" s="25" t="s">
        <v>3923</v>
      </c>
      <c r="I2587" s="46">
        <v>0</v>
      </c>
      <c r="J2587" s="46">
        <v>0</v>
      </c>
      <c r="K2587" s="46">
        <v>0</v>
      </c>
      <c r="L2587" s="46">
        <v>0</v>
      </c>
      <c r="M2587" s="46">
        <v>0</v>
      </c>
      <c r="N2587" s="46">
        <v>0</v>
      </c>
      <c r="O2587" s="124">
        <v>0</v>
      </c>
      <c r="P2587" s="102">
        <v>122.861712</v>
      </c>
      <c r="Q2587" s="45" t="str">
        <f>+fo</f>
        <v>FONDEN</v>
      </c>
    </row>
    <row r="2588" spans="1:17" ht="60" x14ac:dyDescent="0.25">
      <c r="A2588" s="21">
        <v>39639</v>
      </c>
      <c r="B2588" s="21">
        <v>39643</v>
      </c>
      <c r="C2588" s="45">
        <v>2008</v>
      </c>
      <c r="D2588" s="351" t="s">
        <v>23</v>
      </c>
      <c r="E2588" s="30" t="s">
        <v>52</v>
      </c>
      <c r="F2588" s="28" t="s">
        <v>210</v>
      </c>
      <c r="G2588" s="25" t="s">
        <v>3924</v>
      </c>
      <c r="H2588" s="25" t="s">
        <v>3925</v>
      </c>
      <c r="I2588" s="46">
        <v>0</v>
      </c>
      <c r="J2588" s="46">
        <v>0</v>
      </c>
      <c r="K2588" s="46">
        <v>72</v>
      </c>
      <c r="L2588" s="46">
        <v>0</v>
      </c>
      <c r="M2588" s="46">
        <v>0</v>
      </c>
      <c r="N2588" s="46">
        <v>0</v>
      </c>
      <c r="O2588" s="124">
        <v>0</v>
      </c>
      <c r="P2588" s="102">
        <v>144.98971700000001</v>
      </c>
      <c r="Q2588" s="45" t="str">
        <f>+fo</f>
        <v>FONDEN</v>
      </c>
    </row>
    <row r="2589" spans="1:17" ht="120" x14ac:dyDescent="0.25">
      <c r="A2589" s="125">
        <v>39638</v>
      </c>
      <c r="B2589" s="125">
        <v>39638</v>
      </c>
      <c r="C2589" s="45">
        <v>2008</v>
      </c>
      <c r="D2589" s="351" t="s">
        <v>23</v>
      </c>
      <c r="E2589" s="30" t="s">
        <v>86</v>
      </c>
      <c r="F2589" s="28" t="s">
        <v>210</v>
      </c>
      <c r="G2589" s="25" t="s">
        <v>3926</v>
      </c>
      <c r="H2589" s="25" t="s">
        <v>3927</v>
      </c>
      <c r="I2589" s="46">
        <v>0</v>
      </c>
      <c r="J2589" s="46">
        <v>0</v>
      </c>
      <c r="K2589" s="46">
        <v>0</v>
      </c>
      <c r="L2589" s="46">
        <v>0</v>
      </c>
      <c r="M2589" s="46">
        <v>0</v>
      </c>
      <c r="N2589" s="46">
        <v>0</v>
      </c>
      <c r="O2589" s="124">
        <v>0</v>
      </c>
      <c r="P2589" s="102">
        <v>0</v>
      </c>
      <c r="Q2589" s="45" t="s">
        <v>154</v>
      </c>
    </row>
    <row r="2590" spans="1:17" ht="48" x14ac:dyDescent="0.25">
      <c r="A2590" s="125">
        <v>39641</v>
      </c>
      <c r="B2590" s="125">
        <v>39641</v>
      </c>
      <c r="C2590" s="45">
        <v>2008</v>
      </c>
      <c r="D2590" s="351" t="s">
        <v>23</v>
      </c>
      <c r="E2590" s="30" t="s">
        <v>86</v>
      </c>
      <c r="F2590" s="7" t="s">
        <v>87</v>
      </c>
      <c r="G2590" s="25" t="s">
        <v>110</v>
      </c>
      <c r="H2590" s="25" t="s">
        <v>3928</v>
      </c>
      <c r="I2590" s="46">
        <v>0</v>
      </c>
      <c r="J2590" s="46">
        <f>(K2590*5)</f>
        <v>445</v>
      </c>
      <c r="K2590" s="46">
        <v>89</v>
      </c>
      <c r="L2590" s="46">
        <v>0</v>
      </c>
      <c r="M2590" s="46">
        <v>0</v>
      </c>
      <c r="N2590" s="46">
        <v>0</v>
      </c>
      <c r="O2590" s="124">
        <v>0</v>
      </c>
      <c r="P2590" s="102">
        <v>53.473902000000002</v>
      </c>
      <c r="Q2590" s="45" t="str">
        <f>+fo</f>
        <v>FONDEN</v>
      </c>
    </row>
    <row r="2591" spans="1:17" ht="96" x14ac:dyDescent="0.25">
      <c r="A2591" s="125">
        <v>39642</v>
      </c>
      <c r="B2591" s="125">
        <v>39642</v>
      </c>
      <c r="C2591" s="45">
        <v>2008</v>
      </c>
      <c r="D2591" s="351" t="s">
        <v>23</v>
      </c>
      <c r="E2591" s="30" t="s">
        <v>86</v>
      </c>
      <c r="F2591" s="28" t="s">
        <v>210</v>
      </c>
      <c r="G2591" s="25" t="s">
        <v>3929</v>
      </c>
      <c r="H2591" s="25" t="s">
        <v>3930</v>
      </c>
      <c r="I2591" s="46">
        <v>0</v>
      </c>
      <c r="J2591" s="46">
        <v>0</v>
      </c>
      <c r="K2591" s="46">
        <v>0</v>
      </c>
      <c r="L2591" s="46">
        <v>0</v>
      </c>
      <c r="M2591" s="46">
        <v>0</v>
      </c>
      <c r="N2591" s="46">
        <v>0</v>
      </c>
      <c r="O2591" s="124">
        <v>0</v>
      </c>
      <c r="P2591" s="102">
        <v>0</v>
      </c>
      <c r="Q2591" s="45" t="s">
        <v>154</v>
      </c>
    </row>
    <row r="2592" spans="1:17" ht="36" x14ac:dyDescent="0.25">
      <c r="A2592" s="125">
        <v>39647</v>
      </c>
      <c r="B2592" s="125">
        <v>39647</v>
      </c>
      <c r="C2592" s="45">
        <v>2008</v>
      </c>
      <c r="D2592" s="351" t="s">
        <v>23</v>
      </c>
      <c r="E2592" s="30" t="s">
        <v>52</v>
      </c>
      <c r="F2592" s="7" t="s">
        <v>101</v>
      </c>
      <c r="G2592" s="25" t="s">
        <v>1096</v>
      </c>
      <c r="H2592" s="25" t="s">
        <v>3931</v>
      </c>
      <c r="I2592" s="46">
        <v>3</v>
      </c>
      <c r="J2592" s="46">
        <f>(K2592*5)</f>
        <v>885</v>
      </c>
      <c r="K2592" s="46">
        <v>177</v>
      </c>
      <c r="L2592" s="46">
        <v>1</v>
      </c>
      <c r="M2592" s="46">
        <v>2</v>
      </c>
      <c r="N2592" s="46">
        <v>270</v>
      </c>
      <c r="O2592" s="124">
        <v>0</v>
      </c>
      <c r="P2592" s="102">
        <v>55.1</v>
      </c>
      <c r="Q2592" s="45" t="s">
        <v>22</v>
      </c>
    </row>
    <row r="2593" spans="1:17" ht="72" x14ac:dyDescent="0.25">
      <c r="A2593" s="125">
        <v>39652</v>
      </c>
      <c r="B2593" s="125">
        <v>39652</v>
      </c>
      <c r="C2593" s="45">
        <v>2008</v>
      </c>
      <c r="D2593" s="351" t="s">
        <v>23</v>
      </c>
      <c r="E2593" s="14" t="s">
        <v>32</v>
      </c>
      <c r="F2593" s="7" t="s">
        <v>91</v>
      </c>
      <c r="G2593" s="25" t="s">
        <v>3900</v>
      </c>
      <c r="H2593" s="25" t="s">
        <v>3932</v>
      </c>
      <c r="I2593" s="46">
        <v>0</v>
      </c>
      <c r="J2593" s="46">
        <v>164904</v>
      </c>
      <c r="K2593" s="46">
        <v>742</v>
      </c>
      <c r="L2593" s="46">
        <v>3</v>
      </c>
      <c r="M2593" s="46">
        <v>0</v>
      </c>
      <c r="N2593" s="46">
        <v>0</v>
      </c>
      <c r="O2593" s="124">
        <v>0</v>
      </c>
      <c r="P2593" s="102">
        <v>287.55</v>
      </c>
      <c r="Q2593" s="45" t="s">
        <v>3933</v>
      </c>
    </row>
    <row r="2594" spans="1:17" ht="48" x14ac:dyDescent="0.25">
      <c r="A2594" s="125">
        <v>39655</v>
      </c>
      <c r="B2594" s="125">
        <v>39655</v>
      </c>
      <c r="C2594" s="45">
        <v>2008</v>
      </c>
      <c r="D2594" s="351" t="s">
        <v>23</v>
      </c>
      <c r="E2594" s="30" t="s">
        <v>86</v>
      </c>
      <c r="F2594" s="28" t="s">
        <v>210</v>
      </c>
      <c r="G2594" s="25" t="s">
        <v>110</v>
      </c>
      <c r="H2594" s="25" t="s">
        <v>3934</v>
      </c>
      <c r="I2594" s="46">
        <v>0</v>
      </c>
      <c r="J2594" s="46">
        <f>(K2594*5)</f>
        <v>205</v>
      </c>
      <c r="K2594" s="46">
        <v>41</v>
      </c>
      <c r="L2594" s="46">
        <v>0</v>
      </c>
      <c r="M2594" s="46">
        <v>0</v>
      </c>
      <c r="N2594" s="46">
        <v>0</v>
      </c>
      <c r="O2594" s="124">
        <v>0</v>
      </c>
      <c r="P2594" s="102">
        <v>130.03718000000001</v>
      </c>
      <c r="Q2594" s="45" t="str">
        <f>+fo</f>
        <v>FONDEN</v>
      </c>
    </row>
    <row r="2595" spans="1:17" ht="60" x14ac:dyDescent="0.25">
      <c r="A2595" s="125">
        <v>39655</v>
      </c>
      <c r="B2595" s="125">
        <v>39655</v>
      </c>
      <c r="C2595" s="45">
        <v>2008</v>
      </c>
      <c r="D2595" s="351" t="s">
        <v>23</v>
      </c>
      <c r="E2595" s="30" t="s">
        <v>52</v>
      </c>
      <c r="F2595" s="7" t="s">
        <v>40</v>
      </c>
      <c r="G2595" s="25" t="s">
        <v>3935</v>
      </c>
      <c r="H2595" s="25" t="s">
        <v>3936</v>
      </c>
      <c r="I2595" s="46">
        <v>5</v>
      </c>
      <c r="J2595" s="46">
        <f>(K2595*5)</f>
        <v>2825</v>
      </c>
      <c r="K2595" s="46">
        <v>565</v>
      </c>
      <c r="L2595" s="46">
        <v>6</v>
      </c>
      <c r="M2595" s="46">
        <v>0</v>
      </c>
      <c r="N2595" s="46">
        <v>34</v>
      </c>
      <c r="O2595" s="124">
        <v>0</v>
      </c>
      <c r="P2595" s="102">
        <v>161.9</v>
      </c>
      <c r="Q2595" s="45" t="s">
        <v>3933</v>
      </c>
    </row>
    <row r="2596" spans="1:17" ht="48" x14ac:dyDescent="0.25">
      <c r="A2596" s="125">
        <v>39660</v>
      </c>
      <c r="B2596" s="125">
        <v>39660</v>
      </c>
      <c r="C2596" s="45">
        <v>2008</v>
      </c>
      <c r="D2596" s="351" t="s">
        <v>23</v>
      </c>
      <c r="E2596" s="30" t="s">
        <v>86</v>
      </c>
      <c r="F2596" s="7" t="s">
        <v>56</v>
      </c>
      <c r="G2596" s="25" t="s">
        <v>3937</v>
      </c>
      <c r="H2596" s="25" t="s">
        <v>3938</v>
      </c>
      <c r="I2596" s="46">
        <v>0</v>
      </c>
      <c r="J2596" s="46">
        <f>(K2596*5)</f>
        <v>530</v>
      </c>
      <c r="K2596" s="46">
        <v>106</v>
      </c>
      <c r="L2596" s="46">
        <v>0</v>
      </c>
      <c r="M2596" s="46">
        <v>0</v>
      </c>
      <c r="N2596" s="46">
        <v>0</v>
      </c>
      <c r="O2596" s="124">
        <v>0</v>
      </c>
      <c r="P2596" s="102">
        <v>0.21199999999999999</v>
      </c>
      <c r="Q2596" s="45" t="s">
        <v>154</v>
      </c>
    </row>
    <row r="2597" spans="1:17" ht="72" x14ac:dyDescent="0.25">
      <c r="A2597" s="125">
        <v>39661</v>
      </c>
      <c r="B2597" s="125">
        <v>39661</v>
      </c>
      <c r="C2597" s="45">
        <v>2008</v>
      </c>
      <c r="D2597" s="351" t="s">
        <v>23</v>
      </c>
      <c r="E2597" s="30" t="s">
        <v>52</v>
      </c>
      <c r="F2597" s="7" t="s">
        <v>49</v>
      </c>
      <c r="G2597" s="25" t="s">
        <v>3939</v>
      </c>
      <c r="H2597" s="25" t="s">
        <v>3940</v>
      </c>
      <c r="I2597" s="46">
        <v>0</v>
      </c>
      <c r="J2597" s="46">
        <v>1085</v>
      </c>
      <c r="K2597" s="46">
        <v>0</v>
      </c>
      <c r="L2597" s="46">
        <v>0</v>
      </c>
      <c r="M2597" s="46">
        <v>0</v>
      </c>
      <c r="N2597" s="46">
        <v>0</v>
      </c>
      <c r="O2597" s="124">
        <v>3183.5</v>
      </c>
      <c r="P2597" s="102">
        <v>2.8359999999999999</v>
      </c>
      <c r="Q2597" s="45" t="s">
        <v>3787</v>
      </c>
    </row>
    <row r="2598" spans="1:17" ht="84" x14ac:dyDescent="0.25">
      <c r="A2598" s="125">
        <v>39663</v>
      </c>
      <c r="B2598" s="125">
        <v>39663</v>
      </c>
      <c r="C2598" s="45">
        <v>2008</v>
      </c>
      <c r="D2598" s="351" t="s">
        <v>23</v>
      </c>
      <c r="E2598" s="30" t="s">
        <v>52</v>
      </c>
      <c r="F2598" s="7" t="s">
        <v>40</v>
      </c>
      <c r="G2598" s="25" t="s">
        <v>3941</v>
      </c>
      <c r="H2598" s="25" t="s">
        <v>3942</v>
      </c>
      <c r="I2598" s="46">
        <v>0</v>
      </c>
      <c r="J2598" s="46">
        <v>2527</v>
      </c>
      <c r="K2598" s="46">
        <v>0</v>
      </c>
      <c r="L2598" s="46">
        <v>0</v>
      </c>
      <c r="M2598" s="46">
        <v>0</v>
      </c>
      <c r="N2598" s="46">
        <v>0</v>
      </c>
      <c r="O2598" s="124">
        <v>6168.8</v>
      </c>
      <c r="P2598" s="102">
        <v>119.233</v>
      </c>
      <c r="Q2598" s="45" t="s">
        <v>3787</v>
      </c>
    </row>
    <row r="2599" spans="1:17" ht="24" x14ac:dyDescent="0.25">
      <c r="A2599" s="125">
        <v>39665</v>
      </c>
      <c r="B2599" s="125">
        <v>39665</v>
      </c>
      <c r="C2599" s="45">
        <v>2008</v>
      </c>
      <c r="D2599" s="351" t="s">
        <v>23</v>
      </c>
      <c r="E2599" s="30" t="s">
        <v>86</v>
      </c>
      <c r="F2599" s="7" t="s">
        <v>53</v>
      </c>
      <c r="G2599" s="25" t="s">
        <v>460</v>
      </c>
      <c r="H2599" s="25" t="s">
        <v>3943</v>
      </c>
      <c r="I2599" s="46">
        <v>0</v>
      </c>
      <c r="J2599" s="46">
        <f>(K2599*5)</f>
        <v>400</v>
      </c>
      <c r="K2599" s="46">
        <v>80</v>
      </c>
      <c r="L2599" s="46">
        <v>0</v>
      </c>
      <c r="M2599" s="46">
        <v>0</v>
      </c>
      <c r="N2599" s="46">
        <v>0</v>
      </c>
      <c r="O2599" s="124">
        <v>0</v>
      </c>
      <c r="P2599" s="102">
        <v>0.16</v>
      </c>
      <c r="Q2599" s="45" t="s">
        <v>154</v>
      </c>
    </row>
    <row r="2600" spans="1:17" ht="24" x14ac:dyDescent="0.25">
      <c r="A2600" s="125">
        <v>39673</v>
      </c>
      <c r="B2600" s="125">
        <v>39673</v>
      </c>
      <c r="C2600" s="45">
        <v>2008</v>
      </c>
      <c r="D2600" s="351" t="s">
        <v>23</v>
      </c>
      <c r="E2600" s="30" t="s">
        <v>86</v>
      </c>
      <c r="F2600" s="7" t="s">
        <v>75</v>
      </c>
      <c r="G2600" s="25" t="s">
        <v>3944</v>
      </c>
      <c r="H2600" s="25" t="s">
        <v>3945</v>
      </c>
      <c r="I2600" s="46">
        <v>0</v>
      </c>
      <c r="J2600" s="46">
        <f>(K2600*5)</f>
        <v>125</v>
      </c>
      <c r="K2600" s="46">
        <v>25</v>
      </c>
      <c r="L2600" s="46">
        <v>0</v>
      </c>
      <c r="M2600" s="46">
        <v>0</v>
      </c>
      <c r="N2600" s="46">
        <v>0</v>
      </c>
      <c r="O2600" s="124">
        <v>0</v>
      </c>
      <c r="P2600" s="102">
        <v>0.05</v>
      </c>
      <c r="Q2600" s="45" t="s">
        <v>154</v>
      </c>
    </row>
    <row r="2601" spans="1:17" ht="36" x14ac:dyDescent="0.25">
      <c r="A2601" s="125">
        <v>39673</v>
      </c>
      <c r="B2601" s="125">
        <v>39673</v>
      </c>
      <c r="C2601" s="45">
        <v>2008</v>
      </c>
      <c r="D2601" s="351" t="s">
        <v>23</v>
      </c>
      <c r="E2601" s="30" t="s">
        <v>86</v>
      </c>
      <c r="F2601" s="7" t="s">
        <v>77</v>
      </c>
      <c r="G2601" s="25" t="s">
        <v>3946</v>
      </c>
      <c r="H2601" s="25" t="s">
        <v>3947</v>
      </c>
      <c r="I2601" s="46">
        <v>0</v>
      </c>
      <c r="J2601" s="46">
        <f>(K2601*5)</f>
        <v>175</v>
      </c>
      <c r="K2601" s="46">
        <v>35</v>
      </c>
      <c r="L2601" s="46">
        <v>3</v>
      </c>
      <c r="M2601" s="46">
        <v>0</v>
      </c>
      <c r="N2601" s="46">
        <v>0</v>
      </c>
      <c r="O2601" s="124">
        <v>0</v>
      </c>
      <c r="P2601" s="102">
        <v>7.0000000000000007E-2</v>
      </c>
      <c r="Q2601" s="45" t="s">
        <v>154</v>
      </c>
    </row>
    <row r="2602" spans="1:17" ht="24" x14ac:dyDescent="0.25">
      <c r="A2602" s="125">
        <v>39673</v>
      </c>
      <c r="B2602" s="125">
        <v>39673</v>
      </c>
      <c r="C2602" s="45">
        <v>2008</v>
      </c>
      <c r="D2602" s="351" t="s">
        <v>23</v>
      </c>
      <c r="E2602" s="30" t="s">
        <v>86</v>
      </c>
      <c r="F2602" s="7" t="s">
        <v>97</v>
      </c>
      <c r="G2602" s="25" t="s">
        <v>3948</v>
      </c>
      <c r="H2602" s="25" t="s">
        <v>3949</v>
      </c>
      <c r="I2602" s="46">
        <v>0</v>
      </c>
      <c r="J2602" s="46">
        <f>(K2602*5)</f>
        <v>60</v>
      </c>
      <c r="K2602" s="46">
        <v>12</v>
      </c>
      <c r="L2602" s="46">
        <v>0</v>
      </c>
      <c r="M2602" s="46">
        <v>0</v>
      </c>
      <c r="N2602" s="46">
        <v>0</v>
      </c>
      <c r="O2602" s="124">
        <v>0</v>
      </c>
      <c r="P2602" s="102">
        <v>5.5972800000000003E-2</v>
      </c>
      <c r="Q2602" s="45" t="s">
        <v>154</v>
      </c>
    </row>
    <row r="2603" spans="1:17" ht="120" x14ac:dyDescent="0.25">
      <c r="A2603" s="125">
        <v>39673</v>
      </c>
      <c r="B2603" s="125">
        <v>39673</v>
      </c>
      <c r="C2603" s="45">
        <v>2008</v>
      </c>
      <c r="D2603" s="351" t="s">
        <v>23</v>
      </c>
      <c r="E2603" s="30" t="s">
        <v>52</v>
      </c>
      <c r="F2603" s="7" t="s">
        <v>49</v>
      </c>
      <c r="G2603" s="25" t="s">
        <v>3950</v>
      </c>
      <c r="H2603" s="25" t="s">
        <v>3951</v>
      </c>
      <c r="I2603" s="46">
        <v>0</v>
      </c>
      <c r="J2603" s="46">
        <v>1242</v>
      </c>
      <c r="K2603" s="46">
        <v>0</v>
      </c>
      <c r="L2603" s="46">
        <v>0</v>
      </c>
      <c r="M2603" s="46">
        <v>0</v>
      </c>
      <c r="N2603" s="46">
        <v>0</v>
      </c>
      <c r="O2603" s="124">
        <v>3582.6</v>
      </c>
      <c r="P2603" s="102">
        <v>13.974</v>
      </c>
      <c r="Q2603" s="45" t="s">
        <v>3787</v>
      </c>
    </row>
    <row r="2604" spans="1:17" ht="60" x14ac:dyDescent="0.25">
      <c r="A2604" s="21">
        <v>39674</v>
      </c>
      <c r="B2604" s="21">
        <v>39690</v>
      </c>
      <c r="C2604" s="45">
        <v>2008</v>
      </c>
      <c r="D2604" s="351" t="s">
        <v>23</v>
      </c>
      <c r="E2604" s="30" t="str">
        <f>+E2602</f>
        <v>Lluvias</v>
      </c>
      <c r="F2604" s="7" t="s">
        <v>49</v>
      </c>
      <c r="G2604" s="25" t="s">
        <v>3952</v>
      </c>
      <c r="H2604" s="25" t="s">
        <v>3953</v>
      </c>
      <c r="I2604" s="46">
        <v>0</v>
      </c>
      <c r="J2604" s="46">
        <f>(K2604*5)</f>
        <v>12200</v>
      </c>
      <c r="K2604" s="46">
        <v>2440</v>
      </c>
      <c r="L2604" s="46">
        <v>0</v>
      </c>
      <c r="M2604" s="46">
        <v>0</v>
      </c>
      <c r="N2604" s="46">
        <v>0</v>
      </c>
      <c r="O2604" s="124">
        <v>0</v>
      </c>
      <c r="P2604" s="102">
        <v>401.42500000000001</v>
      </c>
      <c r="Q2604" s="45" t="str">
        <f>+fo</f>
        <v>FONDEN</v>
      </c>
    </row>
    <row r="2605" spans="1:17" ht="24" x14ac:dyDescent="0.25">
      <c r="A2605" s="125">
        <v>39674</v>
      </c>
      <c r="B2605" s="125">
        <v>39674</v>
      </c>
      <c r="C2605" s="45">
        <v>2008</v>
      </c>
      <c r="D2605" s="351" t="s">
        <v>23</v>
      </c>
      <c r="E2605" s="30" t="s">
        <v>86</v>
      </c>
      <c r="F2605" s="7" t="s">
        <v>36</v>
      </c>
      <c r="G2605" s="25" t="s">
        <v>3954</v>
      </c>
      <c r="H2605" s="25" t="s">
        <v>3955</v>
      </c>
      <c r="I2605" s="46">
        <v>0</v>
      </c>
      <c r="J2605" s="46">
        <v>0</v>
      </c>
      <c r="K2605" s="46">
        <v>0</v>
      </c>
      <c r="L2605" s="46">
        <v>0</v>
      </c>
      <c r="M2605" s="46">
        <v>0</v>
      </c>
      <c r="N2605" s="46">
        <v>0</v>
      </c>
      <c r="O2605" s="124">
        <v>0</v>
      </c>
      <c r="P2605" s="102">
        <v>0.23788400000000001</v>
      </c>
      <c r="Q2605" s="45" t="s">
        <v>154</v>
      </c>
    </row>
    <row r="2606" spans="1:17" ht="36" x14ac:dyDescent="0.25">
      <c r="A2606" s="125">
        <v>39674</v>
      </c>
      <c r="B2606" s="125">
        <v>39674</v>
      </c>
      <c r="C2606" s="45">
        <v>2008</v>
      </c>
      <c r="D2606" s="351" t="s">
        <v>23</v>
      </c>
      <c r="E2606" s="30" t="s">
        <v>86</v>
      </c>
      <c r="F2606" s="7" t="s">
        <v>84</v>
      </c>
      <c r="G2606" s="25" t="s">
        <v>3956</v>
      </c>
      <c r="H2606" s="25" t="s">
        <v>3957</v>
      </c>
      <c r="I2606" s="46">
        <v>1</v>
      </c>
      <c r="J2606" s="46">
        <v>371</v>
      </c>
      <c r="K2606" s="46">
        <v>74</v>
      </c>
      <c r="L2606" s="46">
        <v>0</v>
      </c>
      <c r="M2606" s="46">
        <v>0</v>
      </c>
      <c r="N2606" s="46">
        <v>0</v>
      </c>
      <c r="O2606" s="124">
        <v>0</v>
      </c>
      <c r="P2606" s="102">
        <v>0.345165</v>
      </c>
      <c r="Q2606" s="45" t="s">
        <v>154</v>
      </c>
    </row>
    <row r="2607" spans="1:17" ht="24" x14ac:dyDescent="0.25">
      <c r="A2607" s="125">
        <v>39677</v>
      </c>
      <c r="B2607" s="125">
        <v>39677</v>
      </c>
      <c r="C2607" s="45">
        <v>2008</v>
      </c>
      <c r="D2607" s="351" t="s">
        <v>23</v>
      </c>
      <c r="E2607" s="30" t="s">
        <v>86</v>
      </c>
      <c r="F2607" s="7" t="s">
        <v>84</v>
      </c>
      <c r="G2607" s="25" t="s">
        <v>939</v>
      </c>
      <c r="H2607" s="25" t="s">
        <v>3958</v>
      </c>
      <c r="I2607" s="46">
        <v>0</v>
      </c>
      <c r="J2607" s="46">
        <v>0</v>
      </c>
      <c r="K2607" s="46">
        <v>0</v>
      </c>
      <c r="L2607" s="46">
        <v>0</v>
      </c>
      <c r="M2607" s="46">
        <v>0</v>
      </c>
      <c r="N2607" s="46">
        <v>0</v>
      </c>
      <c r="O2607" s="124">
        <v>0</v>
      </c>
      <c r="P2607" s="102">
        <v>0</v>
      </c>
      <c r="Q2607" s="45" t="s">
        <v>154</v>
      </c>
    </row>
    <row r="2608" spans="1:17" ht="24" x14ac:dyDescent="0.25">
      <c r="A2608" s="125">
        <v>39678</v>
      </c>
      <c r="B2608" s="125">
        <v>39678</v>
      </c>
      <c r="C2608" s="45">
        <v>2008</v>
      </c>
      <c r="D2608" s="351" t="s">
        <v>23</v>
      </c>
      <c r="E2608" s="30" t="s">
        <v>86</v>
      </c>
      <c r="F2608" s="7" t="s">
        <v>75</v>
      </c>
      <c r="G2608" s="25" t="s">
        <v>3959</v>
      </c>
      <c r="H2608" s="25" t="s">
        <v>3960</v>
      </c>
      <c r="I2608" s="46"/>
      <c r="J2608" s="46">
        <f>(K2608*5)</f>
        <v>255</v>
      </c>
      <c r="K2608" s="46">
        <v>51</v>
      </c>
      <c r="L2608" s="46">
        <v>0</v>
      </c>
      <c r="M2608" s="46">
        <v>0</v>
      </c>
      <c r="N2608" s="46">
        <v>0</v>
      </c>
      <c r="O2608" s="124">
        <v>0</v>
      </c>
      <c r="P2608" s="102">
        <v>0.10199999999999999</v>
      </c>
      <c r="Q2608" s="45" t="s">
        <v>154</v>
      </c>
    </row>
    <row r="2609" spans="1:17" ht="24" x14ac:dyDescent="0.25">
      <c r="A2609" s="125">
        <v>39679</v>
      </c>
      <c r="B2609" s="125">
        <v>39679</v>
      </c>
      <c r="C2609" s="45">
        <v>2008</v>
      </c>
      <c r="D2609" s="351" t="s">
        <v>23</v>
      </c>
      <c r="E2609" s="30" t="s">
        <v>86</v>
      </c>
      <c r="F2609" s="7" t="s">
        <v>56</v>
      </c>
      <c r="G2609" s="25" t="s">
        <v>2786</v>
      </c>
      <c r="H2609" s="25" t="s">
        <v>3961</v>
      </c>
      <c r="I2609" s="46"/>
      <c r="J2609" s="46">
        <f>(K2609*5)</f>
        <v>105</v>
      </c>
      <c r="K2609" s="46">
        <v>21</v>
      </c>
      <c r="L2609" s="46">
        <v>0</v>
      </c>
      <c r="M2609" s="46">
        <v>0</v>
      </c>
      <c r="N2609" s="46">
        <v>0</v>
      </c>
      <c r="O2609" s="124">
        <v>0</v>
      </c>
      <c r="P2609" s="102">
        <v>4.2000000000000003E-2</v>
      </c>
      <c r="Q2609" s="45" t="s">
        <v>154</v>
      </c>
    </row>
    <row r="2610" spans="1:17" ht="24" x14ac:dyDescent="0.25">
      <c r="A2610" s="125">
        <v>39679</v>
      </c>
      <c r="B2610" s="125">
        <v>39679</v>
      </c>
      <c r="C2610" s="45">
        <v>2008</v>
      </c>
      <c r="D2610" s="351" t="s">
        <v>23</v>
      </c>
      <c r="E2610" s="30" t="s">
        <v>86</v>
      </c>
      <c r="F2610" s="7" t="s">
        <v>58</v>
      </c>
      <c r="G2610" s="25" t="s">
        <v>3962</v>
      </c>
      <c r="H2610" s="25" t="s">
        <v>3963</v>
      </c>
      <c r="I2610" s="46">
        <v>1</v>
      </c>
      <c r="J2610" s="46">
        <v>5</v>
      </c>
      <c r="K2610" s="46">
        <v>0</v>
      </c>
      <c r="L2610" s="46">
        <v>0</v>
      </c>
      <c r="M2610" s="46">
        <v>0</v>
      </c>
      <c r="N2610" s="46">
        <v>0</v>
      </c>
      <c r="O2610" s="124">
        <v>0</v>
      </c>
      <c r="P2610" s="102">
        <v>0</v>
      </c>
      <c r="Q2610" s="45" t="s">
        <v>154</v>
      </c>
    </row>
    <row r="2611" spans="1:17" ht="60" x14ac:dyDescent="0.25">
      <c r="A2611" s="125">
        <v>39681</v>
      </c>
      <c r="B2611" s="125">
        <v>39681</v>
      </c>
      <c r="C2611" s="45">
        <v>2008</v>
      </c>
      <c r="D2611" s="351" t="s">
        <v>23</v>
      </c>
      <c r="E2611" s="30" t="s">
        <v>86</v>
      </c>
      <c r="F2611" s="7" t="s">
        <v>56</v>
      </c>
      <c r="G2611" s="25" t="s">
        <v>3964</v>
      </c>
      <c r="H2611" s="25" t="s">
        <v>3965</v>
      </c>
      <c r="I2611" s="46">
        <v>1</v>
      </c>
      <c r="J2611" s="46">
        <v>616</v>
      </c>
      <c r="K2611" s="46">
        <v>690</v>
      </c>
      <c r="L2611" s="46">
        <v>1</v>
      </c>
      <c r="M2611" s="46">
        <v>0</v>
      </c>
      <c r="N2611" s="46">
        <v>0</v>
      </c>
      <c r="O2611" s="124">
        <v>0</v>
      </c>
      <c r="P2611" s="102">
        <v>3.2184360000000001</v>
      </c>
      <c r="Q2611" s="45" t="s">
        <v>154</v>
      </c>
    </row>
    <row r="2612" spans="1:17" ht="60" x14ac:dyDescent="0.25">
      <c r="A2612" s="125">
        <v>39681</v>
      </c>
      <c r="B2612" s="125">
        <v>39681</v>
      </c>
      <c r="C2612" s="45">
        <v>2008</v>
      </c>
      <c r="D2612" s="351" t="s">
        <v>23</v>
      </c>
      <c r="E2612" s="30" t="str">
        <f>+E2611</f>
        <v>Lluvias</v>
      </c>
      <c r="F2612" s="7" t="s">
        <v>68</v>
      </c>
      <c r="G2612" s="25" t="s">
        <v>3966</v>
      </c>
      <c r="H2612" s="25" t="s">
        <v>3967</v>
      </c>
      <c r="I2612" s="46">
        <v>0</v>
      </c>
      <c r="J2612" s="46">
        <f>(K2612*5)</f>
        <v>175</v>
      </c>
      <c r="K2612" s="46">
        <v>35</v>
      </c>
      <c r="L2612" s="46">
        <v>0</v>
      </c>
      <c r="M2612" s="46">
        <v>0</v>
      </c>
      <c r="N2612" s="46">
        <v>0</v>
      </c>
      <c r="O2612" s="124">
        <v>0</v>
      </c>
      <c r="P2612" s="102">
        <v>26.924834000000001</v>
      </c>
      <c r="Q2612" s="45" t="str">
        <f>+fo</f>
        <v>FONDEN</v>
      </c>
    </row>
    <row r="2613" spans="1:17" ht="36" x14ac:dyDescent="0.25">
      <c r="A2613" s="125">
        <v>39681</v>
      </c>
      <c r="B2613" s="125">
        <v>39681</v>
      </c>
      <c r="C2613" s="45">
        <v>2008</v>
      </c>
      <c r="D2613" s="351" t="s">
        <v>23</v>
      </c>
      <c r="E2613" s="30" t="s">
        <v>86</v>
      </c>
      <c r="F2613" s="7" t="s">
        <v>65</v>
      </c>
      <c r="G2613" s="25" t="s">
        <v>3968</v>
      </c>
      <c r="H2613" s="25" t="s">
        <v>3969</v>
      </c>
      <c r="I2613" s="46">
        <v>0</v>
      </c>
      <c r="J2613" s="46">
        <f>(K2613*5)</f>
        <v>205</v>
      </c>
      <c r="K2613" s="46">
        <v>41</v>
      </c>
      <c r="L2613" s="46">
        <v>0</v>
      </c>
      <c r="M2613" s="46">
        <v>0</v>
      </c>
      <c r="N2613" s="46">
        <v>0</v>
      </c>
      <c r="O2613" s="124">
        <v>0</v>
      </c>
      <c r="P2613" s="102">
        <v>0.47677999999999998</v>
      </c>
      <c r="Q2613" s="45" t="s">
        <v>154</v>
      </c>
    </row>
    <row r="2614" spans="1:17" ht="84" x14ac:dyDescent="0.25">
      <c r="A2614" s="125">
        <v>39682</v>
      </c>
      <c r="B2614" s="125">
        <v>39682</v>
      </c>
      <c r="C2614" s="45">
        <v>2008</v>
      </c>
      <c r="D2614" s="351" t="s">
        <v>23</v>
      </c>
      <c r="E2614" s="30" t="s">
        <v>86</v>
      </c>
      <c r="F2614" s="7" t="s">
        <v>97</v>
      </c>
      <c r="G2614" s="25" t="s">
        <v>3970</v>
      </c>
      <c r="H2614" s="25" t="s">
        <v>3971</v>
      </c>
      <c r="I2614" s="46">
        <v>0</v>
      </c>
      <c r="J2614" s="46">
        <v>3024</v>
      </c>
      <c r="K2614" s="46">
        <v>0</v>
      </c>
      <c r="L2614" s="46">
        <v>0</v>
      </c>
      <c r="M2614" s="46">
        <v>0</v>
      </c>
      <c r="N2614" s="46">
        <v>0</v>
      </c>
      <c r="O2614" s="124">
        <v>8167.8</v>
      </c>
      <c r="P2614" s="102">
        <v>55.23</v>
      </c>
      <c r="Q2614" s="45" t="s">
        <v>3787</v>
      </c>
    </row>
    <row r="2615" spans="1:17" ht="24" x14ac:dyDescent="0.25">
      <c r="A2615" s="125">
        <v>39682</v>
      </c>
      <c r="B2615" s="125">
        <v>39682</v>
      </c>
      <c r="C2615" s="45">
        <v>2008</v>
      </c>
      <c r="D2615" s="351" t="s">
        <v>23</v>
      </c>
      <c r="E2615" s="30" t="s">
        <v>86</v>
      </c>
      <c r="F2615" s="7" t="s">
        <v>60</v>
      </c>
      <c r="G2615" s="25" t="s">
        <v>3972</v>
      </c>
      <c r="H2615" s="25" t="s">
        <v>3973</v>
      </c>
      <c r="I2615" s="46">
        <v>0</v>
      </c>
      <c r="J2615" s="46">
        <f>(K2615*5)</f>
        <v>150</v>
      </c>
      <c r="K2615" s="46">
        <v>30</v>
      </c>
      <c r="L2615" s="46">
        <v>0</v>
      </c>
      <c r="M2615" s="46">
        <v>0</v>
      </c>
      <c r="N2615" s="46">
        <v>0</v>
      </c>
      <c r="O2615" s="124">
        <v>0</v>
      </c>
      <c r="P2615" s="102">
        <v>0.34886400000000001</v>
      </c>
      <c r="Q2615" s="45" t="s">
        <v>154</v>
      </c>
    </row>
    <row r="2616" spans="1:17" ht="72" x14ac:dyDescent="0.25">
      <c r="A2616" s="125">
        <v>39682</v>
      </c>
      <c r="B2616" s="125">
        <v>39682</v>
      </c>
      <c r="C2616" s="45">
        <v>2008</v>
      </c>
      <c r="D2616" s="351" t="s">
        <v>23</v>
      </c>
      <c r="E2616" s="30" t="s">
        <v>86</v>
      </c>
      <c r="F2616" s="7" t="s">
        <v>82</v>
      </c>
      <c r="G2616" s="25" t="s">
        <v>3974</v>
      </c>
      <c r="H2616" s="25" t="s">
        <v>3975</v>
      </c>
      <c r="I2616" s="46">
        <v>0</v>
      </c>
      <c r="J2616" s="46">
        <v>1484</v>
      </c>
      <c r="K2616" s="46">
        <v>0</v>
      </c>
      <c r="L2616" s="46">
        <v>0</v>
      </c>
      <c r="M2616" s="46">
        <v>0</v>
      </c>
      <c r="N2616" s="46">
        <v>0</v>
      </c>
      <c r="O2616" s="124">
        <v>3116.2</v>
      </c>
      <c r="P2616" s="102">
        <v>9.5090000000000003</v>
      </c>
      <c r="Q2616" s="45" t="s">
        <v>3787</v>
      </c>
    </row>
    <row r="2617" spans="1:17" ht="24" x14ac:dyDescent="0.25">
      <c r="A2617" s="125">
        <v>39683</v>
      </c>
      <c r="B2617" s="125">
        <v>39683</v>
      </c>
      <c r="C2617" s="45">
        <v>2008</v>
      </c>
      <c r="D2617" s="351" t="s">
        <v>23</v>
      </c>
      <c r="E2617" s="30" t="s">
        <v>86</v>
      </c>
      <c r="F2617" s="7" t="s">
        <v>77</v>
      </c>
      <c r="G2617" s="25" t="s">
        <v>969</v>
      </c>
      <c r="H2617" s="25" t="s">
        <v>3976</v>
      </c>
      <c r="I2617" s="46">
        <v>0</v>
      </c>
      <c r="J2617" s="46">
        <f>(K2617*5)</f>
        <v>250</v>
      </c>
      <c r="K2617" s="46">
        <v>50</v>
      </c>
      <c r="L2617" s="46">
        <v>0</v>
      </c>
      <c r="M2617" s="46">
        <v>0</v>
      </c>
      <c r="N2617" s="46">
        <v>0</v>
      </c>
      <c r="O2617" s="124">
        <v>0</v>
      </c>
      <c r="P2617" s="102">
        <v>0.23322000000000001</v>
      </c>
      <c r="Q2617" s="45" t="s">
        <v>154</v>
      </c>
    </row>
    <row r="2618" spans="1:17" ht="36" x14ac:dyDescent="0.25">
      <c r="A2618" s="125">
        <v>39684</v>
      </c>
      <c r="B2618" s="125">
        <v>39684</v>
      </c>
      <c r="C2618" s="45">
        <v>2008</v>
      </c>
      <c r="D2618" s="351" t="s">
        <v>23</v>
      </c>
      <c r="E2618" s="14" t="s">
        <v>32</v>
      </c>
      <c r="F2618" s="7" t="s">
        <v>33</v>
      </c>
      <c r="G2618" s="25" t="s">
        <v>3977</v>
      </c>
      <c r="H2618" s="25" t="s">
        <v>3978</v>
      </c>
      <c r="I2618" s="46">
        <v>1</v>
      </c>
      <c r="J2618" s="46">
        <v>1</v>
      </c>
      <c r="K2618" s="46">
        <v>0</v>
      </c>
      <c r="L2618" s="46">
        <v>0</v>
      </c>
      <c r="M2618" s="46">
        <v>0</v>
      </c>
      <c r="N2618" s="46">
        <v>0</v>
      </c>
      <c r="O2618" s="124">
        <v>0</v>
      </c>
      <c r="P2618" s="102">
        <v>0</v>
      </c>
      <c r="Q2618" s="45" t="s">
        <v>154</v>
      </c>
    </row>
    <row r="2619" spans="1:17" ht="36" x14ac:dyDescent="0.25">
      <c r="A2619" s="125">
        <v>39684</v>
      </c>
      <c r="B2619" s="125">
        <v>39684</v>
      </c>
      <c r="C2619" s="45">
        <v>2008</v>
      </c>
      <c r="D2619" s="351" t="s">
        <v>23</v>
      </c>
      <c r="E2619" s="30" t="s">
        <v>86</v>
      </c>
      <c r="F2619" s="7" t="s">
        <v>25</v>
      </c>
      <c r="G2619" s="25" t="s">
        <v>3979</v>
      </c>
      <c r="H2619" s="25" t="s">
        <v>3980</v>
      </c>
      <c r="I2619" s="46">
        <v>2</v>
      </c>
      <c r="J2619" s="46">
        <v>5294</v>
      </c>
      <c r="K2619" s="46">
        <v>0</v>
      </c>
      <c r="L2619" s="46">
        <v>0</v>
      </c>
      <c r="M2619" s="46">
        <v>0</v>
      </c>
      <c r="N2619" s="46">
        <v>0</v>
      </c>
      <c r="O2619" s="124">
        <v>0</v>
      </c>
      <c r="P2619" s="102">
        <v>0</v>
      </c>
      <c r="Q2619" s="45" t="s">
        <v>154</v>
      </c>
    </row>
    <row r="2620" spans="1:17" ht="36" x14ac:dyDescent="0.25">
      <c r="A2620" s="125">
        <v>39684</v>
      </c>
      <c r="B2620" s="125">
        <v>39684</v>
      </c>
      <c r="C2620" s="45">
        <v>2008</v>
      </c>
      <c r="D2620" s="351" t="s">
        <v>23</v>
      </c>
      <c r="E2620" s="30" t="s">
        <v>86</v>
      </c>
      <c r="F2620" s="7" t="s">
        <v>82</v>
      </c>
      <c r="G2620" s="25" t="s">
        <v>3981</v>
      </c>
      <c r="H2620" s="25" t="s">
        <v>3982</v>
      </c>
      <c r="I2620" s="46">
        <v>2</v>
      </c>
      <c r="J2620" s="46">
        <v>2</v>
      </c>
      <c r="K2620" s="46">
        <v>0</v>
      </c>
      <c r="L2620" s="46">
        <v>0</v>
      </c>
      <c r="M2620" s="46">
        <v>0</v>
      </c>
      <c r="N2620" s="46">
        <v>0</v>
      </c>
      <c r="O2620" s="124">
        <v>0</v>
      </c>
      <c r="P2620" s="102">
        <v>0</v>
      </c>
      <c r="Q2620" s="45" t="s">
        <v>154</v>
      </c>
    </row>
    <row r="2621" spans="1:17" ht="60" x14ac:dyDescent="0.25">
      <c r="A2621" s="21">
        <v>39685</v>
      </c>
      <c r="B2621" s="21">
        <v>39687</v>
      </c>
      <c r="C2621" s="45">
        <v>2008</v>
      </c>
      <c r="D2621" s="351" t="s">
        <v>23</v>
      </c>
      <c r="E2621" s="30" t="s">
        <v>86</v>
      </c>
      <c r="F2621" s="7" t="s">
        <v>25</v>
      </c>
      <c r="G2621" s="25" t="s">
        <v>3924</v>
      </c>
      <c r="H2621" s="25" t="s">
        <v>3983</v>
      </c>
      <c r="I2621" s="46">
        <v>0</v>
      </c>
      <c r="J2621" s="46">
        <f>(K2621*5)</f>
        <v>860</v>
      </c>
      <c r="K2621" s="46">
        <v>172</v>
      </c>
      <c r="L2621" s="46">
        <v>9</v>
      </c>
      <c r="M2621" s="46">
        <v>0</v>
      </c>
      <c r="N2621" s="46">
        <v>0</v>
      </c>
      <c r="O2621" s="124">
        <v>0</v>
      </c>
      <c r="P2621" s="102">
        <v>150.76599999999999</v>
      </c>
      <c r="Q2621" s="45" t="str">
        <f>+fo</f>
        <v>FONDEN</v>
      </c>
    </row>
    <row r="2622" spans="1:17" ht="48" x14ac:dyDescent="0.25">
      <c r="A2622" s="21">
        <v>39685</v>
      </c>
      <c r="B2622" s="21">
        <v>39686</v>
      </c>
      <c r="C2622" s="45">
        <v>2008</v>
      </c>
      <c r="D2622" s="351" t="s">
        <v>23</v>
      </c>
      <c r="E2622" s="30" t="str">
        <f>+E2620</f>
        <v>Lluvias</v>
      </c>
      <c r="F2622" s="7" t="s">
        <v>33</v>
      </c>
      <c r="G2622" s="25" t="s">
        <v>3900</v>
      </c>
      <c r="H2622" s="25" t="s">
        <v>3984</v>
      </c>
      <c r="I2622" s="46">
        <v>0</v>
      </c>
      <c r="J2622" s="46">
        <f>(K2622*5)</f>
        <v>455</v>
      </c>
      <c r="K2622" s="46">
        <v>91</v>
      </c>
      <c r="L2622" s="46">
        <v>0</v>
      </c>
      <c r="M2622" s="46">
        <v>0</v>
      </c>
      <c r="N2622" s="46">
        <v>0</v>
      </c>
      <c r="O2622" s="124">
        <v>0</v>
      </c>
      <c r="P2622" s="102">
        <v>146.548777</v>
      </c>
      <c r="Q2622" s="45" t="str">
        <f>+fo</f>
        <v>FONDEN</v>
      </c>
    </row>
    <row r="2623" spans="1:17" ht="36" x14ac:dyDescent="0.25">
      <c r="A2623" s="125">
        <v>39685</v>
      </c>
      <c r="B2623" s="125">
        <v>39685</v>
      </c>
      <c r="C2623" s="45">
        <v>2008</v>
      </c>
      <c r="D2623" s="351" t="s">
        <v>23</v>
      </c>
      <c r="E2623" s="30" t="s">
        <v>86</v>
      </c>
      <c r="F2623" s="7" t="s">
        <v>53</v>
      </c>
      <c r="G2623" s="25" t="s">
        <v>3985</v>
      </c>
      <c r="H2623" s="25" t="s">
        <v>3986</v>
      </c>
      <c r="I2623" s="46">
        <v>2</v>
      </c>
      <c r="J2623" s="46">
        <v>2</v>
      </c>
      <c r="K2623" s="46">
        <v>0</v>
      </c>
      <c r="L2623" s="46">
        <v>0</v>
      </c>
      <c r="M2623" s="46">
        <v>0</v>
      </c>
      <c r="N2623" s="46">
        <v>0</v>
      </c>
      <c r="O2623" s="124">
        <v>0</v>
      </c>
      <c r="P2623" s="102">
        <v>0</v>
      </c>
      <c r="Q2623" s="45" t="s">
        <v>154</v>
      </c>
    </row>
    <row r="2624" spans="1:17" ht="24" x14ac:dyDescent="0.25">
      <c r="A2624" s="125">
        <v>39685</v>
      </c>
      <c r="B2624" s="125">
        <v>39685</v>
      </c>
      <c r="C2624" s="45">
        <v>2008</v>
      </c>
      <c r="D2624" s="351" t="s">
        <v>23</v>
      </c>
      <c r="E2624" s="30" t="s">
        <v>86</v>
      </c>
      <c r="F2624" s="7" t="s">
        <v>101</v>
      </c>
      <c r="G2624" s="25" t="s">
        <v>3987</v>
      </c>
      <c r="H2624" s="25" t="s">
        <v>3988</v>
      </c>
      <c r="I2624" s="46">
        <v>2</v>
      </c>
      <c r="J2624" s="46">
        <v>1122</v>
      </c>
      <c r="K2624" s="46">
        <v>2375</v>
      </c>
      <c r="L2624" s="46">
        <v>0</v>
      </c>
      <c r="M2624" s="46">
        <v>0</v>
      </c>
      <c r="N2624" s="46">
        <v>0</v>
      </c>
      <c r="O2624" s="124">
        <v>0</v>
      </c>
      <c r="P2624" s="102">
        <v>11.07795</v>
      </c>
      <c r="Q2624" s="45" t="s">
        <v>154</v>
      </c>
    </row>
    <row r="2625" spans="1:17" ht="72" x14ac:dyDescent="0.25">
      <c r="A2625" s="125">
        <v>39685</v>
      </c>
      <c r="B2625" s="125">
        <v>39685</v>
      </c>
      <c r="C2625" s="45">
        <v>2008</v>
      </c>
      <c r="D2625" s="351" t="s">
        <v>23</v>
      </c>
      <c r="E2625" s="30" t="s">
        <v>52</v>
      </c>
      <c r="F2625" s="7" t="s">
        <v>67</v>
      </c>
      <c r="G2625" s="25" t="s">
        <v>3989</v>
      </c>
      <c r="H2625" s="25" t="s">
        <v>3990</v>
      </c>
      <c r="I2625" s="46">
        <v>0</v>
      </c>
      <c r="J2625" s="46">
        <v>1565</v>
      </c>
      <c r="K2625" s="46">
        <v>0</v>
      </c>
      <c r="L2625" s="46">
        <v>0</v>
      </c>
      <c r="M2625" s="46">
        <v>0</v>
      </c>
      <c r="N2625" s="46">
        <v>0</v>
      </c>
      <c r="O2625" s="124">
        <v>4071.4</v>
      </c>
      <c r="P2625" s="102">
        <v>108.651</v>
      </c>
      <c r="Q2625" s="45" t="s">
        <v>3787</v>
      </c>
    </row>
    <row r="2626" spans="1:17" ht="24" x14ac:dyDescent="0.25">
      <c r="A2626" s="125">
        <v>39686</v>
      </c>
      <c r="B2626" s="125">
        <v>39686</v>
      </c>
      <c r="C2626" s="45">
        <v>2008</v>
      </c>
      <c r="D2626" s="351" t="s">
        <v>23</v>
      </c>
      <c r="E2626" s="30" t="str">
        <f>+E2624</f>
        <v>Lluvias</v>
      </c>
      <c r="F2626" s="7" t="s">
        <v>87</v>
      </c>
      <c r="G2626" s="25" t="s">
        <v>110</v>
      </c>
      <c r="H2626" s="25" t="s">
        <v>3991</v>
      </c>
      <c r="I2626" s="46">
        <v>0</v>
      </c>
      <c r="J2626" s="46">
        <f>(K2626*5)</f>
        <v>2025</v>
      </c>
      <c r="K2626" s="46">
        <v>405</v>
      </c>
      <c r="L2626" s="46">
        <v>4</v>
      </c>
      <c r="M2626" s="46">
        <v>0</v>
      </c>
      <c r="N2626" s="46">
        <v>0</v>
      </c>
      <c r="O2626" s="124">
        <v>0</v>
      </c>
      <c r="P2626" s="102">
        <v>67.434287999999995</v>
      </c>
      <c r="Q2626" s="45" t="str">
        <f>+fo</f>
        <v>FONDEN</v>
      </c>
    </row>
    <row r="2627" spans="1:17" ht="48" x14ac:dyDescent="0.25">
      <c r="A2627" s="125">
        <v>39687</v>
      </c>
      <c r="B2627" s="125">
        <v>39687</v>
      </c>
      <c r="C2627" s="45">
        <v>2008</v>
      </c>
      <c r="D2627" s="351" t="s">
        <v>23</v>
      </c>
      <c r="E2627" s="30" t="s">
        <v>86</v>
      </c>
      <c r="F2627" s="7" t="s">
        <v>60</v>
      </c>
      <c r="G2627" s="25" t="s">
        <v>1256</v>
      </c>
      <c r="H2627" s="25" t="s">
        <v>3992</v>
      </c>
      <c r="I2627" s="46">
        <v>0</v>
      </c>
      <c r="J2627" s="46">
        <f>(K2627*5)</f>
        <v>130</v>
      </c>
      <c r="K2627" s="46">
        <v>26</v>
      </c>
      <c r="L2627" s="46">
        <v>0</v>
      </c>
      <c r="M2627" s="46">
        <v>0</v>
      </c>
      <c r="N2627" s="46">
        <v>0</v>
      </c>
      <c r="O2627" s="124">
        <v>0</v>
      </c>
      <c r="P2627" s="102"/>
      <c r="Q2627" s="45" t="s">
        <v>154</v>
      </c>
    </row>
    <row r="2628" spans="1:17" ht="36" x14ac:dyDescent="0.25">
      <c r="A2628" s="21">
        <v>39687</v>
      </c>
      <c r="B2628" s="21">
        <v>39688</v>
      </c>
      <c r="C2628" s="45">
        <v>2008</v>
      </c>
      <c r="D2628" s="351" t="s">
        <v>23</v>
      </c>
      <c r="E2628" s="30" t="s">
        <v>86</v>
      </c>
      <c r="F2628" s="7" t="s">
        <v>36</v>
      </c>
      <c r="G2628" s="25" t="s">
        <v>3993</v>
      </c>
      <c r="H2628" s="25" t="s">
        <v>3988</v>
      </c>
      <c r="I2628" s="46">
        <v>0</v>
      </c>
      <c r="J2628" s="46">
        <f>(K2628*5)</f>
        <v>415</v>
      </c>
      <c r="K2628" s="46">
        <v>83</v>
      </c>
      <c r="L2628" s="46">
        <v>0</v>
      </c>
      <c r="M2628" s="46">
        <v>0</v>
      </c>
      <c r="N2628" s="46">
        <v>0</v>
      </c>
      <c r="O2628" s="124">
        <v>0</v>
      </c>
      <c r="P2628" s="102">
        <v>0.16600000000000001</v>
      </c>
      <c r="Q2628" s="45" t="s">
        <v>154</v>
      </c>
    </row>
    <row r="2629" spans="1:17" ht="36" x14ac:dyDescent="0.25">
      <c r="A2629" s="21">
        <v>39689</v>
      </c>
      <c r="B2629" s="21">
        <v>39690</v>
      </c>
      <c r="C2629" s="45">
        <v>2008</v>
      </c>
      <c r="D2629" s="351" t="s">
        <v>23</v>
      </c>
      <c r="E2629" s="30" t="s">
        <v>86</v>
      </c>
      <c r="F2629" s="7" t="s">
        <v>45</v>
      </c>
      <c r="G2629" s="25" t="s">
        <v>3994</v>
      </c>
      <c r="H2629" s="25" t="s">
        <v>3995</v>
      </c>
      <c r="I2629" s="46">
        <v>0</v>
      </c>
      <c r="J2629" s="46">
        <v>220</v>
      </c>
      <c r="K2629" s="46">
        <v>0</v>
      </c>
      <c r="L2629" s="46">
        <v>0</v>
      </c>
      <c r="M2629" s="46">
        <v>0</v>
      </c>
      <c r="N2629" s="46">
        <v>0</v>
      </c>
      <c r="O2629" s="124">
        <v>0</v>
      </c>
      <c r="P2629" s="102">
        <v>0</v>
      </c>
      <c r="Q2629" s="45" t="s">
        <v>154</v>
      </c>
    </row>
    <row r="2630" spans="1:17" ht="180" x14ac:dyDescent="0.25">
      <c r="A2630" s="125">
        <v>39689</v>
      </c>
      <c r="B2630" s="125">
        <v>39689</v>
      </c>
      <c r="C2630" s="45">
        <v>2008</v>
      </c>
      <c r="D2630" s="351" t="s">
        <v>23</v>
      </c>
      <c r="E2630" s="30" t="s">
        <v>86</v>
      </c>
      <c r="F2630" s="7" t="s">
        <v>40</v>
      </c>
      <c r="G2630" s="25" t="s">
        <v>3996</v>
      </c>
      <c r="H2630" s="25" t="s">
        <v>3997</v>
      </c>
      <c r="I2630" s="46">
        <v>3</v>
      </c>
      <c r="J2630" s="46">
        <v>12503</v>
      </c>
      <c r="K2630" s="46">
        <v>2500</v>
      </c>
      <c r="L2630" s="46">
        <v>0</v>
      </c>
      <c r="M2630" s="46">
        <v>0</v>
      </c>
      <c r="N2630" s="46">
        <v>0</v>
      </c>
      <c r="O2630" s="124">
        <v>0</v>
      </c>
      <c r="P2630" s="102">
        <v>11.661</v>
      </c>
      <c r="Q2630" s="45" t="s">
        <v>154</v>
      </c>
    </row>
    <row r="2631" spans="1:17" ht="96" x14ac:dyDescent="0.25">
      <c r="A2631" s="125">
        <v>39689</v>
      </c>
      <c r="B2631" s="125">
        <v>39689</v>
      </c>
      <c r="C2631" s="45">
        <v>2008</v>
      </c>
      <c r="D2631" s="351" t="s">
        <v>23</v>
      </c>
      <c r="E2631" s="30" t="s">
        <v>86</v>
      </c>
      <c r="F2631" s="7" t="s">
        <v>40</v>
      </c>
      <c r="G2631" s="25" t="s">
        <v>3998</v>
      </c>
      <c r="H2631" s="25" t="s">
        <v>3999</v>
      </c>
      <c r="I2631" s="46">
        <v>0</v>
      </c>
      <c r="J2631" s="46">
        <v>729</v>
      </c>
      <c r="K2631" s="46">
        <v>0</v>
      </c>
      <c r="L2631" s="46">
        <v>0</v>
      </c>
      <c r="M2631" s="46">
        <v>0</v>
      </c>
      <c r="N2631" s="46">
        <v>0</v>
      </c>
      <c r="O2631" s="124">
        <v>1500.8</v>
      </c>
      <c r="P2631" s="102">
        <v>13.236000000000001</v>
      </c>
      <c r="Q2631" s="45" t="s">
        <v>3787</v>
      </c>
    </row>
    <row r="2632" spans="1:17" ht="84" x14ac:dyDescent="0.25">
      <c r="A2632" s="125">
        <v>39689</v>
      </c>
      <c r="B2632" s="125">
        <v>39689</v>
      </c>
      <c r="C2632" s="45">
        <v>2008</v>
      </c>
      <c r="D2632" s="351" t="s">
        <v>23</v>
      </c>
      <c r="E2632" s="30" t="s">
        <v>86</v>
      </c>
      <c r="F2632" s="7" t="s">
        <v>40</v>
      </c>
      <c r="G2632" s="25" t="s">
        <v>4000</v>
      </c>
      <c r="H2632" s="25" t="s">
        <v>4001</v>
      </c>
      <c r="I2632" s="46">
        <v>0</v>
      </c>
      <c r="J2632" s="46">
        <v>133</v>
      </c>
      <c r="K2632" s="46">
        <v>0</v>
      </c>
      <c r="L2632" s="46">
        <v>0</v>
      </c>
      <c r="M2632" s="46">
        <v>0</v>
      </c>
      <c r="N2632" s="46">
        <v>0</v>
      </c>
      <c r="O2632" s="124">
        <v>227.7</v>
      </c>
      <c r="P2632" s="102">
        <v>1.5149999999999999</v>
      </c>
      <c r="Q2632" s="45" t="s">
        <v>3787</v>
      </c>
    </row>
    <row r="2633" spans="1:17" ht="60" x14ac:dyDescent="0.25">
      <c r="A2633" s="125">
        <v>39690</v>
      </c>
      <c r="B2633" s="125">
        <v>39690</v>
      </c>
      <c r="C2633" s="45">
        <v>2008</v>
      </c>
      <c r="D2633" s="351" t="s">
        <v>23</v>
      </c>
      <c r="E2633" s="30" t="s">
        <v>86</v>
      </c>
      <c r="F2633" s="7" t="s">
        <v>40</v>
      </c>
      <c r="G2633" s="25" t="str">
        <f>+va&amp;" (6)"</f>
        <v>varios municipios (6)</v>
      </c>
      <c r="H2633" s="25" t="s">
        <v>4002</v>
      </c>
      <c r="I2633" s="46">
        <v>0</v>
      </c>
      <c r="J2633" s="46">
        <f>(K2633*5)</f>
        <v>2905</v>
      </c>
      <c r="K2633" s="46">
        <v>581</v>
      </c>
      <c r="L2633" s="46">
        <v>6</v>
      </c>
      <c r="M2633" s="46">
        <v>0</v>
      </c>
      <c r="N2633" s="46">
        <v>0</v>
      </c>
      <c r="O2633" s="124">
        <v>0</v>
      </c>
      <c r="P2633" s="102">
        <v>176.293036</v>
      </c>
      <c r="Q2633" s="45" t="str">
        <f>+fo</f>
        <v>FONDEN</v>
      </c>
    </row>
    <row r="2634" spans="1:17" ht="60" x14ac:dyDescent="0.25">
      <c r="A2634" s="21">
        <v>39694</v>
      </c>
      <c r="B2634" s="21">
        <v>39703</v>
      </c>
      <c r="C2634" s="45">
        <v>2008</v>
      </c>
      <c r="D2634" s="351" t="s">
        <v>23</v>
      </c>
      <c r="E2634" s="30" t="s">
        <v>52</v>
      </c>
      <c r="F2634" s="7" t="s">
        <v>40</v>
      </c>
      <c r="G2634" s="25" t="str">
        <f>+va&amp;" (12)"</f>
        <v>varios municipios (12)</v>
      </c>
      <c r="H2634" s="25" t="s">
        <v>4003</v>
      </c>
      <c r="I2634" s="46">
        <v>0</v>
      </c>
      <c r="J2634" s="46">
        <f>(K2634*5)</f>
        <v>1765</v>
      </c>
      <c r="K2634" s="46">
        <v>353</v>
      </c>
      <c r="L2634" s="46">
        <v>2</v>
      </c>
      <c r="M2634" s="46">
        <v>0</v>
      </c>
      <c r="N2634" s="46">
        <v>0</v>
      </c>
      <c r="O2634" s="124">
        <v>0</v>
      </c>
      <c r="P2634" s="102">
        <v>379.92099999999999</v>
      </c>
      <c r="Q2634" s="45" t="str">
        <f>+fo</f>
        <v>FONDEN</v>
      </c>
    </row>
    <row r="2635" spans="1:17" ht="24" x14ac:dyDescent="0.25">
      <c r="A2635" s="125">
        <v>39694</v>
      </c>
      <c r="B2635" s="125">
        <v>39694</v>
      </c>
      <c r="C2635" s="45">
        <v>2008</v>
      </c>
      <c r="D2635" s="351" t="s">
        <v>23</v>
      </c>
      <c r="E2635" s="30" t="s">
        <v>86</v>
      </c>
      <c r="F2635" s="7" t="s">
        <v>60</v>
      </c>
      <c r="G2635" s="25" t="s">
        <v>4004</v>
      </c>
      <c r="H2635" s="25" t="s">
        <v>4005</v>
      </c>
      <c r="I2635" s="46">
        <v>5</v>
      </c>
      <c r="J2635" s="46">
        <v>35</v>
      </c>
      <c r="K2635" s="46">
        <v>6</v>
      </c>
      <c r="L2635" s="46">
        <v>0</v>
      </c>
      <c r="M2635" s="46">
        <v>0</v>
      </c>
      <c r="N2635" s="46">
        <v>0</v>
      </c>
      <c r="O2635" s="124">
        <v>0</v>
      </c>
      <c r="P2635" s="102">
        <v>2.7980000000000001E-2</v>
      </c>
      <c r="Q2635" s="45" t="s">
        <v>154</v>
      </c>
    </row>
    <row r="2636" spans="1:17" ht="24" x14ac:dyDescent="0.25">
      <c r="A2636" s="125">
        <v>39694</v>
      </c>
      <c r="B2636" s="125">
        <v>39694</v>
      </c>
      <c r="C2636" s="45">
        <v>2008</v>
      </c>
      <c r="D2636" s="351" t="s">
        <v>23</v>
      </c>
      <c r="E2636" s="30" t="s">
        <v>86</v>
      </c>
      <c r="F2636" s="7" t="s">
        <v>62</v>
      </c>
      <c r="G2636" s="25" t="s">
        <v>4006</v>
      </c>
      <c r="H2636" s="25" t="s">
        <v>4007</v>
      </c>
      <c r="I2636" s="46">
        <v>0</v>
      </c>
      <c r="J2636" s="46">
        <f>(K2636*5)</f>
        <v>200</v>
      </c>
      <c r="K2636" s="46">
        <v>40</v>
      </c>
      <c r="L2636" s="46">
        <v>0</v>
      </c>
      <c r="M2636" s="46">
        <v>0</v>
      </c>
      <c r="N2636" s="46">
        <v>0</v>
      </c>
      <c r="O2636" s="124">
        <v>0</v>
      </c>
      <c r="P2636" s="102">
        <v>1.6679600000000001</v>
      </c>
      <c r="Q2636" s="45" t="s">
        <v>154</v>
      </c>
    </row>
    <row r="2637" spans="1:17" ht="60" x14ac:dyDescent="0.25">
      <c r="A2637" s="21">
        <v>39695</v>
      </c>
      <c r="B2637" s="21">
        <v>39696</v>
      </c>
      <c r="C2637" s="45">
        <v>2008</v>
      </c>
      <c r="D2637" s="351" t="s">
        <v>23</v>
      </c>
      <c r="E2637" s="30" t="s">
        <v>52</v>
      </c>
      <c r="F2637" s="7" t="s">
        <v>68</v>
      </c>
      <c r="G2637" s="25" t="s">
        <v>110</v>
      </c>
      <c r="H2637" s="25" t="s">
        <v>4008</v>
      </c>
      <c r="I2637" s="46">
        <v>0</v>
      </c>
      <c r="J2637" s="46">
        <f>(K2637*5)</f>
        <v>465</v>
      </c>
      <c r="K2637" s="46">
        <v>93</v>
      </c>
      <c r="L2637" s="46">
        <v>0</v>
      </c>
      <c r="M2637" s="46">
        <v>0</v>
      </c>
      <c r="N2637" s="46">
        <v>0</v>
      </c>
      <c r="O2637" s="124">
        <v>0</v>
      </c>
      <c r="P2637" s="102">
        <v>129.512</v>
      </c>
      <c r="Q2637" s="45" t="str">
        <f>+fo</f>
        <v>FONDEN</v>
      </c>
    </row>
    <row r="2638" spans="1:17" ht="24" x14ac:dyDescent="0.25">
      <c r="A2638" s="21">
        <v>39697</v>
      </c>
      <c r="B2638" s="21">
        <v>39698</v>
      </c>
      <c r="C2638" s="45">
        <v>2008</v>
      </c>
      <c r="D2638" s="351" t="s">
        <v>23</v>
      </c>
      <c r="E2638" s="30" t="s">
        <v>86</v>
      </c>
      <c r="F2638" s="7" t="s">
        <v>67</v>
      </c>
      <c r="G2638" s="25" t="s">
        <v>4009</v>
      </c>
      <c r="H2638" s="25" t="s">
        <v>4010</v>
      </c>
      <c r="I2638" s="46">
        <v>0</v>
      </c>
      <c r="J2638" s="46">
        <v>1670</v>
      </c>
      <c r="K2638" s="46">
        <v>0</v>
      </c>
      <c r="L2638" s="46">
        <v>0</v>
      </c>
      <c r="M2638" s="46">
        <v>0</v>
      </c>
      <c r="N2638" s="46">
        <v>0</v>
      </c>
      <c r="O2638" s="124">
        <v>0</v>
      </c>
      <c r="P2638" s="102">
        <v>0</v>
      </c>
      <c r="Q2638" s="45" t="s">
        <v>154</v>
      </c>
    </row>
    <row r="2639" spans="1:17" ht="36" x14ac:dyDescent="0.25">
      <c r="A2639" s="21">
        <v>39697</v>
      </c>
      <c r="B2639" s="21">
        <v>39698</v>
      </c>
      <c r="C2639" s="45">
        <v>2008</v>
      </c>
      <c r="D2639" s="351" t="s">
        <v>23</v>
      </c>
      <c r="E2639" s="30" t="s">
        <v>86</v>
      </c>
      <c r="F2639" s="7" t="s">
        <v>72</v>
      </c>
      <c r="G2639" s="25" t="s">
        <v>4011</v>
      </c>
      <c r="H2639" s="25" t="s">
        <v>4012</v>
      </c>
      <c r="I2639" s="46">
        <v>0</v>
      </c>
      <c r="J2639" s="46">
        <f t="shared" ref="J2639:J2644" si="12">(K2639*5)</f>
        <v>2125</v>
      </c>
      <c r="K2639" s="46">
        <v>425</v>
      </c>
      <c r="L2639" s="46">
        <v>0</v>
      </c>
      <c r="M2639" s="46">
        <v>0</v>
      </c>
      <c r="N2639" s="46">
        <v>0</v>
      </c>
      <c r="O2639" s="124">
        <v>0</v>
      </c>
      <c r="P2639" s="102">
        <v>1.98237</v>
      </c>
      <c r="Q2639" s="45" t="s">
        <v>154</v>
      </c>
    </row>
    <row r="2640" spans="1:17" ht="60" x14ac:dyDescent="0.25">
      <c r="A2640" s="21">
        <v>39696</v>
      </c>
      <c r="B2640" s="21">
        <v>39699</v>
      </c>
      <c r="C2640" s="45">
        <v>2008</v>
      </c>
      <c r="D2640" s="351" t="s">
        <v>23</v>
      </c>
      <c r="E2640" s="30" t="s">
        <v>86</v>
      </c>
      <c r="F2640" s="28" t="s">
        <v>210</v>
      </c>
      <c r="G2640" s="25" t="s">
        <v>4013</v>
      </c>
      <c r="H2640" s="25" t="s">
        <v>4014</v>
      </c>
      <c r="I2640" s="46">
        <v>0</v>
      </c>
      <c r="J2640" s="46">
        <f t="shared" si="12"/>
        <v>5565</v>
      </c>
      <c r="K2640" s="46">
        <v>1113</v>
      </c>
      <c r="L2640" s="46">
        <v>0</v>
      </c>
      <c r="M2640" s="46">
        <v>40</v>
      </c>
      <c r="N2640" s="46">
        <v>0</v>
      </c>
      <c r="O2640" s="124">
        <v>0</v>
      </c>
      <c r="P2640" s="102">
        <v>346.61700000000002</v>
      </c>
      <c r="Q2640" s="45" t="str">
        <f>+fo</f>
        <v>FONDEN</v>
      </c>
    </row>
    <row r="2641" spans="1:17" ht="144" x14ac:dyDescent="0.25">
      <c r="A2641" s="21">
        <v>39696</v>
      </c>
      <c r="B2641" s="21">
        <v>39697</v>
      </c>
      <c r="C2641" s="45">
        <v>2008</v>
      </c>
      <c r="D2641" s="351" t="s">
        <v>23</v>
      </c>
      <c r="E2641" s="30" t="s">
        <v>86</v>
      </c>
      <c r="F2641" s="28" t="s">
        <v>210</v>
      </c>
      <c r="G2641" s="25" t="s">
        <v>4015</v>
      </c>
      <c r="H2641" s="25" t="s">
        <v>4016</v>
      </c>
      <c r="I2641" s="46">
        <v>2</v>
      </c>
      <c r="J2641" s="46">
        <f t="shared" si="12"/>
        <v>15920</v>
      </c>
      <c r="K2641" s="46">
        <v>3184</v>
      </c>
      <c r="L2641" s="46">
        <v>0</v>
      </c>
      <c r="M2641" s="46">
        <v>0</v>
      </c>
      <c r="N2641" s="46">
        <v>0</v>
      </c>
      <c r="O2641" s="124">
        <v>0</v>
      </c>
      <c r="P2641" s="102">
        <v>6.3680000000000003</v>
      </c>
      <c r="Q2641" s="45" t="s">
        <v>154</v>
      </c>
    </row>
    <row r="2642" spans="1:17" ht="24" x14ac:dyDescent="0.25">
      <c r="A2642" s="21">
        <v>39698</v>
      </c>
      <c r="B2642" s="21">
        <v>39699</v>
      </c>
      <c r="C2642" s="45">
        <v>2008</v>
      </c>
      <c r="D2642" s="351" t="s">
        <v>23</v>
      </c>
      <c r="E2642" s="30" t="s">
        <v>86</v>
      </c>
      <c r="F2642" s="7" t="s">
        <v>58</v>
      </c>
      <c r="G2642" s="25" t="s">
        <v>4017</v>
      </c>
      <c r="H2642" s="25" t="s">
        <v>4018</v>
      </c>
      <c r="I2642" s="46">
        <v>0</v>
      </c>
      <c r="J2642" s="46">
        <f t="shared" si="12"/>
        <v>220</v>
      </c>
      <c r="K2642" s="46">
        <v>44</v>
      </c>
      <c r="L2642" s="46">
        <v>0</v>
      </c>
      <c r="M2642" s="46">
        <v>0</v>
      </c>
      <c r="N2642" s="46">
        <v>0</v>
      </c>
      <c r="O2642" s="124">
        <v>0</v>
      </c>
      <c r="P2642" s="102">
        <v>0.205233</v>
      </c>
      <c r="Q2642" s="45" t="s">
        <v>154</v>
      </c>
    </row>
    <row r="2643" spans="1:17" ht="84" x14ac:dyDescent="0.25">
      <c r="A2643" s="21">
        <v>39699</v>
      </c>
      <c r="B2643" s="21">
        <v>39702</v>
      </c>
      <c r="C2643" s="45">
        <v>2008</v>
      </c>
      <c r="D2643" s="351" t="s">
        <v>23</v>
      </c>
      <c r="E2643" s="14" t="s">
        <v>32</v>
      </c>
      <c r="F2643" s="7" t="s">
        <v>87</v>
      </c>
      <c r="G2643" s="25" t="s">
        <v>4019</v>
      </c>
      <c r="H2643" s="25" t="s">
        <v>4020</v>
      </c>
      <c r="I2643" s="46">
        <v>0</v>
      </c>
      <c r="J2643" s="46">
        <f t="shared" si="12"/>
        <v>8450</v>
      </c>
      <c r="K2643" s="46">
        <v>1690</v>
      </c>
      <c r="L2643" s="46">
        <v>13</v>
      </c>
      <c r="M2643" s="46">
        <v>20</v>
      </c>
      <c r="N2643" s="46">
        <v>0</v>
      </c>
      <c r="O2643" s="124">
        <v>0</v>
      </c>
      <c r="P2643" s="102">
        <v>378.6</v>
      </c>
      <c r="Q2643" s="45" t="s">
        <v>3933</v>
      </c>
    </row>
    <row r="2644" spans="1:17" ht="72" x14ac:dyDescent="0.25">
      <c r="A2644" s="21">
        <v>39700</v>
      </c>
      <c r="B2644" s="21">
        <v>39703</v>
      </c>
      <c r="C2644" s="45">
        <v>2008</v>
      </c>
      <c r="D2644" s="351" t="s">
        <v>23</v>
      </c>
      <c r="E2644" s="30" t="s">
        <v>86</v>
      </c>
      <c r="F2644" s="7" t="s">
        <v>84</v>
      </c>
      <c r="G2644" s="25">
        <v>3</v>
      </c>
      <c r="H2644" s="25" t="s">
        <v>4021</v>
      </c>
      <c r="I2644" s="46">
        <v>0</v>
      </c>
      <c r="J2644" s="46">
        <f t="shared" si="12"/>
        <v>7770</v>
      </c>
      <c r="K2644" s="46">
        <v>1554</v>
      </c>
      <c r="L2644" s="46">
        <v>0</v>
      </c>
      <c r="M2644" s="46">
        <v>0</v>
      </c>
      <c r="N2644" s="46">
        <v>0</v>
      </c>
      <c r="O2644" s="124">
        <v>0</v>
      </c>
      <c r="P2644" s="102">
        <v>103.55800000000001</v>
      </c>
      <c r="Q2644" s="45" t="str">
        <f>+fo</f>
        <v>FONDEN</v>
      </c>
    </row>
    <row r="2645" spans="1:17" ht="84" x14ac:dyDescent="0.25">
      <c r="A2645" s="125">
        <v>39700</v>
      </c>
      <c r="B2645" s="125">
        <v>39700</v>
      </c>
      <c r="C2645" s="45">
        <v>2008</v>
      </c>
      <c r="D2645" s="351" t="s">
        <v>23</v>
      </c>
      <c r="E2645" s="30" t="s">
        <v>52</v>
      </c>
      <c r="F2645" s="7" t="s">
        <v>84</v>
      </c>
      <c r="G2645" s="25" t="s">
        <v>4022</v>
      </c>
      <c r="H2645" s="25" t="s">
        <v>4023</v>
      </c>
      <c r="I2645" s="46">
        <v>0</v>
      </c>
      <c r="J2645" s="46">
        <v>1438</v>
      </c>
      <c r="K2645" s="46">
        <v>0</v>
      </c>
      <c r="L2645" s="46">
        <v>0</v>
      </c>
      <c r="M2645" s="46">
        <v>0</v>
      </c>
      <c r="N2645" s="46">
        <v>0</v>
      </c>
      <c r="O2645" s="124">
        <v>7169.1</v>
      </c>
      <c r="P2645" s="102">
        <v>38.552</v>
      </c>
      <c r="Q2645" s="45" t="s">
        <v>3787</v>
      </c>
    </row>
    <row r="2646" spans="1:17" ht="24" x14ac:dyDescent="0.25">
      <c r="A2646" s="125">
        <v>39701</v>
      </c>
      <c r="B2646" s="125">
        <v>39701</v>
      </c>
      <c r="C2646" s="45">
        <v>2008</v>
      </c>
      <c r="D2646" s="351" t="s">
        <v>23</v>
      </c>
      <c r="E2646" s="30" t="s">
        <v>86</v>
      </c>
      <c r="F2646" s="7" t="s">
        <v>77</v>
      </c>
      <c r="G2646" s="25" t="str">
        <f>+F2646</f>
        <v>Querétaro</v>
      </c>
      <c r="H2646" s="25" t="s">
        <v>4024</v>
      </c>
      <c r="I2646" s="46">
        <v>0</v>
      </c>
      <c r="J2646" s="46">
        <f>(K2646*5)</f>
        <v>450</v>
      </c>
      <c r="K2646" s="46">
        <v>90</v>
      </c>
      <c r="L2646" s="46">
        <v>0</v>
      </c>
      <c r="M2646" s="46">
        <v>0</v>
      </c>
      <c r="N2646" s="46">
        <v>0</v>
      </c>
      <c r="O2646" s="124">
        <v>0</v>
      </c>
      <c r="P2646" s="102">
        <v>0.18</v>
      </c>
      <c r="Q2646" s="45" t="s">
        <v>154</v>
      </c>
    </row>
    <row r="2647" spans="1:17" ht="24" x14ac:dyDescent="0.25">
      <c r="A2647" s="125">
        <v>39701</v>
      </c>
      <c r="B2647" s="125">
        <v>39701</v>
      </c>
      <c r="C2647" s="45">
        <v>2008</v>
      </c>
      <c r="D2647" s="351" t="s">
        <v>23</v>
      </c>
      <c r="E2647" s="30" t="s">
        <v>86</v>
      </c>
      <c r="F2647" s="7" t="s">
        <v>82</v>
      </c>
      <c r="G2647" s="25" t="s">
        <v>4025</v>
      </c>
      <c r="H2647" s="25" t="s">
        <v>4026</v>
      </c>
      <c r="I2647" s="46">
        <v>0</v>
      </c>
      <c r="J2647" s="46">
        <v>419</v>
      </c>
      <c r="K2647" s="46">
        <v>12</v>
      </c>
      <c r="L2647" s="46">
        <v>0</v>
      </c>
      <c r="M2647" s="46">
        <v>0</v>
      </c>
      <c r="N2647" s="46">
        <v>0</v>
      </c>
      <c r="O2647" s="124">
        <v>0</v>
      </c>
      <c r="P2647" s="102">
        <v>2.4E-2</v>
      </c>
      <c r="Q2647" s="45" t="s">
        <v>154</v>
      </c>
    </row>
    <row r="2648" spans="1:17" ht="24" x14ac:dyDescent="0.25">
      <c r="A2648" s="125">
        <v>39702</v>
      </c>
      <c r="B2648" s="125">
        <v>39702</v>
      </c>
      <c r="C2648" s="45">
        <v>2008</v>
      </c>
      <c r="D2648" s="351" t="s">
        <v>23</v>
      </c>
      <c r="E2648" s="30" t="s">
        <v>86</v>
      </c>
      <c r="F2648" s="7" t="s">
        <v>56</v>
      </c>
      <c r="G2648" s="25" t="s">
        <v>2957</v>
      </c>
      <c r="H2648" s="25" t="str">
        <f>+H2655</f>
        <v>Se registraron fuertes lluvias dejando grandes afectaciones</v>
      </c>
      <c r="I2648" s="46">
        <v>0</v>
      </c>
      <c r="J2648" s="46">
        <f>(K2648*5)</f>
        <v>150</v>
      </c>
      <c r="K2648" s="46">
        <v>30</v>
      </c>
      <c r="L2648" s="46">
        <v>3</v>
      </c>
      <c r="M2648" s="46">
        <v>1</v>
      </c>
      <c r="N2648" s="46">
        <v>0</v>
      </c>
      <c r="O2648" s="124">
        <v>0</v>
      </c>
      <c r="P2648" s="102">
        <v>0.06</v>
      </c>
      <c r="Q2648" s="45" t="s">
        <v>154</v>
      </c>
    </row>
    <row r="2649" spans="1:17" ht="24" x14ac:dyDescent="0.25">
      <c r="A2649" s="21">
        <v>39699</v>
      </c>
      <c r="B2649" s="21">
        <v>39702</v>
      </c>
      <c r="C2649" s="45">
        <v>2008</v>
      </c>
      <c r="D2649" s="351" t="s">
        <v>23</v>
      </c>
      <c r="E2649" s="30" t="s">
        <v>86</v>
      </c>
      <c r="F2649" s="7" t="s">
        <v>84</v>
      </c>
      <c r="G2649" s="25" t="s">
        <v>4027</v>
      </c>
      <c r="H2649" s="25" t="str">
        <f>+H2648</f>
        <v>Se registraron fuertes lluvias dejando grandes afectaciones</v>
      </c>
      <c r="I2649" s="46">
        <v>0</v>
      </c>
      <c r="J2649" s="46">
        <v>1314</v>
      </c>
      <c r="K2649" s="46">
        <v>150</v>
      </c>
      <c r="L2649" s="46">
        <v>0</v>
      </c>
      <c r="M2649" s="46">
        <v>0</v>
      </c>
      <c r="N2649" s="46">
        <v>0</v>
      </c>
      <c r="O2649" s="124">
        <v>0</v>
      </c>
      <c r="P2649" s="102">
        <v>0.3</v>
      </c>
      <c r="Q2649" s="45" t="s">
        <v>154</v>
      </c>
    </row>
    <row r="2650" spans="1:17" ht="36" x14ac:dyDescent="0.25">
      <c r="A2650" s="125">
        <v>39703</v>
      </c>
      <c r="B2650" s="125">
        <v>39703</v>
      </c>
      <c r="C2650" s="45">
        <v>2008</v>
      </c>
      <c r="D2650" s="351" t="s">
        <v>23</v>
      </c>
      <c r="E2650" s="30" t="s">
        <v>86</v>
      </c>
      <c r="F2650" s="7" t="s">
        <v>58</v>
      </c>
      <c r="G2650" s="25" t="s">
        <v>4028</v>
      </c>
      <c r="H2650" s="25" t="s">
        <v>4029</v>
      </c>
      <c r="I2650" s="46">
        <v>0</v>
      </c>
      <c r="J2650" s="46">
        <v>80</v>
      </c>
      <c r="K2650" s="46">
        <v>0</v>
      </c>
      <c r="L2650" s="46">
        <v>0</v>
      </c>
      <c r="M2650" s="46">
        <v>0</v>
      </c>
      <c r="N2650" s="46">
        <v>0</v>
      </c>
      <c r="O2650" s="124">
        <v>0</v>
      </c>
      <c r="P2650" s="102">
        <v>0</v>
      </c>
      <c r="Q2650" s="45" t="s">
        <v>154</v>
      </c>
    </row>
    <row r="2651" spans="1:17" ht="36" x14ac:dyDescent="0.25">
      <c r="A2651" s="21">
        <v>39704</v>
      </c>
      <c r="B2651" s="21">
        <v>39705</v>
      </c>
      <c r="C2651" s="45">
        <v>2008</v>
      </c>
      <c r="D2651" s="351" t="s">
        <v>23</v>
      </c>
      <c r="E2651" s="30" t="str">
        <f>+E2650</f>
        <v>Lluvias</v>
      </c>
      <c r="F2651" s="7" t="s">
        <v>68</v>
      </c>
      <c r="G2651" s="25" t="str">
        <f>+va&amp;" (10)"</f>
        <v>varios municipios (10)</v>
      </c>
      <c r="H2651" s="25" t="s">
        <v>4030</v>
      </c>
      <c r="I2651" s="46">
        <v>0</v>
      </c>
      <c r="J2651" s="46">
        <f>(K2651*5)</f>
        <v>215</v>
      </c>
      <c r="K2651" s="46">
        <v>43</v>
      </c>
      <c r="L2651" s="46">
        <v>0</v>
      </c>
      <c r="M2651" s="46">
        <v>0</v>
      </c>
      <c r="N2651" s="46">
        <v>0</v>
      </c>
      <c r="O2651" s="124">
        <v>0</v>
      </c>
      <c r="P2651" s="102">
        <v>54.442</v>
      </c>
      <c r="Q2651" s="45" t="str">
        <f>+fo</f>
        <v>FONDEN</v>
      </c>
    </row>
    <row r="2652" spans="1:17" ht="36" x14ac:dyDescent="0.25">
      <c r="A2652" s="125">
        <v>39705</v>
      </c>
      <c r="B2652" s="125">
        <v>39705</v>
      </c>
      <c r="C2652" s="45">
        <v>2008</v>
      </c>
      <c r="D2652" s="351" t="s">
        <v>23</v>
      </c>
      <c r="E2652" s="30" t="s">
        <v>86</v>
      </c>
      <c r="F2652" s="28" t="s">
        <v>210</v>
      </c>
      <c r="G2652" s="25" t="s">
        <v>4031</v>
      </c>
      <c r="H2652" s="25" t="str">
        <f>+H2649</f>
        <v>Se registraron fuertes lluvias dejando grandes afectaciones</v>
      </c>
      <c r="I2652" s="46">
        <v>3</v>
      </c>
      <c r="J2652" s="46">
        <f>(K2652*5)</f>
        <v>100</v>
      </c>
      <c r="K2652" s="46">
        <v>20</v>
      </c>
      <c r="L2652" s="46">
        <v>0</v>
      </c>
      <c r="M2652" s="46">
        <v>0</v>
      </c>
      <c r="N2652" s="46">
        <v>0</v>
      </c>
      <c r="O2652" s="124">
        <v>0</v>
      </c>
      <c r="P2652" s="102">
        <v>0.04</v>
      </c>
      <c r="Q2652" s="45" t="s">
        <v>154</v>
      </c>
    </row>
    <row r="2653" spans="1:17" ht="72" x14ac:dyDescent="0.25">
      <c r="A2653" s="125">
        <v>39705</v>
      </c>
      <c r="B2653" s="125">
        <v>39705</v>
      </c>
      <c r="C2653" s="45">
        <v>2008</v>
      </c>
      <c r="D2653" s="351" t="s">
        <v>23</v>
      </c>
      <c r="E2653" s="30" t="s">
        <v>86</v>
      </c>
      <c r="F2653" s="7" t="s">
        <v>60</v>
      </c>
      <c r="G2653" s="25" t="s">
        <v>2545</v>
      </c>
      <c r="H2653" s="25" t="s">
        <v>4032</v>
      </c>
      <c r="I2653" s="46">
        <v>0</v>
      </c>
      <c r="J2653" s="46">
        <v>298</v>
      </c>
      <c r="K2653" s="46">
        <v>0</v>
      </c>
      <c r="L2653" s="46">
        <v>0</v>
      </c>
      <c r="M2653" s="46">
        <v>0</v>
      </c>
      <c r="N2653" s="46">
        <v>0</v>
      </c>
      <c r="O2653" s="124">
        <v>901.9</v>
      </c>
      <c r="P2653" s="102">
        <v>12.794</v>
      </c>
      <c r="Q2653" s="45" t="s">
        <v>3787</v>
      </c>
    </row>
    <row r="2654" spans="1:17" ht="72" x14ac:dyDescent="0.25">
      <c r="A2654" s="125">
        <v>39706</v>
      </c>
      <c r="B2654" s="125">
        <v>39706</v>
      </c>
      <c r="C2654" s="45">
        <v>2008</v>
      </c>
      <c r="D2654" s="351" t="s">
        <v>23</v>
      </c>
      <c r="E2654" s="30" t="s">
        <v>86</v>
      </c>
      <c r="F2654" s="7" t="s">
        <v>60</v>
      </c>
      <c r="G2654" s="25" t="s">
        <v>4033</v>
      </c>
      <c r="H2654" s="25" t="s">
        <v>4034</v>
      </c>
      <c r="I2654" s="46">
        <v>0</v>
      </c>
      <c r="J2654" s="46">
        <v>31</v>
      </c>
      <c r="K2654" s="46">
        <v>0</v>
      </c>
      <c r="L2654" s="46">
        <v>0</v>
      </c>
      <c r="M2654" s="46">
        <v>0</v>
      </c>
      <c r="N2654" s="46">
        <v>0</v>
      </c>
      <c r="O2654" s="124">
        <v>110</v>
      </c>
      <c r="P2654" s="102">
        <v>1.4039999999999999</v>
      </c>
      <c r="Q2654" s="45" t="s">
        <v>3787</v>
      </c>
    </row>
    <row r="2655" spans="1:17" ht="24" x14ac:dyDescent="0.25">
      <c r="A2655" s="125">
        <v>39706</v>
      </c>
      <c r="B2655" s="125">
        <v>39706</v>
      </c>
      <c r="C2655" s="45">
        <v>2008</v>
      </c>
      <c r="D2655" s="351" t="s">
        <v>23</v>
      </c>
      <c r="E2655" s="30" t="s">
        <v>86</v>
      </c>
      <c r="F2655" s="7" t="s">
        <v>91</v>
      </c>
      <c r="G2655" s="25" t="s">
        <v>4035</v>
      </c>
      <c r="H2655" s="25" t="str">
        <f>+H2638</f>
        <v>Se registraron fuertes lluvias dejando grandes afectaciones</v>
      </c>
      <c r="I2655" s="46">
        <v>0</v>
      </c>
      <c r="J2655" s="46">
        <v>85</v>
      </c>
      <c r="K2655" s="46">
        <v>0</v>
      </c>
      <c r="L2655" s="46">
        <v>0</v>
      </c>
      <c r="M2655" s="46">
        <v>0</v>
      </c>
      <c r="N2655" s="46">
        <v>0</v>
      </c>
      <c r="O2655" s="124">
        <v>0</v>
      </c>
      <c r="P2655" s="102">
        <v>0</v>
      </c>
      <c r="Q2655" s="45" t="s">
        <v>154</v>
      </c>
    </row>
    <row r="2656" spans="1:17" ht="84" x14ac:dyDescent="0.25">
      <c r="A2656" s="125">
        <v>39707</v>
      </c>
      <c r="B2656" s="125">
        <v>39707</v>
      </c>
      <c r="C2656" s="45">
        <v>2008</v>
      </c>
      <c r="D2656" s="351" t="s">
        <v>23</v>
      </c>
      <c r="E2656" s="30" t="s">
        <v>86</v>
      </c>
      <c r="F2656" s="28" t="s">
        <v>210</v>
      </c>
      <c r="G2656" s="25" t="s">
        <v>4036</v>
      </c>
      <c r="H2656" s="25" t="str">
        <f>+H2655</f>
        <v>Se registraron fuertes lluvias dejando grandes afectaciones</v>
      </c>
      <c r="I2656" s="46">
        <v>1</v>
      </c>
      <c r="J2656" s="46">
        <v>1</v>
      </c>
      <c r="K2656" s="46">
        <v>122</v>
      </c>
      <c r="L2656" s="46">
        <v>0</v>
      </c>
      <c r="M2656" s="46">
        <v>0</v>
      </c>
      <c r="N2656" s="46">
        <v>0</v>
      </c>
      <c r="O2656" s="124">
        <v>0</v>
      </c>
      <c r="P2656" s="102">
        <v>0.24399999999999999</v>
      </c>
      <c r="Q2656" s="45" t="s">
        <v>154</v>
      </c>
    </row>
    <row r="2657" spans="1:17" ht="24" x14ac:dyDescent="0.25">
      <c r="A2657" s="125">
        <v>39708</v>
      </c>
      <c r="B2657" s="125">
        <v>39708</v>
      </c>
      <c r="C2657" s="45">
        <v>2008</v>
      </c>
      <c r="D2657" s="351" t="s">
        <v>23</v>
      </c>
      <c r="E2657" s="30" t="s">
        <v>86</v>
      </c>
      <c r="F2657" s="7" t="s">
        <v>36</v>
      </c>
      <c r="G2657" s="25" t="s">
        <v>4037</v>
      </c>
      <c r="H2657" s="25" t="s">
        <v>4038</v>
      </c>
      <c r="I2657" s="46">
        <v>0</v>
      </c>
      <c r="J2657" s="46">
        <f>(K2657*5)</f>
        <v>160</v>
      </c>
      <c r="K2657" s="46">
        <v>32</v>
      </c>
      <c r="L2657" s="46">
        <v>0</v>
      </c>
      <c r="M2657" s="46">
        <v>0</v>
      </c>
      <c r="N2657" s="46">
        <v>0</v>
      </c>
      <c r="O2657" s="124">
        <v>0</v>
      </c>
      <c r="P2657" s="102">
        <v>6.4000000000000001E-2</v>
      </c>
      <c r="Q2657" s="45" t="s">
        <v>154</v>
      </c>
    </row>
    <row r="2658" spans="1:17" ht="60" x14ac:dyDescent="0.25">
      <c r="A2658" s="125">
        <v>39709</v>
      </c>
      <c r="B2658" s="125">
        <v>39709</v>
      </c>
      <c r="C2658" s="45">
        <v>2008</v>
      </c>
      <c r="D2658" s="351" t="s">
        <v>23</v>
      </c>
      <c r="E2658" s="30" t="s">
        <v>52</v>
      </c>
      <c r="F2658" s="7" t="s">
        <v>62</v>
      </c>
      <c r="G2658" s="25" t="s">
        <v>4039</v>
      </c>
      <c r="H2658" s="25" t="s">
        <v>4040</v>
      </c>
      <c r="I2658" s="46">
        <v>0</v>
      </c>
      <c r="J2658" s="46">
        <v>513</v>
      </c>
      <c r="K2658" s="46">
        <v>0</v>
      </c>
      <c r="L2658" s="46">
        <v>0</v>
      </c>
      <c r="M2658" s="46">
        <v>0</v>
      </c>
      <c r="N2658" s="46">
        <v>0</v>
      </c>
      <c r="O2658" s="124">
        <v>1560.8</v>
      </c>
      <c r="P2658" s="102">
        <v>15.335000000000001</v>
      </c>
      <c r="Q2658" s="45" t="s">
        <v>3787</v>
      </c>
    </row>
    <row r="2659" spans="1:17" ht="120" x14ac:dyDescent="0.25">
      <c r="A2659" s="21">
        <v>39709</v>
      </c>
      <c r="B2659" s="21">
        <v>39711</v>
      </c>
      <c r="C2659" s="45">
        <v>2008</v>
      </c>
      <c r="D2659" s="351" t="s">
        <v>23</v>
      </c>
      <c r="E2659" s="30" t="s">
        <v>86</v>
      </c>
      <c r="F2659" s="28" t="s">
        <v>210</v>
      </c>
      <c r="G2659" s="25" t="s">
        <v>4041</v>
      </c>
      <c r="H2659" s="25" t="s">
        <v>4042</v>
      </c>
      <c r="I2659" s="46">
        <v>0</v>
      </c>
      <c r="J2659" s="46">
        <v>112095</v>
      </c>
      <c r="K2659" s="46">
        <v>10074</v>
      </c>
      <c r="L2659" s="46">
        <v>0</v>
      </c>
      <c r="M2659" s="46">
        <v>0</v>
      </c>
      <c r="N2659" s="46">
        <v>0</v>
      </c>
      <c r="O2659" s="124">
        <v>0</v>
      </c>
      <c r="P2659" s="102">
        <v>20.148</v>
      </c>
      <c r="Q2659" s="45" t="s">
        <v>154</v>
      </c>
    </row>
    <row r="2660" spans="1:17" ht="60" x14ac:dyDescent="0.25">
      <c r="A2660" s="21">
        <v>39710</v>
      </c>
      <c r="B2660" s="21">
        <v>39713</v>
      </c>
      <c r="C2660" s="45">
        <v>2008</v>
      </c>
      <c r="D2660" s="351" t="s">
        <v>23</v>
      </c>
      <c r="E2660" s="30" t="s">
        <v>86</v>
      </c>
      <c r="F2660" s="28" t="s">
        <v>210</v>
      </c>
      <c r="G2660" s="25" t="s">
        <v>4043</v>
      </c>
      <c r="H2660" s="25" t="s">
        <v>4044</v>
      </c>
      <c r="I2660" s="46">
        <v>0</v>
      </c>
      <c r="J2660" s="46">
        <v>212471</v>
      </c>
      <c r="K2660" s="46">
        <v>1609</v>
      </c>
      <c r="L2660" s="46">
        <v>31</v>
      </c>
      <c r="M2660" s="46">
        <v>12</v>
      </c>
      <c r="N2660" s="46">
        <v>0</v>
      </c>
      <c r="O2660" s="124">
        <v>35820</v>
      </c>
      <c r="P2660" s="102">
        <v>1413.373</v>
      </c>
      <c r="Q2660" s="45" t="s">
        <v>22</v>
      </c>
    </row>
    <row r="2661" spans="1:17" ht="24" x14ac:dyDescent="0.25">
      <c r="A2661" s="125">
        <v>39710</v>
      </c>
      <c r="B2661" s="125">
        <v>39710</v>
      </c>
      <c r="C2661" s="45">
        <v>2008</v>
      </c>
      <c r="D2661" s="351" t="s">
        <v>23</v>
      </c>
      <c r="E2661" s="30" t="s">
        <v>86</v>
      </c>
      <c r="F2661" s="7" t="s">
        <v>36</v>
      </c>
      <c r="G2661" s="25" t="s">
        <v>2097</v>
      </c>
      <c r="H2661" s="25" t="str">
        <f>+H2656</f>
        <v>Se registraron fuertes lluvias dejando grandes afectaciones</v>
      </c>
      <c r="I2661" s="46">
        <v>0</v>
      </c>
      <c r="J2661" s="46">
        <v>30</v>
      </c>
      <c r="K2661" s="46">
        <v>14</v>
      </c>
      <c r="L2661" s="46">
        <v>0</v>
      </c>
      <c r="M2661" s="46">
        <v>0</v>
      </c>
      <c r="N2661" s="46">
        <v>0</v>
      </c>
      <c r="O2661" s="124">
        <v>0</v>
      </c>
      <c r="P2661" s="102">
        <v>2.8000000000000001E-2</v>
      </c>
      <c r="Q2661" s="45" t="s">
        <v>154</v>
      </c>
    </row>
    <row r="2662" spans="1:17" ht="24" x14ac:dyDescent="0.25">
      <c r="A2662" s="125">
        <v>39710</v>
      </c>
      <c r="B2662" s="125">
        <v>39710</v>
      </c>
      <c r="C2662" s="45">
        <v>2008</v>
      </c>
      <c r="D2662" s="351" t="s">
        <v>23</v>
      </c>
      <c r="E2662" s="30" t="s">
        <v>86</v>
      </c>
      <c r="F2662" s="7" t="s">
        <v>47</v>
      </c>
      <c r="G2662" s="25" t="s">
        <v>47</v>
      </c>
      <c r="H2662" s="25" t="s">
        <v>4045</v>
      </c>
      <c r="I2662" s="46">
        <v>1</v>
      </c>
      <c r="J2662" s="46">
        <v>1</v>
      </c>
      <c r="K2662" s="46">
        <v>0</v>
      </c>
      <c r="L2662" s="46">
        <v>0</v>
      </c>
      <c r="M2662" s="46">
        <v>0</v>
      </c>
      <c r="N2662" s="46">
        <v>0</v>
      </c>
      <c r="O2662" s="124">
        <v>0</v>
      </c>
      <c r="P2662" s="102">
        <v>0</v>
      </c>
      <c r="Q2662" s="45" t="s">
        <v>154</v>
      </c>
    </row>
    <row r="2663" spans="1:17" ht="24" x14ac:dyDescent="0.25">
      <c r="A2663" s="125">
        <v>39710</v>
      </c>
      <c r="B2663" s="125">
        <v>39710</v>
      </c>
      <c r="C2663" s="45">
        <v>2008</v>
      </c>
      <c r="D2663" s="351" t="s">
        <v>23</v>
      </c>
      <c r="E2663" s="30" t="s">
        <v>86</v>
      </c>
      <c r="F2663" s="25" t="s">
        <v>781</v>
      </c>
      <c r="G2663" s="25" t="s">
        <v>1555</v>
      </c>
      <c r="H2663" s="25" t="str">
        <f>+H2656</f>
        <v>Se registraron fuertes lluvias dejando grandes afectaciones</v>
      </c>
      <c r="I2663" s="46">
        <v>0</v>
      </c>
      <c r="J2663" s="46">
        <v>36</v>
      </c>
      <c r="K2663" s="46">
        <v>10</v>
      </c>
      <c r="L2663" s="46">
        <v>0</v>
      </c>
      <c r="M2663" s="46">
        <v>0</v>
      </c>
      <c r="N2663" s="46">
        <v>0</v>
      </c>
      <c r="O2663" s="124">
        <v>0</v>
      </c>
      <c r="P2663" s="102">
        <v>0.02</v>
      </c>
      <c r="Q2663" s="45" t="s">
        <v>154</v>
      </c>
    </row>
    <row r="2664" spans="1:17" ht="72" x14ac:dyDescent="0.25">
      <c r="A2664" s="21">
        <v>39713</v>
      </c>
      <c r="B2664" s="21">
        <v>39717</v>
      </c>
      <c r="C2664" s="45">
        <v>2008</v>
      </c>
      <c r="D2664" s="351" t="s">
        <v>23</v>
      </c>
      <c r="E2664" s="30" t="s">
        <v>86</v>
      </c>
      <c r="F2664" s="28" t="s">
        <v>210</v>
      </c>
      <c r="G2664" s="25" t="str">
        <f>+va&amp;" (25)"</f>
        <v>varios municipios (25)</v>
      </c>
      <c r="H2664" s="25" t="s">
        <v>4046</v>
      </c>
      <c r="I2664" s="46">
        <v>0</v>
      </c>
      <c r="J2664" s="46">
        <f>(K2664*5)</f>
        <v>8115</v>
      </c>
      <c r="K2664" s="46">
        <v>1623</v>
      </c>
      <c r="L2664" s="46">
        <v>33</v>
      </c>
      <c r="M2664" s="46">
        <v>6</v>
      </c>
      <c r="N2664" s="46">
        <v>0</v>
      </c>
      <c r="O2664" s="124">
        <v>0</v>
      </c>
      <c r="P2664" s="102">
        <v>691.56600000000003</v>
      </c>
      <c r="Q2664" s="45" t="str">
        <f>+fo</f>
        <v>FONDEN</v>
      </c>
    </row>
    <row r="2665" spans="1:17" ht="48" x14ac:dyDescent="0.25">
      <c r="A2665" s="21">
        <v>39714</v>
      </c>
      <c r="B2665" s="21">
        <v>39718</v>
      </c>
      <c r="C2665" s="45">
        <v>2008</v>
      </c>
      <c r="D2665" s="351" t="s">
        <v>23</v>
      </c>
      <c r="E2665" s="30" t="s">
        <v>86</v>
      </c>
      <c r="F2665" s="7" t="s">
        <v>72</v>
      </c>
      <c r="G2665" s="25" t="str">
        <f>+va&amp;" (47)"</f>
        <v>varios municipios (47)</v>
      </c>
      <c r="H2665" s="25" t="s">
        <v>4047</v>
      </c>
      <c r="I2665" s="46">
        <v>0</v>
      </c>
      <c r="J2665" s="46">
        <v>0</v>
      </c>
      <c r="K2665" s="46">
        <v>0</v>
      </c>
      <c r="L2665" s="46">
        <v>0</v>
      </c>
      <c r="M2665" s="46">
        <v>0</v>
      </c>
      <c r="N2665" s="46">
        <v>0</v>
      </c>
      <c r="O2665" s="124">
        <v>0</v>
      </c>
      <c r="P2665" s="102">
        <v>424.94400000000002</v>
      </c>
      <c r="Q2665" s="45" t="str">
        <f>+fo</f>
        <v>FONDEN</v>
      </c>
    </row>
    <row r="2666" spans="1:17" ht="24" x14ac:dyDescent="0.25">
      <c r="A2666" s="125">
        <v>39714</v>
      </c>
      <c r="B2666" s="125">
        <v>39714</v>
      </c>
      <c r="C2666" s="45">
        <v>2008</v>
      </c>
      <c r="D2666" s="351" t="s">
        <v>23</v>
      </c>
      <c r="E2666" s="30" t="s">
        <v>86</v>
      </c>
      <c r="F2666" s="28" t="s">
        <v>210</v>
      </c>
      <c r="G2666" s="25" t="s">
        <v>4048</v>
      </c>
      <c r="H2666" s="25" t="s">
        <v>4026</v>
      </c>
      <c r="I2666" s="46">
        <v>0</v>
      </c>
      <c r="J2666" s="46">
        <f>(K2666*5)</f>
        <v>60</v>
      </c>
      <c r="K2666" s="46">
        <v>12</v>
      </c>
      <c r="L2666" s="46">
        <v>0</v>
      </c>
      <c r="M2666" s="46">
        <v>0</v>
      </c>
      <c r="N2666" s="46">
        <v>0</v>
      </c>
      <c r="O2666" s="124">
        <v>0</v>
      </c>
      <c r="P2666" s="102">
        <v>2.4E-2</v>
      </c>
      <c r="Q2666" s="45" t="s">
        <v>154</v>
      </c>
    </row>
    <row r="2667" spans="1:17" ht="36" x14ac:dyDescent="0.25">
      <c r="A2667" s="125">
        <v>39714</v>
      </c>
      <c r="B2667" s="125">
        <v>39714</v>
      </c>
      <c r="C2667" s="45">
        <v>2008</v>
      </c>
      <c r="D2667" s="351" t="s">
        <v>23</v>
      </c>
      <c r="E2667" s="30" t="s">
        <v>86</v>
      </c>
      <c r="F2667" s="7" t="s">
        <v>72</v>
      </c>
      <c r="G2667" s="25" t="s">
        <v>4049</v>
      </c>
      <c r="H2667" s="25" t="s">
        <v>4050</v>
      </c>
      <c r="I2667" s="46">
        <v>1</v>
      </c>
      <c r="J2667" s="46">
        <f>(K2667*5)</f>
        <v>10885</v>
      </c>
      <c r="K2667" s="46">
        <v>2177</v>
      </c>
      <c r="L2667" s="46">
        <v>3</v>
      </c>
      <c r="M2667" s="46">
        <v>0</v>
      </c>
      <c r="N2667" s="46">
        <v>0</v>
      </c>
      <c r="O2667" s="124">
        <v>0</v>
      </c>
      <c r="P2667" s="102">
        <v>4.3540000000000001</v>
      </c>
      <c r="Q2667" s="45" t="s">
        <v>154</v>
      </c>
    </row>
    <row r="2668" spans="1:17" ht="72" x14ac:dyDescent="0.25">
      <c r="A2668" s="125">
        <v>39715</v>
      </c>
      <c r="B2668" s="125">
        <v>39715</v>
      </c>
      <c r="C2668" s="45">
        <v>2008</v>
      </c>
      <c r="D2668" s="351" t="s">
        <v>23</v>
      </c>
      <c r="E2668" s="30" t="s">
        <v>52</v>
      </c>
      <c r="F2668" s="25" t="s">
        <v>781</v>
      </c>
      <c r="G2668" s="25" t="s">
        <v>4051</v>
      </c>
      <c r="H2668" s="25" t="s">
        <v>4052</v>
      </c>
      <c r="I2668" s="46">
        <v>0</v>
      </c>
      <c r="J2668" s="46">
        <v>38246</v>
      </c>
      <c r="K2668" s="46">
        <v>1634</v>
      </c>
      <c r="L2668" s="46">
        <v>456</v>
      </c>
      <c r="M2668" s="46">
        <v>8</v>
      </c>
      <c r="N2668" s="46">
        <v>2188</v>
      </c>
      <c r="O2668" s="124">
        <v>360022</v>
      </c>
      <c r="P2668" s="102">
        <v>4594.2</v>
      </c>
      <c r="Q2668" s="27" t="s">
        <v>2207</v>
      </c>
    </row>
    <row r="2669" spans="1:17" ht="24" x14ac:dyDescent="0.25">
      <c r="A2669" s="125">
        <v>39716</v>
      </c>
      <c r="B2669" s="125">
        <v>39716</v>
      </c>
      <c r="C2669" s="45">
        <v>2008</v>
      </c>
      <c r="D2669" s="351" t="s">
        <v>23</v>
      </c>
      <c r="E2669" s="30" t="s">
        <v>86</v>
      </c>
      <c r="F2669" s="7" t="s">
        <v>36</v>
      </c>
      <c r="G2669" s="25" t="s">
        <v>4053</v>
      </c>
      <c r="H2669" s="25" t="s">
        <v>4054</v>
      </c>
      <c r="I2669" s="46">
        <v>0</v>
      </c>
      <c r="J2669" s="46">
        <v>24005</v>
      </c>
      <c r="K2669" s="46">
        <v>2986</v>
      </c>
      <c r="L2669" s="46">
        <v>29</v>
      </c>
      <c r="M2669" s="46">
        <v>0</v>
      </c>
      <c r="N2669" s="46">
        <v>0</v>
      </c>
      <c r="O2669" s="124">
        <v>0</v>
      </c>
      <c r="P2669" s="102">
        <v>5.9720000000000004</v>
      </c>
      <c r="Q2669" s="45" t="s">
        <v>154</v>
      </c>
    </row>
    <row r="2670" spans="1:17" ht="60" x14ac:dyDescent="0.25">
      <c r="A2670" s="125">
        <v>39728</v>
      </c>
      <c r="B2670" s="125">
        <v>39728</v>
      </c>
      <c r="C2670" s="45">
        <v>2008</v>
      </c>
      <c r="D2670" s="351" t="s">
        <v>23</v>
      </c>
      <c r="E2670" s="30" t="s">
        <v>86</v>
      </c>
      <c r="F2670" s="28" t="s">
        <v>210</v>
      </c>
      <c r="G2670" s="25" t="s">
        <v>4055</v>
      </c>
      <c r="H2670" s="25" t="str">
        <f>+H2663</f>
        <v>Se registraron fuertes lluvias dejando grandes afectaciones</v>
      </c>
      <c r="I2670" s="46">
        <v>0</v>
      </c>
      <c r="J2670" s="46">
        <f>(K2670*5)</f>
        <v>1140</v>
      </c>
      <c r="K2670" s="46">
        <v>228</v>
      </c>
      <c r="L2670" s="46">
        <v>0</v>
      </c>
      <c r="M2670" s="46">
        <v>0</v>
      </c>
      <c r="N2670" s="46">
        <v>0</v>
      </c>
      <c r="O2670" s="124">
        <v>0</v>
      </c>
      <c r="P2670" s="102">
        <v>0.45600000000000002</v>
      </c>
      <c r="Q2670" s="45" t="s">
        <v>154</v>
      </c>
    </row>
    <row r="2671" spans="1:17" ht="24" x14ac:dyDescent="0.25">
      <c r="A2671" s="125">
        <v>39728</v>
      </c>
      <c r="B2671" s="125">
        <v>39728</v>
      </c>
      <c r="C2671" s="45">
        <v>2008</v>
      </c>
      <c r="D2671" s="351" t="s">
        <v>23</v>
      </c>
      <c r="E2671" s="30" t="s">
        <v>86</v>
      </c>
      <c r="F2671" s="7" t="s">
        <v>58</v>
      </c>
      <c r="G2671" s="25" t="s">
        <v>4056</v>
      </c>
      <c r="H2671" s="25" t="s">
        <v>4057</v>
      </c>
      <c r="I2671" s="46">
        <v>0</v>
      </c>
      <c r="J2671" s="46">
        <f>(K2671*5)</f>
        <v>750</v>
      </c>
      <c r="K2671" s="46">
        <v>150</v>
      </c>
      <c r="L2671" s="46">
        <v>0</v>
      </c>
      <c r="M2671" s="46">
        <v>0</v>
      </c>
      <c r="N2671" s="46">
        <v>0</v>
      </c>
      <c r="O2671" s="124">
        <v>0</v>
      </c>
      <c r="P2671" s="102">
        <v>0.3</v>
      </c>
      <c r="Q2671" s="45" t="s">
        <v>154</v>
      </c>
    </row>
    <row r="2672" spans="1:17" ht="24" x14ac:dyDescent="0.25">
      <c r="A2672" s="21">
        <v>39732</v>
      </c>
      <c r="B2672" s="21">
        <v>39733</v>
      </c>
      <c r="C2672" s="45">
        <v>2008</v>
      </c>
      <c r="D2672" s="351" t="s">
        <v>23</v>
      </c>
      <c r="E2672" s="30" t="s">
        <v>86</v>
      </c>
      <c r="F2672" s="7" t="s">
        <v>84</v>
      </c>
      <c r="G2672" s="25" t="s">
        <v>4058</v>
      </c>
      <c r="H2672" s="25" t="s">
        <v>4059</v>
      </c>
      <c r="I2672" s="46">
        <v>0</v>
      </c>
      <c r="J2672" s="46">
        <v>728</v>
      </c>
      <c r="K2672" s="46">
        <v>0</v>
      </c>
      <c r="L2672" s="46">
        <v>0</v>
      </c>
      <c r="M2672" s="46">
        <v>0</v>
      </c>
      <c r="N2672" s="46">
        <v>0</v>
      </c>
      <c r="O2672" s="124">
        <v>0</v>
      </c>
      <c r="P2672" s="102">
        <v>0</v>
      </c>
      <c r="Q2672" s="45" t="s">
        <v>154</v>
      </c>
    </row>
    <row r="2673" spans="1:17" ht="48" x14ac:dyDescent="0.25">
      <c r="A2673" s="125">
        <v>39732</v>
      </c>
      <c r="B2673" s="125">
        <v>39732</v>
      </c>
      <c r="C2673" s="45">
        <v>2008</v>
      </c>
      <c r="D2673" s="351" t="s">
        <v>23</v>
      </c>
      <c r="E2673" s="14" t="s">
        <v>32</v>
      </c>
      <c r="F2673" s="7" t="s">
        <v>87</v>
      </c>
      <c r="G2673" s="25" t="s">
        <v>4060</v>
      </c>
      <c r="H2673" s="25" t="s">
        <v>4061</v>
      </c>
      <c r="I2673" s="46">
        <v>4</v>
      </c>
      <c r="J2673" s="46">
        <v>15068</v>
      </c>
      <c r="K2673" s="46">
        <v>815</v>
      </c>
      <c r="L2673" s="46">
        <v>36</v>
      </c>
      <c r="M2673" s="46">
        <v>16</v>
      </c>
      <c r="N2673" s="46">
        <v>73</v>
      </c>
      <c r="O2673" s="124">
        <v>3370</v>
      </c>
      <c r="P2673" s="102">
        <v>402.9</v>
      </c>
      <c r="Q2673" s="45" t="s">
        <v>22</v>
      </c>
    </row>
    <row r="2674" spans="1:17" ht="60" x14ac:dyDescent="0.25">
      <c r="A2674" s="125">
        <v>39732</v>
      </c>
      <c r="B2674" s="125">
        <v>39732</v>
      </c>
      <c r="C2674" s="45">
        <v>2008</v>
      </c>
      <c r="D2674" s="351" t="s">
        <v>23</v>
      </c>
      <c r="E2674" s="14" t="s">
        <v>32</v>
      </c>
      <c r="F2674" s="7" t="s">
        <v>33</v>
      </c>
      <c r="G2674" s="25" t="s">
        <v>4062</v>
      </c>
      <c r="H2674" s="25" t="s">
        <v>4063</v>
      </c>
      <c r="I2674" s="46">
        <v>0</v>
      </c>
      <c r="J2674" s="46">
        <v>3144</v>
      </c>
      <c r="K2674" s="46">
        <v>681</v>
      </c>
      <c r="L2674" s="46">
        <v>10</v>
      </c>
      <c r="M2674" s="46">
        <v>0</v>
      </c>
      <c r="N2674" s="46">
        <v>0</v>
      </c>
      <c r="O2674" s="124">
        <v>0</v>
      </c>
      <c r="P2674" s="102">
        <v>292.21100000000001</v>
      </c>
      <c r="Q2674" s="45" t="s">
        <v>3933</v>
      </c>
    </row>
    <row r="2675" spans="1:17" ht="24" x14ac:dyDescent="0.25">
      <c r="A2675" s="125">
        <v>39732</v>
      </c>
      <c r="B2675" s="125">
        <v>39732</v>
      </c>
      <c r="C2675" s="45">
        <v>2008</v>
      </c>
      <c r="D2675" s="351" t="s">
        <v>23</v>
      </c>
      <c r="E2675" s="30" t="s">
        <v>86</v>
      </c>
      <c r="F2675" s="7" t="s">
        <v>58</v>
      </c>
      <c r="G2675" s="25" t="s">
        <v>4064</v>
      </c>
      <c r="H2675" s="25" t="s">
        <v>4050</v>
      </c>
      <c r="I2675" s="46">
        <v>0</v>
      </c>
      <c r="J2675" s="46">
        <f>(K2675*5)</f>
        <v>1160</v>
      </c>
      <c r="K2675" s="46">
        <v>232</v>
      </c>
      <c r="L2675" s="46">
        <v>0</v>
      </c>
      <c r="M2675" s="46">
        <v>0</v>
      </c>
      <c r="N2675" s="46">
        <v>0</v>
      </c>
      <c r="O2675" s="124">
        <v>0</v>
      </c>
      <c r="P2675" s="102">
        <v>1.0821400000000001</v>
      </c>
      <c r="Q2675" s="45" t="s">
        <v>154</v>
      </c>
    </row>
    <row r="2676" spans="1:17" ht="72" x14ac:dyDescent="0.25">
      <c r="A2676" s="125">
        <v>39732</v>
      </c>
      <c r="B2676" s="125">
        <v>39732</v>
      </c>
      <c r="C2676" s="45">
        <v>2008</v>
      </c>
      <c r="D2676" s="351" t="s">
        <v>23</v>
      </c>
      <c r="E2676" s="30" t="s">
        <v>86</v>
      </c>
      <c r="F2676" s="7" t="s">
        <v>36</v>
      </c>
      <c r="G2676" s="25" t="s">
        <v>1735</v>
      </c>
      <c r="H2676" s="25" t="s">
        <v>4065</v>
      </c>
      <c r="I2676" s="46">
        <v>0</v>
      </c>
      <c r="J2676" s="46">
        <v>421</v>
      </c>
      <c r="K2676" s="46">
        <v>0</v>
      </c>
      <c r="L2676" s="46">
        <v>0</v>
      </c>
      <c r="M2676" s="46">
        <v>0</v>
      </c>
      <c r="N2676" s="46">
        <v>0</v>
      </c>
      <c r="O2676" s="124">
        <v>1569</v>
      </c>
      <c r="P2676" s="102">
        <v>5.9379999999999997</v>
      </c>
      <c r="Q2676" s="45" t="s">
        <v>3787</v>
      </c>
    </row>
    <row r="2677" spans="1:17" ht="120" x14ac:dyDescent="0.25">
      <c r="A2677" s="125">
        <v>39737</v>
      </c>
      <c r="B2677" s="125">
        <v>39737</v>
      </c>
      <c r="C2677" s="45">
        <v>2008</v>
      </c>
      <c r="D2677" s="351" t="s">
        <v>23</v>
      </c>
      <c r="E2677" s="30" t="s">
        <v>86</v>
      </c>
      <c r="F2677" s="28" t="s">
        <v>210</v>
      </c>
      <c r="G2677" s="25" t="s">
        <v>4066</v>
      </c>
      <c r="H2677" s="25" t="s">
        <v>4067</v>
      </c>
      <c r="I2677" s="46">
        <v>0</v>
      </c>
      <c r="J2677" s="46">
        <f>(K2677*5)</f>
        <v>8210</v>
      </c>
      <c r="K2677" s="46">
        <v>1642</v>
      </c>
      <c r="L2677" s="46">
        <v>0</v>
      </c>
      <c r="M2677" s="46">
        <v>0</v>
      </c>
      <c r="N2677" s="46">
        <v>0</v>
      </c>
      <c r="O2677" s="124">
        <v>0</v>
      </c>
      <c r="P2677" s="102">
        <v>3.2839999999999998</v>
      </c>
      <c r="Q2677" s="45" t="s">
        <v>154</v>
      </c>
    </row>
    <row r="2678" spans="1:17" ht="36" x14ac:dyDescent="0.25">
      <c r="A2678" s="125">
        <v>39738</v>
      </c>
      <c r="B2678" s="125">
        <v>39738</v>
      </c>
      <c r="C2678" s="45">
        <v>2008</v>
      </c>
      <c r="D2678" s="351" t="s">
        <v>23</v>
      </c>
      <c r="E2678" s="30" t="s">
        <v>86</v>
      </c>
      <c r="F2678" s="7" t="s">
        <v>36</v>
      </c>
      <c r="G2678" s="25" t="s">
        <v>4068</v>
      </c>
      <c r="H2678" s="25" t="s">
        <v>4067</v>
      </c>
      <c r="I2678" s="46">
        <v>0</v>
      </c>
      <c r="J2678" s="46">
        <v>2385</v>
      </c>
      <c r="K2678" s="46">
        <v>185</v>
      </c>
      <c r="L2678" s="46">
        <v>0</v>
      </c>
      <c r="M2678" s="46">
        <v>0</v>
      </c>
      <c r="N2678" s="46">
        <v>0</v>
      </c>
      <c r="O2678" s="124">
        <v>0</v>
      </c>
      <c r="P2678" s="102">
        <v>0.37</v>
      </c>
      <c r="Q2678" s="45" t="s">
        <v>154</v>
      </c>
    </row>
    <row r="2679" spans="1:17" ht="84" x14ac:dyDescent="0.25">
      <c r="A2679" s="125">
        <v>39738</v>
      </c>
      <c r="B2679" s="125">
        <v>39738</v>
      </c>
      <c r="C2679" s="45">
        <v>2008</v>
      </c>
      <c r="D2679" s="351" t="s">
        <v>23</v>
      </c>
      <c r="E2679" s="30" t="s">
        <v>86</v>
      </c>
      <c r="F2679" s="7" t="s">
        <v>36</v>
      </c>
      <c r="G2679" s="25" t="s">
        <v>4069</v>
      </c>
      <c r="H2679" s="25" t="s">
        <v>4070</v>
      </c>
      <c r="I2679" s="46">
        <v>0</v>
      </c>
      <c r="J2679" s="46">
        <v>324</v>
      </c>
      <c r="K2679" s="46">
        <v>0</v>
      </c>
      <c r="L2679" s="46">
        <v>0</v>
      </c>
      <c r="M2679" s="46">
        <v>0</v>
      </c>
      <c r="N2679" s="46">
        <v>0</v>
      </c>
      <c r="O2679" s="124">
        <v>584.6</v>
      </c>
      <c r="P2679" s="102">
        <v>2.4169999999999998</v>
      </c>
      <c r="Q2679" s="45" t="s">
        <v>3787</v>
      </c>
    </row>
    <row r="2680" spans="1:17" ht="84" x14ac:dyDescent="0.25">
      <c r="A2680" s="125">
        <v>39739</v>
      </c>
      <c r="B2680" s="125">
        <v>39739</v>
      </c>
      <c r="C2680" s="45">
        <v>2008</v>
      </c>
      <c r="D2680" s="351" t="s">
        <v>23</v>
      </c>
      <c r="E2680" s="30" t="s">
        <v>86</v>
      </c>
      <c r="F2680" s="7" t="s">
        <v>36</v>
      </c>
      <c r="G2680" s="25" t="s">
        <v>4071</v>
      </c>
      <c r="H2680" s="25" t="s">
        <v>4072</v>
      </c>
      <c r="I2680" s="46">
        <v>0</v>
      </c>
      <c r="J2680" s="46">
        <v>1001</v>
      </c>
      <c r="K2680" s="46">
        <v>0</v>
      </c>
      <c r="L2680" s="46">
        <v>0</v>
      </c>
      <c r="M2680" s="46">
        <v>0</v>
      </c>
      <c r="N2680" s="46">
        <v>0</v>
      </c>
      <c r="O2680" s="124">
        <v>1691.5</v>
      </c>
      <c r="P2680" s="102">
        <v>12.375999999999999</v>
      </c>
      <c r="Q2680" s="45" t="s">
        <v>3787</v>
      </c>
    </row>
    <row r="2681" spans="1:17" ht="24" x14ac:dyDescent="0.25">
      <c r="A2681" s="125">
        <v>39742</v>
      </c>
      <c r="B2681" s="125">
        <v>39742</v>
      </c>
      <c r="C2681" s="45">
        <v>2008</v>
      </c>
      <c r="D2681" s="351" t="s">
        <v>23</v>
      </c>
      <c r="E2681" s="30" t="s">
        <v>86</v>
      </c>
      <c r="F2681" s="28" t="s">
        <v>151</v>
      </c>
      <c r="G2681" s="25" t="s">
        <v>4073</v>
      </c>
      <c r="H2681" s="25" t="s">
        <v>4074</v>
      </c>
      <c r="I2681" s="46">
        <v>0</v>
      </c>
      <c r="J2681" s="46">
        <v>59</v>
      </c>
      <c r="K2681" s="46">
        <v>0</v>
      </c>
      <c r="L2681" s="46">
        <v>0</v>
      </c>
      <c r="M2681" s="46">
        <v>0</v>
      </c>
      <c r="N2681" s="46">
        <v>0</v>
      </c>
      <c r="O2681" s="124">
        <v>0</v>
      </c>
      <c r="P2681" s="102">
        <v>0</v>
      </c>
      <c r="Q2681" s="45" t="s">
        <v>154</v>
      </c>
    </row>
    <row r="2682" spans="1:17" ht="36" x14ac:dyDescent="0.25">
      <c r="A2682" s="125">
        <v>39745</v>
      </c>
      <c r="B2682" s="125">
        <v>39745</v>
      </c>
      <c r="C2682" s="45">
        <v>2008</v>
      </c>
      <c r="D2682" s="351" t="s">
        <v>23</v>
      </c>
      <c r="E2682" s="30" t="s">
        <v>86</v>
      </c>
      <c r="F2682" s="7" t="s">
        <v>80</v>
      </c>
      <c r="G2682" s="25" t="s">
        <v>3294</v>
      </c>
      <c r="H2682" s="25" t="s">
        <v>4075</v>
      </c>
      <c r="I2682" s="46">
        <v>0</v>
      </c>
      <c r="J2682" s="46">
        <f>(K2682*5)</f>
        <v>975</v>
      </c>
      <c r="K2682" s="46">
        <v>195</v>
      </c>
      <c r="L2682" s="46">
        <v>0</v>
      </c>
      <c r="M2682" s="46">
        <v>0</v>
      </c>
      <c r="N2682" s="46">
        <v>0</v>
      </c>
      <c r="O2682" s="124">
        <v>0</v>
      </c>
      <c r="P2682" s="102">
        <v>0.90955799999999998</v>
      </c>
      <c r="Q2682" s="45" t="s">
        <v>154</v>
      </c>
    </row>
    <row r="2683" spans="1:17" ht="84" x14ac:dyDescent="0.25">
      <c r="A2683" s="21">
        <v>39600</v>
      </c>
      <c r="B2683" s="21">
        <v>39600</v>
      </c>
      <c r="C2683" s="45">
        <v>2008</v>
      </c>
      <c r="D2683" s="351" t="s">
        <v>23</v>
      </c>
      <c r="E2683" s="14" t="s">
        <v>24</v>
      </c>
      <c r="F2683" s="7" t="s">
        <v>36</v>
      </c>
      <c r="G2683" s="25" t="s">
        <v>4076</v>
      </c>
      <c r="H2683" s="25" t="s">
        <v>4077</v>
      </c>
      <c r="I2683" s="46">
        <v>0</v>
      </c>
      <c r="J2683" s="46">
        <v>6935</v>
      </c>
      <c r="K2683" s="46">
        <v>0</v>
      </c>
      <c r="L2683" s="46">
        <v>0</v>
      </c>
      <c r="M2683" s="46">
        <v>0</v>
      </c>
      <c r="N2683" s="46">
        <v>0</v>
      </c>
      <c r="O2683" s="124">
        <v>16249.5</v>
      </c>
      <c r="P2683" s="102">
        <v>12.696</v>
      </c>
      <c r="Q2683" s="45" t="s">
        <v>4078</v>
      </c>
    </row>
    <row r="2684" spans="1:17" ht="84" x14ac:dyDescent="0.25">
      <c r="A2684" s="21">
        <v>39722</v>
      </c>
      <c r="B2684" s="21">
        <v>39722</v>
      </c>
      <c r="C2684" s="45">
        <v>2008</v>
      </c>
      <c r="D2684" s="351" t="s">
        <v>23</v>
      </c>
      <c r="E2684" s="14" t="s">
        <v>24</v>
      </c>
      <c r="F2684" s="7" t="s">
        <v>67</v>
      </c>
      <c r="G2684" s="25" t="s">
        <v>4079</v>
      </c>
      <c r="H2684" s="25" t="s">
        <v>4080</v>
      </c>
      <c r="I2684" s="46">
        <v>0</v>
      </c>
      <c r="J2684" s="46">
        <v>241</v>
      </c>
      <c r="K2684" s="46">
        <v>0</v>
      </c>
      <c r="L2684" s="46">
        <v>0</v>
      </c>
      <c r="M2684" s="46">
        <v>0</v>
      </c>
      <c r="N2684" s="46">
        <v>0</v>
      </c>
      <c r="O2684" s="124">
        <v>900.5</v>
      </c>
      <c r="P2684" s="102">
        <v>0.64300000000000002</v>
      </c>
      <c r="Q2684" s="45" t="s">
        <v>4078</v>
      </c>
    </row>
    <row r="2685" spans="1:17" ht="120" x14ac:dyDescent="0.25">
      <c r="A2685" s="21">
        <v>39692</v>
      </c>
      <c r="B2685" s="21">
        <v>39752</v>
      </c>
      <c r="C2685" s="45">
        <v>2008</v>
      </c>
      <c r="D2685" s="351" t="s">
        <v>23</v>
      </c>
      <c r="E2685" s="14" t="s">
        <v>24</v>
      </c>
      <c r="F2685" s="7" t="s">
        <v>101</v>
      </c>
      <c r="G2685" s="25" t="s">
        <v>4081</v>
      </c>
      <c r="H2685" s="25" t="s">
        <v>4082</v>
      </c>
      <c r="I2685" s="46">
        <v>0</v>
      </c>
      <c r="J2685" s="46">
        <v>15455</v>
      </c>
      <c r="K2685" s="46">
        <v>0</v>
      </c>
      <c r="L2685" s="46">
        <v>0</v>
      </c>
      <c r="M2685" s="46">
        <v>0</v>
      </c>
      <c r="N2685" s="46">
        <v>0</v>
      </c>
      <c r="O2685" s="124">
        <v>52838.8</v>
      </c>
      <c r="P2685" s="102">
        <v>42.271000000000001</v>
      </c>
      <c r="Q2685" s="45" t="s">
        <v>4078</v>
      </c>
    </row>
    <row r="2686" spans="1:17" ht="48" x14ac:dyDescent="0.25">
      <c r="A2686" s="21">
        <v>39661</v>
      </c>
      <c r="B2686" s="21">
        <v>39661</v>
      </c>
      <c r="C2686" s="45">
        <v>2008</v>
      </c>
      <c r="D2686" s="351" t="s">
        <v>23</v>
      </c>
      <c r="E2686" s="14" t="s">
        <v>24</v>
      </c>
      <c r="F2686" s="7" t="s">
        <v>62</v>
      </c>
      <c r="G2686" s="25" t="s">
        <v>4083</v>
      </c>
      <c r="H2686" s="25" t="s">
        <v>4084</v>
      </c>
      <c r="I2686" s="46">
        <v>0</v>
      </c>
      <c r="J2686" s="46">
        <v>548</v>
      </c>
      <c r="K2686" s="46">
        <v>0</v>
      </c>
      <c r="L2686" s="46">
        <v>0</v>
      </c>
      <c r="M2686" s="46">
        <v>0</v>
      </c>
      <c r="N2686" s="46">
        <v>0</v>
      </c>
      <c r="O2686" s="124">
        <v>2734.4</v>
      </c>
      <c r="P2686" s="102">
        <v>6.0289999999999999</v>
      </c>
      <c r="Q2686" s="45" t="s">
        <v>3787</v>
      </c>
    </row>
    <row r="2687" spans="1:17" ht="204" x14ac:dyDescent="0.25">
      <c r="A2687" s="125">
        <v>39630</v>
      </c>
      <c r="B2687" s="125">
        <v>39630</v>
      </c>
      <c r="C2687" s="45">
        <v>2008</v>
      </c>
      <c r="D2687" s="351" t="s">
        <v>23</v>
      </c>
      <c r="E2687" s="14" t="s">
        <v>24</v>
      </c>
      <c r="F2687" s="28" t="s">
        <v>163</v>
      </c>
      <c r="G2687" s="25" t="s">
        <v>4085</v>
      </c>
      <c r="H2687" s="25" t="s">
        <v>4086</v>
      </c>
      <c r="I2687" s="46">
        <v>0</v>
      </c>
      <c r="J2687" s="46">
        <v>11238</v>
      </c>
      <c r="K2687" s="46">
        <v>0</v>
      </c>
      <c r="L2687" s="46">
        <v>0</v>
      </c>
      <c r="M2687" s="46">
        <v>0</v>
      </c>
      <c r="N2687" s="46">
        <v>0</v>
      </c>
      <c r="O2687" s="124">
        <v>11639.1</v>
      </c>
      <c r="P2687" s="102">
        <v>30.343</v>
      </c>
      <c r="Q2687" s="45" t="s">
        <v>3787</v>
      </c>
    </row>
    <row r="2688" spans="1:17" ht="72" x14ac:dyDescent="0.25">
      <c r="A2688" s="125">
        <v>39692</v>
      </c>
      <c r="B2688" s="125">
        <v>39692</v>
      </c>
      <c r="C2688" s="45">
        <v>2008</v>
      </c>
      <c r="D2688" s="351" t="s">
        <v>23</v>
      </c>
      <c r="E2688" s="14" t="s">
        <v>24</v>
      </c>
      <c r="F2688" s="7" t="s">
        <v>75</v>
      </c>
      <c r="G2688" s="25" t="s">
        <v>4087</v>
      </c>
      <c r="H2688" s="25" t="s">
        <v>4088</v>
      </c>
      <c r="I2688" s="46">
        <v>0</v>
      </c>
      <c r="J2688" s="46">
        <v>5604</v>
      </c>
      <c r="K2688" s="46">
        <v>0</v>
      </c>
      <c r="L2688" s="46">
        <v>0</v>
      </c>
      <c r="M2688" s="46">
        <v>0</v>
      </c>
      <c r="N2688" s="46">
        <v>0</v>
      </c>
      <c r="O2688" s="124">
        <v>17832.3</v>
      </c>
      <c r="P2688" s="102">
        <v>50.5488</v>
      </c>
      <c r="Q2688" s="45" t="s">
        <v>3787</v>
      </c>
    </row>
    <row r="2689" spans="1:17" ht="48" x14ac:dyDescent="0.25">
      <c r="A2689" s="21">
        <v>39448</v>
      </c>
      <c r="B2689" s="21">
        <v>39813</v>
      </c>
      <c r="C2689" s="45">
        <v>2008</v>
      </c>
      <c r="D2689" s="351" t="s">
        <v>23</v>
      </c>
      <c r="E2689" s="30" t="s">
        <v>4089</v>
      </c>
      <c r="F2689" s="7" t="s">
        <v>30</v>
      </c>
      <c r="G2689" s="126" t="s">
        <v>2109</v>
      </c>
      <c r="H2689" s="126" t="s">
        <v>4090</v>
      </c>
      <c r="I2689" s="46">
        <v>5</v>
      </c>
      <c r="J2689" s="46">
        <v>5</v>
      </c>
      <c r="K2689" s="46">
        <v>0</v>
      </c>
      <c r="L2689" s="46">
        <v>0</v>
      </c>
      <c r="M2689" s="46">
        <v>0</v>
      </c>
      <c r="N2689" s="46">
        <v>0</v>
      </c>
      <c r="O2689" s="46">
        <v>0</v>
      </c>
      <c r="P2689" s="102">
        <v>0</v>
      </c>
      <c r="Q2689" s="35" t="s">
        <v>2218</v>
      </c>
    </row>
    <row r="2690" spans="1:17" ht="36" x14ac:dyDescent="0.25">
      <c r="A2690" s="21">
        <v>39448</v>
      </c>
      <c r="B2690" s="21">
        <v>39813</v>
      </c>
      <c r="C2690" s="45">
        <v>2008</v>
      </c>
      <c r="D2690" s="351" t="s">
        <v>23</v>
      </c>
      <c r="E2690" s="30" t="s">
        <v>4089</v>
      </c>
      <c r="F2690" s="7" t="s">
        <v>45</v>
      </c>
      <c r="G2690" s="126" t="s">
        <v>2109</v>
      </c>
      <c r="H2690" s="126" t="s">
        <v>4091</v>
      </c>
      <c r="I2690" s="46">
        <v>4</v>
      </c>
      <c r="J2690" s="46">
        <v>57504</v>
      </c>
      <c r="K2690" s="46">
        <v>0</v>
      </c>
      <c r="L2690" s="46">
        <v>0</v>
      </c>
      <c r="M2690" s="46">
        <v>0</v>
      </c>
      <c r="N2690" s="46">
        <v>0</v>
      </c>
      <c r="O2690" s="46">
        <v>0</v>
      </c>
      <c r="P2690" s="102">
        <v>4.24</v>
      </c>
      <c r="Q2690" s="45" t="s">
        <v>4092</v>
      </c>
    </row>
    <row r="2691" spans="1:17" ht="36" x14ac:dyDescent="0.25">
      <c r="A2691" s="21">
        <v>39448</v>
      </c>
      <c r="B2691" s="21">
        <v>39813</v>
      </c>
      <c r="C2691" s="45">
        <v>2008</v>
      </c>
      <c r="D2691" s="351" t="s">
        <v>23</v>
      </c>
      <c r="E2691" s="30" t="s">
        <v>4089</v>
      </c>
      <c r="F2691" s="7" t="s">
        <v>36</v>
      </c>
      <c r="G2691" s="126" t="s">
        <v>2109</v>
      </c>
      <c r="H2691" s="126" t="s">
        <v>4093</v>
      </c>
      <c r="I2691" s="46">
        <v>0</v>
      </c>
      <c r="J2691" s="46">
        <v>24300</v>
      </c>
      <c r="K2691" s="46">
        <v>0</v>
      </c>
      <c r="L2691" s="46">
        <v>0</v>
      </c>
      <c r="M2691" s="46">
        <v>0</v>
      </c>
      <c r="N2691" s="46">
        <v>0</v>
      </c>
      <c r="O2691" s="46">
        <v>0</v>
      </c>
      <c r="P2691" s="102">
        <v>2.5089999999999999</v>
      </c>
      <c r="Q2691" s="45" t="s">
        <v>186</v>
      </c>
    </row>
    <row r="2692" spans="1:17" ht="36" x14ac:dyDescent="0.25">
      <c r="A2692" s="21">
        <v>39448</v>
      </c>
      <c r="B2692" s="21">
        <v>39813</v>
      </c>
      <c r="C2692" s="45">
        <v>2008</v>
      </c>
      <c r="D2692" s="351" t="s">
        <v>23</v>
      </c>
      <c r="E2692" s="30" t="s">
        <v>4089</v>
      </c>
      <c r="F2692" s="7" t="s">
        <v>40</v>
      </c>
      <c r="G2692" s="126" t="s">
        <v>2109</v>
      </c>
      <c r="H2692" s="126" t="s">
        <v>4094</v>
      </c>
      <c r="I2692" s="46">
        <v>32</v>
      </c>
      <c r="J2692" s="46">
        <v>11532</v>
      </c>
      <c r="K2692" s="46">
        <v>0</v>
      </c>
      <c r="L2692" s="46">
        <v>0</v>
      </c>
      <c r="M2692" s="46">
        <v>0</v>
      </c>
      <c r="N2692" s="46">
        <v>0</v>
      </c>
      <c r="O2692" s="46">
        <v>0</v>
      </c>
      <c r="P2692" s="102">
        <v>1.2829999999999999</v>
      </c>
      <c r="Q2692" s="45" t="s">
        <v>4092</v>
      </c>
    </row>
    <row r="2693" spans="1:17" ht="24" x14ac:dyDescent="0.25">
      <c r="A2693" s="21">
        <v>39448</v>
      </c>
      <c r="B2693" s="21">
        <v>39813</v>
      </c>
      <c r="C2693" s="45">
        <v>2008</v>
      </c>
      <c r="D2693" s="351" t="s">
        <v>23</v>
      </c>
      <c r="E2693" s="30" t="s">
        <v>4089</v>
      </c>
      <c r="F2693" s="7" t="s">
        <v>49</v>
      </c>
      <c r="G2693" s="126" t="s">
        <v>2109</v>
      </c>
      <c r="H2693" s="126" t="s">
        <v>4095</v>
      </c>
      <c r="I2693" s="46">
        <v>4</v>
      </c>
      <c r="J2693" s="46">
        <v>59504</v>
      </c>
      <c r="K2693" s="46">
        <v>0</v>
      </c>
      <c r="L2693" s="46">
        <v>0</v>
      </c>
      <c r="M2693" s="46">
        <v>0</v>
      </c>
      <c r="N2693" s="46">
        <v>0</v>
      </c>
      <c r="O2693" s="46">
        <v>0</v>
      </c>
      <c r="P2693" s="102">
        <v>8.0719999999999992</v>
      </c>
      <c r="Q2693" s="45" t="s">
        <v>4092</v>
      </c>
    </row>
    <row r="2694" spans="1:17" ht="36" x14ac:dyDescent="0.25">
      <c r="A2694" s="21">
        <v>39448</v>
      </c>
      <c r="B2694" s="21">
        <v>39813</v>
      </c>
      <c r="C2694" s="45">
        <v>2008</v>
      </c>
      <c r="D2694" s="351" t="s">
        <v>23</v>
      </c>
      <c r="E2694" s="30" t="s">
        <v>4089</v>
      </c>
      <c r="F2694" s="28" t="s">
        <v>160</v>
      </c>
      <c r="G2694" s="126" t="s">
        <v>2109</v>
      </c>
      <c r="H2694" s="126" t="s">
        <v>4091</v>
      </c>
      <c r="I2694" s="46">
        <v>4</v>
      </c>
      <c r="J2694" s="46">
        <v>34604</v>
      </c>
      <c r="K2694" s="46">
        <v>0</v>
      </c>
      <c r="L2694" s="46">
        <v>0</v>
      </c>
      <c r="M2694" s="46">
        <v>0</v>
      </c>
      <c r="N2694" s="46">
        <v>0</v>
      </c>
      <c r="O2694" s="46">
        <v>0</v>
      </c>
      <c r="P2694" s="102">
        <v>17.385000000000002</v>
      </c>
      <c r="Q2694" s="45" t="s">
        <v>4092</v>
      </c>
    </row>
    <row r="2695" spans="1:17" ht="36" x14ac:dyDescent="0.25">
      <c r="A2695" s="21">
        <v>39448</v>
      </c>
      <c r="B2695" s="21">
        <v>39813</v>
      </c>
      <c r="C2695" s="45">
        <v>2008</v>
      </c>
      <c r="D2695" s="351" t="s">
        <v>23</v>
      </c>
      <c r="E2695" s="30" t="s">
        <v>4089</v>
      </c>
      <c r="F2695" s="7" t="s">
        <v>62</v>
      </c>
      <c r="G2695" s="126" t="s">
        <v>2109</v>
      </c>
      <c r="H2695" s="126" t="s">
        <v>4096</v>
      </c>
      <c r="I2695" s="46">
        <v>1</v>
      </c>
      <c r="J2695" s="46">
        <v>1</v>
      </c>
      <c r="K2695" s="46">
        <v>0</v>
      </c>
      <c r="L2695" s="46">
        <v>0</v>
      </c>
      <c r="M2695" s="46">
        <v>0</v>
      </c>
      <c r="N2695" s="46">
        <v>0</v>
      </c>
      <c r="O2695" s="46">
        <v>0</v>
      </c>
      <c r="P2695" s="102">
        <v>0</v>
      </c>
      <c r="Q2695" s="45" t="s">
        <v>2218</v>
      </c>
    </row>
    <row r="2696" spans="1:17" ht="48" x14ac:dyDescent="0.25">
      <c r="A2696" s="21">
        <v>39448</v>
      </c>
      <c r="B2696" s="21">
        <v>39813</v>
      </c>
      <c r="C2696" s="45">
        <v>2008</v>
      </c>
      <c r="D2696" s="351" t="s">
        <v>23</v>
      </c>
      <c r="E2696" s="30" t="s">
        <v>4089</v>
      </c>
      <c r="F2696" s="7" t="s">
        <v>72</v>
      </c>
      <c r="G2696" s="126" t="s">
        <v>2109</v>
      </c>
      <c r="H2696" s="126" t="s">
        <v>4097</v>
      </c>
      <c r="I2696" s="46">
        <v>2</v>
      </c>
      <c r="J2696" s="46">
        <v>2</v>
      </c>
      <c r="K2696" s="46">
        <v>0</v>
      </c>
      <c r="L2696" s="46">
        <v>0</v>
      </c>
      <c r="M2696" s="46">
        <v>0</v>
      </c>
      <c r="N2696" s="46">
        <v>0</v>
      </c>
      <c r="O2696" s="46">
        <v>0</v>
      </c>
      <c r="P2696" s="102">
        <v>0</v>
      </c>
      <c r="Q2696" s="45" t="s">
        <v>2218</v>
      </c>
    </row>
    <row r="2697" spans="1:17" ht="36" x14ac:dyDescent="0.25">
      <c r="A2697" s="21">
        <v>39448</v>
      </c>
      <c r="B2697" s="21">
        <v>39813</v>
      </c>
      <c r="C2697" s="45">
        <v>2008</v>
      </c>
      <c r="D2697" s="351" t="s">
        <v>23</v>
      </c>
      <c r="E2697" s="30" t="s">
        <v>4089</v>
      </c>
      <c r="F2697" s="7" t="s">
        <v>75</v>
      </c>
      <c r="G2697" s="126" t="s">
        <v>2109</v>
      </c>
      <c r="H2697" s="126" t="s">
        <v>4098</v>
      </c>
      <c r="I2697" s="46">
        <v>7</v>
      </c>
      <c r="J2697" s="46">
        <v>7</v>
      </c>
      <c r="K2697" s="46">
        <v>0</v>
      </c>
      <c r="L2697" s="46">
        <v>0</v>
      </c>
      <c r="M2697" s="46">
        <v>0</v>
      </c>
      <c r="N2697" s="46">
        <v>0</v>
      </c>
      <c r="O2697" s="46">
        <v>0</v>
      </c>
      <c r="P2697" s="102">
        <v>0</v>
      </c>
      <c r="Q2697" s="45" t="s">
        <v>2218</v>
      </c>
    </row>
    <row r="2698" spans="1:17" ht="48" x14ac:dyDescent="0.25">
      <c r="A2698" s="21">
        <v>39448</v>
      </c>
      <c r="B2698" s="21">
        <v>39813</v>
      </c>
      <c r="C2698" s="45">
        <v>2008</v>
      </c>
      <c r="D2698" s="351" t="s">
        <v>23</v>
      </c>
      <c r="E2698" s="30" t="s">
        <v>4089</v>
      </c>
      <c r="F2698" s="7" t="s">
        <v>77</v>
      </c>
      <c r="G2698" s="126" t="s">
        <v>2109</v>
      </c>
      <c r="H2698" s="126" t="s">
        <v>4099</v>
      </c>
      <c r="I2698" s="46">
        <v>1</v>
      </c>
      <c r="J2698" s="46">
        <v>1</v>
      </c>
      <c r="K2698" s="46">
        <v>0</v>
      </c>
      <c r="L2698" s="46">
        <v>0</v>
      </c>
      <c r="M2698" s="46">
        <v>0</v>
      </c>
      <c r="N2698" s="46">
        <v>0</v>
      </c>
      <c r="O2698" s="46">
        <v>0</v>
      </c>
      <c r="P2698" s="102">
        <v>0</v>
      </c>
      <c r="Q2698" s="45" t="s">
        <v>2218</v>
      </c>
    </row>
    <row r="2699" spans="1:17" ht="36" x14ac:dyDescent="0.25">
      <c r="A2699" s="21">
        <v>39448</v>
      </c>
      <c r="B2699" s="21">
        <v>39813</v>
      </c>
      <c r="C2699" s="45">
        <v>2008</v>
      </c>
      <c r="D2699" s="351" t="s">
        <v>23</v>
      </c>
      <c r="E2699" s="30" t="s">
        <v>4089</v>
      </c>
      <c r="F2699" s="7" t="s">
        <v>82</v>
      </c>
      <c r="G2699" s="126" t="s">
        <v>2109</v>
      </c>
      <c r="H2699" s="126" t="s">
        <v>4100</v>
      </c>
      <c r="I2699" s="46">
        <v>2</v>
      </c>
      <c r="J2699" s="46">
        <v>2</v>
      </c>
      <c r="K2699" s="46">
        <v>0</v>
      </c>
      <c r="L2699" s="46">
        <v>0</v>
      </c>
      <c r="M2699" s="46">
        <v>0</v>
      </c>
      <c r="N2699" s="46">
        <v>0</v>
      </c>
      <c r="O2699" s="46">
        <v>0</v>
      </c>
      <c r="P2699" s="102">
        <v>0</v>
      </c>
      <c r="Q2699" s="45" t="s">
        <v>2218</v>
      </c>
    </row>
    <row r="2700" spans="1:17" ht="48" x14ac:dyDescent="0.25">
      <c r="A2700" s="21">
        <v>39448</v>
      </c>
      <c r="B2700" s="21">
        <v>39813</v>
      </c>
      <c r="C2700" s="45">
        <v>2008</v>
      </c>
      <c r="D2700" s="351" t="s">
        <v>23</v>
      </c>
      <c r="E2700" s="30" t="s">
        <v>4089</v>
      </c>
      <c r="F2700" s="7" t="s">
        <v>87</v>
      </c>
      <c r="G2700" s="126" t="s">
        <v>2109</v>
      </c>
      <c r="H2700" s="126" t="s">
        <v>4101</v>
      </c>
      <c r="I2700" s="46">
        <v>12</v>
      </c>
      <c r="J2700" s="46">
        <v>12</v>
      </c>
      <c r="K2700" s="46">
        <v>0</v>
      </c>
      <c r="L2700" s="46">
        <v>0</v>
      </c>
      <c r="M2700" s="46">
        <v>0</v>
      </c>
      <c r="N2700" s="46">
        <v>0</v>
      </c>
      <c r="O2700" s="46">
        <v>0</v>
      </c>
      <c r="P2700" s="102">
        <v>0</v>
      </c>
      <c r="Q2700" s="45" t="s">
        <v>2218</v>
      </c>
    </row>
    <row r="2701" spans="1:17" ht="48" x14ac:dyDescent="0.25">
      <c r="A2701" s="21">
        <v>39448</v>
      </c>
      <c r="B2701" s="21">
        <v>39813</v>
      </c>
      <c r="C2701" s="45">
        <v>2008</v>
      </c>
      <c r="D2701" s="351" t="s">
        <v>23</v>
      </c>
      <c r="E2701" s="30" t="s">
        <v>4089</v>
      </c>
      <c r="F2701" s="7" t="s">
        <v>91</v>
      </c>
      <c r="G2701" s="126" t="s">
        <v>2109</v>
      </c>
      <c r="H2701" s="126" t="s">
        <v>4099</v>
      </c>
      <c r="I2701" s="46">
        <v>1</v>
      </c>
      <c r="J2701" s="46">
        <v>26001</v>
      </c>
      <c r="K2701" s="46">
        <v>0</v>
      </c>
      <c r="L2701" s="46">
        <v>0</v>
      </c>
      <c r="M2701" s="46">
        <v>0</v>
      </c>
      <c r="N2701" s="46">
        <v>0</v>
      </c>
      <c r="O2701" s="46">
        <v>0</v>
      </c>
      <c r="P2701" s="102">
        <v>7.1</v>
      </c>
      <c r="Q2701" s="45" t="s">
        <v>4092</v>
      </c>
    </row>
    <row r="2702" spans="1:17" ht="36" x14ac:dyDescent="0.25">
      <c r="A2702" s="21">
        <v>39448</v>
      </c>
      <c r="B2702" s="21">
        <v>39813</v>
      </c>
      <c r="C2702" s="45">
        <v>2008</v>
      </c>
      <c r="D2702" s="351" t="s">
        <v>23</v>
      </c>
      <c r="E2702" s="30" t="s">
        <v>4089</v>
      </c>
      <c r="F2702" s="7" t="s">
        <v>97</v>
      </c>
      <c r="G2702" s="126" t="s">
        <v>2109</v>
      </c>
      <c r="H2702" s="126" t="s">
        <v>4093</v>
      </c>
      <c r="I2702" s="46">
        <v>0</v>
      </c>
      <c r="J2702" s="46">
        <v>7420</v>
      </c>
      <c r="K2702" s="46">
        <v>0</v>
      </c>
      <c r="L2702" s="46">
        <v>0</v>
      </c>
      <c r="M2702" s="46">
        <v>0</v>
      </c>
      <c r="N2702" s="46">
        <v>0</v>
      </c>
      <c r="O2702" s="46">
        <v>0</v>
      </c>
      <c r="P2702" s="102">
        <v>5.2629999999999999</v>
      </c>
      <c r="Q2702" s="45" t="s">
        <v>186</v>
      </c>
    </row>
    <row r="2703" spans="1:17" ht="36" x14ac:dyDescent="0.25">
      <c r="A2703" s="21">
        <v>39448</v>
      </c>
      <c r="B2703" s="21">
        <v>39813</v>
      </c>
      <c r="C2703" s="45">
        <v>2008</v>
      </c>
      <c r="D2703" s="351" t="s">
        <v>23</v>
      </c>
      <c r="E2703" s="30" t="s">
        <v>4089</v>
      </c>
      <c r="F2703" s="28" t="s">
        <v>210</v>
      </c>
      <c r="G2703" s="126" t="s">
        <v>2109</v>
      </c>
      <c r="H2703" s="126" t="s">
        <v>4093</v>
      </c>
      <c r="I2703" s="46">
        <v>0</v>
      </c>
      <c r="J2703" s="46">
        <v>60600</v>
      </c>
      <c r="K2703" s="46">
        <v>0</v>
      </c>
      <c r="L2703" s="46">
        <v>0</v>
      </c>
      <c r="M2703" s="46">
        <v>0</v>
      </c>
      <c r="N2703" s="46">
        <v>0</v>
      </c>
      <c r="O2703" s="46">
        <v>0</v>
      </c>
      <c r="P2703" s="102">
        <v>13.981</v>
      </c>
      <c r="Q2703" s="45" t="s">
        <v>186</v>
      </c>
    </row>
    <row r="2704" spans="1:17" ht="36" x14ac:dyDescent="0.25">
      <c r="A2704" s="21">
        <v>39448</v>
      </c>
      <c r="B2704" s="21">
        <v>39813</v>
      </c>
      <c r="C2704" s="45">
        <v>2008</v>
      </c>
      <c r="D2704" s="351" t="s">
        <v>23</v>
      </c>
      <c r="E2704" s="30" t="s">
        <v>4089</v>
      </c>
      <c r="F2704" s="7" t="s">
        <v>101</v>
      </c>
      <c r="G2704" s="126" t="s">
        <v>2109</v>
      </c>
      <c r="H2704" s="126" t="s">
        <v>4093</v>
      </c>
      <c r="I2704" s="46">
        <v>0</v>
      </c>
      <c r="J2704" s="46">
        <v>68800</v>
      </c>
      <c r="K2704" s="46">
        <v>0</v>
      </c>
      <c r="L2704" s="46">
        <v>0</v>
      </c>
      <c r="M2704" s="46">
        <v>0</v>
      </c>
      <c r="N2704" s="46">
        <v>0</v>
      </c>
      <c r="O2704" s="46">
        <v>0</v>
      </c>
      <c r="P2704" s="102">
        <v>7.6360000000000001</v>
      </c>
      <c r="Q2704" s="45" t="s">
        <v>186</v>
      </c>
    </row>
    <row r="2705" spans="1:17" ht="36" x14ac:dyDescent="0.25">
      <c r="A2705" s="127">
        <v>39448</v>
      </c>
      <c r="B2705" s="21">
        <v>39448</v>
      </c>
      <c r="C2705" s="45">
        <v>2008</v>
      </c>
      <c r="D2705" s="351" t="s">
        <v>23</v>
      </c>
      <c r="E2705" s="30" t="s">
        <v>2691</v>
      </c>
      <c r="F2705" s="7" t="s">
        <v>72</v>
      </c>
      <c r="G2705" s="25" t="s">
        <v>4102</v>
      </c>
      <c r="H2705" s="25" t="s">
        <v>4103</v>
      </c>
      <c r="I2705" s="46">
        <v>0</v>
      </c>
      <c r="J2705" s="46">
        <v>125</v>
      </c>
      <c r="K2705" s="46">
        <v>25</v>
      </c>
      <c r="L2705" s="46">
        <v>0</v>
      </c>
      <c r="M2705" s="46">
        <v>0</v>
      </c>
      <c r="N2705" s="46">
        <v>0</v>
      </c>
      <c r="O2705" s="124">
        <v>0</v>
      </c>
      <c r="P2705" s="102">
        <v>0.29071999999999998</v>
      </c>
      <c r="Q2705" s="45" t="s">
        <v>154</v>
      </c>
    </row>
    <row r="2706" spans="1:17" ht="72" x14ac:dyDescent="0.25">
      <c r="A2706" s="21">
        <v>39470</v>
      </c>
      <c r="B2706" s="21">
        <v>39470</v>
      </c>
      <c r="C2706" s="45">
        <v>2008</v>
      </c>
      <c r="D2706" s="351" t="s">
        <v>23</v>
      </c>
      <c r="E2706" s="30" t="s">
        <v>2691</v>
      </c>
      <c r="F2706" s="28" t="s">
        <v>157</v>
      </c>
      <c r="G2706" s="25" t="s">
        <v>2698</v>
      </c>
      <c r="H2706" s="25" t="s">
        <v>4104</v>
      </c>
      <c r="I2706" s="46">
        <v>2</v>
      </c>
      <c r="J2706" s="46">
        <v>2</v>
      </c>
      <c r="K2706" s="46">
        <v>5</v>
      </c>
      <c r="L2706" s="46">
        <v>0</v>
      </c>
      <c r="M2706" s="46">
        <v>0</v>
      </c>
      <c r="N2706" s="46">
        <v>0</v>
      </c>
      <c r="O2706" s="124">
        <v>0</v>
      </c>
      <c r="P2706" s="102">
        <v>21.434000000000001</v>
      </c>
      <c r="Q2706" s="45" t="s">
        <v>154</v>
      </c>
    </row>
    <row r="2707" spans="1:17" ht="48" x14ac:dyDescent="0.25">
      <c r="A2707" s="21">
        <v>39492</v>
      </c>
      <c r="B2707" s="21">
        <v>39492</v>
      </c>
      <c r="C2707" s="45">
        <v>2008</v>
      </c>
      <c r="D2707" s="351" t="s">
        <v>23</v>
      </c>
      <c r="E2707" s="30" t="s">
        <v>1565</v>
      </c>
      <c r="F2707" s="7" t="s">
        <v>30</v>
      </c>
      <c r="G2707" s="25" t="s">
        <v>2484</v>
      </c>
      <c r="H2707" s="25" t="s">
        <v>4105</v>
      </c>
      <c r="I2707" s="46">
        <v>0</v>
      </c>
      <c r="J2707" s="46">
        <v>0</v>
      </c>
      <c r="K2707" s="46">
        <v>0</v>
      </c>
      <c r="L2707" s="46">
        <v>0</v>
      </c>
      <c r="M2707" s="46">
        <v>0</v>
      </c>
      <c r="N2707" s="46">
        <v>0</v>
      </c>
      <c r="O2707" s="124">
        <v>0</v>
      </c>
      <c r="P2707" s="102">
        <v>0</v>
      </c>
      <c r="Q2707" s="45" t="s">
        <v>154</v>
      </c>
    </row>
    <row r="2708" spans="1:17" ht="36" x14ac:dyDescent="0.25">
      <c r="A2708" s="21">
        <v>39493</v>
      </c>
      <c r="B2708" s="21">
        <v>39493</v>
      </c>
      <c r="C2708" s="45">
        <v>2008</v>
      </c>
      <c r="D2708" s="351" t="s">
        <v>23</v>
      </c>
      <c r="E2708" s="30" t="s">
        <v>1565</v>
      </c>
      <c r="F2708" s="7" t="s">
        <v>40</v>
      </c>
      <c r="G2708" s="25" t="s">
        <v>4106</v>
      </c>
      <c r="H2708" s="25" t="s">
        <v>4107</v>
      </c>
      <c r="I2708" s="46">
        <v>0</v>
      </c>
      <c r="J2708" s="46">
        <v>0</v>
      </c>
      <c r="K2708" s="46">
        <v>0</v>
      </c>
      <c r="L2708" s="46">
        <v>0</v>
      </c>
      <c r="M2708" s="46">
        <v>0</v>
      </c>
      <c r="N2708" s="46">
        <v>0</v>
      </c>
      <c r="O2708" s="124">
        <v>0</v>
      </c>
      <c r="P2708" s="102">
        <v>0</v>
      </c>
      <c r="Q2708" s="45" t="s">
        <v>154</v>
      </c>
    </row>
    <row r="2709" spans="1:17" ht="48" x14ac:dyDescent="0.25">
      <c r="A2709" s="21">
        <v>39525</v>
      </c>
      <c r="B2709" s="21">
        <v>39525</v>
      </c>
      <c r="C2709" s="45">
        <v>2008</v>
      </c>
      <c r="D2709" s="351" t="s">
        <v>23</v>
      </c>
      <c r="E2709" s="30" t="s">
        <v>2691</v>
      </c>
      <c r="F2709" s="7" t="s">
        <v>45</v>
      </c>
      <c r="G2709" s="25" t="s">
        <v>4108</v>
      </c>
      <c r="H2709" s="25" t="s">
        <v>4109</v>
      </c>
      <c r="I2709" s="46">
        <v>0</v>
      </c>
      <c r="J2709" s="46">
        <v>0</v>
      </c>
      <c r="K2709" s="46">
        <v>0</v>
      </c>
      <c r="L2709" s="46">
        <v>0</v>
      </c>
      <c r="M2709" s="46">
        <v>0</v>
      </c>
      <c r="N2709" s="46">
        <v>0</v>
      </c>
      <c r="O2709" s="124">
        <v>0</v>
      </c>
      <c r="P2709" s="102">
        <v>0</v>
      </c>
      <c r="Q2709" s="45" t="s">
        <v>154</v>
      </c>
    </row>
    <row r="2710" spans="1:17" ht="120" x14ac:dyDescent="0.25">
      <c r="A2710" s="21">
        <v>39525</v>
      </c>
      <c r="B2710" s="21">
        <v>39525</v>
      </c>
      <c r="C2710" s="45">
        <v>2008</v>
      </c>
      <c r="D2710" s="351" t="s">
        <v>23</v>
      </c>
      <c r="E2710" s="30" t="s">
        <v>2691</v>
      </c>
      <c r="F2710" s="7" t="s">
        <v>68</v>
      </c>
      <c r="G2710" s="25" t="s">
        <v>4110</v>
      </c>
      <c r="H2710" s="25" t="s">
        <v>4111</v>
      </c>
      <c r="I2710" s="46">
        <v>3</v>
      </c>
      <c r="J2710" s="46">
        <v>327000</v>
      </c>
      <c r="K2710" s="46">
        <v>177</v>
      </c>
      <c r="L2710" s="46" t="s">
        <v>110</v>
      </c>
      <c r="M2710" s="46">
        <v>0</v>
      </c>
      <c r="N2710" s="46">
        <v>0</v>
      </c>
      <c r="O2710" s="124">
        <v>0</v>
      </c>
      <c r="P2710" s="102">
        <v>54.985498</v>
      </c>
      <c r="Q2710" s="45" t="s">
        <v>154</v>
      </c>
    </row>
    <row r="2711" spans="1:17" ht="72" x14ac:dyDescent="0.25">
      <c r="A2711" s="21">
        <v>39525</v>
      </c>
      <c r="B2711" s="21">
        <v>39525</v>
      </c>
      <c r="C2711" s="45">
        <v>2008</v>
      </c>
      <c r="D2711" s="351" t="s">
        <v>23</v>
      </c>
      <c r="E2711" s="30" t="s">
        <v>2691</v>
      </c>
      <c r="F2711" s="7" t="s">
        <v>82</v>
      </c>
      <c r="G2711" s="25" t="s">
        <v>3981</v>
      </c>
      <c r="H2711" s="25" t="s">
        <v>4112</v>
      </c>
      <c r="I2711" s="46">
        <v>0</v>
      </c>
      <c r="J2711" s="46">
        <v>11</v>
      </c>
      <c r="K2711" s="46">
        <v>0</v>
      </c>
      <c r="L2711" s="46">
        <v>0</v>
      </c>
      <c r="M2711" s="46">
        <v>0</v>
      </c>
      <c r="N2711" s="46">
        <v>0</v>
      </c>
      <c r="O2711" s="124">
        <v>0</v>
      </c>
      <c r="P2711" s="102">
        <v>0</v>
      </c>
      <c r="Q2711" s="45" t="s">
        <v>154</v>
      </c>
    </row>
    <row r="2712" spans="1:17" ht="108" x14ac:dyDescent="0.25">
      <c r="A2712" s="21">
        <v>39525</v>
      </c>
      <c r="B2712" s="21">
        <v>39525</v>
      </c>
      <c r="C2712" s="45">
        <v>2008</v>
      </c>
      <c r="D2712" s="351" t="s">
        <v>23</v>
      </c>
      <c r="E2712" s="30" t="s">
        <v>2691</v>
      </c>
      <c r="F2712" s="28" t="s">
        <v>210</v>
      </c>
      <c r="G2712" s="25" t="s">
        <v>4113</v>
      </c>
      <c r="H2712" s="25" t="s">
        <v>4114</v>
      </c>
      <c r="I2712" s="46">
        <v>0</v>
      </c>
      <c r="J2712" s="46">
        <v>6745</v>
      </c>
      <c r="K2712" s="46">
        <v>1349</v>
      </c>
      <c r="L2712" s="46">
        <v>0</v>
      </c>
      <c r="M2712" s="46">
        <v>0</v>
      </c>
      <c r="N2712" s="46">
        <v>0</v>
      </c>
      <c r="O2712" s="124">
        <v>0</v>
      </c>
      <c r="P2712" s="102">
        <v>2.698</v>
      </c>
      <c r="Q2712" s="45" t="s">
        <v>154</v>
      </c>
    </row>
    <row r="2713" spans="1:17" ht="36" x14ac:dyDescent="0.25">
      <c r="A2713" s="21">
        <v>39525</v>
      </c>
      <c r="B2713" s="21">
        <v>39525</v>
      </c>
      <c r="C2713" s="45">
        <v>2008</v>
      </c>
      <c r="D2713" s="351" t="s">
        <v>23</v>
      </c>
      <c r="E2713" s="30" t="s">
        <v>2691</v>
      </c>
      <c r="F2713" s="7" t="s">
        <v>101</v>
      </c>
      <c r="G2713" s="25" t="s">
        <v>101</v>
      </c>
      <c r="H2713" s="25" t="s">
        <v>4115</v>
      </c>
      <c r="I2713" s="46">
        <v>0</v>
      </c>
      <c r="J2713" s="46">
        <v>152</v>
      </c>
      <c r="K2713" s="46">
        <v>30</v>
      </c>
      <c r="L2713" s="46">
        <v>0</v>
      </c>
      <c r="M2713" s="46">
        <v>0</v>
      </c>
      <c r="N2713" s="46">
        <v>0</v>
      </c>
      <c r="O2713" s="124">
        <v>0</v>
      </c>
      <c r="P2713" s="102">
        <v>0.34886400000000001</v>
      </c>
      <c r="Q2713" s="45" t="s">
        <v>154</v>
      </c>
    </row>
    <row r="2714" spans="1:17" ht="60" x14ac:dyDescent="0.25">
      <c r="A2714" s="21">
        <v>39576</v>
      </c>
      <c r="B2714" s="21">
        <v>39576</v>
      </c>
      <c r="C2714" s="45">
        <v>2008</v>
      </c>
      <c r="D2714" s="351" t="s">
        <v>23</v>
      </c>
      <c r="E2714" s="30" t="s">
        <v>2700</v>
      </c>
      <c r="F2714" s="7" t="s">
        <v>75</v>
      </c>
      <c r="G2714" s="25" t="s">
        <v>4116</v>
      </c>
      <c r="H2714" s="25" t="s">
        <v>4117</v>
      </c>
      <c r="I2714" s="46">
        <v>0</v>
      </c>
      <c r="J2714" s="46">
        <v>50</v>
      </c>
      <c r="K2714" s="46">
        <v>10</v>
      </c>
      <c r="L2714" s="46">
        <v>0</v>
      </c>
      <c r="M2714" s="46">
        <v>0</v>
      </c>
      <c r="N2714" s="46">
        <v>0</v>
      </c>
      <c r="O2714" s="124">
        <v>0</v>
      </c>
      <c r="P2714" s="102">
        <v>0.116288</v>
      </c>
      <c r="Q2714" s="45" t="s">
        <v>154</v>
      </c>
    </row>
    <row r="2715" spans="1:17" ht="60" x14ac:dyDescent="0.25">
      <c r="A2715" s="21">
        <v>39579</v>
      </c>
      <c r="B2715" s="21">
        <v>39579</v>
      </c>
      <c r="C2715" s="45">
        <v>2008</v>
      </c>
      <c r="D2715" s="351" t="s">
        <v>23</v>
      </c>
      <c r="E2715" s="30" t="s">
        <v>2691</v>
      </c>
      <c r="F2715" s="7" t="s">
        <v>91</v>
      </c>
      <c r="G2715" s="25" t="s">
        <v>4118</v>
      </c>
      <c r="H2715" s="25" t="s">
        <v>4119</v>
      </c>
      <c r="I2715" s="46">
        <v>0</v>
      </c>
      <c r="J2715" s="46">
        <v>170</v>
      </c>
      <c r="K2715" s="46">
        <v>31</v>
      </c>
      <c r="L2715" s="46">
        <v>0</v>
      </c>
      <c r="M2715" s="46">
        <v>0</v>
      </c>
      <c r="N2715" s="46">
        <v>0</v>
      </c>
      <c r="O2715" s="124">
        <v>0</v>
      </c>
      <c r="P2715" s="102">
        <v>0.78147500000000003</v>
      </c>
      <c r="Q2715" s="45" t="s">
        <v>154</v>
      </c>
    </row>
    <row r="2716" spans="1:17" ht="24" x14ac:dyDescent="0.25">
      <c r="A2716" s="21">
        <v>39581</v>
      </c>
      <c r="B2716" s="21">
        <v>39581</v>
      </c>
      <c r="C2716" s="45">
        <v>2008</v>
      </c>
      <c r="D2716" s="351" t="s">
        <v>23</v>
      </c>
      <c r="E2716" s="30" t="s">
        <v>2691</v>
      </c>
      <c r="F2716" s="7" t="s">
        <v>87</v>
      </c>
      <c r="G2716" s="25" t="s">
        <v>2930</v>
      </c>
      <c r="H2716" s="25" t="s">
        <v>4120</v>
      </c>
      <c r="I2716" s="46">
        <v>0</v>
      </c>
      <c r="J2716" s="46">
        <v>25</v>
      </c>
      <c r="K2716" s="46">
        <v>5</v>
      </c>
      <c r="L2716" s="46">
        <v>0</v>
      </c>
      <c r="M2716" s="46">
        <v>0</v>
      </c>
      <c r="N2716" s="46">
        <v>0</v>
      </c>
      <c r="O2716" s="124">
        <v>0</v>
      </c>
      <c r="P2716" s="102">
        <v>5.8144000000000001E-2</v>
      </c>
      <c r="Q2716" s="45" t="s">
        <v>154</v>
      </c>
    </row>
    <row r="2717" spans="1:17" ht="36" x14ac:dyDescent="0.25">
      <c r="A2717" s="21">
        <v>39581</v>
      </c>
      <c r="B2717" s="21">
        <v>39581</v>
      </c>
      <c r="C2717" s="45">
        <v>2008</v>
      </c>
      <c r="D2717" s="351" t="s">
        <v>23</v>
      </c>
      <c r="E2717" s="30" t="s">
        <v>2700</v>
      </c>
      <c r="F2717" s="28" t="s">
        <v>160</v>
      </c>
      <c r="G2717" s="25" t="s">
        <v>4121</v>
      </c>
      <c r="H2717" s="25" t="s">
        <v>4122</v>
      </c>
      <c r="I2717" s="46">
        <v>2</v>
      </c>
      <c r="J2717" s="46">
        <v>1317</v>
      </c>
      <c r="K2717" s="46">
        <v>263</v>
      </c>
      <c r="L2717" s="46">
        <v>0</v>
      </c>
      <c r="M2717" s="46">
        <v>0</v>
      </c>
      <c r="N2717" s="46">
        <v>0</v>
      </c>
      <c r="O2717" s="124">
        <v>0</v>
      </c>
      <c r="P2717" s="102">
        <v>3.0583740000000001</v>
      </c>
      <c r="Q2717" s="45" t="s">
        <v>154</v>
      </c>
    </row>
    <row r="2718" spans="1:17" ht="24" x14ac:dyDescent="0.25">
      <c r="A2718" s="21">
        <v>39583</v>
      </c>
      <c r="B2718" s="21">
        <v>39583</v>
      </c>
      <c r="C2718" s="45">
        <v>2008</v>
      </c>
      <c r="D2718" s="351" t="s">
        <v>23</v>
      </c>
      <c r="E2718" s="30" t="s">
        <v>2700</v>
      </c>
      <c r="F2718" s="7" t="s">
        <v>75</v>
      </c>
      <c r="G2718" s="25" t="s">
        <v>4123</v>
      </c>
      <c r="H2718" s="25" t="s">
        <v>4124</v>
      </c>
      <c r="I2718" s="46">
        <v>0</v>
      </c>
      <c r="J2718" s="46">
        <v>1500</v>
      </c>
      <c r="K2718" s="46">
        <v>300</v>
      </c>
      <c r="L2718" s="46">
        <v>0</v>
      </c>
      <c r="M2718" s="46">
        <v>0</v>
      </c>
      <c r="N2718" s="46">
        <v>0</v>
      </c>
      <c r="O2718" s="124">
        <v>0</v>
      </c>
      <c r="P2718" s="102">
        <v>3.4886400000000002</v>
      </c>
      <c r="Q2718" s="45" t="s">
        <v>154</v>
      </c>
    </row>
    <row r="2719" spans="1:17" ht="48" x14ac:dyDescent="0.25">
      <c r="A2719" s="21">
        <v>39586</v>
      </c>
      <c r="B2719" s="21">
        <v>39586</v>
      </c>
      <c r="C2719" s="45">
        <v>2008</v>
      </c>
      <c r="D2719" s="351" t="s">
        <v>23</v>
      </c>
      <c r="E2719" s="30" t="s">
        <v>2706</v>
      </c>
      <c r="F2719" s="28" t="s">
        <v>210</v>
      </c>
      <c r="G2719" s="25" t="s">
        <v>2329</v>
      </c>
      <c r="H2719" s="25" t="s">
        <v>4125</v>
      </c>
      <c r="I2719" s="46">
        <v>1</v>
      </c>
      <c r="J2719" s="46">
        <v>3</v>
      </c>
      <c r="K2719" s="46">
        <v>0</v>
      </c>
      <c r="L2719" s="46">
        <v>0</v>
      </c>
      <c r="M2719" s="46">
        <v>0</v>
      </c>
      <c r="N2719" s="46">
        <v>0</v>
      </c>
      <c r="O2719" s="124">
        <v>0</v>
      </c>
      <c r="P2719" s="102">
        <v>0</v>
      </c>
      <c r="Q2719" s="45" t="s">
        <v>154</v>
      </c>
    </row>
    <row r="2720" spans="1:17" ht="24" x14ac:dyDescent="0.25">
      <c r="A2720" s="21">
        <v>39595</v>
      </c>
      <c r="B2720" s="21">
        <v>39595</v>
      </c>
      <c r="C2720" s="45">
        <v>2008</v>
      </c>
      <c r="D2720" s="351" t="s">
        <v>23</v>
      </c>
      <c r="E2720" s="30" t="s">
        <v>2700</v>
      </c>
      <c r="F2720" s="28" t="s">
        <v>210</v>
      </c>
      <c r="G2720" s="25" t="s">
        <v>4126</v>
      </c>
      <c r="H2720" s="25" t="s">
        <v>4127</v>
      </c>
      <c r="I2720" s="46">
        <v>0</v>
      </c>
      <c r="J2720" s="46">
        <v>100</v>
      </c>
      <c r="K2720" s="46">
        <v>20</v>
      </c>
      <c r="L2720" s="46">
        <v>0</v>
      </c>
      <c r="M2720" s="46">
        <v>0</v>
      </c>
      <c r="N2720" s="46">
        <v>0</v>
      </c>
      <c r="O2720" s="124">
        <v>0</v>
      </c>
      <c r="P2720" s="102">
        <v>0.232576</v>
      </c>
      <c r="Q2720" s="45" t="s">
        <v>154</v>
      </c>
    </row>
    <row r="2721" spans="1:17" ht="48" x14ac:dyDescent="0.25">
      <c r="A2721" s="21">
        <v>39595</v>
      </c>
      <c r="B2721" s="21">
        <v>39595</v>
      </c>
      <c r="C2721" s="45">
        <v>2008</v>
      </c>
      <c r="D2721" s="351" t="s">
        <v>23</v>
      </c>
      <c r="E2721" s="30" t="s">
        <v>2700</v>
      </c>
      <c r="F2721" s="28" t="s">
        <v>210</v>
      </c>
      <c r="G2721" s="25" t="s">
        <v>4128</v>
      </c>
      <c r="H2721" s="25" t="s">
        <v>4129</v>
      </c>
      <c r="I2721" s="46">
        <v>0</v>
      </c>
      <c r="J2721" s="46">
        <v>1100</v>
      </c>
      <c r="K2721" s="46">
        <v>220</v>
      </c>
      <c r="L2721" s="46">
        <v>0</v>
      </c>
      <c r="M2721" s="46">
        <v>0</v>
      </c>
      <c r="N2721" s="46">
        <v>0</v>
      </c>
      <c r="O2721" s="124">
        <v>0</v>
      </c>
      <c r="P2721" s="102">
        <v>2.5583360000000002</v>
      </c>
      <c r="Q2721" s="45" t="s">
        <v>154</v>
      </c>
    </row>
    <row r="2722" spans="1:17" ht="24" x14ac:dyDescent="0.25">
      <c r="A2722" s="21">
        <v>39603</v>
      </c>
      <c r="B2722" s="21">
        <v>39603</v>
      </c>
      <c r="C2722" s="45">
        <v>2008</v>
      </c>
      <c r="D2722" s="351" t="s">
        <v>23</v>
      </c>
      <c r="E2722" s="30" t="s">
        <v>327</v>
      </c>
      <c r="F2722" s="7" t="s">
        <v>82</v>
      </c>
      <c r="G2722" s="25" t="s">
        <v>4130</v>
      </c>
      <c r="H2722" s="25" t="s">
        <v>4131</v>
      </c>
      <c r="I2722" s="46">
        <v>1</v>
      </c>
      <c r="J2722" s="46">
        <v>1</v>
      </c>
      <c r="K2722" s="46">
        <v>0</v>
      </c>
      <c r="L2722" s="46">
        <v>0</v>
      </c>
      <c r="M2722" s="46">
        <v>0</v>
      </c>
      <c r="N2722" s="46">
        <v>0</v>
      </c>
      <c r="O2722" s="124">
        <v>0</v>
      </c>
      <c r="P2722" s="102">
        <v>0</v>
      </c>
      <c r="Q2722" s="45" t="s">
        <v>154</v>
      </c>
    </row>
    <row r="2723" spans="1:17" ht="24" x14ac:dyDescent="0.25">
      <c r="A2723" s="21">
        <v>39609</v>
      </c>
      <c r="B2723" s="21">
        <v>39609</v>
      </c>
      <c r="C2723" s="45">
        <v>2008</v>
      </c>
      <c r="D2723" s="351" t="s">
        <v>23</v>
      </c>
      <c r="E2723" s="30" t="s">
        <v>2691</v>
      </c>
      <c r="F2723" s="7" t="s">
        <v>40</v>
      </c>
      <c r="G2723" s="25" t="s">
        <v>4132</v>
      </c>
      <c r="H2723" s="25" t="s">
        <v>4133</v>
      </c>
      <c r="I2723" s="46">
        <v>0</v>
      </c>
      <c r="J2723" s="46">
        <v>10</v>
      </c>
      <c r="K2723" s="46">
        <v>2</v>
      </c>
      <c r="L2723" s="46">
        <v>0</v>
      </c>
      <c r="M2723" s="46">
        <v>0</v>
      </c>
      <c r="N2723" s="46">
        <v>0</v>
      </c>
      <c r="O2723" s="124">
        <v>0</v>
      </c>
      <c r="P2723" s="102">
        <v>2.325E-2</v>
      </c>
      <c r="Q2723" s="45" t="s">
        <v>154</v>
      </c>
    </row>
    <row r="2724" spans="1:17" ht="36" x14ac:dyDescent="0.25">
      <c r="A2724" s="21">
        <v>39623</v>
      </c>
      <c r="B2724" s="21">
        <v>39623</v>
      </c>
      <c r="C2724" s="45">
        <v>2008</v>
      </c>
      <c r="D2724" s="351" t="s">
        <v>23</v>
      </c>
      <c r="E2724" s="30" t="s">
        <v>2691</v>
      </c>
      <c r="F2724" s="7" t="s">
        <v>40</v>
      </c>
      <c r="G2724" s="25" t="s">
        <v>4134</v>
      </c>
      <c r="H2724" s="25" t="s">
        <v>4135</v>
      </c>
      <c r="I2724" s="46">
        <v>0</v>
      </c>
      <c r="J2724" s="46">
        <v>75</v>
      </c>
      <c r="K2724" s="46">
        <v>15</v>
      </c>
      <c r="L2724" s="46">
        <v>0</v>
      </c>
      <c r="M2724" s="46">
        <v>0</v>
      </c>
      <c r="N2724" s="46">
        <v>0</v>
      </c>
      <c r="O2724" s="124">
        <v>0</v>
      </c>
      <c r="P2724" s="102">
        <v>0.174432</v>
      </c>
      <c r="Q2724" s="45" t="s">
        <v>154</v>
      </c>
    </row>
    <row r="2725" spans="1:17" ht="36" x14ac:dyDescent="0.25">
      <c r="A2725" s="21">
        <v>39623</v>
      </c>
      <c r="B2725" s="21">
        <v>39623</v>
      </c>
      <c r="C2725" s="45">
        <v>2008</v>
      </c>
      <c r="D2725" s="351" t="s">
        <v>23</v>
      </c>
      <c r="E2725" s="30" t="s">
        <v>2691</v>
      </c>
      <c r="F2725" s="7" t="s">
        <v>62</v>
      </c>
      <c r="G2725" s="25" t="s">
        <v>2163</v>
      </c>
      <c r="H2725" s="25" t="s">
        <v>4136</v>
      </c>
      <c r="I2725" s="46">
        <v>0</v>
      </c>
      <c r="J2725" s="46">
        <v>0</v>
      </c>
      <c r="K2725" s="46">
        <v>0</v>
      </c>
      <c r="L2725" s="46">
        <v>2</v>
      </c>
      <c r="M2725" s="46">
        <v>0</v>
      </c>
      <c r="N2725" s="46">
        <v>0</v>
      </c>
      <c r="O2725" s="124">
        <v>0</v>
      </c>
      <c r="P2725" s="102">
        <v>4.4400000000000002E-2</v>
      </c>
      <c r="Q2725" s="45" t="s">
        <v>154</v>
      </c>
    </row>
    <row r="2726" spans="1:17" ht="24" x14ac:dyDescent="0.25">
      <c r="A2726" s="21">
        <v>39630</v>
      </c>
      <c r="B2726" s="21">
        <v>39630</v>
      </c>
      <c r="C2726" s="45">
        <v>2008</v>
      </c>
      <c r="D2726" s="351" t="s">
        <v>23</v>
      </c>
      <c r="E2726" s="30" t="s">
        <v>2706</v>
      </c>
      <c r="F2726" s="7" t="s">
        <v>56</v>
      </c>
      <c r="G2726" s="25" t="s">
        <v>56</v>
      </c>
      <c r="H2726" s="25" t="s">
        <v>4137</v>
      </c>
      <c r="I2726" s="46">
        <v>1</v>
      </c>
      <c r="J2726" s="46">
        <v>1</v>
      </c>
      <c r="K2726" s="46">
        <v>0</v>
      </c>
      <c r="L2726" s="46">
        <v>0</v>
      </c>
      <c r="M2726" s="46">
        <v>0</v>
      </c>
      <c r="N2726" s="46">
        <v>0</v>
      </c>
      <c r="O2726" s="124">
        <v>0</v>
      </c>
      <c r="P2726" s="102">
        <v>0</v>
      </c>
      <c r="Q2726" s="45" t="s">
        <v>154</v>
      </c>
    </row>
    <row r="2727" spans="1:17" ht="108" x14ac:dyDescent="0.25">
      <c r="A2727" s="21">
        <v>39657</v>
      </c>
      <c r="B2727" s="21">
        <v>39657</v>
      </c>
      <c r="C2727" s="45">
        <v>2008</v>
      </c>
      <c r="D2727" s="351" t="s">
        <v>23</v>
      </c>
      <c r="E2727" s="30" t="s">
        <v>2700</v>
      </c>
      <c r="F2727" s="7" t="s">
        <v>49</v>
      </c>
      <c r="G2727" s="25" t="s">
        <v>4138</v>
      </c>
      <c r="H2727" s="25" t="s">
        <v>4139</v>
      </c>
      <c r="I2727" s="46">
        <v>0</v>
      </c>
      <c r="J2727" s="46">
        <v>100</v>
      </c>
      <c r="K2727" s="46">
        <v>0</v>
      </c>
      <c r="L2727" s="46">
        <v>0</v>
      </c>
      <c r="M2727" s="46">
        <v>0</v>
      </c>
      <c r="N2727" s="46">
        <v>0</v>
      </c>
      <c r="O2727" s="124">
        <v>739.5</v>
      </c>
      <c r="P2727" s="102">
        <v>0.36</v>
      </c>
      <c r="Q2727" s="45" t="s">
        <v>4078</v>
      </c>
    </row>
    <row r="2728" spans="1:17" ht="36" x14ac:dyDescent="0.25">
      <c r="A2728" s="125">
        <v>39661</v>
      </c>
      <c r="B2728" s="125">
        <v>39661</v>
      </c>
      <c r="C2728" s="45">
        <v>2008</v>
      </c>
      <c r="D2728" s="351" t="s">
        <v>23</v>
      </c>
      <c r="E2728" s="30" t="s">
        <v>2706</v>
      </c>
      <c r="F2728" s="7" t="s">
        <v>58</v>
      </c>
      <c r="G2728" s="25" t="s">
        <v>1194</v>
      </c>
      <c r="H2728" s="25" t="s">
        <v>4140</v>
      </c>
      <c r="I2728" s="46">
        <v>2</v>
      </c>
      <c r="J2728" s="46">
        <v>11</v>
      </c>
      <c r="K2728" s="46">
        <v>0</v>
      </c>
      <c r="L2728" s="46">
        <v>0</v>
      </c>
      <c r="M2728" s="46">
        <v>0</v>
      </c>
      <c r="N2728" s="46">
        <v>0</v>
      </c>
      <c r="O2728" s="124">
        <v>0</v>
      </c>
      <c r="P2728" s="102">
        <v>0</v>
      </c>
      <c r="Q2728" s="45" t="s">
        <v>154</v>
      </c>
    </row>
    <row r="2729" spans="1:17" ht="84" x14ac:dyDescent="0.25">
      <c r="A2729" s="125">
        <v>39677</v>
      </c>
      <c r="B2729" s="125">
        <v>39677</v>
      </c>
      <c r="C2729" s="45">
        <v>2008</v>
      </c>
      <c r="D2729" s="351" t="s">
        <v>23</v>
      </c>
      <c r="E2729" s="30" t="s">
        <v>2700</v>
      </c>
      <c r="F2729" s="7" t="s">
        <v>40</v>
      </c>
      <c r="G2729" s="25" t="s">
        <v>4141</v>
      </c>
      <c r="H2729" s="25" t="s">
        <v>4142</v>
      </c>
      <c r="I2729" s="46">
        <v>0</v>
      </c>
      <c r="J2729" s="46">
        <v>132</v>
      </c>
      <c r="K2729" s="46">
        <v>0</v>
      </c>
      <c r="L2729" s="46">
        <v>0</v>
      </c>
      <c r="M2729" s="46">
        <v>0</v>
      </c>
      <c r="N2729" s="46">
        <v>0</v>
      </c>
      <c r="O2729" s="124">
        <v>232.6</v>
      </c>
      <c r="P2729" s="102">
        <v>0.42330000000000001</v>
      </c>
      <c r="Q2729" s="45" t="s">
        <v>3787</v>
      </c>
    </row>
    <row r="2730" spans="1:17" ht="84" x14ac:dyDescent="0.25">
      <c r="A2730" s="125">
        <v>39678</v>
      </c>
      <c r="B2730" s="125">
        <v>39678</v>
      </c>
      <c r="C2730" s="45">
        <v>2008</v>
      </c>
      <c r="D2730" s="351" t="s">
        <v>23</v>
      </c>
      <c r="E2730" s="30" t="s">
        <v>2700</v>
      </c>
      <c r="F2730" s="7" t="s">
        <v>62</v>
      </c>
      <c r="G2730" s="25" t="s">
        <v>4143</v>
      </c>
      <c r="H2730" s="25" t="s">
        <v>4144</v>
      </c>
      <c r="I2730" s="46">
        <v>0</v>
      </c>
      <c r="J2730" s="46">
        <v>231</v>
      </c>
      <c r="K2730" s="46">
        <v>0</v>
      </c>
      <c r="L2730" s="46">
        <v>0</v>
      </c>
      <c r="M2730" s="46">
        <v>0</v>
      </c>
      <c r="N2730" s="46">
        <v>0</v>
      </c>
      <c r="O2730" s="124">
        <v>916.8</v>
      </c>
      <c r="P2730" s="102">
        <v>6.6369999999999996</v>
      </c>
      <c r="Q2730" s="45" t="s">
        <v>3787</v>
      </c>
    </row>
    <row r="2731" spans="1:17" ht="36" x14ac:dyDescent="0.25">
      <c r="A2731" s="125">
        <v>39694</v>
      </c>
      <c r="B2731" s="125">
        <v>39694</v>
      </c>
      <c r="C2731" s="45">
        <v>2008</v>
      </c>
      <c r="D2731" s="351" t="s">
        <v>23</v>
      </c>
      <c r="E2731" s="30" t="s">
        <v>2706</v>
      </c>
      <c r="F2731" s="7" t="s">
        <v>53</v>
      </c>
      <c r="G2731" s="25" t="s">
        <v>2460</v>
      </c>
      <c r="H2731" s="25" t="s">
        <v>4145</v>
      </c>
      <c r="I2731" s="46">
        <v>2</v>
      </c>
      <c r="J2731" s="46">
        <v>2</v>
      </c>
      <c r="K2731" s="46">
        <v>0</v>
      </c>
      <c r="L2731" s="46">
        <v>0</v>
      </c>
      <c r="M2731" s="46">
        <v>0</v>
      </c>
      <c r="N2731" s="46">
        <v>0</v>
      </c>
      <c r="O2731" s="124">
        <v>0</v>
      </c>
      <c r="P2731" s="102">
        <v>0</v>
      </c>
      <c r="Q2731" s="45" t="s">
        <v>154</v>
      </c>
    </row>
    <row r="2732" spans="1:17" ht="24" x14ac:dyDescent="0.25">
      <c r="A2732" s="125">
        <v>39749</v>
      </c>
      <c r="B2732" s="125">
        <v>39749</v>
      </c>
      <c r="C2732" s="45">
        <v>2008</v>
      </c>
      <c r="D2732" s="351" t="s">
        <v>23</v>
      </c>
      <c r="E2732" s="30" t="s">
        <v>2691</v>
      </c>
      <c r="F2732" s="7" t="s">
        <v>56</v>
      </c>
      <c r="G2732" s="25" t="s">
        <v>56</v>
      </c>
      <c r="H2732" s="25" t="s">
        <v>4146</v>
      </c>
      <c r="I2732" s="46">
        <v>0</v>
      </c>
      <c r="J2732" s="46">
        <v>4</v>
      </c>
      <c r="K2732" s="46">
        <v>0</v>
      </c>
      <c r="L2732" s="46">
        <v>0</v>
      </c>
      <c r="M2732" s="46">
        <v>0</v>
      </c>
      <c r="N2732" s="46">
        <v>0</v>
      </c>
      <c r="O2732" s="124">
        <v>0</v>
      </c>
      <c r="P2732" s="102">
        <v>0</v>
      </c>
      <c r="Q2732" s="45" t="s">
        <v>154</v>
      </c>
    </row>
    <row r="2733" spans="1:17" ht="36" x14ac:dyDescent="0.25">
      <c r="A2733" s="125">
        <v>39750</v>
      </c>
      <c r="B2733" s="125">
        <v>39750</v>
      </c>
      <c r="C2733" s="45">
        <v>2008</v>
      </c>
      <c r="D2733" s="351" t="s">
        <v>23</v>
      </c>
      <c r="E2733" s="30" t="s">
        <v>2691</v>
      </c>
      <c r="F2733" s="7" t="s">
        <v>58</v>
      </c>
      <c r="G2733" s="25" t="s">
        <v>4147</v>
      </c>
      <c r="H2733" s="25" t="s">
        <v>4148</v>
      </c>
      <c r="I2733" s="46">
        <v>0</v>
      </c>
      <c r="J2733" s="46">
        <f>(K2733*5)</f>
        <v>1590</v>
      </c>
      <c r="K2733" s="46">
        <v>318</v>
      </c>
      <c r="L2733" s="46">
        <v>0</v>
      </c>
      <c r="M2733" s="46">
        <v>0</v>
      </c>
      <c r="N2733" s="46">
        <v>0</v>
      </c>
      <c r="O2733" s="124">
        <v>0</v>
      </c>
      <c r="P2733" s="102">
        <v>1.4830000000000001</v>
      </c>
      <c r="Q2733" s="45" t="s">
        <v>154</v>
      </c>
    </row>
    <row r="2734" spans="1:17" ht="36" x14ac:dyDescent="0.25">
      <c r="A2734" s="125">
        <v>39792</v>
      </c>
      <c r="B2734" s="125">
        <v>39792</v>
      </c>
      <c r="C2734" s="45">
        <v>2008</v>
      </c>
      <c r="D2734" s="351" t="s">
        <v>23</v>
      </c>
      <c r="E2734" s="30" t="s">
        <v>2691</v>
      </c>
      <c r="F2734" s="28" t="s">
        <v>210</v>
      </c>
      <c r="G2734" s="25" t="s">
        <v>4149</v>
      </c>
      <c r="H2734" s="25" t="s">
        <v>4150</v>
      </c>
      <c r="I2734" s="46">
        <v>0</v>
      </c>
      <c r="J2734" s="46">
        <v>27</v>
      </c>
      <c r="K2734" s="46">
        <v>5</v>
      </c>
      <c r="L2734" s="46">
        <v>0</v>
      </c>
      <c r="M2734" s="46">
        <v>0</v>
      </c>
      <c r="N2734" s="46">
        <v>0</v>
      </c>
      <c r="O2734" s="124">
        <v>0</v>
      </c>
      <c r="P2734" s="102">
        <v>2.3321999999999999E-2</v>
      </c>
      <c r="Q2734" s="45" t="s">
        <v>154</v>
      </c>
    </row>
    <row r="2735" spans="1:17" ht="120" x14ac:dyDescent="0.25">
      <c r="A2735" s="21">
        <v>39490</v>
      </c>
      <c r="B2735" s="21">
        <v>39490</v>
      </c>
      <c r="C2735" s="45">
        <v>2008</v>
      </c>
      <c r="D2735" s="35" t="s">
        <v>17</v>
      </c>
      <c r="E2735" s="30" t="s">
        <v>122</v>
      </c>
      <c r="F2735" s="7" t="s">
        <v>72</v>
      </c>
      <c r="G2735" s="25" t="s">
        <v>4151</v>
      </c>
      <c r="H2735" s="25" t="s">
        <v>4152</v>
      </c>
      <c r="I2735" s="46">
        <v>0</v>
      </c>
      <c r="J2735" s="46">
        <v>6970</v>
      </c>
      <c r="K2735" s="46">
        <v>1394</v>
      </c>
      <c r="L2735" s="46">
        <v>49</v>
      </c>
      <c r="M2735" s="46">
        <v>0</v>
      </c>
      <c r="N2735" s="46">
        <v>0</v>
      </c>
      <c r="O2735" s="124">
        <v>0</v>
      </c>
      <c r="P2735" s="102">
        <v>10.65</v>
      </c>
      <c r="Q2735" s="45" t="s">
        <v>3933</v>
      </c>
    </row>
    <row r="2736" spans="1:17" ht="72" x14ac:dyDescent="0.25">
      <c r="A2736" s="21">
        <v>39490</v>
      </c>
      <c r="B2736" s="21">
        <v>39490</v>
      </c>
      <c r="C2736" s="45">
        <v>2008</v>
      </c>
      <c r="D2736" s="35" t="s">
        <v>17</v>
      </c>
      <c r="E2736" s="30" t="s">
        <v>122</v>
      </c>
      <c r="F2736" s="7" t="s">
        <v>58</v>
      </c>
      <c r="G2736" s="25" t="s">
        <v>2238</v>
      </c>
      <c r="H2736" s="25" t="s">
        <v>4153</v>
      </c>
      <c r="I2736" s="46">
        <v>0</v>
      </c>
      <c r="J2736" s="46">
        <v>5</v>
      </c>
      <c r="K2736" s="46">
        <v>1</v>
      </c>
      <c r="L2736" s="46">
        <v>0</v>
      </c>
      <c r="M2736" s="46">
        <v>0</v>
      </c>
      <c r="N2736" s="46">
        <v>0</v>
      </c>
      <c r="O2736" s="124">
        <v>0</v>
      </c>
      <c r="P2736" s="102">
        <v>4.4458999999999999E-2</v>
      </c>
      <c r="Q2736" s="45" t="s">
        <v>154</v>
      </c>
    </row>
    <row r="2737" spans="1:17" ht="60" x14ac:dyDescent="0.25">
      <c r="A2737" s="21">
        <v>39580</v>
      </c>
      <c r="B2737" s="21">
        <v>39580</v>
      </c>
      <c r="C2737" s="45">
        <v>2008</v>
      </c>
      <c r="D2737" s="35" t="s">
        <v>17</v>
      </c>
      <c r="E2737" s="22" t="s">
        <v>2964</v>
      </c>
      <c r="F2737" s="7" t="s">
        <v>65</v>
      </c>
      <c r="G2737" s="25" t="s">
        <v>1346</v>
      </c>
      <c r="H2737" s="25" t="s">
        <v>4154</v>
      </c>
      <c r="I2737" s="46">
        <v>0</v>
      </c>
      <c r="J2737" s="46">
        <v>40</v>
      </c>
      <c r="K2737" s="46">
        <v>8</v>
      </c>
      <c r="L2737" s="46">
        <v>0</v>
      </c>
      <c r="M2737" s="46">
        <v>0</v>
      </c>
      <c r="N2737" s="46">
        <v>0</v>
      </c>
      <c r="O2737" s="124">
        <v>0</v>
      </c>
      <c r="P2737" s="102">
        <v>0.35567199999999999</v>
      </c>
      <c r="Q2737" s="45" t="s">
        <v>154</v>
      </c>
    </row>
    <row r="2738" spans="1:17" ht="36" x14ac:dyDescent="0.25">
      <c r="A2738" s="21">
        <v>39586</v>
      </c>
      <c r="B2738" s="21">
        <v>39586</v>
      </c>
      <c r="C2738" s="45">
        <v>2008</v>
      </c>
      <c r="D2738" s="35" t="s">
        <v>17</v>
      </c>
      <c r="E2738" s="6" t="s">
        <v>1597</v>
      </c>
      <c r="F2738" s="7" t="s">
        <v>36</v>
      </c>
      <c r="G2738" s="25" t="s">
        <v>4155</v>
      </c>
      <c r="H2738" s="25" t="s">
        <v>4156</v>
      </c>
      <c r="I2738" s="46">
        <v>2</v>
      </c>
      <c r="J2738" s="46">
        <v>2</v>
      </c>
      <c r="K2738" s="46">
        <v>1</v>
      </c>
      <c r="L2738" s="46">
        <v>0</v>
      </c>
      <c r="M2738" s="46">
        <v>0</v>
      </c>
      <c r="N2738" s="46">
        <v>0</v>
      </c>
      <c r="O2738" s="124">
        <v>0</v>
      </c>
      <c r="P2738" s="102">
        <v>4.4458999999999999E-2</v>
      </c>
      <c r="Q2738" s="45" t="s">
        <v>154</v>
      </c>
    </row>
    <row r="2739" spans="1:17" ht="36" x14ac:dyDescent="0.25">
      <c r="A2739" s="21">
        <v>39586</v>
      </c>
      <c r="B2739" s="21">
        <v>39586</v>
      </c>
      <c r="C2739" s="45">
        <v>2008</v>
      </c>
      <c r="D2739" s="35" t="s">
        <v>17</v>
      </c>
      <c r="E2739" s="6" t="s">
        <v>1597</v>
      </c>
      <c r="F2739" s="7" t="s">
        <v>75</v>
      </c>
      <c r="G2739" s="25" t="s">
        <v>4157</v>
      </c>
      <c r="H2739" s="25" t="s">
        <v>4158</v>
      </c>
      <c r="I2739" s="46">
        <v>1</v>
      </c>
      <c r="J2739" s="46">
        <v>2</v>
      </c>
      <c r="K2739" s="46">
        <v>1</v>
      </c>
      <c r="L2739" s="46">
        <v>0</v>
      </c>
      <c r="M2739" s="46">
        <v>0</v>
      </c>
      <c r="N2739" s="46">
        <v>0</v>
      </c>
      <c r="O2739" s="124">
        <v>0</v>
      </c>
      <c r="P2739" s="102">
        <v>4.4458999999999999E-2</v>
      </c>
      <c r="Q2739" s="45" t="s">
        <v>154</v>
      </c>
    </row>
    <row r="2740" spans="1:17" ht="36" x14ac:dyDescent="0.25">
      <c r="A2740" s="21">
        <v>39609</v>
      </c>
      <c r="B2740" s="21">
        <v>39609</v>
      </c>
      <c r="C2740" s="45">
        <v>2008</v>
      </c>
      <c r="D2740" s="35" t="s">
        <v>17</v>
      </c>
      <c r="E2740" s="6" t="s">
        <v>1597</v>
      </c>
      <c r="F2740" s="28" t="s">
        <v>160</v>
      </c>
      <c r="G2740" s="25" t="s">
        <v>4159</v>
      </c>
      <c r="H2740" s="25" t="s">
        <v>4160</v>
      </c>
      <c r="I2740" s="46">
        <v>0</v>
      </c>
      <c r="J2740" s="46">
        <v>0</v>
      </c>
      <c r="K2740" s="46">
        <v>0</v>
      </c>
      <c r="L2740" s="46">
        <v>0</v>
      </c>
      <c r="M2740" s="46">
        <v>0</v>
      </c>
      <c r="N2740" s="46">
        <v>0</v>
      </c>
      <c r="O2740" s="124">
        <v>0</v>
      </c>
      <c r="P2740" s="102">
        <v>0</v>
      </c>
      <c r="Q2740" s="45" t="s">
        <v>154</v>
      </c>
    </row>
    <row r="2741" spans="1:17" ht="48" x14ac:dyDescent="0.25">
      <c r="A2741" s="21">
        <v>39635</v>
      </c>
      <c r="B2741" s="21">
        <v>39635</v>
      </c>
      <c r="C2741" s="45">
        <v>2008</v>
      </c>
      <c r="D2741" s="35" t="s">
        <v>17</v>
      </c>
      <c r="E2741" s="6" t="s">
        <v>1597</v>
      </c>
      <c r="F2741" s="7" t="s">
        <v>58</v>
      </c>
      <c r="G2741" s="25" t="s">
        <v>168</v>
      </c>
      <c r="H2741" s="25" t="s">
        <v>4161</v>
      </c>
      <c r="I2741" s="46">
        <v>1</v>
      </c>
      <c r="J2741" s="46">
        <v>4</v>
      </c>
      <c r="K2741" s="46">
        <v>0</v>
      </c>
      <c r="L2741" s="46">
        <v>0</v>
      </c>
      <c r="M2741" s="46">
        <v>0</v>
      </c>
      <c r="N2741" s="46">
        <v>0</v>
      </c>
      <c r="O2741" s="124">
        <v>0</v>
      </c>
      <c r="P2741" s="102">
        <v>0</v>
      </c>
      <c r="Q2741" s="45" t="s">
        <v>154</v>
      </c>
    </row>
    <row r="2742" spans="1:17" ht="60" x14ac:dyDescent="0.25">
      <c r="A2742" s="125">
        <v>39661</v>
      </c>
      <c r="B2742" s="125">
        <v>39661</v>
      </c>
      <c r="C2742" s="45">
        <v>2008</v>
      </c>
      <c r="D2742" s="35" t="s">
        <v>17</v>
      </c>
      <c r="E2742" s="6" t="s">
        <v>1597</v>
      </c>
      <c r="F2742" s="28" t="s">
        <v>210</v>
      </c>
      <c r="G2742" s="25" t="s">
        <v>4162</v>
      </c>
      <c r="H2742" s="25" t="s">
        <v>4163</v>
      </c>
      <c r="I2742" s="46">
        <v>0</v>
      </c>
      <c r="J2742" s="46">
        <v>10</v>
      </c>
      <c r="K2742" s="46">
        <v>2</v>
      </c>
      <c r="L2742" s="46">
        <v>0</v>
      </c>
      <c r="M2742" s="46">
        <v>0</v>
      </c>
      <c r="N2742" s="46">
        <v>0</v>
      </c>
      <c r="O2742" s="124">
        <v>0</v>
      </c>
      <c r="P2742" s="102">
        <v>8.8917999999999997E-2</v>
      </c>
      <c r="Q2742" s="45" t="s">
        <v>154</v>
      </c>
    </row>
    <row r="2743" spans="1:17" ht="36" x14ac:dyDescent="0.25">
      <c r="A2743" s="125">
        <v>39665</v>
      </c>
      <c r="B2743" s="125">
        <v>39665</v>
      </c>
      <c r="C2743" s="45">
        <v>2008</v>
      </c>
      <c r="D2743" s="35" t="s">
        <v>17</v>
      </c>
      <c r="E2743" s="6" t="s">
        <v>1597</v>
      </c>
      <c r="F2743" s="28" t="s">
        <v>160</v>
      </c>
      <c r="G2743" s="25" t="s">
        <v>4164</v>
      </c>
      <c r="H2743" s="25" t="s">
        <v>4165</v>
      </c>
      <c r="I2743" s="46">
        <v>1</v>
      </c>
      <c r="J2743" s="46">
        <v>3</v>
      </c>
      <c r="K2743" s="46">
        <v>0</v>
      </c>
      <c r="L2743" s="46">
        <v>0</v>
      </c>
      <c r="M2743" s="46">
        <v>0</v>
      </c>
      <c r="N2743" s="46">
        <v>0</v>
      </c>
      <c r="O2743" s="124">
        <v>0</v>
      </c>
      <c r="P2743" s="102">
        <v>0</v>
      </c>
      <c r="Q2743" s="45" t="s">
        <v>154</v>
      </c>
    </row>
    <row r="2744" spans="1:17" ht="24" x14ac:dyDescent="0.25">
      <c r="A2744" s="125">
        <v>39690</v>
      </c>
      <c r="B2744" s="125">
        <v>39690</v>
      </c>
      <c r="C2744" s="45">
        <v>2008</v>
      </c>
      <c r="D2744" s="35" t="s">
        <v>17</v>
      </c>
      <c r="E2744" s="30" t="s">
        <v>1603</v>
      </c>
      <c r="F2744" s="7" t="s">
        <v>25</v>
      </c>
      <c r="G2744" s="25" t="s">
        <v>4166</v>
      </c>
      <c r="H2744" s="25" t="s">
        <v>4167</v>
      </c>
      <c r="I2744" s="46">
        <v>0</v>
      </c>
      <c r="J2744" s="46">
        <v>200</v>
      </c>
      <c r="K2744" s="46">
        <v>0</v>
      </c>
      <c r="L2744" s="46">
        <v>0</v>
      </c>
      <c r="M2744" s="46">
        <v>0</v>
      </c>
      <c r="N2744" s="46">
        <v>0</v>
      </c>
      <c r="O2744" s="124">
        <v>0</v>
      </c>
      <c r="P2744" s="102">
        <v>0</v>
      </c>
      <c r="Q2744" s="45" t="s">
        <v>154</v>
      </c>
    </row>
    <row r="2745" spans="1:17" ht="36" x14ac:dyDescent="0.25">
      <c r="A2745" s="125">
        <v>39694</v>
      </c>
      <c r="B2745" s="125">
        <v>39694</v>
      </c>
      <c r="C2745" s="45">
        <v>2008</v>
      </c>
      <c r="D2745" s="35" t="s">
        <v>17</v>
      </c>
      <c r="E2745" s="6" t="s">
        <v>1597</v>
      </c>
      <c r="F2745" s="7" t="s">
        <v>60</v>
      </c>
      <c r="G2745" s="25" t="s">
        <v>4004</v>
      </c>
      <c r="H2745" s="25" t="s">
        <v>4168</v>
      </c>
      <c r="I2745" s="46">
        <v>3</v>
      </c>
      <c r="J2745" s="46">
        <v>3</v>
      </c>
      <c r="K2745" s="46">
        <v>6</v>
      </c>
      <c r="L2745" s="46">
        <v>0</v>
      </c>
      <c r="M2745" s="46">
        <v>0</v>
      </c>
      <c r="N2745" s="46">
        <v>0</v>
      </c>
      <c r="O2745" s="124">
        <v>0</v>
      </c>
      <c r="P2745" s="102">
        <v>0.26675399999999999</v>
      </c>
      <c r="Q2745" s="45" t="s">
        <v>154</v>
      </c>
    </row>
    <row r="2746" spans="1:17" ht="24" x14ac:dyDescent="0.25">
      <c r="A2746" s="125">
        <v>39699</v>
      </c>
      <c r="B2746" s="125">
        <v>39699</v>
      </c>
      <c r="C2746" s="45">
        <v>2008</v>
      </c>
      <c r="D2746" s="35" t="s">
        <v>17</v>
      </c>
      <c r="E2746" s="6" t="s">
        <v>1597</v>
      </c>
      <c r="F2746" s="28" t="s">
        <v>210</v>
      </c>
      <c r="G2746" s="25">
        <v>1</v>
      </c>
      <c r="H2746" s="25" t="s">
        <v>4169</v>
      </c>
      <c r="I2746" s="46">
        <v>2</v>
      </c>
      <c r="J2746" s="46">
        <f>(K2746*5)</f>
        <v>1775</v>
      </c>
      <c r="K2746" s="46">
        <v>355</v>
      </c>
      <c r="L2746" s="46">
        <v>0</v>
      </c>
      <c r="M2746" s="46">
        <v>0</v>
      </c>
      <c r="N2746" s="46">
        <v>0</v>
      </c>
      <c r="O2746" s="124">
        <v>0</v>
      </c>
      <c r="P2746" s="102">
        <v>66.700999999999993</v>
      </c>
      <c r="Q2746" s="45" t="str">
        <f>+fo</f>
        <v>FONDEN</v>
      </c>
    </row>
    <row r="2747" spans="1:17" ht="24" x14ac:dyDescent="0.25">
      <c r="A2747" s="125">
        <v>39708</v>
      </c>
      <c r="B2747" s="125">
        <v>39708</v>
      </c>
      <c r="C2747" s="45">
        <v>2008</v>
      </c>
      <c r="D2747" s="35" t="s">
        <v>17</v>
      </c>
      <c r="E2747" s="6" t="s">
        <v>1597</v>
      </c>
      <c r="F2747" s="7" t="s">
        <v>72</v>
      </c>
      <c r="G2747" s="25" t="s">
        <v>4170</v>
      </c>
      <c r="H2747" s="25" t="s">
        <v>4171</v>
      </c>
      <c r="I2747" s="46">
        <v>4</v>
      </c>
      <c r="J2747" s="46">
        <v>9</v>
      </c>
      <c r="K2747" s="46">
        <v>0</v>
      </c>
      <c r="L2747" s="46">
        <v>0</v>
      </c>
      <c r="M2747" s="46">
        <v>0</v>
      </c>
      <c r="N2747" s="46">
        <v>0</v>
      </c>
      <c r="O2747" s="124">
        <v>0</v>
      </c>
      <c r="P2747" s="102">
        <v>0</v>
      </c>
      <c r="Q2747" s="45" t="s">
        <v>154</v>
      </c>
    </row>
    <row r="2748" spans="1:17" ht="24" x14ac:dyDescent="0.25">
      <c r="A2748" s="21">
        <v>39448</v>
      </c>
      <c r="B2748" s="21">
        <v>39813</v>
      </c>
      <c r="C2748" s="45">
        <v>2008</v>
      </c>
      <c r="D2748" s="35" t="s">
        <v>28</v>
      </c>
      <c r="E2748" s="30" t="s">
        <v>29</v>
      </c>
      <c r="F2748" s="7" t="s">
        <v>25</v>
      </c>
      <c r="G2748" s="25" t="s">
        <v>2109</v>
      </c>
      <c r="H2748" s="52" t="s">
        <v>4172</v>
      </c>
      <c r="I2748" s="46">
        <v>0</v>
      </c>
      <c r="J2748" s="46">
        <v>0</v>
      </c>
      <c r="K2748" s="46">
        <v>0</v>
      </c>
      <c r="L2748" s="46">
        <v>0</v>
      </c>
      <c r="M2748" s="46">
        <v>0</v>
      </c>
      <c r="N2748" s="46">
        <v>0</v>
      </c>
      <c r="O2748" s="124">
        <v>2627</v>
      </c>
      <c r="P2748" s="102">
        <v>2.6269999999999998</v>
      </c>
      <c r="Q2748" s="45" t="s">
        <v>3556</v>
      </c>
    </row>
    <row r="2749" spans="1:17" ht="24" x14ac:dyDescent="0.25">
      <c r="A2749" s="21">
        <v>39448</v>
      </c>
      <c r="B2749" s="21">
        <v>39813</v>
      </c>
      <c r="C2749" s="45">
        <v>2008</v>
      </c>
      <c r="D2749" s="35" t="s">
        <v>28</v>
      </c>
      <c r="E2749" s="30" t="s">
        <v>29</v>
      </c>
      <c r="F2749" s="7" t="s">
        <v>30</v>
      </c>
      <c r="G2749" s="25" t="s">
        <v>2109</v>
      </c>
      <c r="H2749" s="52" t="s">
        <v>4173</v>
      </c>
      <c r="I2749" s="46">
        <v>0</v>
      </c>
      <c r="J2749" s="46">
        <v>0</v>
      </c>
      <c r="K2749" s="46">
        <v>0</v>
      </c>
      <c r="L2749" s="46">
        <v>0</v>
      </c>
      <c r="M2749" s="46">
        <v>0</v>
      </c>
      <c r="N2749" s="46">
        <v>0</v>
      </c>
      <c r="O2749" s="124">
        <v>13215.04</v>
      </c>
      <c r="P2749" s="102">
        <v>13.21504</v>
      </c>
      <c r="Q2749" s="45" t="s">
        <v>3556</v>
      </c>
    </row>
    <row r="2750" spans="1:17" ht="24" x14ac:dyDescent="0.25">
      <c r="A2750" s="21">
        <v>39448</v>
      </c>
      <c r="B2750" s="21">
        <v>39813</v>
      </c>
      <c r="C2750" s="45">
        <v>2008</v>
      </c>
      <c r="D2750" s="35" t="s">
        <v>28</v>
      </c>
      <c r="E2750" s="30" t="s">
        <v>29</v>
      </c>
      <c r="F2750" s="7" t="s">
        <v>33</v>
      </c>
      <c r="G2750" s="25" t="s">
        <v>2109</v>
      </c>
      <c r="H2750" s="52" t="s">
        <v>4174</v>
      </c>
      <c r="I2750" s="46">
        <v>0</v>
      </c>
      <c r="J2750" s="46">
        <v>0</v>
      </c>
      <c r="K2750" s="46">
        <v>0</v>
      </c>
      <c r="L2750" s="46">
        <v>0</v>
      </c>
      <c r="M2750" s="46">
        <v>0</v>
      </c>
      <c r="N2750" s="46">
        <v>0</v>
      </c>
      <c r="O2750" s="124">
        <v>49</v>
      </c>
      <c r="P2750" s="102">
        <v>4.9000000000000002E-2</v>
      </c>
      <c r="Q2750" s="45" t="s">
        <v>3556</v>
      </c>
    </row>
    <row r="2751" spans="1:17" ht="24" x14ac:dyDescent="0.25">
      <c r="A2751" s="21">
        <v>39448</v>
      </c>
      <c r="B2751" s="21">
        <v>39813</v>
      </c>
      <c r="C2751" s="45">
        <v>2008</v>
      </c>
      <c r="D2751" s="35" t="s">
        <v>28</v>
      </c>
      <c r="E2751" s="30" t="s">
        <v>29</v>
      </c>
      <c r="F2751" s="28" t="s">
        <v>151</v>
      </c>
      <c r="G2751" s="25" t="s">
        <v>2109</v>
      </c>
      <c r="H2751" s="52" t="s">
        <v>4175</v>
      </c>
      <c r="I2751" s="46">
        <v>0</v>
      </c>
      <c r="J2751" s="46">
        <v>0</v>
      </c>
      <c r="K2751" s="46">
        <v>0</v>
      </c>
      <c r="L2751" s="46">
        <v>0</v>
      </c>
      <c r="M2751" s="46">
        <v>0</v>
      </c>
      <c r="N2751" s="46">
        <v>0</v>
      </c>
      <c r="O2751" s="124">
        <v>1087</v>
      </c>
      <c r="P2751" s="102">
        <v>1.087</v>
      </c>
      <c r="Q2751" s="45" t="s">
        <v>3556</v>
      </c>
    </row>
    <row r="2752" spans="1:17" ht="24" x14ac:dyDescent="0.25">
      <c r="A2752" s="21">
        <v>39448</v>
      </c>
      <c r="B2752" s="21">
        <v>39813</v>
      </c>
      <c r="C2752" s="45">
        <v>2008</v>
      </c>
      <c r="D2752" s="35" t="s">
        <v>28</v>
      </c>
      <c r="E2752" s="30" t="s">
        <v>29</v>
      </c>
      <c r="F2752" s="7" t="s">
        <v>45</v>
      </c>
      <c r="G2752" s="25" t="s">
        <v>2109</v>
      </c>
      <c r="H2752" s="52" t="s">
        <v>4176</v>
      </c>
      <c r="I2752" s="46">
        <v>0</v>
      </c>
      <c r="J2752" s="46">
        <v>0</v>
      </c>
      <c r="K2752" s="46">
        <v>0</v>
      </c>
      <c r="L2752" s="46">
        <v>0</v>
      </c>
      <c r="M2752" s="46">
        <v>0</v>
      </c>
      <c r="N2752" s="46">
        <v>0</v>
      </c>
      <c r="O2752" s="124">
        <v>24428.5</v>
      </c>
      <c r="P2752" s="102">
        <v>24.4285</v>
      </c>
      <c r="Q2752" s="45" t="s">
        <v>3556</v>
      </c>
    </row>
    <row r="2753" spans="1:17" ht="24" x14ac:dyDescent="0.25">
      <c r="A2753" s="21">
        <v>39448</v>
      </c>
      <c r="B2753" s="21">
        <v>39813</v>
      </c>
      <c r="C2753" s="45">
        <v>2008</v>
      </c>
      <c r="D2753" s="35" t="s">
        <v>28</v>
      </c>
      <c r="E2753" s="30" t="s">
        <v>29</v>
      </c>
      <c r="F2753" s="7" t="s">
        <v>47</v>
      </c>
      <c r="G2753" s="25" t="s">
        <v>2109</v>
      </c>
      <c r="H2753" s="52" t="s">
        <v>4177</v>
      </c>
      <c r="I2753" s="46">
        <v>0</v>
      </c>
      <c r="J2753" s="46">
        <v>0</v>
      </c>
      <c r="K2753" s="46">
        <v>0</v>
      </c>
      <c r="L2753" s="46">
        <v>0</v>
      </c>
      <c r="M2753" s="46">
        <v>0</v>
      </c>
      <c r="N2753" s="46">
        <v>0</v>
      </c>
      <c r="O2753" s="124">
        <v>540</v>
      </c>
      <c r="P2753" s="102">
        <v>0.54</v>
      </c>
      <c r="Q2753" s="45" t="s">
        <v>3556</v>
      </c>
    </row>
    <row r="2754" spans="1:17" ht="24" x14ac:dyDescent="0.25">
      <c r="A2754" s="21">
        <v>39448</v>
      </c>
      <c r="B2754" s="21">
        <v>39813</v>
      </c>
      <c r="C2754" s="45">
        <v>2008</v>
      </c>
      <c r="D2754" s="35" t="s">
        <v>28</v>
      </c>
      <c r="E2754" s="30" t="s">
        <v>29</v>
      </c>
      <c r="F2754" s="7" t="s">
        <v>36</v>
      </c>
      <c r="G2754" s="25" t="s">
        <v>2109</v>
      </c>
      <c r="H2754" s="52" t="s">
        <v>4178</v>
      </c>
      <c r="I2754" s="46">
        <v>0</v>
      </c>
      <c r="J2754" s="46">
        <v>0</v>
      </c>
      <c r="K2754" s="46">
        <v>0</v>
      </c>
      <c r="L2754" s="46">
        <v>0</v>
      </c>
      <c r="M2754" s="46">
        <v>0</v>
      </c>
      <c r="N2754" s="46">
        <v>0</v>
      </c>
      <c r="O2754" s="124">
        <v>9711.25</v>
      </c>
      <c r="P2754" s="102">
        <v>9.7112499999999997</v>
      </c>
      <c r="Q2754" s="45" t="s">
        <v>3556</v>
      </c>
    </row>
    <row r="2755" spans="1:17" ht="24" x14ac:dyDescent="0.25">
      <c r="A2755" s="21">
        <v>39448</v>
      </c>
      <c r="B2755" s="21">
        <v>39813</v>
      </c>
      <c r="C2755" s="45">
        <v>2008</v>
      </c>
      <c r="D2755" s="35" t="s">
        <v>28</v>
      </c>
      <c r="E2755" s="30" t="s">
        <v>29</v>
      </c>
      <c r="F2755" s="7" t="s">
        <v>40</v>
      </c>
      <c r="G2755" s="25" t="s">
        <v>2109</v>
      </c>
      <c r="H2755" s="52" t="s">
        <v>4179</v>
      </c>
      <c r="I2755" s="46">
        <v>0</v>
      </c>
      <c r="J2755" s="46">
        <v>0</v>
      </c>
      <c r="K2755" s="46">
        <v>0</v>
      </c>
      <c r="L2755" s="46">
        <v>0</v>
      </c>
      <c r="M2755" s="46">
        <v>0</v>
      </c>
      <c r="N2755" s="46">
        <v>0</v>
      </c>
      <c r="O2755" s="124">
        <v>17215.95</v>
      </c>
      <c r="P2755" s="102">
        <v>17.215949999999999</v>
      </c>
      <c r="Q2755" s="45" t="s">
        <v>3556</v>
      </c>
    </row>
    <row r="2756" spans="1:17" ht="24" x14ac:dyDescent="0.25">
      <c r="A2756" s="21">
        <v>39448</v>
      </c>
      <c r="B2756" s="21">
        <v>39813</v>
      </c>
      <c r="C2756" s="45">
        <v>2008</v>
      </c>
      <c r="D2756" s="35" t="s">
        <v>28</v>
      </c>
      <c r="E2756" s="30" t="s">
        <v>29</v>
      </c>
      <c r="F2756" s="28" t="s">
        <v>157</v>
      </c>
      <c r="G2756" s="25" t="s">
        <v>2109</v>
      </c>
      <c r="H2756" s="52" t="s">
        <v>4180</v>
      </c>
      <c r="I2756" s="46">
        <v>0</v>
      </c>
      <c r="J2756" s="46">
        <v>0</v>
      </c>
      <c r="K2756" s="46">
        <v>0</v>
      </c>
      <c r="L2756" s="46">
        <v>0</v>
      </c>
      <c r="M2756" s="46">
        <v>0</v>
      </c>
      <c r="N2756" s="46">
        <v>0</v>
      </c>
      <c r="O2756" s="124">
        <v>1722.14</v>
      </c>
      <c r="P2756" s="102">
        <v>1.72214</v>
      </c>
      <c r="Q2756" s="45" t="s">
        <v>3556</v>
      </c>
    </row>
    <row r="2757" spans="1:17" ht="24" x14ac:dyDescent="0.25">
      <c r="A2757" s="21">
        <v>39448</v>
      </c>
      <c r="B2757" s="21">
        <v>39813</v>
      </c>
      <c r="C2757" s="45">
        <v>2008</v>
      </c>
      <c r="D2757" s="35" t="s">
        <v>28</v>
      </c>
      <c r="E2757" s="30" t="s">
        <v>29</v>
      </c>
      <c r="F2757" s="7" t="s">
        <v>49</v>
      </c>
      <c r="G2757" s="25" t="s">
        <v>2109</v>
      </c>
      <c r="H2757" s="52" t="s">
        <v>4181</v>
      </c>
      <c r="I2757" s="46">
        <v>0</v>
      </c>
      <c r="J2757" s="46">
        <v>0</v>
      </c>
      <c r="K2757" s="46">
        <v>0</v>
      </c>
      <c r="L2757" s="46">
        <v>0</v>
      </c>
      <c r="M2757" s="46">
        <v>0</v>
      </c>
      <c r="N2757" s="46">
        <v>0</v>
      </c>
      <c r="O2757" s="124">
        <v>27691</v>
      </c>
      <c r="P2757" s="102">
        <v>27.690999999999999</v>
      </c>
      <c r="Q2757" s="45" t="s">
        <v>3556</v>
      </c>
    </row>
    <row r="2758" spans="1:17" ht="24" x14ac:dyDescent="0.25">
      <c r="A2758" s="21">
        <v>39448</v>
      </c>
      <c r="B2758" s="21">
        <v>39813</v>
      </c>
      <c r="C2758" s="45">
        <v>2008</v>
      </c>
      <c r="D2758" s="35" t="s">
        <v>28</v>
      </c>
      <c r="E2758" s="30" t="s">
        <v>29</v>
      </c>
      <c r="F2758" s="7" t="s">
        <v>56</v>
      </c>
      <c r="G2758" s="25" t="s">
        <v>2109</v>
      </c>
      <c r="H2758" s="52" t="s">
        <v>4182</v>
      </c>
      <c r="I2758" s="46">
        <v>0</v>
      </c>
      <c r="J2758" s="46">
        <v>0</v>
      </c>
      <c r="K2758" s="46">
        <v>0</v>
      </c>
      <c r="L2758" s="46">
        <v>0</v>
      </c>
      <c r="M2758" s="46">
        <v>0</v>
      </c>
      <c r="N2758" s="46">
        <v>0</v>
      </c>
      <c r="O2758" s="124">
        <v>1841</v>
      </c>
      <c r="P2758" s="102">
        <v>1.841</v>
      </c>
      <c r="Q2758" s="45" t="s">
        <v>3556</v>
      </c>
    </row>
    <row r="2759" spans="1:17" ht="24" x14ac:dyDescent="0.25">
      <c r="A2759" s="21">
        <v>39448</v>
      </c>
      <c r="B2759" s="21">
        <v>39813</v>
      </c>
      <c r="C2759" s="45">
        <v>2008</v>
      </c>
      <c r="D2759" s="35" t="s">
        <v>28</v>
      </c>
      <c r="E2759" s="30" t="s">
        <v>29</v>
      </c>
      <c r="F2759" s="7" t="s">
        <v>58</v>
      </c>
      <c r="G2759" s="25" t="s">
        <v>2109</v>
      </c>
      <c r="H2759" s="52" t="s">
        <v>4183</v>
      </c>
      <c r="I2759" s="46">
        <v>0</v>
      </c>
      <c r="J2759" s="46">
        <v>0</v>
      </c>
      <c r="K2759" s="46">
        <v>0</v>
      </c>
      <c r="L2759" s="46">
        <v>0</v>
      </c>
      <c r="M2759" s="46">
        <v>0</v>
      </c>
      <c r="N2759" s="46">
        <v>0</v>
      </c>
      <c r="O2759" s="124">
        <v>13121</v>
      </c>
      <c r="P2759" s="102">
        <v>13.121</v>
      </c>
      <c r="Q2759" s="45" t="s">
        <v>3556</v>
      </c>
    </row>
    <row r="2760" spans="1:17" ht="24" x14ac:dyDescent="0.25">
      <c r="A2760" s="21">
        <v>39448</v>
      </c>
      <c r="B2760" s="21">
        <v>39813</v>
      </c>
      <c r="C2760" s="45">
        <v>2008</v>
      </c>
      <c r="D2760" s="35" t="s">
        <v>28</v>
      </c>
      <c r="E2760" s="30" t="s">
        <v>29</v>
      </c>
      <c r="F2760" s="28" t="s">
        <v>160</v>
      </c>
      <c r="G2760" s="25" t="s">
        <v>2109</v>
      </c>
      <c r="H2760" s="52" t="s">
        <v>4184</v>
      </c>
      <c r="I2760" s="46">
        <v>0</v>
      </c>
      <c r="J2760" s="46">
        <v>0</v>
      </c>
      <c r="K2760" s="46">
        <v>0</v>
      </c>
      <c r="L2760" s="46">
        <v>0</v>
      </c>
      <c r="M2760" s="46">
        <v>0</v>
      </c>
      <c r="N2760" s="46">
        <v>0</v>
      </c>
      <c r="O2760" s="124">
        <v>1228.25</v>
      </c>
      <c r="P2760" s="102">
        <v>1.2282500000000001</v>
      </c>
      <c r="Q2760" s="45" t="s">
        <v>3556</v>
      </c>
    </row>
    <row r="2761" spans="1:17" ht="24" x14ac:dyDescent="0.25">
      <c r="A2761" s="21">
        <v>39448</v>
      </c>
      <c r="B2761" s="21">
        <v>39813</v>
      </c>
      <c r="C2761" s="45">
        <v>2008</v>
      </c>
      <c r="D2761" s="35" t="s">
        <v>28</v>
      </c>
      <c r="E2761" s="30" t="s">
        <v>29</v>
      </c>
      <c r="F2761" s="7" t="s">
        <v>60</v>
      </c>
      <c r="G2761" s="25" t="s">
        <v>2109</v>
      </c>
      <c r="H2761" s="52" t="s">
        <v>4185</v>
      </c>
      <c r="I2761" s="46">
        <v>0</v>
      </c>
      <c r="J2761" s="46">
        <v>0</v>
      </c>
      <c r="K2761" s="46">
        <v>0</v>
      </c>
      <c r="L2761" s="46">
        <v>0</v>
      </c>
      <c r="M2761" s="46">
        <v>0</v>
      </c>
      <c r="N2761" s="46">
        <v>0</v>
      </c>
      <c r="O2761" s="124">
        <v>23770</v>
      </c>
      <c r="P2761" s="102">
        <v>23.77</v>
      </c>
      <c r="Q2761" s="45" t="s">
        <v>3556</v>
      </c>
    </row>
    <row r="2762" spans="1:17" ht="24" x14ac:dyDescent="0.25">
      <c r="A2762" s="21">
        <v>39448</v>
      </c>
      <c r="B2762" s="21">
        <v>39813</v>
      </c>
      <c r="C2762" s="45">
        <v>2008</v>
      </c>
      <c r="D2762" s="35" t="s">
        <v>28</v>
      </c>
      <c r="E2762" s="30" t="s">
        <v>29</v>
      </c>
      <c r="F2762" s="7" t="s">
        <v>53</v>
      </c>
      <c r="G2762" s="25" t="s">
        <v>2109</v>
      </c>
      <c r="H2762" s="52" t="s">
        <v>4186</v>
      </c>
      <c r="I2762" s="46">
        <v>0</v>
      </c>
      <c r="J2762" s="46">
        <v>0</v>
      </c>
      <c r="K2762" s="46">
        <v>0</v>
      </c>
      <c r="L2762" s="46">
        <v>0</v>
      </c>
      <c r="M2762" s="46">
        <v>0</v>
      </c>
      <c r="N2762" s="46">
        <v>0</v>
      </c>
      <c r="O2762" s="124">
        <v>5749.7</v>
      </c>
      <c r="P2762" s="102">
        <v>5.7496999999999998</v>
      </c>
      <c r="Q2762" s="45" t="s">
        <v>3556</v>
      </c>
    </row>
    <row r="2763" spans="1:17" ht="24" x14ac:dyDescent="0.25">
      <c r="A2763" s="21">
        <v>39448</v>
      </c>
      <c r="B2763" s="21">
        <v>39813</v>
      </c>
      <c r="C2763" s="45">
        <v>2008</v>
      </c>
      <c r="D2763" s="35" t="s">
        <v>28</v>
      </c>
      <c r="E2763" s="30" t="s">
        <v>29</v>
      </c>
      <c r="F2763" s="7" t="s">
        <v>62</v>
      </c>
      <c r="G2763" s="25" t="s">
        <v>2109</v>
      </c>
      <c r="H2763" s="52" t="s">
        <v>4187</v>
      </c>
      <c r="I2763" s="46">
        <v>0</v>
      </c>
      <c r="J2763" s="46">
        <v>0</v>
      </c>
      <c r="K2763" s="46">
        <v>0</v>
      </c>
      <c r="L2763" s="46">
        <v>0</v>
      </c>
      <c r="M2763" s="46">
        <v>0</v>
      </c>
      <c r="N2763" s="46">
        <v>0</v>
      </c>
      <c r="O2763" s="124">
        <v>12939.5</v>
      </c>
      <c r="P2763" s="102">
        <v>12.939500000000001</v>
      </c>
      <c r="Q2763" s="45" t="s">
        <v>3556</v>
      </c>
    </row>
    <row r="2764" spans="1:17" ht="24" x14ac:dyDescent="0.25">
      <c r="A2764" s="21">
        <v>39448</v>
      </c>
      <c r="B2764" s="21">
        <v>39813</v>
      </c>
      <c r="C2764" s="45">
        <v>2008</v>
      </c>
      <c r="D2764" s="35" t="s">
        <v>28</v>
      </c>
      <c r="E2764" s="30" t="s">
        <v>29</v>
      </c>
      <c r="F2764" s="7" t="s">
        <v>65</v>
      </c>
      <c r="G2764" s="25" t="s">
        <v>2109</v>
      </c>
      <c r="H2764" s="52" t="s">
        <v>4188</v>
      </c>
      <c r="I2764" s="46">
        <v>0</v>
      </c>
      <c r="J2764" s="46">
        <v>0</v>
      </c>
      <c r="K2764" s="46">
        <v>0</v>
      </c>
      <c r="L2764" s="46">
        <v>0</v>
      </c>
      <c r="M2764" s="46">
        <v>0</v>
      </c>
      <c r="N2764" s="46">
        <v>0</v>
      </c>
      <c r="O2764" s="124">
        <v>847.45</v>
      </c>
      <c r="P2764" s="102">
        <v>0.84745000000000004</v>
      </c>
      <c r="Q2764" s="45" t="s">
        <v>3556</v>
      </c>
    </row>
    <row r="2765" spans="1:17" ht="24" x14ac:dyDescent="0.25">
      <c r="A2765" s="21">
        <v>39448</v>
      </c>
      <c r="B2765" s="21">
        <v>39813</v>
      </c>
      <c r="C2765" s="45">
        <v>2008</v>
      </c>
      <c r="D2765" s="35" t="s">
        <v>28</v>
      </c>
      <c r="E2765" s="30" t="s">
        <v>29</v>
      </c>
      <c r="F2765" s="7" t="s">
        <v>67</v>
      </c>
      <c r="G2765" s="25" t="s">
        <v>2109</v>
      </c>
      <c r="H2765" s="52" t="s">
        <v>4189</v>
      </c>
      <c r="I2765" s="46">
        <v>0</v>
      </c>
      <c r="J2765" s="46">
        <v>0</v>
      </c>
      <c r="K2765" s="46">
        <v>0</v>
      </c>
      <c r="L2765" s="46">
        <v>0</v>
      </c>
      <c r="M2765" s="46">
        <v>0</v>
      </c>
      <c r="N2765" s="46">
        <v>0</v>
      </c>
      <c r="O2765" s="124">
        <v>6324</v>
      </c>
      <c r="P2765" s="102">
        <v>6.3239999999999998</v>
      </c>
      <c r="Q2765" s="45" t="s">
        <v>3556</v>
      </c>
    </row>
    <row r="2766" spans="1:17" ht="24" x14ac:dyDescent="0.25">
      <c r="A2766" s="21">
        <v>39448</v>
      </c>
      <c r="B2766" s="21">
        <v>39813</v>
      </c>
      <c r="C2766" s="45">
        <v>2008</v>
      </c>
      <c r="D2766" s="35" t="s">
        <v>28</v>
      </c>
      <c r="E2766" s="30" t="s">
        <v>29</v>
      </c>
      <c r="F2766" s="7" t="s">
        <v>68</v>
      </c>
      <c r="G2766" s="25" t="s">
        <v>2109</v>
      </c>
      <c r="H2766" s="52" t="s">
        <v>4190</v>
      </c>
      <c r="I2766" s="46">
        <v>0</v>
      </c>
      <c r="J2766" s="46">
        <v>0</v>
      </c>
      <c r="K2766" s="46">
        <v>0</v>
      </c>
      <c r="L2766" s="46">
        <v>0</v>
      </c>
      <c r="M2766" s="46">
        <v>0</v>
      </c>
      <c r="N2766" s="46">
        <v>0</v>
      </c>
      <c r="O2766" s="124">
        <v>4904.6400000000003</v>
      </c>
      <c r="P2766" s="102">
        <v>4.9046399999999997</v>
      </c>
      <c r="Q2766" s="45" t="s">
        <v>3556</v>
      </c>
    </row>
    <row r="2767" spans="1:17" ht="24" x14ac:dyDescent="0.25">
      <c r="A2767" s="21">
        <v>39448</v>
      </c>
      <c r="B2767" s="21">
        <v>39813</v>
      </c>
      <c r="C2767" s="45">
        <v>2008</v>
      </c>
      <c r="D2767" s="35" t="s">
        <v>28</v>
      </c>
      <c r="E2767" s="30" t="s">
        <v>29</v>
      </c>
      <c r="F2767" s="7" t="s">
        <v>72</v>
      </c>
      <c r="G2767" s="25" t="s">
        <v>2109</v>
      </c>
      <c r="H2767" s="52" t="s">
        <v>4184</v>
      </c>
      <c r="I2767" s="46">
        <v>0</v>
      </c>
      <c r="J2767" s="46">
        <v>0</v>
      </c>
      <c r="K2767" s="46">
        <v>0</v>
      </c>
      <c r="L2767" s="46">
        <v>0</v>
      </c>
      <c r="M2767" s="46">
        <v>0</v>
      </c>
      <c r="N2767" s="46">
        <v>0</v>
      </c>
      <c r="O2767" s="124">
        <v>14677</v>
      </c>
      <c r="P2767" s="102">
        <v>14.677</v>
      </c>
      <c r="Q2767" s="45" t="s">
        <v>3556</v>
      </c>
    </row>
    <row r="2768" spans="1:17" ht="24" x14ac:dyDescent="0.25">
      <c r="A2768" s="21">
        <v>39448</v>
      </c>
      <c r="B2768" s="21">
        <v>39813</v>
      </c>
      <c r="C2768" s="45">
        <v>2008</v>
      </c>
      <c r="D2768" s="35" t="s">
        <v>28</v>
      </c>
      <c r="E2768" s="30" t="s">
        <v>29</v>
      </c>
      <c r="F2768" s="7" t="s">
        <v>75</v>
      </c>
      <c r="G2768" s="25" t="s">
        <v>2109</v>
      </c>
      <c r="H2768" s="52" t="s">
        <v>4191</v>
      </c>
      <c r="I2768" s="46">
        <v>0</v>
      </c>
      <c r="J2768" s="46">
        <v>0</v>
      </c>
      <c r="K2768" s="46">
        <v>0</v>
      </c>
      <c r="L2768" s="46">
        <v>0</v>
      </c>
      <c r="M2768" s="46">
        <v>0</v>
      </c>
      <c r="N2768" s="46">
        <v>0</v>
      </c>
      <c r="O2768" s="124">
        <v>2079</v>
      </c>
      <c r="P2768" s="102">
        <v>2.0790000000000002</v>
      </c>
      <c r="Q2768" s="45" t="s">
        <v>3556</v>
      </c>
    </row>
    <row r="2769" spans="1:17" ht="24" x14ac:dyDescent="0.25">
      <c r="A2769" s="21">
        <v>39448</v>
      </c>
      <c r="B2769" s="21">
        <v>39813</v>
      </c>
      <c r="C2769" s="45">
        <v>2008</v>
      </c>
      <c r="D2769" s="35" t="s">
        <v>28</v>
      </c>
      <c r="E2769" s="30" t="s">
        <v>29</v>
      </c>
      <c r="F2769" s="7" t="s">
        <v>77</v>
      </c>
      <c r="G2769" s="25" t="s">
        <v>2109</v>
      </c>
      <c r="H2769" s="52" t="s">
        <v>4192</v>
      </c>
      <c r="I2769" s="46">
        <v>0</v>
      </c>
      <c r="J2769" s="46">
        <v>0</v>
      </c>
      <c r="K2769" s="46">
        <v>0</v>
      </c>
      <c r="L2769" s="46">
        <v>0</v>
      </c>
      <c r="M2769" s="46">
        <v>0</v>
      </c>
      <c r="N2769" s="46">
        <v>0</v>
      </c>
      <c r="O2769" s="124">
        <v>2786.25</v>
      </c>
      <c r="P2769" s="102">
        <v>2.7862499999999999</v>
      </c>
      <c r="Q2769" s="45" t="s">
        <v>3556</v>
      </c>
    </row>
    <row r="2770" spans="1:17" ht="24" x14ac:dyDescent="0.25">
      <c r="A2770" s="21">
        <v>39448</v>
      </c>
      <c r="B2770" s="21">
        <v>39813</v>
      </c>
      <c r="C2770" s="45">
        <v>2008</v>
      </c>
      <c r="D2770" s="35" t="s">
        <v>28</v>
      </c>
      <c r="E2770" s="30" t="s">
        <v>29</v>
      </c>
      <c r="F2770" s="7" t="s">
        <v>80</v>
      </c>
      <c r="G2770" s="25" t="s">
        <v>2109</v>
      </c>
      <c r="H2770" s="52" t="s">
        <v>4193</v>
      </c>
      <c r="I2770" s="46">
        <v>0</v>
      </c>
      <c r="J2770" s="46">
        <v>0</v>
      </c>
      <c r="K2770" s="46">
        <v>0</v>
      </c>
      <c r="L2770" s="46">
        <v>0</v>
      </c>
      <c r="M2770" s="46">
        <v>0</v>
      </c>
      <c r="N2770" s="46">
        <v>0</v>
      </c>
      <c r="O2770" s="124">
        <v>17830</v>
      </c>
      <c r="P2770" s="102">
        <v>17.829999999999998</v>
      </c>
      <c r="Q2770" s="45" t="s">
        <v>3556</v>
      </c>
    </row>
    <row r="2771" spans="1:17" ht="24" x14ac:dyDescent="0.25">
      <c r="A2771" s="21">
        <v>39448</v>
      </c>
      <c r="B2771" s="21">
        <v>39813</v>
      </c>
      <c r="C2771" s="45">
        <v>2008</v>
      </c>
      <c r="D2771" s="35" t="s">
        <v>28</v>
      </c>
      <c r="E2771" s="30" t="s">
        <v>29</v>
      </c>
      <c r="F2771" s="7" t="s">
        <v>82</v>
      </c>
      <c r="G2771" s="25" t="s">
        <v>2109</v>
      </c>
      <c r="H2771" s="52" t="s">
        <v>4194</v>
      </c>
      <c r="I2771" s="46">
        <v>0</v>
      </c>
      <c r="J2771" s="46">
        <v>0</v>
      </c>
      <c r="K2771" s="46">
        <v>0</v>
      </c>
      <c r="L2771" s="46">
        <v>0</v>
      </c>
      <c r="M2771" s="46">
        <v>0</v>
      </c>
      <c r="N2771" s="46">
        <v>0</v>
      </c>
      <c r="O2771" s="124">
        <v>3547</v>
      </c>
      <c r="P2771" s="102">
        <v>3.5470000000000002</v>
      </c>
      <c r="Q2771" s="45" t="s">
        <v>3556</v>
      </c>
    </row>
    <row r="2772" spans="1:17" ht="24" x14ac:dyDescent="0.25">
      <c r="A2772" s="21">
        <v>39448</v>
      </c>
      <c r="B2772" s="21">
        <v>39813</v>
      </c>
      <c r="C2772" s="45">
        <v>2008</v>
      </c>
      <c r="D2772" s="35" t="s">
        <v>28</v>
      </c>
      <c r="E2772" s="30" t="s">
        <v>29</v>
      </c>
      <c r="F2772" s="7" t="s">
        <v>84</v>
      </c>
      <c r="G2772" s="25" t="s">
        <v>2109</v>
      </c>
      <c r="H2772" s="52" t="s">
        <v>4195</v>
      </c>
      <c r="I2772" s="46">
        <v>0</v>
      </c>
      <c r="J2772" s="46">
        <v>0</v>
      </c>
      <c r="K2772" s="46">
        <v>0</v>
      </c>
      <c r="L2772" s="46">
        <v>0</v>
      </c>
      <c r="M2772" s="46">
        <v>0</v>
      </c>
      <c r="N2772" s="46">
        <v>0</v>
      </c>
      <c r="O2772" s="124">
        <v>3749</v>
      </c>
      <c r="P2772" s="102">
        <v>3.7490000000000001</v>
      </c>
      <c r="Q2772" s="45" t="s">
        <v>3556</v>
      </c>
    </row>
    <row r="2773" spans="1:17" ht="24" x14ac:dyDescent="0.25">
      <c r="A2773" s="21">
        <v>39448</v>
      </c>
      <c r="B2773" s="21">
        <v>39813</v>
      </c>
      <c r="C2773" s="45">
        <v>2008</v>
      </c>
      <c r="D2773" s="35" t="s">
        <v>28</v>
      </c>
      <c r="E2773" s="30" t="s">
        <v>29</v>
      </c>
      <c r="F2773" s="7" t="s">
        <v>87</v>
      </c>
      <c r="G2773" s="25" t="s">
        <v>2109</v>
      </c>
      <c r="H2773" s="52" t="s">
        <v>4182</v>
      </c>
      <c r="I2773" s="46">
        <v>0</v>
      </c>
      <c r="J2773" s="46">
        <v>0</v>
      </c>
      <c r="K2773" s="46">
        <v>0</v>
      </c>
      <c r="L2773" s="46">
        <v>0</v>
      </c>
      <c r="M2773" s="46">
        <v>0</v>
      </c>
      <c r="N2773" s="46">
        <v>0</v>
      </c>
      <c r="O2773" s="124">
        <v>6616</v>
      </c>
      <c r="P2773" s="102">
        <v>6.6159999999999997</v>
      </c>
      <c r="Q2773" s="45" t="s">
        <v>3556</v>
      </c>
    </row>
    <row r="2774" spans="1:17" ht="24" x14ac:dyDescent="0.25">
      <c r="A2774" s="21">
        <v>39448</v>
      </c>
      <c r="B2774" s="21">
        <v>39813</v>
      </c>
      <c r="C2774" s="45">
        <v>2008</v>
      </c>
      <c r="D2774" s="35" t="s">
        <v>28</v>
      </c>
      <c r="E2774" s="30" t="s">
        <v>29</v>
      </c>
      <c r="F2774" s="25" t="s">
        <v>781</v>
      </c>
      <c r="G2774" s="25" t="s">
        <v>2109</v>
      </c>
      <c r="H2774" s="52" t="s">
        <v>4196</v>
      </c>
      <c r="I2774" s="46">
        <v>0</v>
      </c>
      <c r="J2774" s="46">
        <v>0</v>
      </c>
      <c r="K2774" s="46">
        <v>0</v>
      </c>
      <c r="L2774" s="46">
        <v>0</v>
      </c>
      <c r="M2774" s="46">
        <v>0</v>
      </c>
      <c r="N2774" s="46">
        <v>0</v>
      </c>
      <c r="O2774" s="124">
        <v>1029.74</v>
      </c>
      <c r="P2774" s="102">
        <v>1.0297400000000001</v>
      </c>
      <c r="Q2774" s="45" t="s">
        <v>3556</v>
      </c>
    </row>
    <row r="2775" spans="1:17" ht="24" x14ac:dyDescent="0.25">
      <c r="A2775" s="21">
        <v>39448</v>
      </c>
      <c r="B2775" s="21">
        <v>39813</v>
      </c>
      <c r="C2775" s="45">
        <v>2008</v>
      </c>
      <c r="D2775" s="35" t="s">
        <v>28</v>
      </c>
      <c r="E2775" s="30" t="s">
        <v>29</v>
      </c>
      <c r="F2775" s="7" t="s">
        <v>91</v>
      </c>
      <c r="G2775" s="25" t="s">
        <v>2109</v>
      </c>
      <c r="H2775" s="52" t="s">
        <v>4197</v>
      </c>
      <c r="I2775" s="46">
        <v>0</v>
      </c>
      <c r="J2775" s="46">
        <v>0</v>
      </c>
      <c r="K2775" s="46">
        <v>0</v>
      </c>
      <c r="L2775" s="46">
        <v>0</v>
      </c>
      <c r="M2775" s="46">
        <v>0</v>
      </c>
      <c r="N2775" s="46">
        <v>0</v>
      </c>
      <c r="O2775" s="124">
        <v>1181.5</v>
      </c>
      <c r="P2775" s="102">
        <v>1.1815</v>
      </c>
      <c r="Q2775" s="45" t="s">
        <v>3556</v>
      </c>
    </row>
    <row r="2776" spans="1:17" ht="24" x14ac:dyDescent="0.25">
      <c r="A2776" s="21">
        <v>39448</v>
      </c>
      <c r="B2776" s="21">
        <v>39813</v>
      </c>
      <c r="C2776" s="45">
        <v>2008</v>
      </c>
      <c r="D2776" s="35" t="s">
        <v>28</v>
      </c>
      <c r="E2776" s="30" t="s">
        <v>29</v>
      </c>
      <c r="F2776" s="7" t="s">
        <v>97</v>
      </c>
      <c r="G2776" s="25" t="s">
        <v>2109</v>
      </c>
      <c r="H2776" s="52" t="s">
        <v>4198</v>
      </c>
      <c r="I2776" s="46">
        <v>0</v>
      </c>
      <c r="J2776" s="46">
        <v>0</v>
      </c>
      <c r="K2776" s="46">
        <v>0</v>
      </c>
      <c r="L2776" s="46">
        <v>0</v>
      </c>
      <c r="M2776" s="46">
        <v>0</v>
      </c>
      <c r="N2776" s="46">
        <v>0</v>
      </c>
      <c r="O2776" s="124">
        <v>619.25</v>
      </c>
      <c r="P2776" s="102">
        <v>0.61924999999999997</v>
      </c>
      <c r="Q2776" s="45" t="s">
        <v>3556</v>
      </c>
    </row>
    <row r="2777" spans="1:17" ht="24" x14ac:dyDescent="0.25">
      <c r="A2777" s="21">
        <v>39448</v>
      </c>
      <c r="B2777" s="21">
        <v>39813</v>
      </c>
      <c r="C2777" s="45">
        <v>2008</v>
      </c>
      <c r="D2777" s="35" t="s">
        <v>28</v>
      </c>
      <c r="E2777" s="30" t="s">
        <v>29</v>
      </c>
      <c r="F2777" s="28" t="s">
        <v>210</v>
      </c>
      <c r="G2777" s="25" t="s">
        <v>2109</v>
      </c>
      <c r="H2777" s="52" t="s">
        <v>4199</v>
      </c>
      <c r="I2777" s="46">
        <v>0</v>
      </c>
      <c r="J2777" s="46">
        <v>0</v>
      </c>
      <c r="K2777" s="46">
        <v>0</v>
      </c>
      <c r="L2777" s="46">
        <v>0</v>
      </c>
      <c r="M2777" s="46">
        <v>0</v>
      </c>
      <c r="N2777" s="46">
        <v>0</v>
      </c>
      <c r="O2777" s="124">
        <v>1734.42</v>
      </c>
      <c r="P2777" s="102">
        <v>1.7344200000000001</v>
      </c>
      <c r="Q2777" s="45" t="s">
        <v>3556</v>
      </c>
    </row>
    <row r="2778" spans="1:17" ht="24" x14ac:dyDescent="0.25">
      <c r="A2778" s="21">
        <v>39448</v>
      </c>
      <c r="B2778" s="21">
        <v>39813</v>
      </c>
      <c r="C2778" s="45">
        <v>2008</v>
      </c>
      <c r="D2778" s="35" t="s">
        <v>28</v>
      </c>
      <c r="E2778" s="30" t="s">
        <v>29</v>
      </c>
      <c r="F2778" s="28" t="s">
        <v>163</v>
      </c>
      <c r="G2778" s="25" t="s">
        <v>2109</v>
      </c>
      <c r="H2778" s="52" t="s">
        <v>4200</v>
      </c>
      <c r="I2778" s="46">
        <v>0</v>
      </c>
      <c r="J2778" s="46">
        <v>0</v>
      </c>
      <c r="K2778" s="46">
        <v>0</v>
      </c>
      <c r="L2778" s="46">
        <v>0</v>
      </c>
      <c r="M2778" s="46">
        <v>0</v>
      </c>
      <c r="N2778" s="46">
        <v>0</v>
      </c>
      <c r="O2778" s="124">
        <v>5592.4</v>
      </c>
      <c r="P2778" s="102">
        <v>5.5923999999999996</v>
      </c>
      <c r="Q2778" s="45" t="s">
        <v>3556</v>
      </c>
    </row>
    <row r="2779" spans="1:17" ht="24" x14ac:dyDescent="0.25">
      <c r="A2779" s="21">
        <v>39448</v>
      </c>
      <c r="B2779" s="21">
        <v>39813</v>
      </c>
      <c r="C2779" s="45">
        <v>2008</v>
      </c>
      <c r="D2779" s="35" t="s">
        <v>28</v>
      </c>
      <c r="E2779" s="30" t="s">
        <v>29</v>
      </c>
      <c r="F2779" s="7" t="s">
        <v>101</v>
      </c>
      <c r="G2779" s="25" t="s">
        <v>2109</v>
      </c>
      <c r="H2779" s="52" t="s">
        <v>4201</v>
      </c>
      <c r="I2779" s="46">
        <v>0</v>
      </c>
      <c r="J2779" s="46">
        <v>0</v>
      </c>
      <c r="K2779" s="46">
        <v>0</v>
      </c>
      <c r="L2779" s="46">
        <v>0</v>
      </c>
      <c r="M2779" s="46">
        <v>0</v>
      </c>
      <c r="N2779" s="46">
        <v>0</v>
      </c>
      <c r="O2779" s="124">
        <v>1191.5</v>
      </c>
      <c r="P2779" s="102">
        <v>1.1915</v>
      </c>
      <c r="Q2779" s="45" t="s">
        <v>3556</v>
      </c>
    </row>
    <row r="2780" spans="1:17" ht="96" x14ac:dyDescent="0.25">
      <c r="A2780" s="21">
        <v>39449</v>
      </c>
      <c r="B2780" s="21">
        <v>39449</v>
      </c>
      <c r="C2780" s="45">
        <v>2008</v>
      </c>
      <c r="D2780" s="35" t="s">
        <v>28</v>
      </c>
      <c r="E2780" s="30" t="s">
        <v>149</v>
      </c>
      <c r="F2780" s="28" t="s">
        <v>163</v>
      </c>
      <c r="G2780" s="25" t="s">
        <v>4202</v>
      </c>
      <c r="H2780" s="25" t="s">
        <v>4203</v>
      </c>
      <c r="I2780" s="46">
        <v>0</v>
      </c>
      <c r="J2780" s="46">
        <v>6</v>
      </c>
      <c r="K2780" s="46">
        <v>0</v>
      </c>
      <c r="L2780" s="46">
        <v>0</v>
      </c>
      <c r="M2780" s="46">
        <v>0</v>
      </c>
      <c r="N2780" s="46">
        <v>0</v>
      </c>
      <c r="O2780" s="124">
        <v>0</v>
      </c>
      <c r="P2780" s="128" t="s">
        <v>110</v>
      </c>
      <c r="Q2780" s="45" t="s">
        <v>154</v>
      </c>
    </row>
    <row r="2781" spans="1:17" ht="48" x14ac:dyDescent="0.25">
      <c r="A2781" s="21">
        <v>39476</v>
      </c>
      <c r="B2781" s="21">
        <v>39476</v>
      </c>
      <c r="C2781" s="45">
        <v>2008</v>
      </c>
      <c r="D2781" s="35" t="s">
        <v>28</v>
      </c>
      <c r="E2781" s="30" t="s">
        <v>149</v>
      </c>
      <c r="F2781" s="7" t="s">
        <v>56</v>
      </c>
      <c r="G2781" s="25" t="s">
        <v>1160</v>
      </c>
      <c r="H2781" s="29" t="s">
        <v>4204</v>
      </c>
      <c r="I2781" s="46">
        <v>0</v>
      </c>
      <c r="J2781" s="46">
        <v>150</v>
      </c>
      <c r="K2781" s="46">
        <v>0</v>
      </c>
      <c r="L2781" s="46">
        <v>0</v>
      </c>
      <c r="M2781" s="46">
        <v>0</v>
      </c>
      <c r="N2781" s="46">
        <v>0</v>
      </c>
      <c r="O2781" s="124">
        <v>0</v>
      </c>
      <c r="P2781" s="128" t="s">
        <v>110</v>
      </c>
      <c r="Q2781" s="45" t="s">
        <v>154</v>
      </c>
    </row>
    <row r="2782" spans="1:17" ht="36" x14ac:dyDescent="0.25">
      <c r="A2782" s="21">
        <v>39477</v>
      </c>
      <c r="B2782" s="21">
        <v>39477</v>
      </c>
      <c r="C2782" s="45">
        <v>2008</v>
      </c>
      <c r="D2782" s="35" t="s">
        <v>28</v>
      </c>
      <c r="E2782" s="30" t="s">
        <v>149</v>
      </c>
      <c r="F2782" s="7" t="s">
        <v>56</v>
      </c>
      <c r="G2782" s="25" t="s">
        <v>1933</v>
      </c>
      <c r="H2782" s="25" t="s">
        <v>4205</v>
      </c>
      <c r="I2782" s="46">
        <v>0</v>
      </c>
      <c r="J2782" s="46">
        <v>1</v>
      </c>
      <c r="K2782" s="46">
        <v>0</v>
      </c>
      <c r="L2782" s="46">
        <v>0</v>
      </c>
      <c r="M2782" s="46">
        <v>0</v>
      </c>
      <c r="N2782" s="46">
        <v>0</v>
      </c>
      <c r="O2782" s="124">
        <v>0</v>
      </c>
      <c r="P2782" s="102">
        <v>0.45</v>
      </c>
      <c r="Q2782" s="45" t="s">
        <v>154</v>
      </c>
    </row>
    <row r="2783" spans="1:17" ht="48" x14ac:dyDescent="0.25">
      <c r="A2783" s="21">
        <v>39483</v>
      </c>
      <c r="B2783" s="21">
        <v>39483</v>
      </c>
      <c r="C2783" s="45">
        <v>2008</v>
      </c>
      <c r="D2783" s="35" t="s">
        <v>28</v>
      </c>
      <c r="E2783" s="30" t="s">
        <v>149</v>
      </c>
      <c r="F2783" s="28" t="s">
        <v>157</v>
      </c>
      <c r="G2783" s="25" t="s">
        <v>1062</v>
      </c>
      <c r="H2783" s="25" t="s">
        <v>4206</v>
      </c>
      <c r="I2783" s="46">
        <v>0</v>
      </c>
      <c r="J2783" s="46">
        <v>1</v>
      </c>
      <c r="K2783" s="46">
        <v>0</v>
      </c>
      <c r="L2783" s="46">
        <v>0</v>
      </c>
      <c r="M2783" s="46">
        <v>0</v>
      </c>
      <c r="N2783" s="46">
        <v>0</v>
      </c>
      <c r="O2783" s="124">
        <v>0</v>
      </c>
      <c r="P2783" s="102">
        <v>4.4999999999999998E-2</v>
      </c>
      <c r="Q2783" s="45" t="s">
        <v>154</v>
      </c>
    </row>
    <row r="2784" spans="1:17" ht="60" x14ac:dyDescent="0.25">
      <c r="A2784" s="21">
        <v>39488</v>
      </c>
      <c r="B2784" s="21">
        <v>39488</v>
      </c>
      <c r="C2784" s="45">
        <v>2008</v>
      </c>
      <c r="D2784" s="35" t="s">
        <v>28</v>
      </c>
      <c r="E2784" s="30" t="s">
        <v>149</v>
      </c>
      <c r="F2784" s="7" t="s">
        <v>53</v>
      </c>
      <c r="G2784" s="25" t="s">
        <v>1502</v>
      </c>
      <c r="H2784" s="25" t="s">
        <v>4207</v>
      </c>
      <c r="I2784" s="46">
        <v>0</v>
      </c>
      <c r="J2784" s="46">
        <v>12</v>
      </c>
      <c r="K2784" s="46">
        <v>0</v>
      </c>
      <c r="L2784" s="46">
        <v>0</v>
      </c>
      <c r="M2784" s="46">
        <v>0</v>
      </c>
      <c r="N2784" s="46">
        <v>0</v>
      </c>
      <c r="O2784" s="124">
        <v>0</v>
      </c>
      <c r="P2784" s="128" t="s">
        <v>110</v>
      </c>
      <c r="Q2784" s="45" t="s">
        <v>154</v>
      </c>
    </row>
    <row r="2785" spans="1:17" ht="60" x14ac:dyDescent="0.25">
      <c r="A2785" s="21">
        <v>39492</v>
      </c>
      <c r="B2785" s="21">
        <v>39492</v>
      </c>
      <c r="C2785" s="45">
        <v>2008</v>
      </c>
      <c r="D2785" s="35" t="s">
        <v>28</v>
      </c>
      <c r="E2785" s="30" t="s">
        <v>149</v>
      </c>
      <c r="F2785" s="7" t="s">
        <v>60</v>
      </c>
      <c r="G2785" s="25" t="s">
        <v>4208</v>
      </c>
      <c r="H2785" s="25" t="s">
        <v>4209</v>
      </c>
      <c r="I2785" s="46">
        <v>0</v>
      </c>
      <c r="J2785" s="46">
        <v>0</v>
      </c>
      <c r="K2785" s="46">
        <v>0</v>
      </c>
      <c r="L2785" s="46">
        <v>0</v>
      </c>
      <c r="M2785" s="46">
        <v>0</v>
      </c>
      <c r="N2785" s="46">
        <v>0</v>
      </c>
      <c r="O2785" s="124">
        <v>0</v>
      </c>
      <c r="P2785" s="128" t="s">
        <v>110</v>
      </c>
      <c r="Q2785" s="45" t="s">
        <v>154</v>
      </c>
    </row>
    <row r="2786" spans="1:17" ht="24" x14ac:dyDescent="0.25">
      <c r="A2786" s="21">
        <v>39505</v>
      </c>
      <c r="B2786" s="21">
        <v>39505</v>
      </c>
      <c r="C2786" s="45">
        <v>2008</v>
      </c>
      <c r="D2786" s="35" t="s">
        <v>28</v>
      </c>
      <c r="E2786" s="30" t="s">
        <v>149</v>
      </c>
      <c r="F2786" s="7" t="s">
        <v>36</v>
      </c>
      <c r="G2786" s="25" t="s">
        <v>4210</v>
      </c>
      <c r="H2786" s="25" t="s">
        <v>4211</v>
      </c>
      <c r="I2786" s="46">
        <v>0</v>
      </c>
      <c r="J2786" s="46">
        <v>4</v>
      </c>
      <c r="K2786" s="46">
        <v>1</v>
      </c>
      <c r="L2786" s="46">
        <v>0</v>
      </c>
      <c r="M2786" s="46">
        <v>0</v>
      </c>
      <c r="N2786" s="46">
        <v>0</v>
      </c>
      <c r="O2786" s="124">
        <v>0</v>
      </c>
      <c r="P2786" s="102">
        <v>4.1699E-2</v>
      </c>
      <c r="Q2786" s="45" t="s">
        <v>154</v>
      </c>
    </row>
    <row r="2787" spans="1:17" ht="48" x14ac:dyDescent="0.25">
      <c r="A2787" s="21">
        <v>39526</v>
      </c>
      <c r="B2787" s="21">
        <v>39526</v>
      </c>
      <c r="C2787" s="45">
        <v>2008</v>
      </c>
      <c r="D2787" s="35" t="s">
        <v>28</v>
      </c>
      <c r="E2787" s="30" t="s">
        <v>149</v>
      </c>
      <c r="F2787" s="7" t="s">
        <v>68</v>
      </c>
      <c r="G2787" s="25" t="s">
        <v>752</v>
      </c>
      <c r="H2787" s="25" t="s">
        <v>4212</v>
      </c>
      <c r="I2787" s="46">
        <v>0</v>
      </c>
      <c r="J2787" s="46">
        <v>344</v>
      </c>
      <c r="K2787" s="46">
        <v>0</v>
      </c>
      <c r="L2787" s="46">
        <v>0</v>
      </c>
      <c r="M2787" s="46">
        <v>0</v>
      </c>
      <c r="N2787" s="46">
        <v>0</v>
      </c>
      <c r="O2787" s="124">
        <v>0</v>
      </c>
      <c r="P2787" s="128" t="s">
        <v>110</v>
      </c>
      <c r="Q2787" s="45" t="s">
        <v>154</v>
      </c>
    </row>
    <row r="2788" spans="1:17" ht="48" x14ac:dyDescent="0.25">
      <c r="A2788" s="21">
        <v>39537</v>
      </c>
      <c r="B2788" s="21">
        <v>39537</v>
      </c>
      <c r="C2788" s="45">
        <v>2008</v>
      </c>
      <c r="D2788" s="35" t="s">
        <v>28</v>
      </c>
      <c r="E2788" s="30" t="s">
        <v>149</v>
      </c>
      <c r="F2788" s="7" t="s">
        <v>56</v>
      </c>
      <c r="G2788" s="25" t="s">
        <v>4213</v>
      </c>
      <c r="H2788" s="25" t="s">
        <v>4214</v>
      </c>
      <c r="I2788" s="46">
        <v>0</v>
      </c>
      <c r="J2788" s="46">
        <v>7</v>
      </c>
      <c r="K2788" s="46">
        <v>0</v>
      </c>
      <c r="L2788" s="46">
        <v>0</v>
      </c>
      <c r="M2788" s="46">
        <v>0</v>
      </c>
      <c r="N2788" s="46">
        <v>0</v>
      </c>
      <c r="O2788" s="124">
        <v>0</v>
      </c>
      <c r="P2788" s="128" t="s">
        <v>110</v>
      </c>
      <c r="Q2788" s="45" t="s">
        <v>154</v>
      </c>
    </row>
    <row r="2789" spans="1:17" ht="36" x14ac:dyDescent="0.25">
      <c r="A2789" s="21">
        <v>39539</v>
      </c>
      <c r="B2789" s="21">
        <v>39539</v>
      </c>
      <c r="C2789" s="45">
        <v>2008</v>
      </c>
      <c r="D2789" s="35" t="s">
        <v>28</v>
      </c>
      <c r="E2789" s="30" t="s">
        <v>149</v>
      </c>
      <c r="F2789" s="7" t="s">
        <v>56</v>
      </c>
      <c r="G2789" s="25" t="s">
        <v>2281</v>
      </c>
      <c r="H2789" s="25" t="s">
        <v>4215</v>
      </c>
      <c r="I2789" s="46">
        <v>3</v>
      </c>
      <c r="J2789" s="46">
        <v>3</v>
      </c>
      <c r="K2789" s="46">
        <v>0</v>
      </c>
      <c r="L2789" s="46">
        <v>0</v>
      </c>
      <c r="M2789" s="46">
        <v>0</v>
      </c>
      <c r="N2789" s="46">
        <v>0</v>
      </c>
      <c r="O2789" s="124">
        <v>0</v>
      </c>
      <c r="P2789" s="102">
        <v>0.34499999999999997</v>
      </c>
      <c r="Q2789" s="45" t="s">
        <v>154</v>
      </c>
    </row>
    <row r="2790" spans="1:17" ht="48" x14ac:dyDescent="0.25">
      <c r="A2790" s="21">
        <v>39544</v>
      </c>
      <c r="B2790" s="21">
        <v>39544</v>
      </c>
      <c r="C2790" s="45">
        <v>2008</v>
      </c>
      <c r="D2790" s="35" t="s">
        <v>28</v>
      </c>
      <c r="E2790" s="30" t="s">
        <v>149</v>
      </c>
      <c r="F2790" s="7" t="s">
        <v>53</v>
      </c>
      <c r="G2790" s="25" t="s">
        <v>1304</v>
      </c>
      <c r="H2790" s="25" t="s">
        <v>4216</v>
      </c>
      <c r="I2790" s="46">
        <v>0</v>
      </c>
      <c r="J2790" s="46">
        <v>0</v>
      </c>
      <c r="K2790" s="46">
        <v>0</v>
      </c>
      <c r="L2790" s="46">
        <v>0</v>
      </c>
      <c r="M2790" s="46">
        <v>0</v>
      </c>
      <c r="N2790" s="46">
        <v>0</v>
      </c>
      <c r="O2790" s="124">
        <v>0</v>
      </c>
      <c r="P2790" s="128" t="s">
        <v>110</v>
      </c>
      <c r="Q2790" s="45" t="s">
        <v>154</v>
      </c>
    </row>
    <row r="2791" spans="1:17" ht="48" x14ac:dyDescent="0.25">
      <c r="A2791" s="21">
        <v>39547</v>
      </c>
      <c r="B2791" s="21">
        <v>39547</v>
      </c>
      <c r="C2791" s="45">
        <v>2008</v>
      </c>
      <c r="D2791" s="35" t="s">
        <v>28</v>
      </c>
      <c r="E2791" s="30" t="s">
        <v>149</v>
      </c>
      <c r="F2791" s="28" t="s">
        <v>157</v>
      </c>
      <c r="G2791" s="25" t="s">
        <v>1062</v>
      </c>
      <c r="H2791" s="25" t="s">
        <v>4217</v>
      </c>
      <c r="I2791" s="46">
        <v>0</v>
      </c>
      <c r="J2791" s="46">
        <v>0</v>
      </c>
      <c r="K2791" s="46">
        <v>0</v>
      </c>
      <c r="L2791" s="46">
        <v>0</v>
      </c>
      <c r="M2791" s="46">
        <v>0</v>
      </c>
      <c r="N2791" s="46">
        <v>0</v>
      </c>
      <c r="O2791" s="124">
        <v>0</v>
      </c>
      <c r="P2791" s="128" t="s">
        <v>110</v>
      </c>
      <c r="Q2791" s="45" t="s">
        <v>154</v>
      </c>
    </row>
    <row r="2792" spans="1:17" ht="24" x14ac:dyDescent="0.25">
      <c r="A2792" s="21">
        <v>39548</v>
      </c>
      <c r="B2792" s="21">
        <v>39548</v>
      </c>
      <c r="C2792" s="45">
        <v>2008</v>
      </c>
      <c r="D2792" s="35" t="s">
        <v>28</v>
      </c>
      <c r="E2792" s="30" t="s">
        <v>149</v>
      </c>
      <c r="F2792" s="7" t="s">
        <v>53</v>
      </c>
      <c r="G2792" s="25" t="s">
        <v>878</v>
      </c>
      <c r="H2792" s="25" t="s">
        <v>4218</v>
      </c>
      <c r="I2792" s="46">
        <v>0</v>
      </c>
      <c r="J2792" s="46">
        <v>5</v>
      </c>
      <c r="K2792" s="46">
        <v>0</v>
      </c>
      <c r="L2792" s="46">
        <v>0</v>
      </c>
      <c r="M2792" s="46">
        <v>0</v>
      </c>
      <c r="N2792" s="46">
        <v>0</v>
      </c>
      <c r="O2792" s="124">
        <v>0</v>
      </c>
      <c r="P2792" s="128" t="s">
        <v>110</v>
      </c>
      <c r="Q2792" s="45" t="s">
        <v>154</v>
      </c>
    </row>
    <row r="2793" spans="1:17" ht="48" x14ac:dyDescent="0.25">
      <c r="A2793" s="21">
        <v>39559</v>
      </c>
      <c r="B2793" s="21">
        <v>39559</v>
      </c>
      <c r="C2793" s="45">
        <v>2008</v>
      </c>
      <c r="D2793" s="35" t="s">
        <v>28</v>
      </c>
      <c r="E2793" s="30" t="s">
        <v>149</v>
      </c>
      <c r="F2793" s="25" t="s">
        <v>781</v>
      </c>
      <c r="G2793" s="25" t="s">
        <v>1995</v>
      </c>
      <c r="H2793" s="25" t="s">
        <v>4219</v>
      </c>
      <c r="I2793" s="46">
        <v>0</v>
      </c>
      <c r="J2793" s="46">
        <v>0</v>
      </c>
      <c r="K2793" s="46">
        <v>0</v>
      </c>
      <c r="L2793" s="46">
        <v>0</v>
      </c>
      <c r="M2793" s="46">
        <v>0</v>
      </c>
      <c r="N2793" s="46">
        <v>0</v>
      </c>
      <c r="O2793" s="124">
        <v>0</v>
      </c>
      <c r="P2793" s="128" t="s">
        <v>110</v>
      </c>
      <c r="Q2793" s="45" t="s">
        <v>154</v>
      </c>
    </row>
    <row r="2794" spans="1:17" ht="48" x14ac:dyDescent="0.25">
      <c r="A2794" s="21">
        <v>39560</v>
      </c>
      <c r="B2794" s="21">
        <v>39560</v>
      </c>
      <c r="C2794" s="45">
        <v>2008</v>
      </c>
      <c r="D2794" s="35" t="s">
        <v>28</v>
      </c>
      <c r="E2794" s="30" t="s">
        <v>149</v>
      </c>
      <c r="F2794" s="28" t="s">
        <v>157</v>
      </c>
      <c r="G2794" s="25" t="s">
        <v>206</v>
      </c>
      <c r="H2794" s="25" t="s">
        <v>4220</v>
      </c>
      <c r="I2794" s="46">
        <v>0</v>
      </c>
      <c r="J2794" s="46">
        <v>0</v>
      </c>
      <c r="K2794" s="46">
        <v>0</v>
      </c>
      <c r="L2794" s="46">
        <v>0</v>
      </c>
      <c r="M2794" s="46">
        <v>0</v>
      </c>
      <c r="N2794" s="46">
        <v>0</v>
      </c>
      <c r="O2794" s="124">
        <v>0</v>
      </c>
      <c r="P2794" s="128" t="s">
        <v>110</v>
      </c>
      <c r="Q2794" s="45" t="s">
        <v>154</v>
      </c>
    </row>
    <row r="2795" spans="1:17" ht="48" x14ac:dyDescent="0.25">
      <c r="A2795" s="21">
        <v>39561</v>
      </c>
      <c r="B2795" s="21">
        <v>39561</v>
      </c>
      <c r="C2795" s="45">
        <v>2008</v>
      </c>
      <c r="D2795" s="35" t="s">
        <v>28</v>
      </c>
      <c r="E2795" s="30" t="s">
        <v>149</v>
      </c>
      <c r="F2795" s="28" t="s">
        <v>163</v>
      </c>
      <c r="G2795" s="25" t="s">
        <v>4202</v>
      </c>
      <c r="H2795" s="25" t="s">
        <v>4221</v>
      </c>
      <c r="I2795" s="46">
        <v>0</v>
      </c>
      <c r="J2795" s="46">
        <v>2</v>
      </c>
      <c r="K2795" s="46">
        <v>0</v>
      </c>
      <c r="L2795" s="46">
        <v>0</v>
      </c>
      <c r="M2795" s="46">
        <v>0</v>
      </c>
      <c r="N2795" s="46">
        <v>0</v>
      </c>
      <c r="O2795" s="124">
        <v>0</v>
      </c>
      <c r="P2795" s="128" t="s">
        <v>110</v>
      </c>
      <c r="Q2795" s="45" t="s">
        <v>154</v>
      </c>
    </row>
    <row r="2796" spans="1:17" ht="48" x14ac:dyDescent="0.25">
      <c r="A2796" s="125">
        <v>39677</v>
      </c>
      <c r="B2796" s="125">
        <v>39677</v>
      </c>
      <c r="C2796" s="45">
        <v>2008</v>
      </c>
      <c r="D2796" s="35" t="s">
        <v>28</v>
      </c>
      <c r="E2796" s="30" t="s">
        <v>149</v>
      </c>
      <c r="F2796" s="7" t="s">
        <v>80</v>
      </c>
      <c r="G2796" s="25" t="s">
        <v>4222</v>
      </c>
      <c r="H2796" s="25" t="s">
        <v>4223</v>
      </c>
      <c r="I2796" s="46">
        <v>0</v>
      </c>
      <c r="J2796" s="46">
        <v>3</v>
      </c>
      <c r="K2796" s="46">
        <v>0</v>
      </c>
      <c r="L2796" s="46">
        <v>0</v>
      </c>
      <c r="M2796" s="46">
        <v>0</v>
      </c>
      <c r="N2796" s="46">
        <v>0</v>
      </c>
      <c r="O2796" s="124">
        <v>0</v>
      </c>
      <c r="P2796" s="128" t="s">
        <v>110</v>
      </c>
      <c r="Q2796" s="45" t="s">
        <v>154</v>
      </c>
    </row>
    <row r="2797" spans="1:17" ht="36" x14ac:dyDescent="0.25">
      <c r="A2797" s="125">
        <v>39734</v>
      </c>
      <c r="B2797" s="125">
        <v>39734</v>
      </c>
      <c r="C2797" s="45">
        <v>2008</v>
      </c>
      <c r="D2797" s="35" t="s">
        <v>28</v>
      </c>
      <c r="E2797" s="30" t="s">
        <v>149</v>
      </c>
      <c r="F2797" s="28" t="s">
        <v>160</v>
      </c>
      <c r="G2797" s="25" t="s">
        <v>4224</v>
      </c>
      <c r="H2797" s="25" t="s">
        <v>4225</v>
      </c>
      <c r="I2797" s="46">
        <v>2</v>
      </c>
      <c r="J2797" s="46">
        <v>9</v>
      </c>
      <c r="K2797" s="46">
        <v>0</v>
      </c>
      <c r="L2797" s="46">
        <v>0</v>
      </c>
      <c r="M2797" s="46">
        <v>0</v>
      </c>
      <c r="N2797" s="46">
        <v>0</v>
      </c>
      <c r="O2797" s="124">
        <v>0</v>
      </c>
      <c r="P2797" s="128" t="s">
        <v>110</v>
      </c>
      <c r="Q2797" s="45" t="s">
        <v>154</v>
      </c>
    </row>
    <row r="2798" spans="1:17" ht="36" x14ac:dyDescent="0.25">
      <c r="A2798" s="125">
        <v>39744</v>
      </c>
      <c r="B2798" s="125">
        <v>39744</v>
      </c>
      <c r="C2798" s="45">
        <v>2008</v>
      </c>
      <c r="D2798" s="35" t="s">
        <v>28</v>
      </c>
      <c r="E2798" s="30" t="s">
        <v>149</v>
      </c>
      <c r="F2798" s="7" t="s">
        <v>30</v>
      </c>
      <c r="G2798" s="25" t="s">
        <v>1078</v>
      </c>
      <c r="H2798" s="25" t="s">
        <v>4226</v>
      </c>
      <c r="I2798" s="46">
        <v>1</v>
      </c>
      <c r="J2798" s="46">
        <v>41</v>
      </c>
      <c r="K2798" s="46">
        <v>8</v>
      </c>
      <c r="L2798" s="46">
        <v>0</v>
      </c>
      <c r="M2798" s="46">
        <v>0</v>
      </c>
      <c r="N2798" s="46">
        <v>0</v>
      </c>
      <c r="O2798" s="124">
        <v>0</v>
      </c>
      <c r="P2798" s="102">
        <v>0.333592</v>
      </c>
      <c r="Q2798" s="45" t="s">
        <v>154</v>
      </c>
    </row>
    <row r="2799" spans="1:17" ht="24" x14ac:dyDescent="0.25">
      <c r="A2799" s="125">
        <v>39779</v>
      </c>
      <c r="B2799" s="125">
        <v>39779</v>
      </c>
      <c r="C2799" s="45">
        <v>2008</v>
      </c>
      <c r="D2799" s="35" t="s">
        <v>28</v>
      </c>
      <c r="E2799" s="30" t="s">
        <v>149</v>
      </c>
      <c r="F2799" s="7" t="s">
        <v>62</v>
      </c>
      <c r="G2799" s="25" t="s">
        <v>2604</v>
      </c>
      <c r="H2799" s="25" t="s">
        <v>4227</v>
      </c>
      <c r="I2799" s="46">
        <v>0</v>
      </c>
      <c r="J2799" s="46">
        <v>45</v>
      </c>
      <c r="K2799" s="46">
        <v>9</v>
      </c>
      <c r="L2799" s="46">
        <v>0</v>
      </c>
      <c r="M2799" s="46">
        <v>0</v>
      </c>
      <c r="N2799" s="46">
        <v>0</v>
      </c>
      <c r="O2799" s="124">
        <v>0</v>
      </c>
      <c r="P2799" s="102">
        <v>0.37529099999999999</v>
      </c>
      <c r="Q2799" s="45" t="s">
        <v>154</v>
      </c>
    </row>
    <row r="2800" spans="1:17" ht="60" x14ac:dyDescent="0.25">
      <c r="A2800" s="21">
        <v>39453</v>
      </c>
      <c r="B2800" s="21">
        <v>39453</v>
      </c>
      <c r="C2800" s="45">
        <v>2008</v>
      </c>
      <c r="D2800" s="35" t="s">
        <v>28</v>
      </c>
      <c r="E2800" s="30" t="s">
        <v>133</v>
      </c>
      <c r="F2800" s="7" t="s">
        <v>75</v>
      </c>
      <c r="G2800" s="25" t="s">
        <v>4228</v>
      </c>
      <c r="H2800" s="29" t="s">
        <v>4229</v>
      </c>
      <c r="I2800" s="46">
        <v>1</v>
      </c>
      <c r="J2800" s="46">
        <v>6</v>
      </c>
      <c r="K2800" s="46">
        <v>0</v>
      </c>
      <c r="L2800" s="46">
        <v>1</v>
      </c>
      <c r="M2800" s="46">
        <v>0</v>
      </c>
      <c r="N2800" s="46">
        <v>0</v>
      </c>
      <c r="O2800" s="124">
        <v>0</v>
      </c>
      <c r="P2800" s="102">
        <v>0</v>
      </c>
      <c r="Q2800" s="45" t="s">
        <v>154</v>
      </c>
    </row>
    <row r="2801" spans="1:17" ht="36" x14ac:dyDescent="0.25">
      <c r="A2801" s="21">
        <v>39469</v>
      </c>
      <c r="B2801" s="21">
        <v>39469</v>
      </c>
      <c r="C2801" s="45">
        <v>2008</v>
      </c>
      <c r="D2801" s="35" t="s">
        <v>28</v>
      </c>
      <c r="E2801" s="30" t="s">
        <v>133</v>
      </c>
      <c r="F2801" s="7" t="s">
        <v>77</v>
      </c>
      <c r="G2801" s="25" t="s">
        <v>4230</v>
      </c>
      <c r="H2801" s="25" t="s">
        <v>4231</v>
      </c>
      <c r="I2801" s="46">
        <v>0</v>
      </c>
      <c r="J2801" s="46">
        <v>31</v>
      </c>
      <c r="K2801" s="46">
        <v>0</v>
      </c>
      <c r="L2801" s="46">
        <v>0</v>
      </c>
      <c r="M2801" s="46">
        <v>0</v>
      </c>
      <c r="N2801" s="46">
        <v>0</v>
      </c>
      <c r="O2801" s="124">
        <v>0</v>
      </c>
      <c r="P2801" s="102">
        <v>0</v>
      </c>
      <c r="Q2801" s="45" t="s">
        <v>154</v>
      </c>
    </row>
    <row r="2802" spans="1:17" ht="36" x14ac:dyDescent="0.25">
      <c r="A2802" s="21">
        <v>39476</v>
      </c>
      <c r="B2802" s="21">
        <v>39476</v>
      </c>
      <c r="C2802" s="45">
        <v>2008</v>
      </c>
      <c r="D2802" s="35" t="s">
        <v>28</v>
      </c>
      <c r="E2802" s="30" t="s">
        <v>133</v>
      </c>
      <c r="F2802" s="7" t="s">
        <v>58</v>
      </c>
      <c r="G2802" s="25" t="s">
        <v>4232</v>
      </c>
      <c r="H2802" s="25" t="s">
        <v>4233</v>
      </c>
      <c r="I2802" s="46">
        <v>1</v>
      </c>
      <c r="J2802" s="46">
        <v>7</v>
      </c>
      <c r="K2802" s="46">
        <v>1</v>
      </c>
      <c r="L2802" s="46">
        <v>0</v>
      </c>
      <c r="M2802" s="46">
        <v>0</v>
      </c>
      <c r="N2802" s="46">
        <v>0</v>
      </c>
      <c r="O2802" s="124">
        <v>0</v>
      </c>
      <c r="P2802" s="102">
        <v>4.1699E-2</v>
      </c>
      <c r="Q2802" s="45" t="s">
        <v>154</v>
      </c>
    </row>
    <row r="2803" spans="1:17" ht="60" x14ac:dyDescent="0.25">
      <c r="A2803" s="21">
        <v>39479</v>
      </c>
      <c r="B2803" s="21">
        <v>39479</v>
      </c>
      <c r="C2803" s="45">
        <v>2008</v>
      </c>
      <c r="D2803" s="35" t="s">
        <v>28</v>
      </c>
      <c r="E2803" s="30" t="s">
        <v>133</v>
      </c>
      <c r="F2803" s="28" t="s">
        <v>210</v>
      </c>
      <c r="G2803" s="25" t="s">
        <v>4234</v>
      </c>
      <c r="H2803" s="25" t="s">
        <v>4235</v>
      </c>
      <c r="I2803" s="46">
        <v>1</v>
      </c>
      <c r="J2803" s="46">
        <v>2</v>
      </c>
      <c r="K2803" s="46">
        <v>0</v>
      </c>
      <c r="L2803" s="46">
        <v>0</v>
      </c>
      <c r="M2803" s="46">
        <v>0</v>
      </c>
      <c r="N2803" s="46">
        <v>0</v>
      </c>
      <c r="O2803" s="124">
        <v>0</v>
      </c>
      <c r="P2803" s="102">
        <v>0</v>
      </c>
      <c r="Q2803" s="45" t="s">
        <v>154</v>
      </c>
    </row>
    <row r="2804" spans="1:17" ht="60" x14ac:dyDescent="0.25">
      <c r="A2804" s="21">
        <v>39480</v>
      </c>
      <c r="B2804" s="21">
        <v>39480</v>
      </c>
      <c r="C2804" s="45">
        <v>2008</v>
      </c>
      <c r="D2804" s="35" t="s">
        <v>28</v>
      </c>
      <c r="E2804" s="30" t="s">
        <v>133</v>
      </c>
      <c r="F2804" s="7" t="s">
        <v>58</v>
      </c>
      <c r="G2804" s="25" t="s">
        <v>2297</v>
      </c>
      <c r="H2804" s="25" t="s">
        <v>4236</v>
      </c>
      <c r="I2804" s="46">
        <v>0</v>
      </c>
      <c r="J2804" s="46">
        <v>5</v>
      </c>
      <c r="K2804" s="46">
        <v>0</v>
      </c>
      <c r="L2804" s="46">
        <v>0</v>
      </c>
      <c r="M2804" s="46">
        <v>0</v>
      </c>
      <c r="N2804" s="46">
        <v>0</v>
      </c>
      <c r="O2804" s="124">
        <v>0</v>
      </c>
      <c r="P2804" s="102">
        <v>0</v>
      </c>
      <c r="Q2804" s="45" t="s">
        <v>154</v>
      </c>
    </row>
    <row r="2805" spans="1:17" ht="36" x14ac:dyDescent="0.25">
      <c r="A2805" s="21">
        <v>39490</v>
      </c>
      <c r="B2805" s="21">
        <v>39490</v>
      </c>
      <c r="C2805" s="45">
        <v>2008</v>
      </c>
      <c r="D2805" s="35" t="s">
        <v>28</v>
      </c>
      <c r="E2805" s="30" t="s">
        <v>133</v>
      </c>
      <c r="F2805" s="28" t="s">
        <v>157</v>
      </c>
      <c r="G2805" s="25" t="s">
        <v>4237</v>
      </c>
      <c r="H2805" s="25" t="s">
        <v>4238</v>
      </c>
      <c r="I2805" s="46">
        <v>0</v>
      </c>
      <c r="J2805" s="46">
        <v>5</v>
      </c>
      <c r="K2805" s="46">
        <v>1</v>
      </c>
      <c r="L2805" s="46">
        <v>0</v>
      </c>
      <c r="M2805" s="46">
        <v>0</v>
      </c>
      <c r="N2805" s="46">
        <v>0</v>
      </c>
      <c r="O2805" s="124">
        <v>0</v>
      </c>
      <c r="P2805" s="102">
        <v>4.1699E-2</v>
      </c>
      <c r="Q2805" s="45" t="s">
        <v>154</v>
      </c>
    </row>
    <row r="2806" spans="1:17" ht="60" x14ac:dyDescent="0.25">
      <c r="A2806" s="21">
        <v>39495</v>
      </c>
      <c r="B2806" s="21">
        <v>39495</v>
      </c>
      <c r="C2806" s="45">
        <v>2008</v>
      </c>
      <c r="D2806" s="35" t="s">
        <v>28</v>
      </c>
      <c r="E2806" s="30" t="s">
        <v>133</v>
      </c>
      <c r="F2806" s="7" t="s">
        <v>56</v>
      </c>
      <c r="G2806" s="25" t="s">
        <v>4239</v>
      </c>
      <c r="H2806" s="25" t="s">
        <v>4240</v>
      </c>
      <c r="I2806" s="46">
        <v>4</v>
      </c>
      <c r="J2806" s="46">
        <v>4</v>
      </c>
      <c r="K2806" s="46">
        <v>0</v>
      </c>
      <c r="L2806" s="46">
        <v>0</v>
      </c>
      <c r="M2806" s="46">
        <v>0</v>
      </c>
      <c r="N2806" s="46">
        <v>0</v>
      </c>
      <c r="O2806" s="124">
        <v>0</v>
      </c>
      <c r="P2806" s="102">
        <v>4.1699E-2</v>
      </c>
      <c r="Q2806" s="45" t="s">
        <v>154</v>
      </c>
    </row>
    <row r="2807" spans="1:17" ht="48" x14ac:dyDescent="0.25">
      <c r="A2807" s="21">
        <v>39497</v>
      </c>
      <c r="B2807" s="21">
        <v>39497</v>
      </c>
      <c r="C2807" s="45">
        <v>2008</v>
      </c>
      <c r="D2807" s="35" t="s">
        <v>28</v>
      </c>
      <c r="E2807" s="30" t="s">
        <v>133</v>
      </c>
      <c r="F2807" s="7" t="s">
        <v>58</v>
      </c>
      <c r="G2807" s="25" t="s">
        <v>1194</v>
      </c>
      <c r="H2807" s="25" t="s">
        <v>4241</v>
      </c>
      <c r="I2807" s="46">
        <v>0</v>
      </c>
      <c r="J2807" s="46">
        <v>0</v>
      </c>
      <c r="K2807" s="46">
        <v>0</v>
      </c>
      <c r="L2807" s="46">
        <v>0</v>
      </c>
      <c r="M2807" s="46">
        <v>0</v>
      </c>
      <c r="N2807" s="46">
        <v>0</v>
      </c>
      <c r="O2807" s="124">
        <v>0</v>
      </c>
      <c r="P2807" s="102">
        <v>0</v>
      </c>
      <c r="Q2807" s="45" t="s">
        <v>154</v>
      </c>
    </row>
    <row r="2808" spans="1:17" ht="72" x14ac:dyDescent="0.25">
      <c r="A2808" s="21">
        <v>39499</v>
      </c>
      <c r="B2808" s="21">
        <v>39499</v>
      </c>
      <c r="C2808" s="45">
        <v>2008</v>
      </c>
      <c r="D2808" s="35" t="s">
        <v>28</v>
      </c>
      <c r="E2808" s="30" t="s">
        <v>133</v>
      </c>
      <c r="F2808" s="7" t="s">
        <v>60</v>
      </c>
      <c r="G2808" s="25" t="s">
        <v>908</v>
      </c>
      <c r="H2808" s="25" t="s">
        <v>4242</v>
      </c>
      <c r="I2808" s="46">
        <v>0</v>
      </c>
      <c r="J2808" s="46">
        <v>300</v>
      </c>
      <c r="K2808" s="46">
        <v>0</v>
      </c>
      <c r="L2808" s="46">
        <v>0</v>
      </c>
      <c r="M2808" s="46">
        <v>0</v>
      </c>
      <c r="N2808" s="46">
        <v>0</v>
      </c>
      <c r="O2808" s="124">
        <v>0</v>
      </c>
      <c r="P2808" s="102">
        <v>0</v>
      </c>
      <c r="Q2808" s="45" t="s">
        <v>154</v>
      </c>
    </row>
    <row r="2809" spans="1:17" ht="60" x14ac:dyDescent="0.25">
      <c r="A2809" s="21">
        <v>39499</v>
      </c>
      <c r="B2809" s="21">
        <v>39499</v>
      </c>
      <c r="C2809" s="45">
        <v>2008</v>
      </c>
      <c r="D2809" s="35" t="s">
        <v>28</v>
      </c>
      <c r="E2809" s="30" t="s">
        <v>133</v>
      </c>
      <c r="F2809" s="7" t="s">
        <v>53</v>
      </c>
      <c r="G2809" s="25" t="s">
        <v>2516</v>
      </c>
      <c r="H2809" s="25" t="s">
        <v>4243</v>
      </c>
      <c r="I2809" s="46">
        <v>0</v>
      </c>
      <c r="J2809" s="46">
        <v>4</v>
      </c>
      <c r="K2809" s="46">
        <v>1</v>
      </c>
      <c r="L2809" s="46">
        <v>0</v>
      </c>
      <c r="M2809" s="46">
        <v>0</v>
      </c>
      <c r="N2809" s="46">
        <v>0</v>
      </c>
      <c r="O2809" s="124">
        <v>0</v>
      </c>
      <c r="P2809" s="102">
        <v>4.1699E-2</v>
      </c>
      <c r="Q2809" s="45" t="s">
        <v>154</v>
      </c>
    </row>
    <row r="2810" spans="1:17" ht="48" x14ac:dyDescent="0.25">
      <c r="A2810" s="21">
        <v>39504</v>
      </c>
      <c r="B2810" s="21">
        <v>39504</v>
      </c>
      <c r="C2810" s="45">
        <v>2008</v>
      </c>
      <c r="D2810" s="35" t="s">
        <v>28</v>
      </c>
      <c r="E2810" s="30" t="s">
        <v>133</v>
      </c>
      <c r="F2810" s="7" t="s">
        <v>53</v>
      </c>
      <c r="G2810" s="25" t="s">
        <v>451</v>
      </c>
      <c r="H2810" s="25" t="s">
        <v>4244</v>
      </c>
      <c r="I2810" s="46">
        <v>0</v>
      </c>
      <c r="J2810" s="46">
        <v>2</v>
      </c>
      <c r="K2810" s="46">
        <v>0</v>
      </c>
      <c r="L2810" s="46">
        <v>0</v>
      </c>
      <c r="M2810" s="46">
        <v>0</v>
      </c>
      <c r="N2810" s="46">
        <v>0</v>
      </c>
      <c r="O2810" s="124">
        <v>0</v>
      </c>
      <c r="P2810" s="102">
        <v>0</v>
      </c>
      <c r="Q2810" s="45" t="s">
        <v>154</v>
      </c>
    </row>
    <row r="2811" spans="1:17" ht="60" x14ac:dyDescent="0.25">
      <c r="A2811" s="21">
        <v>39514</v>
      </c>
      <c r="B2811" s="21">
        <v>39514</v>
      </c>
      <c r="C2811" s="45">
        <v>2008</v>
      </c>
      <c r="D2811" s="35" t="s">
        <v>28</v>
      </c>
      <c r="E2811" s="30" t="s">
        <v>133</v>
      </c>
      <c r="F2811" s="7" t="s">
        <v>65</v>
      </c>
      <c r="G2811" s="25" t="s">
        <v>1868</v>
      </c>
      <c r="H2811" s="25" t="s">
        <v>4245</v>
      </c>
      <c r="I2811" s="46">
        <v>1</v>
      </c>
      <c r="J2811" s="46">
        <v>5</v>
      </c>
      <c r="K2811" s="46">
        <v>1</v>
      </c>
      <c r="L2811" s="46">
        <v>0</v>
      </c>
      <c r="M2811" s="46">
        <v>0</v>
      </c>
      <c r="N2811" s="46">
        <v>0</v>
      </c>
      <c r="O2811" s="124">
        <v>0</v>
      </c>
      <c r="P2811" s="102">
        <v>4.1699E-2</v>
      </c>
      <c r="Q2811" s="45" t="s">
        <v>154</v>
      </c>
    </row>
    <row r="2812" spans="1:17" ht="60" x14ac:dyDescent="0.25">
      <c r="A2812" s="21">
        <v>39518</v>
      </c>
      <c r="B2812" s="21">
        <v>39518</v>
      </c>
      <c r="C2812" s="45">
        <v>2008</v>
      </c>
      <c r="D2812" s="35" t="s">
        <v>28</v>
      </c>
      <c r="E2812" s="30" t="s">
        <v>133</v>
      </c>
      <c r="F2812" s="7" t="s">
        <v>53</v>
      </c>
      <c r="G2812" s="25" t="s">
        <v>4246</v>
      </c>
      <c r="H2812" s="25" t="s">
        <v>4247</v>
      </c>
      <c r="I2812" s="46">
        <v>0</v>
      </c>
      <c r="J2812" s="46">
        <v>7</v>
      </c>
      <c r="K2812" s="46">
        <v>1</v>
      </c>
      <c r="L2812" s="46">
        <v>0</v>
      </c>
      <c r="M2812" s="46">
        <v>0</v>
      </c>
      <c r="N2812" s="46">
        <v>0</v>
      </c>
      <c r="O2812" s="124">
        <v>0</v>
      </c>
      <c r="P2812" s="102">
        <v>0</v>
      </c>
      <c r="Q2812" s="45" t="s">
        <v>154</v>
      </c>
    </row>
    <row r="2813" spans="1:17" ht="48" x14ac:dyDescent="0.25">
      <c r="A2813" s="21">
        <v>39524</v>
      </c>
      <c r="B2813" s="21">
        <v>39524</v>
      </c>
      <c r="C2813" s="45">
        <v>2008</v>
      </c>
      <c r="D2813" s="35" t="s">
        <v>28</v>
      </c>
      <c r="E2813" s="30" t="s">
        <v>133</v>
      </c>
      <c r="F2813" s="7" t="s">
        <v>53</v>
      </c>
      <c r="G2813" s="25" t="s">
        <v>460</v>
      </c>
      <c r="H2813" s="25" t="s">
        <v>4248</v>
      </c>
      <c r="I2813" s="46">
        <v>3</v>
      </c>
      <c r="J2813" s="46">
        <v>3</v>
      </c>
      <c r="K2813" s="46">
        <v>0</v>
      </c>
      <c r="L2813" s="46">
        <v>0</v>
      </c>
      <c r="M2813" s="46">
        <v>0</v>
      </c>
      <c r="N2813" s="46">
        <v>0</v>
      </c>
      <c r="O2813" s="124">
        <v>0</v>
      </c>
      <c r="P2813" s="102">
        <v>0</v>
      </c>
      <c r="Q2813" s="45" t="s">
        <v>154</v>
      </c>
    </row>
    <row r="2814" spans="1:17" ht="72" x14ac:dyDescent="0.25">
      <c r="A2814" s="21">
        <v>39533</v>
      </c>
      <c r="B2814" s="21">
        <v>39533</v>
      </c>
      <c r="C2814" s="45">
        <v>2008</v>
      </c>
      <c r="D2814" s="35" t="s">
        <v>28</v>
      </c>
      <c r="E2814" s="30" t="s">
        <v>133</v>
      </c>
      <c r="F2814" s="7" t="s">
        <v>68</v>
      </c>
      <c r="G2814" s="25" t="s">
        <v>4249</v>
      </c>
      <c r="H2814" s="25" t="s">
        <v>4250</v>
      </c>
      <c r="I2814" s="46">
        <v>0</v>
      </c>
      <c r="J2814" s="46">
        <v>20</v>
      </c>
      <c r="K2814" s="46">
        <v>0</v>
      </c>
      <c r="L2814" s="46">
        <v>0</v>
      </c>
      <c r="M2814" s="46">
        <v>0</v>
      </c>
      <c r="N2814" s="46">
        <v>0</v>
      </c>
      <c r="O2814" s="124">
        <v>0</v>
      </c>
      <c r="P2814" s="102">
        <v>0</v>
      </c>
      <c r="Q2814" s="45" t="s">
        <v>154</v>
      </c>
    </row>
    <row r="2815" spans="1:17" ht="72" x14ac:dyDescent="0.25">
      <c r="A2815" s="21">
        <v>39533</v>
      </c>
      <c r="B2815" s="21">
        <v>39533</v>
      </c>
      <c r="C2815" s="45">
        <v>2008</v>
      </c>
      <c r="D2815" s="35" t="s">
        <v>28</v>
      </c>
      <c r="E2815" s="30" t="s">
        <v>133</v>
      </c>
      <c r="F2815" s="28" t="s">
        <v>210</v>
      </c>
      <c r="G2815" s="25" t="s">
        <v>921</v>
      </c>
      <c r="H2815" s="25" t="s">
        <v>4251</v>
      </c>
      <c r="I2815" s="46">
        <v>1</v>
      </c>
      <c r="J2815" s="46">
        <v>1</v>
      </c>
      <c r="K2815" s="46">
        <v>0</v>
      </c>
      <c r="L2815" s="46">
        <v>0</v>
      </c>
      <c r="M2815" s="46">
        <v>0</v>
      </c>
      <c r="N2815" s="46">
        <v>0</v>
      </c>
      <c r="O2815" s="124">
        <v>0</v>
      </c>
      <c r="P2815" s="102">
        <v>0</v>
      </c>
      <c r="Q2815" s="45" t="s">
        <v>154</v>
      </c>
    </row>
    <row r="2816" spans="1:17" ht="36" x14ac:dyDescent="0.25">
      <c r="A2816" s="21">
        <v>39533</v>
      </c>
      <c r="B2816" s="21">
        <v>39533</v>
      </c>
      <c r="C2816" s="45">
        <v>2008</v>
      </c>
      <c r="D2816" s="35" t="s">
        <v>28</v>
      </c>
      <c r="E2816" s="30" t="s">
        <v>133</v>
      </c>
      <c r="F2816" s="7" t="s">
        <v>53</v>
      </c>
      <c r="G2816" s="25" t="s">
        <v>451</v>
      </c>
      <c r="H2816" s="25" t="s">
        <v>4252</v>
      </c>
      <c r="I2816" s="46">
        <v>0</v>
      </c>
      <c r="J2816" s="46">
        <v>1</v>
      </c>
      <c r="K2816" s="46">
        <v>0</v>
      </c>
      <c r="L2816" s="46">
        <v>0</v>
      </c>
      <c r="M2816" s="46">
        <v>0</v>
      </c>
      <c r="N2816" s="46">
        <v>0</v>
      </c>
      <c r="O2816" s="124">
        <v>0</v>
      </c>
      <c r="P2816" s="102">
        <v>0</v>
      </c>
      <c r="Q2816" s="45" t="s">
        <v>154</v>
      </c>
    </row>
    <row r="2817" spans="1:17" ht="48" x14ac:dyDescent="0.25">
      <c r="A2817" s="21">
        <v>39548</v>
      </c>
      <c r="B2817" s="21">
        <v>39548</v>
      </c>
      <c r="C2817" s="45">
        <v>2008</v>
      </c>
      <c r="D2817" s="35" t="s">
        <v>28</v>
      </c>
      <c r="E2817" s="30" t="s">
        <v>133</v>
      </c>
      <c r="F2817" s="7" t="s">
        <v>49</v>
      </c>
      <c r="G2817" s="25" t="s">
        <v>1206</v>
      </c>
      <c r="H2817" s="25" t="s">
        <v>4253</v>
      </c>
      <c r="I2817" s="46">
        <v>2</v>
      </c>
      <c r="J2817" s="46">
        <v>12</v>
      </c>
      <c r="K2817" s="46">
        <v>0</v>
      </c>
      <c r="L2817" s="46">
        <v>0</v>
      </c>
      <c r="M2817" s="46">
        <v>0</v>
      </c>
      <c r="N2817" s="46">
        <v>0</v>
      </c>
      <c r="O2817" s="124">
        <v>0</v>
      </c>
      <c r="P2817" s="102">
        <v>0</v>
      </c>
      <c r="Q2817" s="45" t="s">
        <v>154</v>
      </c>
    </row>
    <row r="2818" spans="1:17" ht="48" x14ac:dyDescent="0.25">
      <c r="A2818" s="21">
        <v>39554</v>
      </c>
      <c r="B2818" s="21">
        <v>39554</v>
      </c>
      <c r="C2818" s="45">
        <v>2008</v>
      </c>
      <c r="D2818" s="35" t="s">
        <v>28</v>
      </c>
      <c r="E2818" s="30" t="s">
        <v>133</v>
      </c>
      <c r="F2818" s="7" t="s">
        <v>62</v>
      </c>
      <c r="G2818" s="25" t="s">
        <v>959</v>
      </c>
      <c r="H2818" s="25" t="s">
        <v>4254</v>
      </c>
      <c r="I2818" s="46">
        <v>0</v>
      </c>
      <c r="J2818" s="46">
        <v>30</v>
      </c>
      <c r="K2818" s="46">
        <v>6</v>
      </c>
      <c r="L2818" s="46">
        <v>0</v>
      </c>
      <c r="M2818" s="46">
        <v>0</v>
      </c>
      <c r="N2818" s="46">
        <v>0</v>
      </c>
      <c r="O2818" s="124">
        <v>0</v>
      </c>
      <c r="P2818" s="102">
        <v>6.9769999999999999E-2</v>
      </c>
      <c r="Q2818" s="45" t="s">
        <v>154</v>
      </c>
    </row>
    <row r="2819" spans="1:17" ht="60" x14ac:dyDescent="0.25">
      <c r="A2819" s="21">
        <v>39561</v>
      </c>
      <c r="B2819" s="21">
        <v>39561</v>
      </c>
      <c r="C2819" s="45">
        <v>2008</v>
      </c>
      <c r="D2819" s="35" t="s">
        <v>28</v>
      </c>
      <c r="E2819" s="30" t="s">
        <v>133</v>
      </c>
      <c r="F2819" s="7" t="s">
        <v>75</v>
      </c>
      <c r="G2819" s="25" t="s">
        <v>4255</v>
      </c>
      <c r="H2819" s="25" t="s">
        <v>4256</v>
      </c>
      <c r="I2819" s="46">
        <v>1</v>
      </c>
      <c r="J2819" s="46">
        <v>6</v>
      </c>
      <c r="K2819" s="46">
        <v>1</v>
      </c>
      <c r="L2819" s="46">
        <v>0</v>
      </c>
      <c r="M2819" s="46">
        <v>0</v>
      </c>
      <c r="N2819" s="46">
        <v>0</v>
      </c>
      <c r="O2819" s="124">
        <v>0</v>
      </c>
      <c r="P2819" s="102">
        <v>4.1699E-2</v>
      </c>
      <c r="Q2819" s="45" t="s">
        <v>154</v>
      </c>
    </row>
    <row r="2820" spans="1:17" ht="72" x14ac:dyDescent="0.25">
      <c r="A2820" s="21">
        <v>39565</v>
      </c>
      <c r="B2820" s="21">
        <v>39565</v>
      </c>
      <c r="C2820" s="45">
        <v>2008</v>
      </c>
      <c r="D2820" s="35" t="s">
        <v>28</v>
      </c>
      <c r="E2820" s="30" t="s">
        <v>133</v>
      </c>
      <c r="F2820" s="7" t="s">
        <v>53</v>
      </c>
      <c r="G2820" s="25" t="s">
        <v>451</v>
      </c>
      <c r="H2820" s="25" t="s">
        <v>4257</v>
      </c>
      <c r="I2820" s="46">
        <v>2</v>
      </c>
      <c r="J2820" s="46">
        <v>7</v>
      </c>
      <c r="K2820" s="46">
        <v>1</v>
      </c>
      <c r="L2820" s="46">
        <v>0</v>
      </c>
      <c r="M2820" s="46">
        <v>0</v>
      </c>
      <c r="N2820" s="46">
        <v>0</v>
      </c>
      <c r="O2820" s="124">
        <v>0</v>
      </c>
      <c r="P2820" s="102">
        <v>4.1699E-2</v>
      </c>
      <c r="Q2820" s="45" t="s">
        <v>154</v>
      </c>
    </row>
    <row r="2821" spans="1:17" ht="48" x14ac:dyDescent="0.25">
      <c r="A2821" s="21">
        <v>39570</v>
      </c>
      <c r="B2821" s="21">
        <v>39570</v>
      </c>
      <c r="C2821" s="45">
        <v>2008</v>
      </c>
      <c r="D2821" s="35" t="s">
        <v>28</v>
      </c>
      <c r="E2821" s="30" t="s">
        <v>133</v>
      </c>
      <c r="F2821" s="28" t="s">
        <v>160</v>
      </c>
      <c r="G2821" s="25" t="s">
        <v>2284</v>
      </c>
      <c r="H2821" s="25" t="s">
        <v>4258</v>
      </c>
      <c r="I2821" s="46">
        <v>0</v>
      </c>
      <c r="J2821" s="46">
        <v>10</v>
      </c>
      <c r="K2821" s="46">
        <v>0</v>
      </c>
      <c r="L2821" s="46">
        <v>0</v>
      </c>
      <c r="M2821" s="46">
        <v>0</v>
      </c>
      <c r="N2821" s="46">
        <v>0</v>
      </c>
      <c r="O2821" s="124">
        <v>0</v>
      </c>
      <c r="P2821" s="102">
        <v>0</v>
      </c>
      <c r="Q2821" s="45" t="s">
        <v>154</v>
      </c>
    </row>
    <row r="2822" spans="1:17" ht="48" x14ac:dyDescent="0.25">
      <c r="A2822" s="21">
        <v>39570</v>
      </c>
      <c r="B2822" s="21">
        <v>39570</v>
      </c>
      <c r="C2822" s="45">
        <v>2008</v>
      </c>
      <c r="D2822" s="35" t="s">
        <v>28</v>
      </c>
      <c r="E2822" s="30" t="s">
        <v>133</v>
      </c>
      <c r="F2822" s="7" t="s">
        <v>75</v>
      </c>
      <c r="G2822" s="25" t="s">
        <v>4259</v>
      </c>
      <c r="H2822" s="25" t="s">
        <v>4260</v>
      </c>
      <c r="I2822" s="46">
        <v>1</v>
      </c>
      <c r="J2822" s="46">
        <v>2</v>
      </c>
      <c r="K2822" s="46">
        <v>0</v>
      </c>
      <c r="L2822" s="46">
        <v>0</v>
      </c>
      <c r="M2822" s="46">
        <v>0</v>
      </c>
      <c r="N2822" s="46">
        <v>0</v>
      </c>
      <c r="O2822" s="124">
        <v>0</v>
      </c>
      <c r="P2822" s="102">
        <v>0</v>
      </c>
      <c r="Q2822" s="45" t="s">
        <v>154</v>
      </c>
    </row>
    <row r="2823" spans="1:17" ht="36" x14ac:dyDescent="0.25">
      <c r="A2823" s="21">
        <v>39574</v>
      </c>
      <c r="B2823" s="21">
        <v>39574</v>
      </c>
      <c r="C2823" s="45">
        <v>2008</v>
      </c>
      <c r="D2823" s="35" t="s">
        <v>28</v>
      </c>
      <c r="E2823" s="30" t="s">
        <v>133</v>
      </c>
      <c r="F2823" s="7" t="s">
        <v>56</v>
      </c>
      <c r="G2823" s="25" t="s">
        <v>351</v>
      </c>
      <c r="H2823" s="25" t="s">
        <v>4261</v>
      </c>
      <c r="I2823" s="46">
        <v>0</v>
      </c>
      <c r="J2823" s="46">
        <v>1</v>
      </c>
      <c r="K2823" s="46">
        <v>0</v>
      </c>
      <c r="L2823" s="46">
        <v>0</v>
      </c>
      <c r="M2823" s="46">
        <v>0</v>
      </c>
      <c r="N2823" s="46">
        <v>0</v>
      </c>
      <c r="O2823" s="124">
        <v>0</v>
      </c>
      <c r="P2823" s="102">
        <v>0</v>
      </c>
      <c r="Q2823" s="45" t="s">
        <v>154</v>
      </c>
    </row>
    <row r="2824" spans="1:17" ht="48" x14ac:dyDescent="0.25">
      <c r="A2824" s="21">
        <v>39578</v>
      </c>
      <c r="B2824" s="21">
        <v>39578</v>
      </c>
      <c r="C2824" s="45">
        <v>2008</v>
      </c>
      <c r="D2824" s="35" t="s">
        <v>28</v>
      </c>
      <c r="E2824" s="30" t="s">
        <v>133</v>
      </c>
      <c r="F2824" s="7" t="s">
        <v>60</v>
      </c>
      <c r="G2824" s="25" t="s">
        <v>908</v>
      </c>
      <c r="H2824" s="25" t="s">
        <v>4262</v>
      </c>
      <c r="I2824" s="46">
        <v>2</v>
      </c>
      <c r="J2824" s="46">
        <v>3</v>
      </c>
      <c r="K2824" s="46">
        <v>0</v>
      </c>
      <c r="L2824" s="46">
        <v>0</v>
      </c>
      <c r="M2824" s="46">
        <v>0</v>
      </c>
      <c r="N2824" s="46">
        <v>0</v>
      </c>
      <c r="O2824" s="124">
        <v>0</v>
      </c>
      <c r="P2824" s="102">
        <v>0</v>
      </c>
      <c r="Q2824" s="45" t="s">
        <v>154</v>
      </c>
    </row>
    <row r="2825" spans="1:17" ht="36" x14ac:dyDescent="0.25">
      <c r="A2825" s="21">
        <v>39580</v>
      </c>
      <c r="B2825" s="21">
        <v>39580</v>
      </c>
      <c r="C2825" s="45">
        <v>2008</v>
      </c>
      <c r="D2825" s="35" t="s">
        <v>28</v>
      </c>
      <c r="E2825" s="30" t="s">
        <v>133</v>
      </c>
      <c r="F2825" s="28" t="s">
        <v>157</v>
      </c>
      <c r="G2825" s="25" t="s">
        <v>1029</v>
      </c>
      <c r="H2825" s="25" t="s">
        <v>4263</v>
      </c>
      <c r="I2825" s="46">
        <v>0</v>
      </c>
      <c r="J2825" s="46">
        <v>2</v>
      </c>
      <c r="K2825" s="46">
        <v>0</v>
      </c>
      <c r="L2825" s="46">
        <v>0</v>
      </c>
      <c r="M2825" s="46">
        <v>0</v>
      </c>
      <c r="N2825" s="46">
        <v>0</v>
      </c>
      <c r="O2825" s="124">
        <v>0</v>
      </c>
      <c r="P2825" s="102">
        <v>0</v>
      </c>
      <c r="Q2825" s="45" t="s">
        <v>154</v>
      </c>
    </row>
    <row r="2826" spans="1:17" ht="36" x14ac:dyDescent="0.25">
      <c r="A2826" s="21">
        <v>39582</v>
      </c>
      <c r="B2826" s="21">
        <v>39582</v>
      </c>
      <c r="C2826" s="45">
        <v>2008</v>
      </c>
      <c r="D2826" s="35" t="s">
        <v>28</v>
      </c>
      <c r="E2826" s="30" t="s">
        <v>133</v>
      </c>
      <c r="F2826" s="7" t="s">
        <v>53</v>
      </c>
      <c r="G2826" s="25" t="s">
        <v>926</v>
      </c>
      <c r="H2826" s="25" t="s">
        <v>4264</v>
      </c>
      <c r="I2826" s="46">
        <v>1</v>
      </c>
      <c r="J2826" s="46">
        <v>2</v>
      </c>
      <c r="K2826" s="46">
        <v>0</v>
      </c>
      <c r="L2826" s="46">
        <v>0</v>
      </c>
      <c r="M2826" s="46">
        <v>0</v>
      </c>
      <c r="N2826" s="46">
        <v>0</v>
      </c>
      <c r="O2826" s="124">
        <v>0</v>
      </c>
      <c r="P2826" s="102">
        <v>0</v>
      </c>
      <c r="Q2826" s="45" t="s">
        <v>154</v>
      </c>
    </row>
    <row r="2827" spans="1:17" ht="24" x14ac:dyDescent="0.25">
      <c r="A2827" s="21">
        <v>39589</v>
      </c>
      <c r="B2827" s="21">
        <v>39589</v>
      </c>
      <c r="C2827" s="45">
        <v>2008</v>
      </c>
      <c r="D2827" s="35" t="s">
        <v>28</v>
      </c>
      <c r="E2827" s="30" t="s">
        <v>133</v>
      </c>
      <c r="F2827" s="7" t="s">
        <v>53</v>
      </c>
      <c r="G2827" s="25" t="s">
        <v>3631</v>
      </c>
      <c r="H2827" s="25" t="s">
        <v>4265</v>
      </c>
      <c r="I2827" s="46">
        <v>0</v>
      </c>
      <c r="J2827" s="46">
        <v>1</v>
      </c>
      <c r="K2827" s="46">
        <v>0</v>
      </c>
      <c r="L2827" s="46">
        <v>0</v>
      </c>
      <c r="M2827" s="46">
        <v>0</v>
      </c>
      <c r="N2827" s="46">
        <v>0</v>
      </c>
      <c r="O2827" s="124">
        <v>0</v>
      </c>
      <c r="P2827" s="102">
        <v>0</v>
      </c>
      <c r="Q2827" s="45" t="s">
        <v>154</v>
      </c>
    </row>
    <row r="2828" spans="1:17" ht="48" x14ac:dyDescent="0.25">
      <c r="A2828" s="21">
        <v>39594</v>
      </c>
      <c r="B2828" s="21">
        <v>39594</v>
      </c>
      <c r="C2828" s="45">
        <v>2008</v>
      </c>
      <c r="D2828" s="35" t="s">
        <v>28</v>
      </c>
      <c r="E2828" s="30" t="s">
        <v>133</v>
      </c>
      <c r="F2828" s="7" t="s">
        <v>60</v>
      </c>
      <c r="G2828" s="25" t="s">
        <v>307</v>
      </c>
      <c r="H2828" s="25" t="s">
        <v>4266</v>
      </c>
      <c r="I2828" s="46">
        <v>0</v>
      </c>
      <c r="J2828" s="46">
        <v>60</v>
      </c>
      <c r="K2828" s="46">
        <v>12</v>
      </c>
      <c r="L2828" s="46">
        <v>0</v>
      </c>
      <c r="M2828" s="46">
        <v>0</v>
      </c>
      <c r="N2828" s="46">
        <v>0</v>
      </c>
      <c r="O2828" s="124">
        <v>0</v>
      </c>
      <c r="P2828" s="102">
        <v>0.50038800000000005</v>
      </c>
      <c r="Q2828" s="45" t="s">
        <v>154</v>
      </c>
    </row>
    <row r="2829" spans="1:17" ht="36" x14ac:dyDescent="0.25">
      <c r="A2829" s="21">
        <v>39608</v>
      </c>
      <c r="B2829" s="21">
        <v>39608</v>
      </c>
      <c r="C2829" s="45">
        <v>2008</v>
      </c>
      <c r="D2829" s="35" t="s">
        <v>28</v>
      </c>
      <c r="E2829" s="30" t="s">
        <v>133</v>
      </c>
      <c r="F2829" s="7" t="s">
        <v>53</v>
      </c>
      <c r="G2829" s="25" t="s">
        <v>460</v>
      </c>
      <c r="H2829" s="25" t="s">
        <v>4267</v>
      </c>
      <c r="I2829" s="46">
        <v>0</v>
      </c>
      <c r="J2829" s="46">
        <v>7</v>
      </c>
      <c r="K2829" s="46">
        <v>0</v>
      </c>
      <c r="L2829" s="46">
        <v>0</v>
      </c>
      <c r="M2829" s="46">
        <v>0</v>
      </c>
      <c r="N2829" s="46">
        <v>0</v>
      </c>
      <c r="O2829" s="124">
        <v>0</v>
      </c>
      <c r="P2829" s="102">
        <v>0</v>
      </c>
      <c r="Q2829" s="45" t="s">
        <v>154</v>
      </c>
    </row>
    <row r="2830" spans="1:17" ht="60" x14ac:dyDescent="0.25">
      <c r="A2830" s="21">
        <v>39622</v>
      </c>
      <c r="B2830" s="21">
        <v>39622</v>
      </c>
      <c r="C2830" s="45">
        <v>2008</v>
      </c>
      <c r="D2830" s="35" t="s">
        <v>28</v>
      </c>
      <c r="E2830" s="30" t="s">
        <v>133</v>
      </c>
      <c r="F2830" s="7" t="s">
        <v>82</v>
      </c>
      <c r="G2830" s="25" t="s">
        <v>3981</v>
      </c>
      <c r="H2830" s="25" t="s">
        <v>4268</v>
      </c>
      <c r="I2830" s="46">
        <v>2</v>
      </c>
      <c r="J2830" s="46">
        <v>4</v>
      </c>
      <c r="K2830" s="46">
        <v>0</v>
      </c>
      <c r="L2830" s="46">
        <v>0</v>
      </c>
      <c r="M2830" s="46">
        <v>0</v>
      </c>
      <c r="N2830" s="46">
        <v>0</v>
      </c>
      <c r="O2830" s="124">
        <v>0</v>
      </c>
      <c r="P2830" s="102">
        <v>0</v>
      </c>
      <c r="Q2830" s="45" t="s">
        <v>154</v>
      </c>
    </row>
    <row r="2831" spans="1:17" ht="36" x14ac:dyDescent="0.25">
      <c r="A2831" s="21">
        <v>39625</v>
      </c>
      <c r="B2831" s="21">
        <v>39625</v>
      </c>
      <c r="C2831" s="45">
        <v>2008</v>
      </c>
      <c r="D2831" s="35" t="s">
        <v>28</v>
      </c>
      <c r="E2831" s="30" t="s">
        <v>133</v>
      </c>
      <c r="F2831" s="28" t="s">
        <v>210</v>
      </c>
      <c r="G2831" s="25" t="s">
        <v>4269</v>
      </c>
      <c r="H2831" s="25" t="s">
        <v>4270</v>
      </c>
      <c r="I2831" s="46">
        <v>0</v>
      </c>
      <c r="J2831" s="46">
        <v>3</v>
      </c>
      <c r="K2831" s="46">
        <v>0</v>
      </c>
      <c r="L2831" s="46">
        <v>0</v>
      </c>
      <c r="M2831" s="46">
        <v>0</v>
      </c>
      <c r="N2831" s="46">
        <v>0</v>
      </c>
      <c r="O2831" s="124">
        <v>0</v>
      </c>
      <c r="P2831" s="102">
        <v>0</v>
      </c>
      <c r="Q2831" s="45" t="s">
        <v>154</v>
      </c>
    </row>
    <row r="2832" spans="1:17" ht="36" x14ac:dyDescent="0.25">
      <c r="A2832" s="21">
        <v>39633</v>
      </c>
      <c r="B2832" s="21">
        <v>39633</v>
      </c>
      <c r="C2832" s="45">
        <v>2008</v>
      </c>
      <c r="D2832" s="35" t="s">
        <v>28</v>
      </c>
      <c r="E2832" s="30" t="s">
        <v>133</v>
      </c>
      <c r="F2832" s="7" t="s">
        <v>53</v>
      </c>
      <c r="G2832" s="25" t="s">
        <v>1502</v>
      </c>
      <c r="H2832" s="25" t="s">
        <v>4271</v>
      </c>
      <c r="I2832" s="46">
        <v>2</v>
      </c>
      <c r="J2832" s="46">
        <v>4</v>
      </c>
      <c r="K2832" s="46">
        <v>0</v>
      </c>
      <c r="L2832" s="46">
        <v>0</v>
      </c>
      <c r="M2832" s="46">
        <v>0</v>
      </c>
      <c r="N2832" s="46">
        <v>0</v>
      </c>
      <c r="O2832" s="124">
        <v>0</v>
      </c>
      <c r="P2832" s="102">
        <v>0</v>
      </c>
      <c r="Q2832" s="45" t="s">
        <v>154</v>
      </c>
    </row>
    <row r="2833" spans="1:17" ht="24" x14ac:dyDescent="0.25">
      <c r="A2833" s="125">
        <v>39661</v>
      </c>
      <c r="B2833" s="125">
        <v>39661</v>
      </c>
      <c r="C2833" s="45">
        <v>2008</v>
      </c>
      <c r="D2833" s="35" t="s">
        <v>28</v>
      </c>
      <c r="E2833" s="30" t="s">
        <v>133</v>
      </c>
      <c r="F2833" s="7" t="s">
        <v>62</v>
      </c>
      <c r="G2833" s="25" t="s">
        <v>474</v>
      </c>
      <c r="H2833" s="25" t="s">
        <v>4272</v>
      </c>
      <c r="I2833" s="46">
        <v>2</v>
      </c>
      <c r="J2833" s="46">
        <v>5</v>
      </c>
      <c r="K2833" s="46">
        <v>0</v>
      </c>
      <c r="L2833" s="46">
        <v>0</v>
      </c>
      <c r="M2833" s="46">
        <v>0</v>
      </c>
      <c r="N2833" s="46">
        <v>0</v>
      </c>
      <c r="O2833" s="124">
        <v>0</v>
      </c>
      <c r="P2833" s="102">
        <v>0</v>
      </c>
      <c r="Q2833" s="45" t="s">
        <v>154</v>
      </c>
    </row>
    <row r="2834" spans="1:17" ht="48" x14ac:dyDescent="0.25">
      <c r="A2834" s="125">
        <v>39667</v>
      </c>
      <c r="B2834" s="125">
        <v>39667</v>
      </c>
      <c r="C2834" s="45">
        <v>2008</v>
      </c>
      <c r="D2834" s="35" t="s">
        <v>28</v>
      </c>
      <c r="E2834" s="30" t="s">
        <v>133</v>
      </c>
      <c r="F2834" s="7" t="s">
        <v>56</v>
      </c>
      <c r="G2834" s="25" t="s">
        <v>646</v>
      </c>
      <c r="H2834" s="25" t="s">
        <v>4273</v>
      </c>
      <c r="I2834" s="46">
        <v>0</v>
      </c>
      <c r="J2834" s="46">
        <v>3</v>
      </c>
      <c r="K2834" s="46">
        <v>0</v>
      </c>
      <c r="L2834" s="46">
        <v>0</v>
      </c>
      <c r="M2834" s="46">
        <v>0</v>
      </c>
      <c r="N2834" s="46">
        <v>0</v>
      </c>
      <c r="O2834" s="124">
        <v>0</v>
      </c>
      <c r="P2834" s="102">
        <v>0</v>
      </c>
      <c r="Q2834" s="45" t="s">
        <v>154</v>
      </c>
    </row>
    <row r="2835" spans="1:17" ht="24" x14ac:dyDescent="0.25">
      <c r="A2835" s="125">
        <v>39746</v>
      </c>
      <c r="B2835" s="125">
        <v>39746</v>
      </c>
      <c r="C2835" s="45">
        <v>2008</v>
      </c>
      <c r="D2835" s="35" t="s">
        <v>28</v>
      </c>
      <c r="E2835" s="30" t="s">
        <v>133</v>
      </c>
      <c r="F2835" s="28" t="s">
        <v>157</v>
      </c>
      <c r="G2835" s="25" t="s">
        <v>1443</v>
      </c>
      <c r="H2835" s="25" t="s">
        <v>4274</v>
      </c>
      <c r="I2835" s="46">
        <v>0</v>
      </c>
      <c r="J2835" s="46">
        <v>12</v>
      </c>
      <c r="K2835" s="46">
        <v>0</v>
      </c>
      <c r="L2835" s="46">
        <v>0</v>
      </c>
      <c r="M2835" s="46">
        <v>0</v>
      </c>
      <c r="N2835" s="46">
        <v>0</v>
      </c>
      <c r="O2835" s="124">
        <v>0</v>
      </c>
      <c r="P2835" s="102">
        <v>0</v>
      </c>
      <c r="Q2835" s="45" t="s">
        <v>154</v>
      </c>
    </row>
    <row r="2836" spans="1:17" ht="48" x14ac:dyDescent="0.25">
      <c r="A2836" s="125">
        <v>39751</v>
      </c>
      <c r="B2836" s="125">
        <v>39751</v>
      </c>
      <c r="C2836" s="45">
        <v>2008</v>
      </c>
      <c r="D2836" s="35" t="s">
        <v>28</v>
      </c>
      <c r="E2836" s="30" t="s">
        <v>133</v>
      </c>
      <c r="F2836" s="28" t="s">
        <v>157</v>
      </c>
      <c r="G2836" s="25" t="s">
        <v>1029</v>
      </c>
      <c r="H2836" s="25" t="s">
        <v>4275</v>
      </c>
      <c r="I2836" s="46">
        <v>0</v>
      </c>
      <c r="J2836" s="46">
        <v>2</v>
      </c>
      <c r="K2836" s="46">
        <v>0</v>
      </c>
      <c r="L2836" s="46">
        <v>0</v>
      </c>
      <c r="M2836" s="46">
        <v>0</v>
      </c>
      <c r="N2836" s="46">
        <v>0</v>
      </c>
      <c r="O2836" s="124">
        <v>0</v>
      </c>
      <c r="P2836" s="102">
        <v>0</v>
      </c>
      <c r="Q2836" s="45" t="s">
        <v>154</v>
      </c>
    </row>
    <row r="2837" spans="1:17" ht="48" x14ac:dyDescent="0.25">
      <c r="A2837" s="125">
        <v>39754</v>
      </c>
      <c r="B2837" s="125">
        <v>39754</v>
      </c>
      <c r="C2837" s="45">
        <v>2008</v>
      </c>
      <c r="D2837" s="35" t="s">
        <v>28</v>
      </c>
      <c r="E2837" s="30" t="s">
        <v>133</v>
      </c>
      <c r="F2837" s="28" t="s">
        <v>160</v>
      </c>
      <c r="G2837" s="25" t="s">
        <v>4276</v>
      </c>
      <c r="H2837" s="25" t="s">
        <v>4277</v>
      </c>
      <c r="I2837" s="46">
        <v>0</v>
      </c>
      <c r="J2837" s="46">
        <v>6</v>
      </c>
      <c r="K2837" s="46">
        <v>1</v>
      </c>
      <c r="L2837" s="46">
        <v>0</v>
      </c>
      <c r="M2837" s="46">
        <v>0</v>
      </c>
      <c r="N2837" s="46">
        <v>0</v>
      </c>
      <c r="O2837" s="124">
        <v>0</v>
      </c>
      <c r="P2837" s="102">
        <v>4.1699E-2</v>
      </c>
      <c r="Q2837" s="45" t="s">
        <v>154</v>
      </c>
    </row>
    <row r="2838" spans="1:17" ht="36" x14ac:dyDescent="0.25">
      <c r="A2838" s="125">
        <v>39766</v>
      </c>
      <c r="B2838" s="125">
        <v>39766</v>
      </c>
      <c r="C2838" s="45">
        <v>2008</v>
      </c>
      <c r="D2838" s="35" t="s">
        <v>28</v>
      </c>
      <c r="E2838" s="30" t="str">
        <f>+E2837</f>
        <v>Explosión</v>
      </c>
      <c r="F2838" s="7" t="s">
        <v>53</v>
      </c>
      <c r="G2838" s="25" t="s">
        <v>451</v>
      </c>
      <c r="H2838" s="25" t="s">
        <v>4278</v>
      </c>
      <c r="I2838" s="46">
        <v>0</v>
      </c>
      <c r="J2838" s="46">
        <v>4</v>
      </c>
      <c r="K2838" s="46">
        <v>0</v>
      </c>
      <c r="L2838" s="46">
        <v>0</v>
      </c>
      <c r="M2838" s="46">
        <v>0</v>
      </c>
      <c r="N2838" s="46">
        <v>0</v>
      </c>
      <c r="O2838" s="124">
        <v>0</v>
      </c>
      <c r="P2838" s="102">
        <v>0</v>
      </c>
      <c r="Q2838" s="45" t="s">
        <v>154</v>
      </c>
    </row>
    <row r="2839" spans="1:17" ht="36" x14ac:dyDescent="0.25">
      <c r="A2839" s="125">
        <v>39766</v>
      </c>
      <c r="B2839" s="125">
        <v>39766</v>
      </c>
      <c r="C2839" s="45">
        <v>2008</v>
      </c>
      <c r="D2839" s="35" t="s">
        <v>28</v>
      </c>
      <c r="E2839" s="30" t="str">
        <f>+E2838</f>
        <v>Explosión</v>
      </c>
      <c r="F2839" s="28" t="s">
        <v>210</v>
      </c>
      <c r="G2839" s="25" t="s">
        <v>921</v>
      </c>
      <c r="H2839" s="25" t="s">
        <v>4279</v>
      </c>
      <c r="I2839" s="46">
        <v>0</v>
      </c>
      <c r="J2839" s="46">
        <v>8</v>
      </c>
      <c r="K2839" s="46">
        <v>0</v>
      </c>
      <c r="L2839" s="46">
        <v>0</v>
      </c>
      <c r="M2839" s="46">
        <v>0</v>
      </c>
      <c r="N2839" s="46">
        <v>0</v>
      </c>
      <c r="O2839" s="124">
        <v>0</v>
      </c>
      <c r="P2839" s="102">
        <v>0</v>
      </c>
      <c r="Q2839" s="45" t="s">
        <v>154</v>
      </c>
    </row>
    <row r="2840" spans="1:17" ht="36" x14ac:dyDescent="0.25">
      <c r="A2840" s="125">
        <v>39769</v>
      </c>
      <c r="B2840" s="125">
        <v>39769</v>
      </c>
      <c r="C2840" s="45">
        <v>2008</v>
      </c>
      <c r="D2840" s="35" t="s">
        <v>28</v>
      </c>
      <c r="E2840" s="30" t="s">
        <v>133</v>
      </c>
      <c r="F2840" s="7" t="s">
        <v>36</v>
      </c>
      <c r="G2840" s="25" t="s">
        <v>4280</v>
      </c>
      <c r="H2840" s="25" t="s">
        <v>4281</v>
      </c>
      <c r="I2840" s="46">
        <v>2</v>
      </c>
      <c r="J2840" s="46">
        <v>5</v>
      </c>
      <c r="K2840" s="46">
        <v>0</v>
      </c>
      <c r="L2840" s="46">
        <v>0</v>
      </c>
      <c r="M2840" s="46">
        <v>0</v>
      </c>
      <c r="N2840" s="46">
        <v>0</v>
      </c>
      <c r="O2840" s="124">
        <v>0</v>
      </c>
      <c r="P2840" s="102">
        <v>0</v>
      </c>
      <c r="Q2840" s="45" t="s">
        <v>154</v>
      </c>
    </row>
    <row r="2841" spans="1:17" ht="24" x14ac:dyDescent="0.25">
      <c r="A2841" s="125">
        <v>39777</v>
      </c>
      <c r="B2841" s="125">
        <v>39777</v>
      </c>
      <c r="C2841" s="45">
        <v>2008</v>
      </c>
      <c r="D2841" s="35" t="s">
        <v>28</v>
      </c>
      <c r="E2841" s="30" t="s">
        <v>133</v>
      </c>
      <c r="F2841" s="7" t="s">
        <v>75</v>
      </c>
      <c r="G2841" s="25" t="s">
        <v>4282</v>
      </c>
      <c r="H2841" s="25" t="s">
        <v>4283</v>
      </c>
      <c r="I2841" s="46">
        <v>2</v>
      </c>
      <c r="J2841" s="46">
        <v>2</v>
      </c>
      <c r="K2841" s="46">
        <v>0</v>
      </c>
      <c r="L2841" s="46">
        <v>0</v>
      </c>
      <c r="M2841" s="46">
        <v>0</v>
      </c>
      <c r="N2841" s="46">
        <v>0</v>
      </c>
      <c r="O2841" s="124">
        <v>0</v>
      </c>
      <c r="P2841" s="102">
        <v>0</v>
      </c>
      <c r="Q2841" s="45" t="s">
        <v>154</v>
      </c>
    </row>
    <row r="2842" spans="1:17" ht="24" x14ac:dyDescent="0.25">
      <c r="A2842" s="125">
        <v>39788</v>
      </c>
      <c r="B2842" s="125">
        <v>39788</v>
      </c>
      <c r="C2842" s="45">
        <v>2008</v>
      </c>
      <c r="D2842" s="35" t="s">
        <v>28</v>
      </c>
      <c r="E2842" s="30" t="s">
        <v>133</v>
      </c>
      <c r="F2842" s="7" t="s">
        <v>72</v>
      </c>
      <c r="G2842" s="25" t="s">
        <v>4284</v>
      </c>
      <c r="H2842" s="25" t="s">
        <v>4285</v>
      </c>
      <c r="I2842" s="46">
        <v>4</v>
      </c>
      <c r="J2842" s="46">
        <v>9</v>
      </c>
      <c r="K2842" s="46">
        <v>1</v>
      </c>
      <c r="L2842" s="46">
        <v>0</v>
      </c>
      <c r="M2842" s="46">
        <v>0</v>
      </c>
      <c r="N2842" s="46">
        <v>0</v>
      </c>
      <c r="O2842" s="124">
        <v>0</v>
      </c>
      <c r="P2842" s="102">
        <v>4.1699E-2</v>
      </c>
      <c r="Q2842" s="45" t="s">
        <v>154</v>
      </c>
    </row>
    <row r="2843" spans="1:17" ht="24" x14ac:dyDescent="0.25">
      <c r="A2843" s="125">
        <v>39791</v>
      </c>
      <c r="B2843" s="125">
        <v>39791</v>
      </c>
      <c r="C2843" s="45">
        <v>2008</v>
      </c>
      <c r="D2843" s="35" t="s">
        <v>28</v>
      </c>
      <c r="E2843" s="30" t="s">
        <v>133</v>
      </c>
      <c r="F2843" s="7" t="s">
        <v>56</v>
      </c>
      <c r="G2843" s="25" t="s">
        <v>4286</v>
      </c>
      <c r="H2843" s="25" t="s">
        <v>4287</v>
      </c>
      <c r="I2843" s="46">
        <v>1</v>
      </c>
      <c r="J2843" s="46">
        <v>1</v>
      </c>
      <c r="K2843" s="46">
        <v>0</v>
      </c>
      <c r="L2843" s="46">
        <v>0</v>
      </c>
      <c r="M2843" s="46">
        <v>0</v>
      </c>
      <c r="N2843" s="46">
        <v>0</v>
      </c>
      <c r="O2843" s="124">
        <v>0</v>
      </c>
      <c r="P2843" s="102">
        <v>0</v>
      </c>
      <c r="Q2843" s="45" t="s">
        <v>154</v>
      </c>
    </row>
    <row r="2844" spans="1:17" ht="24" x14ac:dyDescent="0.25">
      <c r="A2844" s="125">
        <v>39806</v>
      </c>
      <c r="B2844" s="125">
        <v>39806</v>
      </c>
      <c r="C2844" s="45">
        <v>2008</v>
      </c>
      <c r="D2844" s="35" t="s">
        <v>28</v>
      </c>
      <c r="E2844" s="30" t="s">
        <v>133</v>
      </c>
      <c r="F2844" s="28" t="s">
        <v>210</v>
      </c>
      <c r="G2844" s="25" t="s">
        <v>4288</v>
      </c>
      <c r="H2844" s="25" t="s">
        <v>4289</v>
      </c>
      <c r="I2844" s="46">
        <v>0</v>
      </c>
      <c r="J2844" s="46">
        <v>15</v>
      </c>
      <c r="K2844" s="46">
        <v>3</v>
      </c>
      <c r="L2844" s="46">
        <v>0</v>
      </c>
      <c r="M2844" s="46">
        <v>0</v>
      </c>
      <c r="N2844" s="46">
        <v>0</v>
      </c>
      <c r="O2844" s="124">
        <v>0</v>
      </c>
      <c r="P2844" s="102">
        <v>0.125</v>
      </c>
      <c r="Q2844" s="45" t="s">
        <v>154</v>
      </c>
    </row>
    <row r="2845" spans="1:17" x14ac:dyDescent="0.25">
      <c r="A2845" s="125">
        <v>39806</v>
      </c>
      <c r="B2845" s="125">
        <v>39806</v>
      </c>
      <c r="C2845" s="45">
        <v>2008</v>
      </c>
      <c r="D2845" s="35" t="s">
        <v>28</v>
      </c>
      <c r="E2845" s="30" t="s">
        <v>133</v>
      </c>
      <c r="F2845" s="7" t="s">
        <v>53</v>
      </c>
      <c r="G2845" s="25" t="s">
        <v>1236</v>
      </c>
      <c r="H2845" s="25" t="s">
        <v>4290</v>
      </c>
      <c r="I2845" s="46">
        <v>0</v>
      </c>
      <c r="J2845" s="46">
        <v>5</v>
      </c>
      <c r="K2845" s="46">
        <v>1</v>
      </c>
      <c r="L2845" s="46">
        <v>0</v>
      </c>
      <c r="M2845" s="46">
        <v>0</v>
      </c>
      <c r="N2845" s="46">
        <v>0</v>
      </c>
      <c r="O2845" s="124">
        <v>0</v>
      </c>
      <c r="P2845" s="102">
        <v>4.1699E-2</v>
      </c>
      <c r="Q2845" s="45" t="s">
        <v>154</v>
      </c>
    </row>
    <row r="2846" spans="1:17" x14ac:dyDescent="0.25">
      <c r="A2846" s="125">
        <v>39810</v>
      </c>
      <c r="B2846" s="125">
        <v>39810</v>
      </c>
      <c r="C2846" s="45">
        <v>2008</v>
      </c>
      <c r="D2846" s="35" t="s">
        <v>28</v>
      </c>
      <c r="E2846" s="30" t="s">
        <v>133</v>
      </c>
      <c r="F2846" s="28" t="s">
        <v>160</v>
      </c>
      <c r="G2846" s="25" t="s">
        <v>4291</v>
      </c>
      <c r="H2846" s="25" t="s">
        <v>4292</v>
      </c>
      <c r="I2846" s="46">
        <v>1</v>
      </c>
      <c r="J2846" s="46">
        <v>1</v>
      </c>
      <c r="K2846" s="46">
        <v>0</v>
      </c>
      <c r="L2846" s="46">
        <v>0</v>
      </c>
      <c r="M2846" s="46">
        <v>0</v>
      </c>
      <c r="N2846" s="46">
        <v>0</v>
      </c>
      <c r="O2846" s="124">
        <v>0</v>
      </c>
      <c r="P2846" s="102">
        <v>0</v>
      </c>
      <c r="Q2846" s="45" t="s">
        <v>154</v>
      </c>
    </row>
    <row r="2847" spans="1:17" ht="84" x14ac:dyDescent="0.25">
      <c r="A2847" s="21">
        <v>39457</v>
      </c>
      <c r="B2847" s="21">
        <v>39457</v>
      </c>
      <c r="C2847" s="45">
        <v>2008</v>
      </c>
      <c r="D2847" s="35" t="s">
        <v>28</v>
      </c>
      <c r="E2847" s="30" t="s">
        <v>369</v>
      </c>
      <c r="F2847" s="28" t="s">
        <v>210</v>
      </c>
      <c r="G2847" s="25" t="s">
        <v>4293</v>
      </c>
      <c r="H2847" s="25" t="s">
        <v>4294</v>
      </c>
      <c r="I2847" s="46">
        <v>0</v>
      </c>
      <c r="J2847" s="46">
        <v>350</v>
      </c>
      <c r="K2847" s="46">
        <v>0</v>
      </c>
      <c r="L2847" s="46">
        <v>0</v>
      </c>
      <c r="M2847" s="46">
        <v>0</v>
      </c>
      <c r="N2847" s="46">
        <v>0</v>
      </c>
      <c r="O2847" s="124">
        <v>0</v>
      </c>
      <c r="P2847" s="102">
        <v>2.004</v>
      </c>
      <c r="Q2847" s="45" t="s">
        <v>154</v>
      </c>
    </row>
    <row r="2848" spans="1:17" ht="48" x14ac:dyDescent="0.25">
      <c r="A2848" s="21">
        <v>39458</v>
      </c>
      <c r="B2848" s="21">
        <v>39458</v>
      </c>
      <c r="C2848" s="45">
        <v>2008</v>
      </c>
      <c r="D2848" s="35" t="s">
        <v>28</v>
      </c>
      <c r="E2848" s="30" t="s">
        <v>369</v>
      </c>
      <c r="F2848" s="28" t="s">
        <v>157</v>
      </c>
      <c r="G2848" s="25" t="s">
        <v>1089</v>
      </c>
      <c r="H2848" s="25" t="s">
        <v>4295</v>
      </c>
      <c r="I2848" s="46">
        <v>0</v>
      </c>
      <c r="J2848" s="46"/>
      <c r="K2848" s="46">
        <v>0</v>
      </c>
      <c r="L2848" s="46">
        <v>0</v>
      </c>
      <c r="M2848" s="46">
        <v>0</v>
      </c>
      <c r="N2848" s="46">
        <v>0</v>
      </c>
      <c r="O2848" s="124">
        <v>0</v>
      </c>
      <c r="P2848" s="102">
        <v>0</v>
      </c>
      <c r="Q2848" s="45" t="s">
        <v>154</v>
      </c>
    </row>
    <row r="2849" spans="1:17" ht="72" x14ac:dyDescent="0.25">
      <c r="A2849" s="21">
        <v>39552</v>
      </c>
      <c r="B2849" s="21">
        <v>39552</v>
      </c>
      <c r="C2849" s="45">
        <v>2008</v>
      </c>
      <c r="D2849" s="35" t="s">
        <v>28</v>
      </c>
      <c r="E2849" s="30" t="s">
        <v>369</v>
      </c>
      <c r="F2849" s="28" t="s">
        <v>210</v>
      </c>
      <c r="G2849" s="25" t="s">
        <v>4296</v>
      </c>
      <c r="H2849" s="25" t="s">
        <v>4297</v>
      </c>
      <c r="I2849" s="46">
        <v>0</v>
      </c>
      <c r="J2849" s="46">
        <v>0</v>
      </c>
      <c r="K2849" s="46">
        <v>0</v>
      </c>
      <c r="L2849" s="46">
        <v>0</v>
      </c>
      <c r="M2849" s="46">
        <v>0</v>
      </c>
      <c r="N2849" s="46">
        <v>0</v>
      </c>
      <c r="O2849" s="124">
        <v>0</v>
      </c>
      <c r="P2849" s="102">
        <v>4.8</v>
      </c>
      <c r="Q2849" s="45" t="s">
        <v>154</v>
      </c>
    </row>
    <row r="2850" spans="1:17" ht="36" x14ac:dyDescent="0.25">
      <c r="A2850" s="125">
        <v>39743</v>
      </c>
      <c r="B2850" s="125">
        <v>39743</v>
      </c>
      <c r="C2850" s="45">
        <v>2008</v>
      </c>
      <c r="D2850" s="35" t="s">
        <v>28</v>
      </c>
      <c r="E2850" s="30" t="s">
        <v>369</v>
      </c>
      <c r="F2850" s="7" t="s">
        <v>91</v>
      </c>
      <c r="G2850" s="25" t="s">
        <v>2321</v>
      </c>
      <c r="H2850" s="25" t="s">
        <v>4298</v>
      </c>
      <c r="I2850" s="46">
        <v>0</v>
      </c>
      <c r="J2850" s="46">
        <v>100</v>
      </c>
      <c r="K2850" s="46">
        <v>0</v>
      </c>
      <c r="L2850" s="46">
        <v>0</v>
      </c>
      <c r="M2850" s="46">
        <v>0</v>
      </c>
      <c r="N2850" s="46">
        <v>0</v>
      </c>
      <c r="O2850" s="124">
        <v>0</v>
      </c>
      <c r="P2850" s="102">
        <v>0</v>
      </c>
      <c r="Q2850" s="45" t="s">
        <v>154</v>
      </c>
    </row>
    <row r="2851" spans="1:17" ht="36" x14ac:dyDescent="0.25">
      <c r="A2851" s="125">
        <v>39752</v>
      </c>
      <c r="B2851" s="125">
        <v>39752</v>
      </c>
      <c r="C2851" s="45">
        <v>2008</v>
      </c>
      <c r="D2851" s="35" t="s">
        <v>28</v>
      </c>
      <c r="E2851" s="30" t="s">
        <v>369</v>
      </c>
      <c r="F2851" s="7" t="s">
        <v>45</v>
      </c>
      <c r="G2851" s="25" t="s">
        <v>577</v>
      </c>
      <c r="H2851" s="25" t="s">
        <v>4299</v>
      </c>
      <c r="I2851" s="46">
        <v>0</v>
      </c>
      <c r="J2851" s="46">
        <v>2</v>
      </c>
      <c r="K2851" s="46">
        <v>0</v>
      </c>
      <c r="L2851" s="46">
        <v>0</v>
      </c>
      <c r="M2851" s="46">
        <v>0</v>
      </c>
      <c r="N2851" s="46">
        <v>0</v>
      </c>
      <c r="O2851" s="124">
        <v>0</v>
      </c>
      <c r="P2851" s="102">
        <v>1.008E-2</v>
      </c>
      <c r="Q2851" s="45" t="s">
        <v>154</v>
      </c>
    </row>
    <row r="2852" spans="1:17" ht="60" x14ac:dyDescent="0.25">
      <c r="A2852" s="125">
        <v>39754</v>
      </c>
      <c r="B2852" s="125">
        <v>39754</v>
      </c>
      <c r="C2852" s="45">
        <v>2008</v>
      </c>
      <c r="D2852" s="35" t="s">
        <v>28</v>
      </c>
      <c r="E2852" s="30" t="s">
        <v>369</v>
      </c>
      <c r="F2852" s="7" t="s">
        <v>91</v>
      </c>
      <c r="G2852" s="25" t="s">
        <v>2321</v>
      </c>
      <c r="H2852" s="25" t="s">
        <v>4300</v>
      </c>
      <c r="I2852" s="46">
        <v>0</v>
      </c>
      <c r="J2852" s="46">
        <v>0</v>
      </c>
      <c r="K2852" s="46">
        <v>0</v>
      </c>
      <c r="L2852" s="46">
        <v>0</v>
      </c>
      <c r="M2852" s="46">
        <v>0</v>
      </c>
      <c r="N2852" s="46">
        <v>0</v>
      </c>
      <c r="O2852" s="124">
        <v>0</v>
      </c>
      <c r="P2852" s="102">
        <v>0.58640000000000003</v>
      </c>
      <c r="Q2852" s="45" t="s">
        <v>154</v>
      </c>
    </row>
    <row r="2853" spans="1:17" ht="36" x14ac:dyDescent="0.25">
      <c r="A2853" s="125">
        <v>39785</v>
      </c>
      <c r="B2853" s="125">
        <v>39785</v>
      </c>
      <c r="C2853" s="45">
        <v>2008</v>
      </c>
      <c r="D2853" s="35" t="s">
        <v>28</v>
      </c>
      <c r="E2853" s="30" t="s">
        <v>369</v>
      </c>
      <c r="F2853" s="7" t="s">
        <v>87</v>
      </c>
      <c r="G2853" s="25" t="s">
        <v>567</v>
      </c>
      <c r="H2853" s="25" t="s">
        <v>4301</v>
      </c>
      <c r="I2853" s="46">
        <v>0</v>
      </c>
      <c r="J2853" s="46">
        <v>19</v>
      </c>
      <c r="K2853" s="46">
        <v>0</v>
      </c>
      <c r="L2853" s="46">
        <v>0</v>
      </c>
      <c r="M2853" s="46">
        <v>0</v>
      </c>
      <c r="N2853" s="46">
        <v>0</v>
      </c>
      <c r="O2853" s="124">
        <v>0</v>
      </c>
      <c r="P2853" s="102" t="s">
        <v>3339</v>
      </c>
      <c r="Q2853" s="45" t="s">
        <v>154</v>
      </c>
    </row>
    <row r="2854" spans="1:17" ht="36" x14ac:dyDescent="0.25">
      <c r="A2854" s="21">
        <v>39456</v>
      </c>
      <c r="B2854" s="21">
        <v>39456</v>
      </c>
      <c r="C2854" s="45">
        <v>2008</v>
      </c>
      <c r="D2854" s="35" t="s">
        <v>28</v>
      </c>
      <c r="E2854" s="30" t="s">
        <v>125</v>
      </c>
      <c r="F2854" s="28" t="s">
        <v>160</v>
      </c>
      <c r="G2854" s="25" t="s">
        <v>1350</v>
      </c>
      <c r="H2854" s="25" t="s">
        <v>4302</v>
      </c>
      <c r="I2854" s="46">
        <v>0</v>
      </c>
      <c r="J2854" s="46">
        <v>10</v>
      </c>
      <c r="K2854" s="46">
        <v>0</v>
      </c>
      <c r="L2854" s="46">
        <v>0</v>
      </c>
      <c r="M2854" s="46">
        <v>0</v>
      </c>
      <c r="N2854" s="46">
        <v>0</v>
      </c>
      <c r="O2854" s="124">
        <v>0</v>
      </c>
      <c r="P2854" s="102">
        <v>0</v>
      </c>
      <c r="Q2854" s="45" t="s">
        <v>154</v>
      </c>
    </row>
    <row r="2855" spans="1:17" ht="24" x14ac:dyDescent="0.25">
      <c r="A2855" s="21">
        <v>39471</v>
      </c>
      <c r="B2855" s="21">
        <v>39471</v>
      </c>
      <c r="C2855" s="45">
        <v>2008</v>
      </c>
      <c r="D2855" s="35" t="s">
        <v>28</v>
      </c>
      <c r="E2855" s="30" t="s">
        <v>125</v>
      </c>
      <c r="F2855" s="7" t="s">
        <v>58</v>
      </c>
      <c r="G2855" s="25" t="s">
        <v>4303</v>
      </c>
      <c r="H2855" s="25" t="s">
        <v>4304</v>
      </c>
      <c r="I2855" s="46">
        <v>3</v>
      </c>
      <c r="J2855" s="46">
        <v>3</v>
      </c>
      <c r="K2855" s="46">
        <v>0</v>
      </c>
      <c r="L2855" s="46">
        <v>0</v>
      </c>
      <c r="M2855" s="46">
        <v>0</v>
      </c>
      <c r="N2855" s="46">
        <v>0</v>
      </c>
      <c r="O2855" s="124">
        <v>0</v>
      </c>
      <c r="P2855" s="102">
        <v>0</v>
      </c>
      <c r="Q2855" s="45" t="s">
        <v>154</v>
      </c>
    </row>
    <row r="2856" spans="1:17" ht="48" x14ac:dyDescent="0.25">
      <c r="A2856" s="21">
        <v>39514</v>
      </c>
      <c r="B2856" s="21">
        <v>39514</v>
      </c>
      <c r="C2856" s="45">
        <v>2008</v>
      </c>
      <c r="D2856" s="35" t="s">
        <v>28</v>
      </c>
      <c r="E2856" s="30" t="s">
        <v>125</v>
      </c>
      <c r="F2856" s="7" t="s">
        <v>45</v>
      </c>
      <c r="G2856" s="25" t="s">
        <v>4305</v>
      </c>
      <c r="H2856" s="25" t="s">
        <v>4306</v>
      </c>
      <c r="I2856" s="46">
        <v>0</v>
      </c>
      <c r="J2856" s="46">
        <v>325</v>
      </c>
      <c r="K2856" s="46">
        <v>0</v>
      </c>
      <c r="L2856" s="46">
        <v>0</v>
      </c>
      <c r="M2856" s="46">
        <v>0</v>
      </c>
      <c r="N2856" s="46">
        <v>0</v>
      </c>
      <c r="O2856" s="124">
        <v>0</v>
      </c>
      <c r="P2856" s="102">
        <v>0</v>
      </c>
      <c r="Q2856" s="45" t="s">
        <v>154</v>
      </c>
    </row>
    <row r="2857" spans="1:17" ht="60" x14ac:dyDescent="0.25">
      <c r="A2857" s="21">
        <v>39549</v>
      </c>
      <c r="B2857" s="21">
        <v>39549</v>
      </c>
      <c r="C2857" s="45">
        <v>2008</v>
      </c>
      <c r="D2857" s="35" t="s">
        <v>28</v>
      </c>
      <c r="E2857" s="30" t="s">
        <v>125</v>
      </c>
      <c r="F2857" s="28" t="s">
        <v>157</v>
      </c>
      <c r="G2857" s="25" t="s">
        <v>206</v>
      </c>
      <c r="H2857" s="25" t="s">
        <v>4307</v>
      </c>
      <c r="I2857" s="46">
        <v>0</v>
      </c>
      <c r="J2857" s="46">
        <v>1</v>
      </c>
      <c r="K2857" s="46">
        <v>0</v>
      </c>
      <c r="L2857" s="46">
        <v>0</v>
      </c>
      <c r="M2857" s="46">
        <v>0</v>
      </c>
      <c r="N2857" s="46">
        <v>0</v>
      </c>
      <c r="O2857" s="124">
        <v>0</v>
      </c>
      <c r="P2857" s="102">
        <v>0</v>
      </c>
      <c r="Q2857" s="45" t="s">
        <v>154</v>
      </c>
    </row>
    <row r="2858" spans="1:17" ht="60" x14ac:dyDescent="0.25">
      <c r="A2858" s="21">
        <v>39555</v>
      </c>
      <c r="B2858" s="21">
        <v>39555</v>
      </c>
      <c r="C2858" s="45">
        <v>2008</v>
      </c>
      <c r="D2858" s="35" t="s">
        <v>28</v>
      </c>
      <c r="E2858" s="30" t="s">
        <v>125</v>
      </c>
      <c r="F2858" s="7" t="s">
        <v>62</v>
      </c>
      <c r="G2858" s="25" t="s">
        <v>1011</v>
      </c>
      <c r="H2858" s="25" t="s">
        <v>4308</v>
      </c>
      <c r="I2858" s="46">
        <v>0</v>
      </c>
      <c r="J2858" s="46">
        <v>4</v>
      </c>
      <c r="K2858" s="46">
        <v>0</v>
      </c>
      <c r="L2858" s="46">
        <v>0</v>
      </c>
      <c r="M2858" s="46">
        <v>0</v>
      </c>
      <c r="N2858" s="46">
        <v>0</v>
      </c>
      <c r="O2858" s="124">
        <v>0</v>
      </c>
      <c r="P2858" s="102">
        <v>0</v>
      </c>
      <c r="Q2858" s="45" t="s">
        <v>154</v>
      </c>
    </row>
    <row r="2859" spans="1:17" ht="48" x14ac:dyDescent="0.25">
      <c r="A2859" s="21">
        <v>39576</v>
      </c>
      <c r="B2859" s="21">
        <v>39576</v>
      </c>
      <c r="C2859" s="45">
        <v>2008</v>
      </c>
      <c r="D2859" s="35" t="s">
        <v>28</v>
      </c>
      <c r="E2859" s="30" t="s">
        <v>125</v>
      </c>
      <c r="F2859" s="7" t="s">
        <v>53</v>
      </c>
      <c r="G2859" s="25" t="s">
        <v>1844</v>
      </c>
      <c r="H2859" s="25" t="s">
        <v>4309</v>
      </c>
      <c r="I2859" s="46">
        <v>0</v>
      </c>
      <c r="J2859" s="46">
        <v>2</v>
      </c>
      <c r="K2859" s="46">
        <v>0</v>
      </c>
      <c r="L2859" s="46">
        <v>0</v>
      </c>
      <c r="M2859" s="46">
        <v>0</v>
      </c>
      <c r="N2859" s="46">
        <v>0</v>
      </c>
      <c r="O2859" s="124">
        <v>0</v>
      </c>
      <c r="P2859" s="102">
        <v>0</v>
      </c>
      <c r="Q2859" s="45" t="s">
        <v>154</v>
      </c>
    </row>
    <row r="2860" spans="1:17" ht="60" x14ac:dyDescent="0.25">
      <c r="A2860" s="125">
        <v>39744</v>
      </c>
      <c r="B2860" s="125">
        <v>39744</v>
      </c>
      <c r="C2860" s="45">
        <v>2008</v>
      </c>
      <c r="D2860" s="35" t="s">
        <v>28</v>
      </c>
      <c r="E2860" s="30" t="s">
        <v>125</v>
      </c>
      <c r="F2860" s="7" t="s">
        <v>91</v>
      </c>
      <c r="G2860" s="25" t="s">
        <v>2321</v>
      </c>
      <c r="H2860" s="25" t="s">
        <v>4310</v>
      </c>
      <c r="I2860" s="46">
        <v>0</v>
      </c>
      <c r="J2860" s="46">
        <v>1623</v>
      </c>
      <c r="K2860" s="46">
        <v>0</v>
      </c>
      <c r="L2860" s="46">
        <v>0</v>
      </c>
      <c r="M2860" s="46">
        <v>0</v>
      </c>
      <c r="N2860" s="46">
        <v>0</v>
      </c>
      <c r="O2860" s="124">
        <v>0</v>
      </c>
      <c r="P2860" s="102">
        <v>0</v>
      </c>
      <c r="Q2860" s="45" t="s">
        <v>154</v>
      </c>
    </row>
    <row r="2861" spans="1:17" ht="48" x14ac:dyDescent="0.25">
      <c r="A2861" s="21">
        <v>39451</v>
      </c>
      <c r="B2861" s="21">
        <v>39451</v>
      </c>
      <c r="C2861" s="45">
        <v>2008</v>
      </c>
      <c r="D2861" s="24" t="s">
        <v>141</v>
      </c>
      <c r="E2861" s="30" t="s">
        <v>142</v>
      </c>
      <c r="F2861" s="7" t="s">
        <v>91</v>
      </c>
      <c r="G2861" s="25" t="s">
        <v>4311</v>
      </c>
      <c r="H2861" s="29" t="s">
        <v>4312</v>
      </c>
      <c r="I2861" s="46">
        <v>3</v>
      </c>
      <c r="J2861" s="46">
        <v>3</v>
      </c>
      <c r="K2861" s="46">
        <v>0</v>
      </c>
      <c r="L2861" s="46">
        <v>0</v>
      </c>
      <c r="M2861" s="46">
        <v>0</v>
      </c>
      <c r="N2861" s="46">
        <v>0</v>
      </c>
      <c r="O2861" s="124">
        <v>0</v>
      </c>
      <c r="P2861" s="102">
        <v>0.45</v>
      </c>
      <c r="Q2861" s="45" t="s">
        <v>154</v>
      </c>
    </row>
    <row r="2862" spans="1:17" ht="48" x14ac:dyDescent="0.25">
      <c r="A2862" s="21">
        <v>39457</v>
      </c>
      <c r="B2862" s="21">
        <v>39457</v>
      </c>
      <c r="C2862" s="45">
        <v>2008</v>
      </c>
      <c r="D2862" s="24" t="s">
        <v>141</v>
      </c>
      <c r="E2862" s="30" t="s">
        <v>142</v>
      </c>
      <c r="F2862" s="28" t="s">
        <v>210</v>
      </c>
      <c r="G2862" s="25" t="s">
        <v>4313</v>
      </c>
      <c r="H2862" s="29" t="s">
        <v>4314</v>
      </c>
      <c r="I2862" s="46">
        <v>0</v>
      </c>
      <c r="J2862" s="46">
        <v>0</v>
      </c>
      <c r="K2862" s="46">
        <v>0</v>
      </c>
      <c r="L2862" s="46">
        <v>0</v>
      </c>
      <c r="M2862" s="46">
        <v>0</v>
      </c>
      <c r="N2862" s="46">
        <v>0</v>
      </c>
      <c r="O2862" s="124">
        <v>0</v>
      </c>
      <c r="P2862" s="102">
        <v>0.61319999999999997</v>
      </c>
      <c r="Q2862" s="45" t="s">
        <v>154</v>
      </c>
    </row>
    <row r="2863" spans="1:17" ht="36" x14ac:dyDescent="0.25">
      <c r="A2863" s="21">
        <v>39457</v>
      </c>
      <c r="B2863" s="21">
        <v>39457</v>
      </c>
      <c r="C2863" s="45">
        <v>2008</v>
      </c>
      <c r="D2863" s="24" t="s">
        <v>141</v>
      </c>
      <c r="E2863" s="30" t="s">
        <v>142</v>
      </c>
      <c r="F2863" s="7" t="s">
        <v>91</v>
      </c>
      <c r="G2863" s="25" t="s">
        <v>2315</v>
      </c>
      <c r="H2863" s="25" t="s">
        <v>4315</v>
      </c>
      <c r="I2863" s="46">
        <v>4</v>
      </c>
      <c r="J2863" s="46">
        <v>4</v>
      </c>
      <c r="K2863" s="46">
        <v>0</v>
      </c>
      <c r="L2863" s="46">
        <v>0</v>
      </c>
      <c r="M2863" s="46">
        <v>0</v>
      </c>
      <c r="N2863" s="46">
        <v>0</v>
      </c>
      <c r="O2863" s="124">
        <v>0</v>
      </c>
      <c r="P2863" s="102">
        <v>0.69</v>
      </c>
      <c r="Q2863" s="45" t="s">
        <v>154</v>
      </c>
    </row>
    <row r="2864" spans="1:17" ht="36" x14ac:dyDescent="0.25">
      <c r="A2864" s="21">
        <v>39458</v>
      </c>
      <c r="B2864" s="21">
        <v>39458</v>
      </c>
      <c r="C2864" s="45">
        <v>2008</v>
      </c>
      <c r="D2864" s="24" t="s">
        <v>141</v>
      </c>
      <c r="E2864" s="30" t="s">
        <v>142</v>
      </c>
      <c r="F2864" s="7" t="s">
        <v>75</v>
      </c>
      <c r="G2864" s="25" t="s">
        <v>4316</v>
      </c>
      <c r="H2864" s="25" t="s">
        <v>4317</v>
      </c>
      <c r="I2864" s="46">
        <v>6</v>
      </c>
      <c r="J2864" s="46">
        <v>6</v>
      </c>
      <c r="K2864" s="46">
        <v>0</v>
      </c>
      <c r="L2864" s="46">
        <v>0</v>
      </c>
      <c r="M2864" s="46">
        <v>0</v>
      </c>
      <c r="N2864" s="46">
        <v>0</v>
      </c>
      <c r="O2864" s="124">
        <v>0</v>
      </c>
      <c r="P2864" s="102">
        <v>1</v>
      </c>
      <c r="Q2864" s="45" t="s">
        <v>154</v>
      </c>
    </row>
    <row r="2865" spans="1:17" ht="48" x14ac:dyDescent="0.25">
      <c r="A2865" s="21">
        <v>39462</v>
      </c>
      <c r="B2865" s="21">
        <v>39462</v>
      </c>
      <c r="C2865" s="45">
        <v>2008</v>
      </c>
      <c r="D2865" s="24" t="s">
        <v>141</v>
      </c>
      <c r="E2865" s="30" t="s">
        <v>142</v>
      </c>
      <c r="F2865" s="7" t="s">
        <v>68</v>
      </c>
      <c r="G2865" s="25" t="s">
        <v>2512</v>
      </c>
      <c r="H2865" s="25" t="s">
        <v>4318</v>
      </c>
      <c r="I2865" s="46">
        <v>1</v>
      </c>
      <c r="J2865" s="46">
        <v>4</v>
      </c>
      <c r="K2865" s="46">
        <v>0</v>
      </c>
      <c r="L2865" s="46">
        <v>0</v>
      </c>
      <c r="M2865" s="46">
        <v>0</v>
      </c>
      <c r="N2865" s="46">
        <v>0</v>
      </c>
      <c r="O2865" s="124">
        <v>0</v>
      </c>
      <c r="P2865" s="102">
        <v>4.3499999999999996</v>
      </c>
      <c r="Q2865" s="45" t="s">
        <v>154</v>
      </c>
    </row>
    <row r="2866" spans="1:17" ht="36" x14ac:dyDescent="0.25">
      <c r="A2866" s="21">
        <v>39470</v>
      </c>
      <c r="B2866" s="21">
        <v>39470</v>
      </c>
      <c r="C2866" s="45">
        <v>2008</v>
      </c>
      <c r="D2866" s="24" t="s">
        <v>141</v>
      </c>
      <c r="E2866" s="30" t="s">
        <v>142</v>
      </c>
      <c r="F2866" s="25" t="s">
        <v>781</v>
      </c>
      <c r="G2866" s="25" t="s">
        <v>4319</v>
      </c>
      <c r="H2866" s="25" t="s">
        <v>4320</v>
      </c>
      <c r="I2866" s="46">
        <v>0</v>
      </c>
      <c r="J2866" s="46">
        <v>10</v>
      </c>
      <c r="K2866" s="46">
        <v>0</v>
      </c>
      <c r="L2866" s="46">
        <v>0</v>
      </c>
      <c r="M2866" s="46">
        <v>0</v>
      </c>
      <c r="N2866" s="46">
        <v>0</v>
      </c>
      <c r="O2866" s="124">
        <v>0</v>
      </c>
      <c r="P2866" s="102">
        <v>0.34499999999999997</v>
      </c>
      <c r="Q2866" s="45" t="s">
        <v>154</v>
      </c>
    </row>
    <row r="2867" spans="1:17" ht="48" x14ac:dyDescent="0.25">
      <c r="A2867" s="21">
        <v>39476</v>
      </c>
      <c r="B2867" s="21">
        <v>39476</v>
      </c>
      <c r="C2867" s="45">
        <v>2008</v>
      </c>
      <c r="D2867" s="24" t="s">
        <v>141</v>
      </c>
      <c r="E2867" s="30" t="s">
        <v>142</v>
      </c>
      <c r="F2867" s="7" t="s">
        <v>53</v>
      </c>
      <c r="G2867" s="25" t="s">
        <v>2247</v>
      </c>
      <c r="H2867" s="25" t="s">
        <v>4321</v>
      </c>
      <c r="I2867" s="46">
        <v>10</v>
      </c>
      <c r="J2867" s="46">
        <v>33</v>
      </c>
      <c r="K2867" s="46">
        <v>0</v>
      </c>
      <c r="L2867" s="46">
        <v>0</v>
      </c>
      <c r="M2867" s="46">
        <v>0</v>
      </c>
      <c r="N2867" s="46">
        <v>0</v>
      </c>
      <c r="O2867" s="124">
        <v>0</v>
      </c>
      <c r="P2867" s="102">
        <v>0.4</v>
      </c>
      <c r="Q2867" s="45" t="s">
        <v>154</v>
      </c>
    </row>
    <row r="2868" spans="1:17" ht="36" x14ac:dyDescent="0.25">
      <c r="A2868" s="21">
        <v>39482</v>
      </c>
      <c r="B2868" s="21">
        <v>39482</v>
      </c>
      <c r="C2868" s="45">
        <v>2008</v>
      </c>
      <c r="D2868" s="24" t="s">
        <v>141</v>
      </c>
      <c r="E2868" s="30" t="s">
        <v>142</v>
      </c>
      <c r="F2868" s="7" t="s">
        <v>87</v>
      </c>
      <c r="G2868" s="25" t="s">
        <v>4322</v>
      </c>
      <c r="H2868" s="25" t="s">
        <v>4323</v>
      </c>
      <c r="I2868" s="46">
        <v>0</v>
      </c>
      <c r="J2868" s="46">
        <v>0</v>
      </c>
      <c r="K2868" s="46">
        <v>0</v>
      </c>
      <c r="L2868" s="46">
        <v>0</v>
      </c>
      <c r="M2868" s="46">
        <v>0</v>
      </c>
      <c r="N2868" s="46">
        <v>0</v>
      </c>
      <c r="O2868" s="124">
        <v>0</v>
      </c>
      <c r="P2868" s="102">
        <v>0.30487999999999998</v>
      </c>
      <c r="Q2868" s="45" t="s">
        <v>154</v>
      </c>
    </row>
    <row r="2869" spans="1:17" ht="60" x14ac:dyDescent="0.25">
      <c r="A2869" s="21">
        <v>39485</v>
      </c>
      <c r="B2869" s="21">
        <v>39485</v>
      </c>
      <c r="C2869" s="45">
        <v>2008</v>
      </c>
      <c r="D2869" s="24" t="s">
        <v>141</v>
      </c>
      <c r="E2869" s="30" t="s">
        <v>142</v>
      </c>
      <c r="F2869" s="28" t="s">
        <v>157</v>
      </c>
      <c r="G2869" s="25" t="s">
        <v>158</v>
      </c>
      <c r="H2869" s="25" t="s">
        <v>4324</v>
      </c>
      <c r="I2869" s="46">
        <v>0</v>
      </c>
      <c r="J2869" s="46">
        <v>0</v>
      </c>
      <c r="K2869" s="46">
        <v>0</v>
      </c>
      <c r="L2869" s="46">
        <v>0</v>
      </c>
      <c r="M2869" s="46">
        <v>0</v>
      </c>
      <c r="N2869" s="46">
        <v>0</v>
      </c>
      <c r="O2869" s="124">
        <v>0</v>
      </c>
      <c r="P2869" s="102">
        <v>0.44696000000000002</v>
      </c>
      <c r="Q2869" s="45" t="s">
        <v>154</v>
      </c>
    </row>
    <row r="2870" spans="1:17" ht="48" x14ac:dyDescent="0.25">
      <c r="A2870" s="21">
        <v>39486</v>
      </c>
      <c r="B2870" s="21">
        <v>39486</v>
      </c>
      <c r="C2870" s="45">
        <v>2008</v>
      </c>
      <c r="D2870" s="24" t="s">
        <v>141</v>
      </c>
      <c r="E2870" s="30" t="s">
        <v>142</v>
      </c>
      <c r="F2870" s="7" t="s">
        <v>87</v>
      </c>
      <c r="G2870" s="25" t="s">
        <v>649</v>
      </c>
      <c r="H2870" s="25" t="s">
        <v>4325</v>
      </c>
      <c r="I2870" s="46">
        <v>0</v>
      </c>
      <c r="J2870" s="46">
        <v>9</v>
      </c>
      <c r="K2870" s="46">
        <v>0</v>
      </c>
      <c r="L2870" s="46">
        <v>0</v>
      </c>
      <c r="M2870" s="46">
        <v>0</v>
      </c>
      <c r="N2870" s="46">
        <v>0</v>
      </c>
      <c r="O2870" s="124">
        <v>0</v>
      </c>
      <c r="P2870" s="102">
        <v>1</v>
      </c>
      <c r="Q2870" s="45" t="s">
        <v>154</v>
      </c>
    </row>
    <row r="2871" spans="1:17" ht="60" x14ac:dyDescent="0.25">
      <c r="A2871" s="21">
        <v>39487</v>
      </c>
      <c r="B2871" s="21">
        <v>39487</v>
      </c>
      <c r="C2871" s="45">
        <v>2008</v>
      </c>
      <c r="D2871" s="24" t="s">
        <v>141</v>
      </c>
      <c r="E2871" s="30" t="s">
        <v>142</v>
      </c>
      <c r="F2871" s="7" t="s">
        <v>77</v>
      </c>
      <c r="G2871" s="25" t="s">
        <v>3679</v>
      </c>
      <c r="H2871" s="25" t="s">
        <v>4326</v>
      </c>
      <c r="I2871" s="46">
        <v>0</v>
      </c>
      <c r="J2871" s="46">
        <v>0</v>
      </c>
      <c r="K2871" s="46">
        <v>0</v>
      </c>
      <c r="L2871" s="46">
        <v>0</v>
      </c>
      <c r="M2871" s="46">
        <v>0</v>
      </c>
      <c r="N2871" s="46">
        <v>0</v>
      </c>
      <c r="O2871" s="124">
        <v>0</v>
      </c>
      <c r="P2871" s="102">
        <v>5.8789999999999996</v>
      </c>
      <c r="Q2871" s="45" t="s">
        <v>154</v>
      </c>
    </row>
    <row r="2872" spans="1:17" ht="48" x14ac:dyDescent="0.25">
      <c r="A2872" s="21">
        <v>39490</v>
      </c>
      <c r="B2872" s="21">
        <v>39490</v>
      </c>
      <c r="C2872" s="45">
        <v>2008</v>
      </c>
      <c r="D2872" s="24" t="s">
        <v>141</v>
      </c>
      <c r="E2872" s="30" t="s">
        <v>142</v>
      </c>
      <c r="F2872" s="7" t="s">
        <v>87</v>
      </c>
      <c r="G2872" s="25" t="s">
        <v>2608</v>
      </c>
      <c r="H2872" s="25" t="s">
        <v>4327</v>
      </c>
      <c r="I2872" s="46">
        <v>0</v>
      </c>
      <c r="J2872" s="46">
        <v>2</v>
      </c>
      <c r="K2872" s="46">
        <v>0</v>
      </c>
      <c r="L2872" s="46">
        <v>0</v>
      </c>
      <c r="M2872" s="46">
        <v>0</v>
      </c>
      <c r="N2872" s="46">
        <v>0</v>
      </c>
      <c r="O2872" s="124">
        <v>0</v>
      </c>
      <c r="P2872" s="102">
        <v>0</v>
      </c>
      <c r="Q2872" s="45" t="s">
        <v>154</v>
      </c>
    </row>
    <row r="2873" spans="1:17" ht="60" x14ac:dyDescent="0.25">
      <c r="A2873" s="21">
        <v>39493</v>
      </c>
      <c r="B2873" s="21">
        <v>39493</v>
      </c>
      <c r="C2873" s="45">
        <v>2008</v>
      </c>
      <c r="D2873" s="24" t="s">
        <v>141</v>
      </c>
      <c r="E2873" s="30" t="s">
        <v>142</v>
      </c>
      <c r="F2873" s="28" t="s">
        <v>210</v>
      </c>
      <c r="G2873" s="25" t="s">
        <v>4328</v>
      </c>
      <c r="H2873" s="25" t="s">
        <v>4329</v>
      </c>
      <c r="I2873" s="46">
        <v>1</v>
      </c>
      <c r="J2873" s="46">
        <v>8</v>
      </c>
      <c r="K2873" s="46">
        <v>0</v>
      </c>
      <c r="L2873" s="46">
        <v>0</v>
      </c>
      <c r="M2873" s="46">
        <v>0</v>
      </c>
      <c r="N2873" s="46">
        <v>0</v>
      </c>
      <c r="O2873" s="124">
        <v>0</v>
      </c>
      <c r="P2873" s="102">
        <v>0.4</v>
      </c>
      <c r="Q2873" s="45" t="s">
        <v>154</v>
      </c>
    </row>
    <row r="2874" spans="1:17" ht="84" x14ac:dyDescent="0.25">
      <c r="A2874" s="21">
        <v>39496</v>
      </c>
      <c r="B2874" s="21">
        <v>39496</v>
      </c>
      <c r="C2874" s="45">
        <v>2008</v>
      </c>
      <c r="D2874" s="24" t="s">
        <v>141</v>
      </c>
      <c r="E2874" s="30" t="s">
        <v>142</v>
      </c>
      <c r="F2874" s="7" t="s">
        <v>25</v>
      </c>
      <c r="G2874" s="25" t="s">
        <v>25</v>
      </c>
      <c r="H2874" s="25" t="s">
        <v>4330</v>
      </c>
      <c r="I2874" s="46">
        <v>0</v>
      </c>
      <c r="J2874" s="46">
        <v>30</v>
      </c>
      <c r="K2874" s="46">
        <v>6</v>
      </c>
      <c r="L2874" s="46">
        <v>0</v>
      </c>
      <c r="M2874" s="46">
        <v>0</v>
      </c>
      <c r="N2874" s="46">
        <v>0</v>
      </c>
      <c r="O2874" s="124">
        <v>0</v>
      </c>
      <c r="P2874" s="102">
        <v>0.88500000000000001</v>
      </c>
      <c r="Q2874" s="45" t="s">
        <v>154</v>
      </c>
    </row>
    <row r="2875" spans="1:17" ht="48" x14ac:dyDescent="0.25">
      <c r="A2875" s="21">
        <v>39499</v>
      </c>
      <c r="B2875" s="21">
        <v>39499</v>
      </c>
      <c r="C2875" s="45">
        <v>2008</v>
      </c>
      <c r="D2875" s="24" t="s">
        <v>141</v>
      </c>
      <c r="E2875" s="30" t="s">
        <v>142</v>
      </c>
      <c r="F2875" s="7" t="s">
        <v>53</v>
      </c>
      <c r="G2875" s="25" t="s">
        <v>1236</v>
      </c>
      <c r="H2875" s="25" t="s">
        <v>4331</v>
      </c>
      <c r="I2875" s="46">
        <v>0</v>
      </c>
      <c r="J2875" s="46">
        <v>3</v>
      </c>
      <c r="K2875" s="46">
        <v>0</v>
      </c>
      <c r="L2875" s="46">
        <v>0</v>
      </c>
      <c r="M2875" s="46">
        <v>0</v>
      </c>
      <c r="N2875" s="46">
        <v>0</v>
      </c>
      <c r="O2875" s="124">
        <v>0</v>
      </c>
      <c r="P2875" s="102">
        <v>0.48</v>
      </c>
      <c r="Q2875" s="45" t="s">
        <v>154</v>
      </c>
    </row>
    <row r="2876" spans="1:17" ht="36" x14ac:dyDescent="0.25">
      <c r="A2876" s="21">
        <v>39502</v>
      </c>
      <c r="B2876" s="21">
        <v>39502</v>
      </c>
      <c r="C2876" s="45">
        <v>2008</v>
      </c>
      <c r="D2876" s="24" t="s">
        <v>141</v>
      </c>
      <c r="E2876" s="30" t="s">
        <v>142</v>
      </c>
      <c r="F2876" s="7" t="s">
        <v>72</v>
      </c>
      <c r="G2876" s="25" t="s">
        <v>3728</v>
      </c>
      <c r="H2876" s="25" t="s">
        <v>4332</v>
      </c>
      <c r="I2876" s="46">
        <v>6</v>
      </c>
      <c r="J2876" s="46">
        <v>6</v>
      </c>
      <c r="K2876" s="46">
        <v>0</v>
      </c>
      <c r="L2876" s="46">
        <v>0</v>
      </c>
      <c r="M2876" s="46">
        <v>0</v>
      </c>
      <c r="N2876" s="46">
        <v>0</v>
      </c>
      <c r="O2876" s="124">
        <v>0</v>
      </c>
      <c r="P2876" s="102">
        <v>0.495</v>
      </c>
      <c r="Q2876" s="45" t="s">
        <v>154</v>
      </c>
    </row>
    <row r="2877" spans="1:17" ht="36" x14ac:dyDescent="0.25">
      <c r="A2877" s="21">
        <v>39504</v>
      </c>
      <c r="B2877" s="21">
        <v>39504</v>
      </c>
      <c r="C2877" s="45">
        <v>2008</v>
      </c>
      <c r="D2877" s="24" t="s">
        <v>141</v>
      </c>
      <c r="E2877" s="30" t="s">
        <v>142</v>
      </c>
      <c r="F2877" s="7" t="s">
        <v>40</v>
      </c>
      <c r="G2877" s="25" t="s">
        <v>4333</v>
      </c>
      <c r="H2877" s="25" t="s">
        <v>4334</v>
      </c>
      <c r="I2877" s="46">
        <v>2</v>
      </c>
      <c r="J2877" s="46">
        <v>2</v>
      </c>
      <c r="K2877" s="46">
        <v>0</v>
      </c>
      <c r="L2877" s="46">
        <v>0</v>
      </c>
      <c r="M2877" s="46">
        <v>0</v>
      </c>
      <c r="N2877" s="46">
        <v>0</v>
      </c>
      <c r="O2877" s="124">
        <v>0</v>
      </c>
      <c r="P2877" s="102">
        <v>4.4999999999999998E-2</v>
      </c>
      <c r="Q2877" s="45" t="s">
        <v>154</v>
      </c>
    </row>
    <row r="2878" spans="1:17" ht="36" x14ac:dyDescent="0.25">
      <c r="A2878" s="21">
        <v>39505</v>
      </c>
      <c r="B2878" s="21">
        <v>39505</v>
      </c>
      <c r="C2878" s="45">
        <v>2008</v>
      </c>
      <c r="D2878" s="24" t="s">
        <v>141</v>
      </c>
      <c r="E2878" s="42" t="s">
        <v>447</v>
      </c>
      <c r="F2878" s="7" t="s">
        <v>65</v>
      </c>
      <c r="G2878" s="25" t="s">
        <v>1346</v>
      </c>
      <c r="H2878" s="25" t="s">
        <v>4335</v>
      </c>
      <c r="I2878" s="46">
        <v>3</v>
      </c>
      <c r="J2878" s="46">
        <v>113</v>
      </c>
      <c r="K2878" s="46">
        <v>0</v>
      </c>
      <c r="L2878" s="46">
        <v>0</v>
      </c>
      <c r="M2878" s="46">
        <v>0</v>
      </c>
      <c r="N2878" s="46">
        <v>0</v>
      </c>
      <c r="O2878" s="124">
        <v>0</v>
      </c>
      <c r="P2878" s="102">
        <v>4.5064847999999997E-7</v>
      </c>
      <c r="Q2878" s="45" t="s">
        <v>154</v>
      </c>
    </row>
    <row r="2879" spans="1:17" ht="48" x14ac:dyDescent="0.25">
      <c r="A2879" s="21">
        <v>39517</v>
      </c>
      <c r="B2879" s="21">
        <v>39517</v>
      </c>
      <c r="C2879" s="45">
        <v>2008</v>
      </c>
      <c r="D2879" s="24" t="s">
        <v>141</v>
      </c>
      <c r="E2879" s="30" t="s">
        <v>142</v>
      </c>
      <c r="F2879" s="7" t="s">
        <v>62</v>
      </c>
      <c r="G2879" s="25" t="s">
        <v>1011</v>
      </c>
      <c r="H2879" s="25" t="s">
        <v>4336</v>
      </c>
      <c r="I2879" s="46">
        <v>0</v>
      </c>
      <c r="J2879" s="46">
        <v>0</v>
      </c>
      <c r="K2879" s="46">
        <v>0</v>
      </c>
      <c r="L2879" s="46">
        <v>0</v>
      </c>
      <c r="M2879" s="46">
        <v>0</v>
      </c>
      <c r="N2879" s="46">
        <v>0</v>
      </c>
      <c r="O2879" s="124">
        <v>0</v>
      </c>
      <c r="P2879" s="102">
        <v>0.45064847999999996</v>
      </c>
      <c r="Q2879" s="45" t="s">
        <v>154</v>
      </c>
    </row>
    <row r="2880" spans="1:17" ht="36" x14ac:dyDescent="0.25">
      <c r="A2880" s="21">
        <v>39517</v>
      </c>
      <c r="B2880" s="21">
        <v>39517</v>
      </c>
      <c r="C2880" s="45">
        <v>2008</v>
      </c>
      <c r="D2880" s="24" t="s">
        <v>141</v>
      </c>
      <c r="E2880" s="30" t="s">
        <v>142</v>
      </c>
      <c r="F2880" s="7" t="s">
        <v>56</v>
      </c>
      <c r="G2880" s="25" t="s">
        <v>351</v>
      </c>
      <c r="H2880" s="25" t="s">
        <v>4337</v>
      </c>
      <c r="I2880" s="46">
        <v>9</v>
      </c>
      <c r="J2880" s="46">
        <v>9</v>
      </c>
      <c r="K2880" s="46">
        <v>0</v>
      </c>
      <c r="L2880" s="46">
        <v>0</v>
      </c>
      <c r="M2880" s="46">
        <v>0</v>
      </c>
      <c r="N2880" s="46">
        <v>0</v>
      </c>
      <c r="O2880" s="124">
        <v>0</v>
      </c>
      <c r="P2880" s="102">
        <v>4.4999999999999998E-2</v>
      </c>
      <c r="Q2880" s="45" t="s">
        <v>154</v>
      </c>
    </row>
    <row r="2881" spans="1:17" ht="36" x14ac:dyDescent="0.25">
      <c r="A2881" s="21">
        <v>39517</v>
      </c>
      <c r="B2881" s="21">
        <v>39517</v>
      </c>
      <c r="C2881" s="45">
        <v>2008</v>
      </c>
      <c r="D2881" s="24" t="s">
        <v>141</v>
      </c>
      <c r="E2881" s="30" t="s">
        <v>142</v>
      </c>
      <c r="F2881" s="7" t="s">
        <v>60</v>
      </c>
      <c r="G2881" s="25" t="s">
        <v>908</v>
      </c>
      <c r="H2881" s="25" t="s">
        <v>4338</v>
      </c>
      <c r="I2881" s="46">
        <v>5</v>
      </c>
      <c r="J2881" s="46">
        <v>10</v>
      </c>
      <c r="K2881" s="46">
        <v>0</v>
      </c>
      <c r="L2881" s="46">
        <v>0</v>
      </c>
      <c r="M2881" s="46">
        <v>0</v>
      </c>
      <c r="N2881" s="46">
        <v>0</v>
      </c>
      <c r="O2881" s="124">
        <v>0</v>
      </c>
      <c r="P2881" s="102">
        <v>0.13500000000000001</v>
      </c>
      <c r="Q2881" s="45" t="s">
        <v>154</v>
      </c>
    </row>
    <row r="2882" spans="1:17" ht="36" x14ac:dyDescent="0.25">
      <c r="A2882" s="21">
        <v>39517</v>
      </c>
      <c r="B2882" s="21">
        <v>39517</v>
      </c>
      <c r="C2882" s="45">
        <v>2008</v>
      </c>
      <c r="D2882" s="24" t="s">
        <v>141</v>
      </c>
      <c r="E2882" s="30" t="s">
        <v>142</v>
      </c>
      <c r="F2882" s="7" t="s">
        <v>60</v>
      </c>
      <c r="G2882" s="25" t="s">
        <v>1605</v>
      </c>
      <c r="H2882" s="25" t="s">
        <v>4339</v>
      </c>
      <c r="I2882" s="46">
        <v>1</v>
      </c>
      <c r="J2882" s="46">
        <v>3</v>
      </c>
      <c r="K2882" s="46">
        <v>0</v>
      </c>
      <c r="L2882" s="46">
        <v>0</v>
      </c>
      <c r="M2882" s="46">
        <v>0</v>
      </c>
      <c r="N2882" s="46">
        <v>0</v>
      </c>
      <c r="O2882" s="124">
        <v>0</v>
      </c>
      <c r="P2882" s="102">
        <v>4.4999999999999998E-2</v>
      </c>
      <c r="Q2882" s="45" t="s">
        <v>154</v>
      </c>
    </row>
    <row r="2883" spans="1:17" ht="72" x14ac:dyDescent="0.25">
      <c r="A2883" s="21">
        <v>39517</v>
      </c>
      <c r="B2883" s="21">
        <v>39517</v>
      </c>
      <c r="C2883" s="45">
        <v>2008</v>
      </c>
      <c r="D2883" s="24" t="s">
        <v>141</v>
      </c>
      <c r="E2883" s="30" t="s">
        <v>142</v>
      </c>
      <c r="F2883" s="7" t="s">
        <v>60</v>
      </c>
      <c r="G2883" s="25" t="s">
        <v>2109</v>
      </c>
      <c r="H2883" s="25" t="s">
        <v>4340</v>
      </c>
      <c r="I2883" s="46">
        <v>4</v>
      </c>
      <c r="J2883" s="46">
        <v>7</v>
      </c>
      <c r="K2883" s="46">
        <v>0</v>
      </c>
      <c r="L2883" s="46">
        <v>0</v>
      </c>
      <c r="M2883" s="46">
        <v>0</v>
      </c>
      <c r="N2883" s="46">
        <v>0</v>
      </c>
      <c r="O2883" s="124">
        <v>0</v>
      </c>
      <c r="P2883" s="102">
        <v>0.09</v>
      </c>
      <c r="Q2883" s="45" t="s">
        <v>154</v>
      </c>
    </row>
    <row r="2884" spans="1:17" ht="72" x14ac:dyDescent="0.25">
      <c r="A2884" s="21">
        <v>39519</v>
      </c>
      <c r="B2884" s="21">
        <v>39519</v>
      </c>
      <c r="C2884" s="45">
        <v>2008</v>
      </c>
      <c r="D2884" s="24" t="s">
        <v>141</v>
      </c>
      <c r="E2884" s="30" t="s">
        <v>142</v>
      </c>
      <c r="F2884" s="7" t="s">
        <v>77</v>
      </c>
      <c r="G2884" s="25" t="s">
        <v>4341</v>
      </c>
      <c r="H2884" s="25" t="s">
        <v>4342</v>
      </c>
      <c r="I2884" s="46">
        <v>0</v>
      </c>
      <c r="J2884" s="46">
        <v>0</v>
      </c>
      <c r="K2884" s="46">
        <v>0</v>
      </c>
      <c r="L2884" s="46">
        <v>0</v>
      </c>
      <c r="M2884" s="46">
        <v>0</v>
      </c>
      <c r="N2884" s="46">
        <v>0</v>
      </c>
      <c r="O2884" s="124">
        <v>0</v>
      </c>
      <c r="P2884" s="102">
        <v>0.746</v>
      </c>
      <c r="Q2884" s="45" t="s">
        <v>154</v>
      </c>
    </row>
    <row r="2885" spans="1:17" ht="36" x14ac:dyDescent="0.25">
      <c r="A2885" s="21">
        <v>39520</v>
      </c>
      <c r="B2885" s="21">
        <v>39520</v>
      </c>
      <c r="C2885" s="45">
        <v>2008</v>
      </c>
      <c r="D2885" s="24" t="s">
        <v>141</v>
      </c>
      <c r="E2885" s="30" t="s">
        <v>142</v>
      </c>
      <c r="F2885" s="7" t="s">
        <v>87</v>
      </c>
      <c r="G2885" s="25" t="s">
        <v>936</v>
      </c>
      <c r="H2885" s="25" t="s">
        <v>4343</v>
      </c>
      <c r="I2885" s="46">
        <v>0</v>
      </c>
      <c r="J2885" s="46">
        <v>2</v>
      </c>
      <c r="K2885" s="46">
        <v>0</v>
      </c>
      <c r="L2885" s="46">
        <v>0</v>
      </c>
      <c r="M2885" s="46">
        <v>0</v>
      </c>
      <c r="N2885" s="46">
        <v>0</v>
      </c>
      <c r="O2885" s="124">
        <v>0</v>
      </c>
      <c r="P2885" s="102">
        <v>0.44500000000000001</v>
      </c>
      <c r="Q2885" s="45" t="s">
        <v>154</v>
      </c>
    </row>
    <row r="2886" spans="1:17" ht="48" x14ac:dyDescent="0.25">
      <c r="A2886" s="21">
        <v>39524</v>
      </c>
      <c r="B2886" s="21">
        <v>39524</v>
      </c>
      <c r="C2886" s="45">
        <v>2008</v>
      </c>
      <c r="D2886" s="24" t="s">
        <v>141</v>
      </c>
      <c r="E2886" s="30" t="s">
        <v>142</v>
      </c>
      <c r="F2886" s="7" t="s">
        <v>56</v>
      </c>
      <c r="G2886" s="25" t="s">
        <v>1160</v>
      </c>
      <c r="H2886" s="25" t="s">
        <v>4344</v>
      </c>
      <c r="I2886" s="46">
        <v>0</v>
      </c>
      <c r="J2886" s="46">
        <v>0</v>
      </c>
      <c r="K2886" s="46">
        <v>0</v>
      </c>
      <c r="L2886" s="46">
        <v>0</v>
      </c>
      <c r="M2886" s="46">
        <v>0</v>
      </c>
      <c r="N2886" s="46">
        <v>0</v>
      </c>
      <c r="O2886" s="124">
        <v>0</v>
      </c>
      <c r="P2886" s="102">
        <v>0.66759999999999997</v>
      </c>
      <c r="Q2886" s="45" t="s">
        <v>154</v>
      </c>
    </row>
    <row r="2887" spans="1:17" ht="72" x14ac:dyDescent="0.25">
      <c r="A2887" s="21">
        <v>39526</v>
      </c>
      <c r="B2887" s="21">
        <v>39526</v>
      </c>
      <c r="C2887" s="45">
        <v>2008</v>
      </c>
      <c r="D2887" s="24" t="s">
        <v>141</v>
      </c>
      <c r="E2887" s="30" t="s">
        <v>142</v>
      </c>
      <c r="F2887" s="7" t="s">
        <v>87</v>
      </c>
      <c r="G2887" s="25" t="s">
        <v>1714</v>
      </c>
      <c r="H2887" s="25" t="s">
        <v>4345</v>
      </c>
      <c r="I2887" s="46">
        <v>0</v>
      </c>
      <c r="J2887" s="46">
        <v>0</v>
      </c>
      <c r="K2887" s="46">
        <v>0</v>
      </c>
      <c r="L2887" s="46">
        <v>0</v>
      </c>
      <c r="M2887" s="46">
        <v>0</v>
      </c>
      <c r="N2887" s="46">
        <v>0</v>
      </c>
      <c r="O2887" s="124">
        <v>0</v>
      </c>
      <c r="P2887" s="102">
        <v>0.77424000000000004</v>
      </c>
      <c r="Q2887" s="45" t="s">
        <v>154</v>
      </c>
    </row>
    <row r="2888" spans="1:17" ht="60" x14ac:dyDescent="0.25">
      <c r="A2888" s="21">
        <v>39526</v>
      </c>
      <c r="B2888" s="21">
        <v>39526</v>
      </c>
      <c r="C2888" s="45">
        <v>2008</v>
      </c>
      <c r="D2888" s="24" t="s">
        <v>141</v>
      </c>
      <c r="E2888" s="30" t="s">
        <v>142</v>
      </c>
      <c r="F2888" s="7" t="s">
        <v>58</v>
      </c>
      <c r="G2888" s="25" t="s">
        <v>1194</v>
      </c>
      <c r="H2888" s="25" t="s">
        <v>4346</v>
      </c>
      <c r="I2888" s="46">
        <v>5</v>
      </c>
      <c r="J2888" s="46">
        <v>6</v>
      </c>
      <c r="K2888" s="46">
        <v>0</v>
      </c>
      <c r="L2888" s="46">
        <v>0</v>
      </c>
      <c r="M2888" s="46">
        <v>0</v>
      </c>
      <c r="N2888" s="46">
        <v>0</v>
      </c>
      <c r="O2888" s="124">
        <v>0</v>
      </c>
      <c r="P2888" s="102">
        <v>0.44500000000000001</v>
      </c>
      <c r="Q2888" s="45" t="s">
        <v>154</v>
      </c>
    </row>
    <row r="2889" spans="1:17" ht="36" x14ac:dyDescent="0.25">
      <c r="A2889" s="21">
        <v>39529</v>
      </c>
      <c r="B2889" s="21">
        <v>39529</v>
      </c>
      <c r="C2889" s="45">
        <v>2008</v>
      </c>
      <c r="D2889" s="24" t="s">
        <v>141</v>
      </c>
      <c r="E2889" s="30" t="s">
        <v>142</v>
      </c>
      <c r="F2889" s="7" t="s">
        <v>33</v>
      </c>
      <c r="G2889" s="25" t="s">
        <v>3155</v>
      </c>
      <c r="H2889" s="25" t="s">
        <v>4347</v>
      </c>
      <c r="I2889" s="46">
        <v>2</v>
      </c>
      <c r="J2889" s="46">
        <v>22</v>
      </c>
      <c r="K2889" s="46">
        <v>0</v>
      </c>
      <c r="L2889" s="46">
        <v>0</v>
      </c>
      <c r="M2889" s="46">
        <v>0</v>
      </c>
      <c r="N2889" s="46">
        <v>0</v>
      </c>
      <c r="O2889" s="124">
        <v>0</v>
      </c>
      <c r="P2889" s="102">
        <v>0</v>
      </c>
      <c r="Q2889" s="45" t="s">
        <v>154</v>
      </c>
    </row>
    <row r="2890" spans="1:17" ht="36" x14ac:dyDescent="0.25">
      <c r="A2890" s="21">
        <v>39531</v>
      </c>
      <c r="B2890" s="21">
        <v>39531</v>
      </c>
      <c r="C2890" s="45">
        <v>2008</v>
      </c>
      <c r="D2890" s="24" t="s">
        <v>141</v>
      </c>
      <c r="E2890" s="30" t="s">
        <v>142</v>
      </c>
      <c r="F2890" s="7" t="s">
        <v>56</v>
      </c>
      <c r="G2890" s="25" t="s">
        <v>4348</v>
      </c>
      <c r="H2890" s="25" t="s">
        <v>4349</v>
      </c>
      <c r="I2890" s="46">
        <v>7</v>
      </c>
      <c r="J2890" s="46">
        <v>8</v>
      </c>
      <c r="K2890" s="46">
        <v>0</v>
      </c>
      <c r="L2890" s="46">
        <v>0</v>
      </c>
      <c r="M2890" s="46">
        <v>0</v>
      </c>
      <c r="N2890" s="46">
        <v>0</v>
      </c>
      <c r="O2890" s="124">
        <v>0</v>
      </c>
      <c r="P2890" s="102">
        <v>0.09</v>
      </c>
      <c r="Q2890" s="45" t="s">
        <v>154</v>
      </c>
    </row>
    <row r="2891" spans="1:17" ht="48" x14ac:dyDescent="0.25">
      <c r="A2891" s="21">
        <v>39532</v>
      </c>
      <c r="B2891" s="21">
        <v>39532</v>
      </c>
      <c r="C2891" s="45">
        <v>2008</v>
      </c>
      <c r="D2891" s="24" t="s">
        <v>141</v>
      </c>
      <c r="E2891" s="30" t="s">
        <v>142</v>
      </c>
      <c r="F2891" s="7" t="s">
        <v>62</v>
      </c>
      <c r="G2891" s="25" t="s">
        <v>622</v>
      </c>
      <c r="H2891" s="25" t="s">
        <v>4350</v>
      </c>
      <c r="I2891" s="46">
        <v>0</v>
      </c>
      <c r="J2891" s="46">
        <v>0</v>
      </c>
      <c r="K2891" s="46">
        <v>0</v>
      </c>
      <c r="L2891" s="46">
        <v>0</v>
      </c>
      <c r="M2891" s="46">
        <v>0</v>
      </c>
      <c r="N2891" s="46">
        <v>0</v>
      </c>
      <c r="O2891" s="124">
        <v>0</v>
      </c>
      <c r="P2891" s="102">
        <v>0.79815999999999998</v>
      </c>
      <c r="Q2891" s="45" t="s">
        <v>154</v>
      </c>
    </row>
    <row r="2892" spans="1:17" ht="48" x14ac:dyDescent="0.25">
      <c r="A2892" s="21">
        <v>39526</v>
      </c>
      <c r="B2892" s="21">
        <v>39526</v>
      </c>
      <c r="C2892" s="45">
        <v>2008</v>
      </c>
      <c r="D2892" s="24" t="s">
        <v>141</v>
      </c>
      <c r="E2892" s="30" t="s">
        <v>142</v>
      </c>
      <c r="F2892" s="7" t="s">
        <v>60</v>
      </c>
      <c r="G2892" s="25" t="s">
        <v>2109</v>
      </c>
      <c r="H2892" s="25" t="s">
        <v>4351</v>
      </c>
      <c r="I2892" s="46">
        <v>6</v>
      </c>
      <c r="J2892" s="46">
        <v>8</v>
      </c>
      <c r="K2892" s="46">
        <v>0</v>
      </c>
      <c r="L2892" s="46">
        <v>0</v>
      </c>
      <c r="M2892" s="46">
        <v>0</v>
      </c>
      <c r="N2892" s="46">
        <v>0</v>
      </c>
      <c r="O2892" s="124">
        <v>0</v>
      </c>
      <c r="P2892" s="102">
        <v>0</v>
      </c>
      <c r="Q2892" s="45" t="s">
        <v>154</v>
      </c>
    </row>
    <row r="2893" spans="1:17" ht="48" x14ac:dyDescent="0.25">
      <c r="A2893" s="21">
        <v>39532</v>
      </c>
      <c r="B2893" s="21">
        <v>39532</v>
      </c>
      <c r="C2893" s="45">
        <v>2008</v>
      </c>
      <c r="D2893" s="24" t="s">
        <v>141</v>
      </c>
      <c r="E2893" s="30" t="s">
        <v>142</v>
      </c>
      <c r="F2893" s="7" t="s">
        <v>56</v>
      </c>
      <c r="G2893" s="25" t="s">
        <v>3592</v>
      </c>
      <c r="H2893" s="25" t="s">
        <v>4352</v>
      </c>
      <c r="I2893" s="46">
        <v>0</v>
      </c>
      <c r="J2893" s="46">
        <v>0</v>
      </c>
      <c r="K2893" s="46">
        <v>0</v>
      </c>
      <c r="L2893" s="46">
        <v>0</v>
      </c>
      <c r="M2893" s="46">
        <v>0</v>
      </c>
      <c r="N2893" s="46">
        <v>0</v>
      </c>
      <c r="O2893" s="124">
        <v>0</v>
      </c>
      <c r="P2893" s="102">
        <v>0.55335999999999996</v>
      </c>
      <c r="Q2893" s="45" t="s">
        <v>154</v>
      </c>
    </row>
    <row r="2894" spans="1:17" ht="36" x14ac:dyDescent="0.25">
      <c r="A2894" s="21">
        <v>39532</v>
      </c>
      <c r="B2894" s="21">
        <v>39532</v>
      </c>
      <c r="C2894" s="45">
        <v>2008</v>
      </c>
      <c r="D2894" s="24" t="s">
        <v>141</v>
      </c>
      <c r="E2894" s="30" t="s">
        <v>142</v>
      </c>
      <c r="F2894" s="7" t="s">
        <v>91</v>
      </c>
      <c r="G2894" s="25" t="s">
        <v>569</v>
      </c>
      <c r="H2894" s="25" t="s">
        <v>4353</v>
      </c>
      <c r="I2894" s="46">
        <v>0</v>
      </c>
      <c r="J2894" s="46">
        <v>0</v>
      </c>
      <c r="K2894" s="46">
        <v>0</v>
      </c>
      <c r="L2894" s="46">
        <v>0</v>
      </c>
      <c r="M2894" s="46">
        <v>0</v>
      </c>
      <c r="N2894" s="46">
        <v>0</v>
      </c>
      <c r="O2894" s="124">
        <v>0</v>
      </c>
      <c r="P2894" s="102">
        <v>5.33</v>
      </c>
      <c r="Q2894" s="45" t="s">
        <v>154</v>
      </c>
    </row>
    <row r="2895" spans="1:17" ht="60" x14ac:dyDescent="0.25">
      <c r="A2895" s="21">
        <v>39532</v>
      </c>
      <c r="B2895" s="21">
        <v>39532</v>
      </c>
      <c r="C2895" s="45">
        <v>2008</v>
      </c>
      <c r="D2895" s="24" t="s">
        <v>141</v>
      </c>
      <c r="E2895" s="42" t="s">
        <v>447</v>
      </c>
      <c r="F2895" s="7" t="s">
        <v>56</v>
      </c>
      <c r="G2895" s="25" t="s">
        <v>1707</v>
      </c>
      <c r="H2895" s="25" t="s">
        <v>4354</v>
      </c>
      <c r="I2895" s="46">
        <v>0</v>
      </c>
      <c r="J2895" s="46">
        <v>0</v>
      </c>
      <c r="K2895" s="46">
        <v>0</v>
      </c>
      <c r="L2895" s="46">
        <v>0</v>
      </c>
      <c r="M2895" s="46">
        <v>0</v>
      </c>
      <c r="N2895" s="46">
        <v>0</v>
      </c>
      <c r="O2895" s="124">
        <v>0</v>
      </c>
      <c r="P2895" s="102">
        <v>0</v>
      </c>
      <c r="Q2895" s="45" t="s">
        <v>154</v>
      </c>
    </row>
    <row r="2896" spans="1:17" ht="48" x14ac:dyDescent="0.25">
      <c r="A2896" s="21">
        <v>39535</v>
      </c>
      <c r="B2896" s="21">
        <v>39535</v>
      </c>
      <c r="C2896" s="45">
        <v>2008</v>
      </c>
      <c r="D2896" s="24" t="s">
        <v>141</v>
      </c>
      <c r="E2896" s="30" t="s">
        <v>142</v>
      </c>
      <c r="F2896" s="28" t="s">
        <v>157</v>
      </c>
      <c r="G2896" s="25" t="s">
        <v>3340</v>
      </c>
      <c r="H2896" s="25" t="s">
        <v>4355</v>
      </c>
      <c r="I2896" s="46">
        <v>0</v>
      </c>
      <c r="J2896" s="46">
        <v>4</v>
      </c>
      <c r="K2896" s="46">
        <v>0</v>
      </c>
      <c r="L2896" s="46">
        <v>0</v>
      </c>
      <c r="M2896" s="46">
        <v>0</v>
      </c>
      <c r="N2896" s="46">
        <v>0</v>
      </c>
      <c r="O2896" s="124">
        <v>0</v>
      </c>
      <c r="P2896" s="102">
        <v>0.4</v>
      </c>
      <c r="Q2896" s="45" t="s">
        <v>154</v>
      </c>
    </row>
    <row r="2897" spans="1:17" ht="36" x14ac:dyDescent="0.25">
      <c r="A2897" s="21">
        <v>39535</v>
      </c>
      <c r="B2897" s="21">
        <v>39535</v>
      </c>
      <c r="C2897" s="45">
        <v>2008</v>
      </c>
      <c r="D2897" s="24" t="s">
        <v>141</v>
      </c>
      <c r="E2897" s="30" t="s">
        <v>142</v>
      </c>
      <c r="F2897" s="7" t="s">
        <v>91</v>
      </c>
      <c r="G2897" s="25" t="s">
        <v>2315</v>
      </c>
      <c r="H2897" s="25" t="s">
        <v>4356</v>
      </c>
      <c r="I2897" s="46">
        <v>4</v>
      </c>
      <c r="J2897" s="46">
        <v>4</v>
      </c>
      <c r="K2897" s="46">
        <v>0</v>
      </c>
      <c r="L2897" s="46">
        <v>0</v>
      </c>
      <c r="M2897" s="46">
        <v>0</v>
      </c>
      <c r="N2897" s="46">
        <v>0</v>
      </c>
      <c r="O2897" s="124">
        <v>0</v>
      </c>
      <c r="P2897" s="102">
        <v>4.4999999999999998E-2</v>
      </c>
      <c r="Q2897" s="45" t="s">
        <v>154</v>
      </c>
    </row>
    <row r="2898" spans="1:17" ht="36" x14ac:dyDescent="0.25">
      <c r="A2898" s="21">
        <v>39539</v>
      </c>
      <c r="B2898" s="21">
        <v>39539</v>
      </c>
      <c r="C2898" s="45">
        <v>2008</v>
      </c>
      <c r="D2898" s="24" t="s">
        <v>141</v>
      </c>
      <c r="E2898" s="30" t="s">
        <v>142</v>
      </c>
      <c r="F2898" s="7" t="s">
        <v>68</v>
      </c>
      <c r="G2898" s="25" t="s">
        <v>2852</v>
      </c>
      <c r="H2898" s="25" t="s">
        <v>4357</v>
      </c>
      <c r="I2898" s="46">
        <v>2</v>
      </c>
      <c r="J2898" s="46">
        <v>2</v>
      </c>
      <c r="K2898" s="46">
        <v>0</v>
      </c>
      <c r="L2898" s="46">
        <v>0</v>
      </c>
      <c r="M2898" s="46">
        <v>0</v>
      </c>
      <c r="N2898" s="46">
        <v>0</v>
      </c>
      <c r="O2898" s="124">
        <v>0</v>
      </c>
      <c r="P2898" s="102">
        <v>1.5</v>
      </c>
      <c r="Q2898" s="45" t="s">
        <v>154</v>
      </c>
    </row>
    <row r="2899" spans="1:17" ht="48" x14ac:dyDescent="0.25">
      <c r="A2899" s="21">
        <v>39541</v>
      </c>
      <c r="B2899" s="21">
        <v>39541</v>
      </c>
      <c r="C2899" s="45">
        <v>2008</v>
      </c>
      <c r="D2899" s="24" t="s">
        <v>141</v>
      </c>
      <c r="E2899" s="30" t="s">
        <v>142</v>
      </c>
      <c r="F2899" s="7" t="s">
        <v>53</v>
      </c>
      <c r="G2899" s="25" t="s">
        <v>4358</v>
      </c>
      <c r="H2899" s="25" t="s">
        <v>4359</v>
      </c>
      <c r="I2899" s="46">
        <v>1</v>
      </c>
      <c r="J2899" s="46">
        <v>3</v>
      </c>
      <c r="K2899" s="46">
        <v>0</v>
      </c>
      <c r="L2899" s="46">
        <v>0</v>
      </c>
      <c r="M2899" s="46">
        <v>0</v>
      </c>
      <c r="N2899" s="46">
        <v>0</v>
      </c>
      <c r="O2899" s="124">
        <v>0</v>
      </c>
      <c r="P2899" s="102">
        <v>1.5</v>
      </c>
      <c r="Q2899" s="45" t="s">
        <v>154</v>
      </c>
    </row>
    <row r="2900" spans="1:17" ht="48" x14ac:dyDescent="0.25">
      <c r="A2900" s="21">
        <v>39542</v>
      </c>
      <c r="B2900" s="21">
        <v>39542</v>
      </c>
      <c r="C2900" s="45">
        <v>2008</v>
      </c>
      <c r="D2900" s="24" t="s">
        <v>141</v>
      </c>
      <c r="E2900" s="30" t="s">
        <v>142</v>
      </c>
      <c r="F2900" s="7" t="s">
        <v>82</v>
      </c>
      <c r="G2900" s="25" t="s">
        <v>4360</v>
      </c>
      <c r="H2900" s="25" t="s">
        <v>4361</v>
      </c>
      <c r="I2900" s="46">
        <v>0</v>
      </c>
      <c r="J2900" s="46">
        <v>1</v>
      </c>
      <c r="K2900" s="46">
        <v>0</v>
      </c>
      <c r="L2900" s="46">
        <v>0</v>
      </c>
      <c r="M2900" s="46">
        <v>0</v>
      </c>
      <c r="N2900" s="46">
        <v>0</v>
      </c>
      <c r="O2900" s="124">
        <v>0</v>
      </c>
      <c r="P2900" s="102">
        <v>0.45</v>
      </c>
      <c r="Q2900" s="45" t="s">
        <v>154</v>
      </c>
    </row>
    <row r="2901" spans="1:17" ht="48" x14ac:dyDescent="0.25">
      <c r="A2901" s="21">
        <v>39543</v>
      </c>
      <c r="B2901" s="21">
        <v>39543</v>
      </c>
      <c r="C2901" s="45">
        <v>2008</v>
      </c>
      <c r="D2901" s="24" t="s">
        <v>141</v>
      </c>
      <c r="E2901" s="30" t="s">
        <v>142</v>
      </c>
      <c r="F2901" s="7" t="s">
        <v>45</v>
      </c>
      <c r="G2901" s="25" t="s">
        <v>2890</v>
      </c>
      <c r="H2901" s="25" t="s">
        <v>4362</v>
      </c>
      <c r="I2901" s="46">
        <v>0</v>
      </c>
      <c r="J2901" s="46">
        <v>0</v>
      </c>
      <c r="K2901" s="46">
        <v>0</v>
      </c>
      <c r="L2901" s="46">
        <v>0</v>
      </c>
      <c r="M2901" s="46">
        <v>0</v>
      </c>
      <c r="N2901" s="46">
        <v>0</v>
      </c>
      <c r="O2901" s="124">
        <v>0</v>
      </c>
      <c r="P2901" s="102">
        <v>1.1104477970138866</v>
      </c>
      <c r="Q2901" s="45" t="s">
        <v>154</v>
      </c>
    </row>
    <row r="2902" spans="1:17" ht="36" x14ac:dyDescent="0.25">
      <c r="A2902" s="21">
        <v>39544</v>
      </c>
      <c r="B2902" s="21">
        <v>39544</v>
      </c>
      <c r="C2902" s="45">
        <v>2008</v>
      </c>
      <c r="D2902" s="24" t="s">
        <v>141</v>
      </c>
      <c r="E2902" s="30" t="s">
        <v>142</v>
      </c>
      <c r="F2902" s="7" t="s">
        <v>36</v>
      </c>
      <c r="G2902" s="25" t="s">
        <v>4363</v>
      </c>
      <c r="H2902" s="25" t="s">
        <v>4364</v>
      </c>
      <c r="I2902" s="46">
        <v>7</v>
      </c>
      <c r="J2902" s="46">
        <v>7</v>
      </c>
      <c r="K2902" s="46">
        <v>0</v>
      </c>
      <c r="L2902" s="46">
        <v>0</v>
      </c>
      <c r="M2902" s="46">
        <v>0</v>
      </c>
      <c r="N2902" s="46">
        <v>0</v>
      </c>
      <c r="O2902" s="124">
        <v>0</v>
      </c>
      <c r="P2902" s="102">
        <v>0.3</v>
      </c>
      <c r="Q2902" s="45" t="s">
        <v>154</v>
      </c>
    </row>
    <row r="2903" spans="1:17" ht="60" x14ac:dyDescent="0.25">
      <c r="A2903" s="21">
        <v>39545</v>
      </c>
      <c r="B2903" s="21">
        <v>39545</v>
      </c>
      <c r="C2903" s="45">
        <v>2008</v>
      </c>
      <c r="D2903" s="24" t="s">
        <v>141</v>
      </c>
      <c r="E2903" s="30" t="s">
        <v>142</v>
      </c>
      <c r="F2903" s="7" t="s">
        <v>45</v>
      </c>
      <c r="G2903" s="25" t="s">
        <v>2890</v>
      </c>
      <c r="H2903" s="25" t="s">
        <v>4365</v>
      </c>
      <c r="I2903" s="46">
        <v>1</v>
      </c>
      <c r="J2903" s="46">
        <v>16</v>
      </c>
      <c r="K2903" s="46">
        <v>0</v>
      </c>
      <c r="L2903" s="46">
        <v>0</v>
      </c>
      <c r="M2903" s="46">
        <v>0</v>
      </c>
      <c r="N2903" s="46">
        <v>0</v>
      </c>
      <c r="O2903" s="124">
        <v>0</v>
      </c>
      <c r="P2903" s="102">
        <v>0</v>
      </c>
      <c r="Q2903" s="45" t="s">
        <v>154</v>
      </c>
    </row>
    <row r="2904" spans="1:17" ht="36" x14ac:dyDescent="0.25">
      <c r="A2904" s="21">
        <v>39546</v>
      </c>
      <c r="B2904" s="21">
        <v>39546</v>
      </c>
      <c r="C2904" s="45">
        <v>2008</v>
      </c>
      <c r="D2904" s="24" t="s">
        <v>141</v>
      </c>
      <c r="E2904" s="30" t="s">
        <v>142</v>
      </c>
      <c r="F2904" s="7" t="s">
        <v>72</v>
      </c>
      <c r="G2904" s="25" t="s">
        <v>3749</v>
      </c>
      <c r="H2904" s="25" t="s">
        <v>4366</v>
      </c>
      <c r="I2904" s="46">
        <v>0</v>
      </c>
      <c r="J2904" s="46">
        <v>3</v>
      </c>
      <c r="K2904" s="46">
        <v>0</v>
      </c>
      <c r="L2904" s="46">
        <v>0</v>
      </c>
      <c r="M2904" s="46">
        <v>0</v>
      </c>
      <c r="N2904" s="46">
        <v>0</v>
      </c>
      <c r="O2904" s="124">
        <v>0</v>
      </c>
      <c r="P2904" s="102">
        <v>0.7</v>
      </c>
      <c r="Q2904" s="45" t="s">
        <v>154</v>
      </c>
    </row>
    <row r="2905" spans="1:17" ht="48" x14ac:dyDescent="0.25">
      <c r="A2905" s="21">
        <v>39548</v>
      </c>
      <c r="B2905" s="21">
        <v>39548</v>
      </c>
      <c r="C2905" s="45">
        <v>2008</v>
      </c>
      <c r="D2905" s="24" t="s">
        <v>141</v>
      </c>
      <c r="E2905" s="30" t="s">
        <v>142</v>
      </c>
      <c r="F2905" s="7" t="s">
        <v>60</v>
      </c>
      <c r="G2905" s="25" t="s">
        <v>1605</v>
      </c>
      <c r="H2905" s="25" t="s">
        <v>4367</v>
      </c>
      <c r="I2905" s="46">
        <v>1</v>
      </c>
      <c r="J2905" s="46">
        <v>37</v>
      </c>
      <c r="K2905" s="46">
        <v>0</v>
      </c>
      <c r="L2905" s="46">
        <v>0</v>
      </c>
      <c r="M2905" s="46">
        <v>0</v>
      </c>
      <c r="N2905" s="46">
        <v>0</v>
      </c>
      <c r="O2905" s="124">
        <v>0</v>
      </c>
      <c r="P2905" s="102">
        <v>0.1</v>
      </c>
      <c r="Q2905" s="45" t="s">
        <v>154</v>
      </c>
    </row>
    <row r="2906" spans="1:17" ht="72" x14ac:dyDescent="0.25">
      <c r="A2906" s="21">
        <v>39553</v>
      </c>
      <c r="B2906" s="21">
        <v>39553</v>
      </c>
      <c r="C2906" s="45">
        <v>2008</v>
      </c>
      <c r="D2906" s="24" t="s">
        <v>141</v>
      </c>
      <c r="E2906" s="30" t="s">
        <v>4368</v>
      </c>
      <c r="F2906" s="7" t="s">
        <v>72</v>
      </c>
      <c r="G2906" s="25" t="s">
        <v>3749</v>
      </c>
      <c r="H2906" s="25" t="s">
        <v>4369</v>
      </c>
      <c r="I2906" s="46">
        <v>0</v>
      </c>
      <c r="J2906" s="46">
        <v>0</v>
      </c>
      <c r="K2906" s="46">
        <v>0</v>
      </c>
      <c r="L2906" s="46">
        <v>0</v>
      </c>
      <c r="M2906" s="46">
        <v>0</v>
      </c>
      <c r="N2906" s="46">
        <v>0</v>
      </c>
      <c r="O2906" s="124">
        <v>0</v>
      </c>
      <c r="P2906" s="102">
        <v>0</v>
      </c>
      <c r="Q2906" s="45" t="s">
        <v>154</v>
      </c>
    </row>
    <row r="2907" spans="1:17" ht="60" x14ac:dyDescent="0.25">
      <c r="A2907" s="21">
        <v>39554</v>
      </c>
      <c r="B2907" s="21">
        <v>39554</v>
      </c>
      <c r="C2907" s="45">
        <v>2008</v>
      </c>
      <c r="D2907" s="24" t="s">
        <v>141</v>
      </c>
      <c r="E2907" s="30" t="s">
        <v>142</v>
      </c>
      <c r="F2907" s="7" t="s">
        <v>53</v>
      </c>
      <c r="G2907" s="25" t="s">
        <v>4370</v>
      </c>
      <c r="H2907" s="25" t="s">
        <v>4371</v>
      </c>
      <c r="I2907" s="46">
        <v>0</v>
      </c>
      <c r="J2907" s="46">
        <v>25</v>
      </c>
      <c r="K2907" s="46">
        <v>0</v>
      </c>
      <c r="L2907" s="46">
        <v>0</v>
      </c>
      <c r="M2907" s="46">
        <v>0</v>
      </c>
      <c r="N2907" s="46">
        <v>0</v>
      </c>
      <c r="O2907" s="124">
        <v>0</v>
      </c>
      <c r="P2907" s="102">
        <v>0.4</v>
      </c>
      <c r="Q2907" s="45" t="s">
        <v>154</v>
      </c>
    </row>
    <row r="2908" spans="1:17" ht="72" x14ac:dyDescent="0.25">
      <c r="A2908" s="21">
        <v>39555</v>
      </c>
      <c r="B2908" s="21">
        <v>39555</v>
      </c>
      <c r="C2908" s="45">
        <v>2008</v>
      </c>
      <c r="D2908" s="24" t="s">
        <v>141</v>
      </c>
      <c r="E2908" s="30" t="s">
        <v>142</v>
      </c>
      <c r="F2908" s="7" t="s">
        <v>91</v>
      </c>
      <c r="G2908" s="25" t="s">
        <v>2315</v>
      </c>
      <c r="H2908" s="25" t="s">
        <v>4372</v>
      </c>
      <c r="I2908" s="46">
        <v>0</v>
      </c>
      <c r="J2908" s="46">
        <v>0</v>
      </c>
      <c r="K2908" s="46">
        <v>0</v>
      </c>
      <c r="L2908" s="46">
        <v>0</v>
      </c>
      <c r="M2908" s="46">
        <v>0</v>
      </c>
      <c r="N2908" s="46">
        <v>0</v>
      </c>
      <c r="O2908" s="124">
        <v>0</v>
      </c>
      <c r="P2908" s="102">
        <v>0.46929999999999999</v>
      </c>
      <c r="Q2908" s="45" t="s">
        <v>154</v>
      </c>
    </row>
    <row r="2909" spans="1:17" ht="48" x14ac:dyDescent="0.25">
      <c r="A2909" s="21">
        <v>39556</v>
      </c>
      <c r="B2909" s="21">
        <v>39556</v>
      </c>
      <c r="C2909" s="45">
        <v>2008</v>
      </c>
      <c r="D2909" s="24" t="s">
        <v>141</v>
      </c>
      <c r="E2909" s="30" t="s">
        <v>142</v>
      </c>
      <c r="F2909" s="7" t="s">
        <v>62</v>
      </c>
      <c r="G2909" s="25" t="s">
        <v>1011</v>
      </c>
      <c r="H2909" s="25" t="s">
        <v>4373</v>
      </c>
      <c r="I2909" s="46">
        <v>9</v>
      </c>
      <c r="J2909" s="46">
        <v>10</v>
      </c>
      <c r="K2909" s="46">
        <v>0</v>
      </c>
      <c r="L2909" s="46">
        <v>0</v>
      </c>
      <c r="M2909" s="46">
        <v>0</v>
      </c>
      <c r="N2909" s="46">
        <v>0</v>
      </c>
      <c r="O2909" s="124">
        <v>0</v>
      </c>
      <c r="P2909" s="102">
        <v>1.5</v>
      </c>
      <c r="Q2909" s="45" t="s">
        <v>154</v>
      </c>
    </row>
    <row r="2910" spans="1:17" ht="24" x14ac:dyDescent="0.25">
      <c r="A2910" s="21">
        <v>39556</v>
      </c>
      <c r="B2910" s="21">
        <v>39556</v>
      </c>
      <c r="C2910" s="45">
        <v>2008</v>
      </c>
      <c r="D2910" s="24" t="s">
        <v>141</v>
      </c>
      <c r="E2910" s="30" t="s">
        <v>142</v>
      </c>
      <c r="F2910" s="7" t="s">
        <v>40</v>
      </c>
      <c r="G2910" s="25" t="s">
        <v>40</v>
      </c>
      <c r="H2910" s="25" t="s">
        <v>4374</v>
      </c>
      <c r="I2910" s="46">
        <v>2</v>
      </c>
      <c r="J2910" s="46">
        <v>2</v>
      </c>
      <c r="K2910" s="46">
        <v>0</v>
      </c>
      <c r="L2910" s="46">
        <v>0</v>
      </c>
      <c r="M2910" s="46">
        <v>0</v>
      </c>
      <c r="N2910" s="46">
        <v>0</v>
      </c>
      <c r="O2910" s="124">
        <v>0</v>
      </c>
      <c r="P2910" s="102">
        <v>0.3</v>
      </c>
      <c r="Q2910" s="45" t="s">
        <v>154</v>
      </c>
    </row>
    <row r="2911" spans="1:17" ht="24" x14ac:dyDescent="0.25">
      <c r="A2911" s="21">
        <v>39556</v>
      </c>
      <c r="B2911" s="21">
        <v>39556</v>
      </c>
      <c r="C2911" s="45">
        <v>2008</v>
      </c>
      <c r="D2911" s="24" t="s">
        <v>141</v>
      </c>
      <c r="E2911" s="30" t="s">
        <v>4368</v>
      </c>
      <c r="F2911" s="28" t="s">
        <v>210</v>
      </c>
      <c r="G2911" s="25" t="s">
        <v>4296</v>
      </c>
      <c r="H2911" s="25" t="s">
        <v>4375</v>
      </c>
      <c r="I2911" s="46">
        <v>0</v>
      </c>
      <c r="J2911" s="46">
        <v>0</v>
      </c>
      <c r="K2911" s="46">
        <v>0</v>
      </c>
      <c r="L2911" s="46">
        <v>0</v>
      </c>
      <c r="M2911" s="46">
        <v>0</v>
      </c>
      <c r="N2911" s="46">
        <v>0</v>
      </c>
      <c r="O2911" s="124">
        <v>0</v>
      </c>
      <c r="P2911" s="102">
        <v>0</v>
      </c>
      <c r="Q2911" s="45" t="s">
        <v>154</v>
      </c>
    </row>
    <row r="2912" spans="1:17" ht="48" x14ac:dyDescent="0.25">
      <c r="A2912" s="21">
        <v>39559</v>
      </c>
      <c r="B2912" s="21">
        <v>39559</v>
      </c>
      <c r="C2912" s="45">
        <v>2008</v>
      </c>
      <c r="D2912" s="24" t="s">
        <v>141</v>
      </c>
      <c r="E2912" s="30" t="s">
        <v>142</v>
      </c>
      <c r="F2912" s="7" t="s">
        <v>36</v>
      </c>
      <c r="G2912" s="25" t="s">
        <v>3747</v>
      </c>
      <c r="H2912" s="25" t="s">
        <v>4376</v>
      </c>
      <c r="I2912" s="46">
        <v>0</v>
      </c>
      <c r="J2912" s="46">
        <v>1</v>
      </c>
      <c r="K2912" s="46">
        <v>0</v>
      </c>
      <c r="L2912" s="46">
        <v>0</v>
      </c>
      <c r="M2912" s="46">
        <v>0</v>
      </c>
      <c r="N2912" s="46">
        <v>0</v>
      </c>
      <c r="O2912" s="124">
        <v>0</v>
      </c>
      <c r="P2912" s="102">
        <v>1.5</v>
      </c>
      <c r="Q2912" s="45" t="s">
        <v>154</v>
      </c>
    </row>
    <row r="2913" spans="1:17" ht="60" x14ac:dyDescent="0.25">
      <c r="A2913" s="21">
        <v>39560</v>
      </c>
      <c r="B2913" s="21">
        <v>39560</v>
      </c>
      <c r="C2913" s="45">
        <v>2008</v>
      </c>
      <c r="D2913" s="24" t="s">
        <v>141</v>
      </c>
      <c r="E2913" s="30" t="s">
        <v>142</v>
      </c>
      <c r="F2913" s="7" t="s">
        <v>53</v>
      </c>
      <c r="G2913" s="25" t="s">
        <v>1844</v>
      </c>
      <c r="H2913" s="25" t="s">
        <v>4377</v>
      </c>
      <c r="I2913" s="46">
        <v>0</v>
      </c>
      <c r="J2913" s="46">
        <v>1</v>
      </c>
      <c r="K2913" s="46">
        <v>0</v>
      </c>
      <c r="L2913" s="46">
        <v>0</v>
      </c>
      <c r="M2913" s="46">
        <v>0</v>
      </c>
      <c r="N2913" s="46">
        <v>0</v>
      </c>
      <c r="O2913" s="124">
        <v>0</v>
      </c>
      <c r="P2913" s="102">
        <v>0.67500000000000004</v>
      </c>
      <c r="Q2913" s="45" t="s">
        <v>154</v>
      </c>
    </row>
    <row r="2914" spans="1:17" ht="72" x14ac:dyDescent="0.25">
      <c r="A2914" s="21">
        <v>39561</v>
      </c>
      <c r="B2914" s="21">
        <v>39561</v>
      </c>
      <c r="C2914" s="45">
        <v>2008</v>
      </c>
      <c r="D2914" s="24" t="s">
        <v>141</v>
      </c>
      <c r="E2914" s="30" t="s">
        <v>1600</v>
      </c>
      <c r="F2914" s="7" t="s">
        <v>68</v>
      </c>
      <c r="G2914" s="25" t="s">
        <v>1121</v>
      </c>
      <c r="H2914" s="25" t="s">
        <v>4378</v>
      </c>
      <c r="I2914" s="46">
        <v>0</v>
      </c>
      <c r="J2914" s="46">
        <v>2</v>
      </c>
      <c r="K2914" s="46">
        <v>0</v>
      </c>
      <c r="L2914" s="46">
        <v>0</v>
      </c>
      <c r="M2914" s="46">
        <v>0</v>
      </c>
      <c r="N2914" s="46">
        <v>0</v>
      </c>
      <c r="O2914" s="124">
        <v>0</v>
      </c>
      <c r="P2914" s="102">
        <v>0</v>
      </c>
      <c r="Q2914" s="45" t="s">
        <v>154</v>
      </c>
    </row>
    <row r="2915" spans="1:17" ht="48" x14ac:dyDescent="0.25">
      <c r="A2915" s="21">
        <v>39561</v>
      </c>
      <c r="B2915" s="21">
        <v>39561</v>
      </c>
      <c r="C2915" s="45">
        <v>2008</v>
      </c>
      <c r="D2915" s="24" t="s">
        <v>141</v>
      </c>
      <c r="E2915" s="30" t="s">
        <v>142</v>
      </c>
      <c r="F2915" s="7" t="s">
        <v>65</v>
      </c>
      <c r="G2915" s="25" t="s">
        <v>1537</v>
      </c>
      <c r="H2915" s="25" t="s">
        <v>4379</v>
      </c>
      <c r="I2915" s="46">
        <v>2</v>
      </c>
      <c r="J2915" s="46">
        <v>10</v>
      </c>
      <c r="K2915" s="46">
        <v>0</v>
      </c>
      <c r="L2915" s="46">
        <v>0</v>
      </c>
      <c r="M2915" s="46">
        <v>0</v>
      </c>
      <c r="N2915" s="46">
        <v>0</v>
      </c>
      <c r="O2915" s="124">
        <v>0</v>
      </c>
      <c r="P2915" s="102">
        <v>1.145</v>
      </c>
      <c r="Q2915" s="45" t="s">
        <v>154</v>
      </c>
    </row>
    <row r="2916" spans="1:17" ht="36" x14ac:dyDescent="0.25">
      <c r="A2916" s="21">
        <v>39563</v>
      </c>
      <c r="B2916" s="21">
        <v>39563</v>
      </c>
      <c r="C2916" s="45">
        <v>2008</v>
      </c>
      <c r="D2916" s="24" t="s">
        <v>141</v>
      </c>
      <c r="E2916" s="30" t="s">
        <v>142</v>
      </c>
      <c r="F2916" s="7" t="s">
        <v>45</v>
      </c>
      <c r="G2916" s="25" t="s">
        <v>259</v>
      </c>
      <c r="H2916" s="25" t="s">
        <v>4380</v>
      </c>
      <c r="I2916" s="46">
        <v>0</v>
      </c>
      <c r="J2916" s="46">
        <v>6</v>
      </c>
      <c r="K2916" s="46">
        <v>0</v>
      </c>
      <c r="L2916" s="46">
        <v>0</v>
      </c>
      <c r="M2916" s="46">
        <v>0</v>
      </c>
      <c r="N2916" s="46">
        <v>0</v>
      </c>
      <c r="O2916" s="124">
        <v>0</v>
      </c>
      <c r="P2916" s="102">
        <v>1.5</v>
      </c>
      <c r="Q2916" s="45" t="s">
        <v>154</v>
      </c>
    </row>
    <row r="2917" spans="1:17" ht="36" x14ac:dyDescent="0.25">
      <c r="A2917" s="21">
        <v>39563</v>
      </c>
      <c r="B2917" s="21">
        <v>39563</v>
      </c>
      <c r="C2917" s="45">
        <v>2008</v>
      </c>
      <c r="D2917" s="24" t="s">
        <v>141</v>
      </c>
      <c r="E2917" s="30" t="s">
        <v>142</v>
      </c>
      <c r="F2917" s="7" t="s">
        <v>53</v>
      </c>
      <c r="G2917" s="25" t="s">
        <v>4370</v>
      </c>
      <c r="H2917" s="25" t="s">
        <v>4381</v>
      </c>
      <c r="I2917" s="46">
        <v>1</v>
      </c>
      <c r="J2917" s="46">
        <v>1</v>
      </c>
      <c r="K2917" s="46">
        <v>0</v>
      </c>
      <c r="L2917" s="46">
        <v>0</v>
      </c>
      <c r="M2917" s="46">
        <v>0</v>
      </c>
      <c r="N2917" s="46">
        <v>0</v>
      </c>
      <c r="O2917" s="124">
        <v>0</v>
      </c>
      <c r="P2917" s="102">
        <v>0.34498447569859358</v>
      </c>
      <c r="Q2917" s="45" t="s">
        <v>154</v>
      </c>
    </row>
    <row r="2918" spans="1:17" ht="60" x14ac:dyDescent="0.25">
      <c r="A2918" s="21">
        <v>39574</v>
      </c>
      <c r="B2918" s="21">
        <v>39574</v>
      </c>
      <c r="C2918" s="45">
        <v>2008</v>
      </c>
      <c r="D2918" s="24" t="s">
        <v>141</v>
      </c>
      <c r="E2918" s="30" t="s">
        <v>142</v>
      </c>
      <c r="F2918" s="7" t="s">
        <v>58</v>
      </c>
      <c r="G2918" s="25" t="s">
        <v>1194</v>
      </c>
      <c r="H2918" s="25" t="s">
        <v>4382</v>
      </c>
      <c r="I2918" s="46">
        <v>4</v>
      </c>
      <c r="J2918" s="46">
        <v>38</v>
      </c>
      <c r="K2918" s="46">
        <v>0</v>
      </c>
      <c r="L2918" s="46">
        <v>0</v>
      </c>
      <c r="M2918" s="46">
        <v>0</v>
      </c>
      <c r="N2918" s="46">
        <v>0</v>
      </c>
      <c r="O2918" s="124">
        <v>0</v>
      </c>
      <c r="P2918" s="102">
        <v>0.4</v>
      </c>
      <c r="Q2918" s="45" t="s">
        <v>154</v>
      </c>
    </row>
    <row r="2919" spans="1:17" ht="36" x14ac:dyDescent="0.25">
      <c r="A2919" s="21">
        <v>39576</v>
      </c>
      <c r="B2919" s="21">
        <v>39576</v>
      </c>
      <c r="C2919" s="45">
        <v>2008</v>
      </c>
      <c r="D2919" s="24" t="s">
        <v>141</v>
      </c>
      <c r="E2919" s="30" t="s">
        <v>142</v>
      </c>
      <c r="F2919" s="28" t="s">
        <v>210</v>
      </c>
      <c r="G2919" s="25" t="s">
        <v>1140</v>
      </c>
      <c r="H2919" s="25" t="s">
        <v>4383</v>
      </c>
      <c r="I2919" s="46">
        <v>0</v>
      </c>
      <c r="J2919" s="46">
        <v>25</v>
      </c>
      <c r="K2919" s="46">
        <v>0</v>
      </c>
      <c r="L2919" s="46">
        <v>0</v>
      </c>
      <c r="M2919" s="46">
        <v>0</v>
      </c>
      <c r="N2919" s="46">
        <v>0</v>
      </c>
      <c r="O2919" s="124">
        <v>0</v>
      </c>
      <c r="P2919" s="102">
        <v>0.4</v>
      </c>
      <c r="Q2919" s="45" t="s">
        <v>154</v>
      </c>
    </row>
    <row r="2920" spans="1:17" ht="36" x14ac:dyDescent="0.25">
      <c r="A2920" s="21">
        <v>39577</v>
      </c>
      <c r="B2920" s="21">
        <v>39577</v>
      </c>
      <c r="C2920" s="45">
        <v>2008</v>
      </c>
      <c r="D2920" s="24" t="s">
        <v>141</v>
      </c>
      <c r="E2920" s="30" t="s">
        <v>142</v>
      </c>
      <c r="F2920" s="7" t="s">
        <v>58</v>
      </c>
      <c r="G2920" s="25" t="s">
        <v>724</v>
      </c>
      <c r="H2920" s="25" t="s">
        <v>4384</v>
      </c>
      <c r="I2920" s="46">
        <v>0</v>
      </c>
      <c r="J2920" s="46">
        <v>24</v>
      </c>
      <c r="K2920" s="46">
        <v>0</v>
      </c>
      <c r="L2920" s="46">
        <v>0</v>
      </c>
      <c r="M2920" s="46">
        <v>0</v>
      </c>
      <c r="N2920" s="46">
        <v>0</v>
      </c>
      <c r="O2920" s="124">
        <v>0</v>
      </c>
      <c r="P2920" s="102">
        <v>0.4</v>
      </c>
      <c r="Q2920" s="45" t="s">
        <v>154</v>
      </c>
    </row>
    <row r="2921" spans="1:17" ht="36" x14ac:dyDescent="0.25">
      <c r="A2921" s="21">
        <v>39580</v>
      </c>
      <c r="B2921" s="21">
        <v>39580</v>
      </c>
      <c r="C2921" s="45">
        <v>2008</v>
      </c>
      <c r="D2921" s="24" t="s">
        <v>141</v>
      </c>
      <c r="E2921" s="30" t="s">
        <v>142</v>
      </c>
      <c r="F2921" s="7" t="s">
        <v>65</v>
      </c>
      <c r="G2921" s="25" t="s">
        <v>477</v>
      </c>
      <c r="H2921" s="25" t="s">
        <v>4385</v>
      </c>
      <c r="I2921" s="46">
        <v>0</v>
      </c>
      <c r="J2921" s="46">
        <v>1</v>
      </c>
      <c r="K2921" s="46">
        <v>0</v>
      </c>
      <c r="L2921" s="46">
        <v>0</v>
      </c>
      <c r="M2921" s="46">
        <v>0</v>
      </c>
      <c r="N2921" s="46">
        <v>0</v>
      </c>
      <c r="O2921" s="124">
        <v>0</v>
      </c>
      <c r="P2921" s="102">
        <v>0.45</v>
      </c>
      <c r="Q2921" s="45" t="s">
        <v>154</v>
      </c>
    </row>
    <row r="2922" spans="1:17" ht="48" x14ac:dyDescent="0.25">
      <c r="A2922" s="21">
        <v>39582</v>
      </c>
      <c r="B2922" s="21">
        <v>39582</v>
      </c>
      <c r="C2922" s="45">
        <v>2008</v>
      </c>
      <c r="D2922" s="24" t="s">
        <v>141</v>
      </c>
      <c r="E2922" s="30" t="s">
        <v>142</v>
      </c>
      <c r="F2922" s="7" t="s">
        <v>77</v>
      </c>
      <c r="G2922" s="25" t="s">
        <v>3679</v>
      </c>
      <c r="H2922" s="25" t="s">
        <v>4386</v>
      </c>
      <c r="I2922" s="46">
        <v>0</v>
      </c>
      <c r="J2922" s="46">
        <v>0</v>
      </c>
      <c r="K2922" s="46">
        <v>0</v>
      </c>
      <c r="L2922" s="46">
        <v>0</v>
      </c>
      <c r="M2922" s="46">
        <v>0</v>
      </c>
      <c r="N2922" s="46">
        <v>0</v>
      </c>
      <c r="O2922" s="124">
        <v>0</v>
      </c>
      <c r="P2922" s="102">
        <v>2.8412000000000002</v>
      </c>
      <c r="Q2922" s="45" t="s">
        <v>154</v>
      </c>
    </row>
    <row r="2923" spans="1:17" ht="48" x14ac:dyDescent="0.25">
      <c r="A2923" s="21">
        <v>39582</v>
      </c>
      <c r="B2923" s="21">
        <v>39582</v>
      </c>
      <c r="C2923" s="45">
        <v>2008</v>
      </c>
      <c r="D2923" s="24" t="s">
        <v>141</v>
      </c>
      <c r="E2923" s="30" t="s">
        <v>142</v>
      </c>
      <c r="F2923" s="28" t="s">
        <v>210</v>
      </c>
      <c r="G2923" s="25" t="s">
        <v>4296</v>
      </c>
      <c r="H2923" s="25" t="s">
        <v>4387</v>
      </c>
      <c r="I2923" s="46">
        <v>5</v>
      </c>
      <c r="J2923" s="46">
        <v>13</v>
      </c>
      <c r="K2923" s="46">
        <v>0</v>
      </c>
      <c r="L2923" s="46">
        <v>0</v>
      </c>
      <c r="M2923" s="46">
        <v>0</v>
      </c>
      <c r="N2923" s="46">
        <v>0</v>
      </c>
      <c r="O2923" s="124">
        <v>0</v>
      </c>
      <c r="P2923" s="102">
        <v>0.3</v>
      </c>
      <c r="Q2923" s="45" t="s">
        <v>154</v>
      </c>
    </row>
    <row r="2924" spans="1:17" ht="36" x14ac:dyDescent="0.25">
      <c r="A2924" s="21">
        <v>39583</v>
      </c>
      <c r="B2924" s="21">
        <v>39583</v>
      </c>
      <c r="C2924" s="45">
        <v>2008</v>
      </c>
      <c r="D2924" s="24" t="s">
        <v>141</v>
      </c>
      <c r="E2924" s="30" t="s">
        <v>142</v>
      </c>
      <c r="F2924" s="7" t="s">
        <v>56</v>
      </c>
      <c r="G2924" s="25" t="s">
        <v>646</v>
      </c>
      <c r="H2924" s="25" t="s">
        <v>4388</v>
      </c>
      <c r="I2924" s="46">
        <v>0</v>
      </c>
      <c r="J2924" s="46">
        <v>25</v>
      </c>
      <c r="K2924" s="46">
        <v>0</v>
      </c>
      <c r="L2924" s="46">
        <v>0</v>
      </c>
      <c r="M2924" s="46">
        <v>0</v>
      </c>
      <c r="N2924" s="46">
        <v>0</v>
      </c>
      <c r="O2924" s="124">
        <v>0</v>
      </c>
      <c r="P2924" s="102">
        <v>0.4</v>
      </c>
      <c r="Q2924" s="45" t="s">
        <v>154</v>
      </c>
    </row>
    <row r="2925" spans="1:17" ht="36" x14ac:dyDescent="0.25">
      <c r="A2925" s="21">
        <v>39584</v>
      </c>
      <c r="B2925" s="21">
        <v>39584</v>
      </c>
      <c r="C2925" s="45">
        <v>2008</v>
      </c>
      <c r="D2925" s="24" t="s">
        <v>141</v>
      </c>
      <c r="E2925" s="30" t="s">
        <v>142</v>
      </c>
      <c r="F2925" s="28" t="s">
        <v>157</v>
      </c>
      <c r="G2925" s="25" t="s">
        <v>3340</v>
      </c>
      <c r="H2925" s="25" t="s">
        <v>4389</v>
      </c>
      <c r="I2925" s="46">
        <v>0</v>
      </c>
      <c r="J2925" s="46">
        <v>19</v>
      </c>
      <c r="K2925" s="46">
        <v>0</v>
      </c>
      <c r="L2925" s="46">
        <v>0</v>
      </c>
      <c r="M2925" s="46">
        <v>0</v>
      </c>
      <c r="N2925" s="46">
        <v>0</v>
      </c>
      <c r="O2925" s="124">
        <v>0</v>
      </c>
      <c r="P2925" s="102">
        <v>0.09</v>
      </c>
      <c r="Q2925" s="45" t="s">
        <v>154</v>
      </c>
    </row>
    <row r="2926" spans="1:17" ht="24" x14ac:dyDescent="0.25">
      <c r="A2926" s="21">
        <v>39586</v>
      </c>
      <c r="B2926" s="21">
        <v>39586</v>
      </c>
      <c r="C2926" s="45">
        <v>2008</v>
      </c>
      <c r="D2926" s="24" t="s">
        <v>141</v>
      </c>
      <c r="E2926" s="30" t="s">
        <v>142</v>
      </c>
      <c r="F2926" s="7" t="s">
        <v>72</v>
      </c>
      <c r="G2926" s="25" t="s">
        <v>4390</v>
      </c>
      <c r="H2926" s="25" t="s">
        <v>4391</v>
      </c>
      <c r="I2926" s="46">
        <v>1</v>
      </c>
      <c r="J2926" s="46">
        <v>1</v>
      </c>
      <c r="K2926" s="46">
        <v>0</v>
      </c>
      <c r="L2926" s="46">
        <v>0</v>
      </c>
      <c r="M2926" s="46">
        <v>0</v>
      </c>
      <c r="N2926" s="46">
        <v>0</v>
      </c>
      <c r="O2926" s="124">
        <v>0</v>
      </c>
      <c r="P2926" s="102">
        <v>0.45</v>
      </c>
      <c r="Q2926" s="45" t="s">
        <v>154</v>
      </c>
    </row>
    <row r="2927" spans="1:17" ht="36" x14ac:dyDescent="0.25">
      <c r="A2927" s="21">
        <v>39587</v>
      </c>
      <c r="B2927" s="21">
        <v>39587</v>
      </c>
      <c r="C2927" s="45">
        <v>2008</v>
      </c>
      <c r="D2927" s="24" t="s">
        <v>141</v>
      </c>
      <c r="E2927" s="30" t="s">
        <v>142</v>
      </c>
      <c r="F2927" s="7" t="s">
        <v>47</v>
      </c>
      <c r="G2927" s="25" t="s">
        <v>4392</v>
      </c>
      <c r="H2927" s="25" t="s">
        <v>4393</v>
      </c>
      <c r="I2927" s="46">
        <v>0</v>
      </c>
      <c r="J2927" s="46">
        <v>0</v>
      </c>
      <c r="K2927" s="46">
        <v>0</v>
      </c>
      <c r="L2927" s="46">
        <v>0</v>
      </c>
      <c r="M2927" s="46">
        <v>0</v>
      </c>
      <c r="N2927" s="46">
        <v>0</v>
      </c>
      <c r="O2927" s="124">
        <v>0</v>
      </c>
      <c r="P2927" s="102">
        <v>1.9139999999999999</v>
      </c>
      <c r="Q2927" s="45" t="s">
        <v>154</v>
      </c>
    </row>
    <row r="2928" spans="1:17" ht="60" x14ac:dyDescent="0.25">
      <c r="A2928" s="21">
        <v>39587</v>
      </c>
      <c r="B2928" s="21">
        <v>39587</v>
      </c>
      <c r="C2928" s="45">
        <v>2008</v>
      </c>
      <c r="D2928" s="24" t="s">
        <v>141</v>
      </c>
      <c r="E2928" s="30" t="s">
        <v>142</v>
      </c>
      <c r="F2928" s="28" t="s">
        <v>160</v>
      </c>
      <c r="G2928" s="25" t="s">
        <v>4394</v>
      </c>
      <c r="H2928" s="25" t="s">
        <v>4395</v>
      </c>
      <c r="I2928" s="46">
        <v>21</v>
      </c>
      <c r="J2928" s="46">
        <v>33</v>
      </c>
      <c r="K2928" s="46">
        <v>0</v>
      </c>
      <c r="L2928" s="46">
        <v>0</v>
      </c>
      <c r="M2928" s="46">
        <v>0</v>
      </c>
      <c r="N2928" s="46">
        <v>0</v>
      </c>
      <c r="O2928" s="124">
        <v>0</v>
      </c>
      <c r="P2928" s="102">
        <v>0.4</v>
      </c>
      <c r="Q2928" s="45" t="s">
        <v>154</v>
      </c>
    </row>
    <row r="2929" spans="1:17" ht="48" x14ac:dyDescent="0.25">
      <c r="A2929" s="21">
        <v>39590</v>
      </c>
      <c r="B2929" s="21">
        <v>39590</v>
      </c>
      <c r="C2929" s="45">
        <v>2008</v>
      </c>
      <c r="D2929" s="24" t="s">
        <v>141</v>
      </c>
      <c r="E2929" s="30" t="s">
        <v>142</v>
      </c>
      <c r="F2929" s="28" t="s">
        <v>160</v>
      </c>
      <c r="G2929" s="25" t="s">
        <v>4396</v>
      </c>
      <c r="H2929" s="25" t="s">
        <v>4397</v>
      </c>
      <c r="I2929" s="46">
        <v>2</v>
      </c>
      <c r="J2929" s="46">
        <v>8</v>
      </c>
      <c r="K2929" s="46">
        <v>0</v>
      </c>
      <c r="L2929" s="46">
        <v>0</v>
      </c>
      <c r="M2929" s="46">
        <v>0</v>
      </c>
      <c r="N2929" s="46">
        <v>0</v>
      </c>
      <c r="O2929" s="124">
        <v>0</v>
      </c>
      <c r="P2929" s="102">
        <v>4.4999999999999998E-2</v>
      </c>
      <c r="Q2929" s="45" t="s">
        <v>154</v>
      </c>
    </row>
    <row r="2930" spans="1:17" ht="36" x14ac:dyDescent="0.25">
      <c r="A2930" s="21">
        <v>39596</v>
      </c>
      <c r="B2930" s="21">
        <v>39596</v>
      </c>
      <c r="C2930" s="45">
        <v>2008</v>
      </c>
      <c r="D2930" s="24" t="s">
        <v>141</v>
      </c>
      <c r="E2930" s="42" t="s">
        <v>447</v>
      </c>
      <c r="F2930" s="28" t="s">
        <v>157</v>
      </c>
      <c r="G2930" s="25" t="s">
        <v>1029</v>
      </c>
      <c r="H2930" s="25" t="s">
        <v>4398</v>
      </c>
      <c r="I2930" s="46">
        <v>0</v>
      </c>
      <c r="J2930" s="46">
        <v>20</v>
      </c>
      <c r="K2930" s="46">
        <v>0</v>
      </c>
      <c r="L2930" s="46">
        <v>0</v>
      </c>
      <c r="M2930" s="46">
        <v>0</v>
      </c>
      <c r="N2930" s="46">
        <v>0</v>
      </c>
      <c r="O2930" s="124">
        <v>0</v>
      </c>
      <c r="P2930" s="102">
        <v>0</v>
      </c>
      <c r="Q2930" s="45" t="s">
        <v>154</v>
      </c>
    </row>
    <row r="2931" spans="1:17" ht="36" x14ac:dyDescent="0.25">
      <c r="A2931" s="21">
        <v>39596</v>
      </c>
      <c r="B2931" s="21">
        <v>39596</v>
      </c>
      <c r="C2931" s="45">
        <v>2008</v>
      </c>
      <c r="D2931" s="24" t="s">
        <v>141</v>
      </c>
      <c r="E2931" s="30" t="s">
        <v>142</v>
      </c>
      <c r="F2931" s="28" t="s">
        <v>210</v>
      </c>
      <c r="G2931" s="25" t="s">
        <v>4399</v>
      </c>
      <c r="H2931" s="25" t="s">
        <v>4400</v>
      </c>
      <c r="I2931" s="46">
        <v>1</v>
      </c>
      <c r="J2931" s="46">
        <v>1</v>
      </c>
      <c r="K2931" s="46">
        <v>0</v>
      </c>
      <c r="L2931" s="46">
        <v>0</v>
      </c>
      <c r="M2931" s="46">
        <v>0</v>
      </c>
      <c r="N2931" s="46">
        <v>0</v>
      </c>
      <c r="O2931" s="124">
        <v>0</v>
      </c>
      <c r="P2931" s="102">
        <v>0.45</v>
      </c>
      <c r="Q2931" s="45" t="s">
        <v>154</v>
      </c>
    </row>
    <row r="2932" spans="1:17" ht="36" x14ac:dyDescent="0.25">
      <c r="A2932" s="21">
        <v>39596</v>
      </c>
      <c r="B2932" s="21">
        <v>39596</v>
      </c>
      <c r="C2932" s="45">
        <v>2008</v>
      </c>
      <c r="D2932" s="24" t="s">
        <v>141</v>
      </c>
      <c r="E2932" s="30" t="s">
        <v>142</v>
      </c>
      <c r="F2932" s="28" t="s">
        <v>210</v>
      </c>
      <c r="G2932" s="25" t="s">
        <v>4401</v>
      </c>
      <c r="H2932" s="25" t="s">
        <v>4402</v>
      </c>
      <c r="I2932" s="46">
        <v>1</v>
      </c>
      <c r="J2932" s="46">
        <v>18</v>
      </c>
      <c r="K2932" s="46">
        <v>0</v>
      </c>
      <c r="L2932" s="46">
        <v>0</v>
      </c>
      <c r="M2932" s="46">
        <v>0</v>
      </c>
      <c r="N2932" s="46">
        <v>0</v>
      </c>
      <c r="O2932" s="124">
        <v>0</v>
      </c>
      <c r="P2932" s="102">
        <v>0.85</v>
      </c>
      <c r="Q2932" s="45" t="s">
        <v>154</v>
      </c>
    </row>
    <row r="2933" spans="1:17" ht="72" x14ac:dyDescent="0.25">
      <c r="A2933" s="21">
        <v>39603</v>
      </c>
      <c r="B2933" s="21">
        <v>39603</v>
      </c>
      <c r="C2933" s="45">
        <v>2008</v>
      </c>
      <c r="D2933" s="24" t="s">
        <v>141</v>
      </c>
      <c r="E2933" s="30" t="s">
        <v>142</v>
      </c>
      <c r="F2933" s="7" t="s">
        <v>62</v>
      </c>
      <c r="G2933" s="25" t="s">
        <v>165</v>
      </c>
      <c r="H2933" s="25" t="s">
        <v>4403</v>
      </c>
      <c r="I2933" s="46">
        <v>1</v>
      </c>
      <c r="J2933" s="46">
        <v>2</v>
      </c>
      <c r="K2933" s="46">
        <v>0</v>
      </c>
      <c r="L2933" s="46">
        <v>0</v>
      </c>
      <c r="M2933" s="46">
        <v>0</v>
      </c>
      <c r="N2933" s="46">
        <v>0</v>
      </c>
      <c r="O2933" s="124">
        <v>0</v>
      </c>
      <c r="P2933" s="102">
        <v>0.75</v>
      </c>
      <c r="Q2933" s="45" t="s">
        <v>154</v>
      </c>
    </row>
    <row r="2934" spans="1:17" ht="48" x14ac:dyDescent="0.25">
      <c r="A2934" s="21">
        <v>39605</v>
      </c>
      <c r="B2934" s="21">
        <v>39605</v>
      </c>
      <c r="C2934" s="45">
        <v>2008</v>
      </c>
      <c r="D2934" s="24" t="s">
        <v>141</v>
      </c>
      <c r="E2934" s="30" t="s">
        <v>142</v>
      </c>
      <c r="F2934" s="28" t="s">
        <v>210</v>
      </c>
      <c r="G2934" s="25" t="s">
        <v>4404</v>
      </c>
      <c r="H2934" s="25" t="s">
        <v>4405</v>
      </c>
      <c r="I2934" s="46">
        <v>6</v>
      </c>
      <c r="J2934" s="46">
        <v>30</v>
      </c>
      <c r="K2934" s="46">
        <v>0</v>
      </c>
      <c r="L2934" s="46">
        <v>0</v>
      </c>
      <c r="M2934" s="46">
        <v>0</v>
      </c>
      <c r="N2934" s="46">
        <v>0</v>
      </c>
      <c r="O2934" s="124">
        <v>0</v>
      </c>
      <c r="P2934" s="102">
        <v>0.45</v>
      </c>
      <c r="Q2934" s="45" t="s">
        <v>154</v>
      </c>
    </row>
    <row r="2935" spans="1:17" ht="48" x14ac:dyDescent="0.25">
      <c r="A2935" s="21">
        <v>39609</v>
      </c>
      <c r="B2935" s="21">
        <v>39609</v>
      </c>
      <c r="C2935" s="45">
        <v>2008</v>
      </c>
      <c r="D2935" s="24" t="s">
        <v>141</v>
      </c>
      <c r="E2935" s="30" t="s">
        <v>142</v>
      </c>
      <c r="F2935" s="7" t="s">
        <v>68</v>
      </c>
      <c r="G2935" s="25" t="s">
        <v>2512</v>
      </c>
      <c r="H2935" s="25" t="s">
        <v>4406</v>
      </c>
      <c r="I2935" s="46">
        <v>0</v>
      </c>
      <c r="J2935" s="46">
        <v>1</v>
      </c>
      <c r="K2935" s="46">
        <v>0</v>
      </c>
      <c r="L2935" s="46">
        <v>0</v>
      </c>
      <c r="M2935" s="46">
        <v>0</v>
      </c>
      <c r="N2935" s="46">
        <v>0</v>
      </c>
      <c r="O2935" s="124">
        <v>0</v>
      </c>
      <c r="P2935" s="102">
        <v>0.45015440000000001</v>
      </c>
      <c r="Q2935" s="45" t="s">
        <v>154</v>
      </c>
    </row>
    <row r="2936" spans="1:17" ht="48" x14ac:dyDescent="0.25">
      <c r="A2936" s="21">
        <v>39609</v>
      </c>
      <c r="B2936" s="21">
        <v>39609</v>
      </c>
      <c r="C2936" s="45">
        <v>2008</v>
      </c>
      <c r="D2936" s="24" t="s">
        <v>141</v>
      </c>
      <c r="E2936" s="30" t="s">
        <v>142</v>
      </c>
      <c r="F2936" s="7" t="s">
        <v>101</v>
      </c>
      <c r="G2936" s="25" t="s">
        <v>4407</v>
      </c>
      <c r="H2936" s="25" t="s">
        <v>4408</v>
      </c>
      <c r="I2936" s="46">
        <v>5</v>
      </c>
      <c r="J2936" s="46">
        <v>11</v>
      </c>
      <c r="K2936" s="46">
        <v>0</v>
      </c>
      <c r="L2936" s="46">
        <v>0</v>
      </c>
      <c r="M2936" s="46">
        <v>0</v>
      </c>
      <c r="N2936" s="46">
        <v>0</v>
      </c>
      <c r="O2936" s="124">
        <v>0</v>
      </c>
      <c r="P2936" s="102">
        <v>0.4</v>
      </c>
      <c r="Q2936" s="45" t="s">
        <v>154</v>
      </c>
    </row>
    <row r="2937" spans="1:17" ht="48" x14ac:dyDescent="0.25">
      <c r="A2937" s="21">
        <v>39615</v>
      </c>
      <c r="B2937" s="21">
        <v>39615</v>
      </c>
      <c r="C2937" s="45">
        <v>2008</v>
      </c>
      <c r="D2937" s="24" t="s">
        <v>141</v>
      </c>
      <c r="E2937" s="30" t="s">
        <v>142</v>
      </c>
      <c r="F2937" s="7" t="s">
        <v>33</v>
      </c>
      <c r="G2937" s="25" t="s">
        <v>247</v>
      </c>
      <c r="H2937" s="25" t="s">
        <v>4409</v>
      </c>
      <c r="I2937" s="46">
        <v>2</v>
      </c>
      <c r="J2937" s="46">
        <v>2</v>
      </c>
      <c r="K2937" s="46">
        <v>0</v>
      </c>
      <c r="L2937" s="46">
        <v>0</v>
      </c>
      <c r="M2937" s="46">
        <v>0</v>
      </c>
      <c r="N2937" s="46">
        <v>0</v>
      </c>
      <c r="O2937" s="124">
        <v>0</v>
      </c>
      <c r="P2937" s="102">
        <v>1.5</v>
      </c>
      <c r="Q2937" s="45" t="s">
        <v>154</v>
      </c>
    </row>
    <row r="2938" spans="1:17" ht="36" x14ac:dyDescent="0.25">
      <c r="A2938" s="21">
        <v>39617</v>
      </c>
      <c r="B2938" s="21">
        <v>39617</v>
      </c>
      <c r="C2938" s="45">
        <v>2008</v>
      </c>
      <c r="D2938" s="24" t="s">
        <v>141</v>
      </c>
      <c r="E2938" s="30" t="s">
        <v>142</v>
      </c>
      <c r="F2938" s="28" t="s">
        <v>160</v>
      </c>
      <c r="G2938" s="25" t="s">
        <v>4410</v>
      </c>
      <c r="H2938" s="25" t="s">
        <v>4411</v>
      </c>
      <c r="I2938" s="46">
        <v>6</v>
      </c>
      <c r="J2938" s="46">
        <v>8</v>
      </c>
      <c r="K2938" s="46">
        <v>0</v>
      </c>
      <c r="L2938" s="46">
        <v>0</v>
      </c>
      <c r="M2938" s="46">
        <v>0</v>
      </c>
      <c r="N2938" s="46">
        <v>0</v>
      </c>
      <c r="O2938" s="124">
        <v>0</v>
      </c>
      <c r="P2938" s="102">
        <v>0</v>
      </c>
      <c r="Q2938" s="45" t="s">
        <v>154</v>
      </c>
    </row>
    <row r="2939" spans="1:17" ht="72" x14ac:dyDescent="0.25">
      <c r="A2939" s="21">
        <v>39619</v>
      </c>
      <c r="B2939" s="21">
        <v>39619</v>
      </c>
      <c r="C2939" s="45">
        <v>2008</v>
      </c>
      <c r="D2939" s="24" t="s">
        <v>141</v>
      </c>
      <c r="E2939" s="42" t="s">
        <v>447</v>
      </c>
      <c r="F2939" s="28" t="s">
        <v>157</v>
      </c>
      <c r="G2939" s="25" t="s">
        <v>4412</v>
      </c>
      <c r="H2939" s="25" t="s">
        <v>4413</v>
      </c>
      <c r="I2939" s="46">
        <v>12</v>
      </c>
      <c r="J2939" s="46">
        <v>29</v>
      </c>
      <c r="K2939" s="46">
        <v>0</v>
      </c>
      <c r="L2939" s="46">
        <v>0</v>
      </c>
      <c r="M2939" s="46">
        <v>0</v>
      </c>
      <c r="N2939" s="46">
        <v>0</v>
      </c>
      <c r="O2939" s="124">
        <v>0</v>
      </c>
      <c r="P2939" s="102">
        <v>0</v>
      </c>
      <c r="Q2939" s="45" t="s">
        <v>154</v>
      </c>
    </row>
    <row r="2940" spans="1:17" ht="36" x14ac:dyDescent="0.25">
      <c r="A2940" s="21">
        <v>39619</v>
      </c>
      <c r="B2940" s="21">
        <v>39619</v>
      </c>
      <c r="C2940" s="45">
        <v>2008</v>
      </c>
      <c r="D2940" s="24" t="s">
        <v>141</v>
      </c>
      <c r="E2940" s="30" t="s">
        <v>142</v>
      </c>
      <c r="F2940" s="7" t="s">
        <v>53</v>
      </c>
      <c r="G2940" s="25" t="s">
        <v>4370</v>
      </c>
      <c r="H2940" s="25" t="s">
        <v>4414</v>
      </c>
      <c r="I2940" s="46">
        <v>1</v>
      </c>
      <c r="J2940" s="46">
        <v>5</v>
      </c>
      <c r="K2940" s="46">
        <v>0</v>
      </c>
      <c r="L2940" s="46">
        <v>0</v>
      </c>
      <c r="M2940" s="46">
        <v>0</v>
      </c>
      <c r="N2940" s="46">
        <v>0</v>
      </c>
      <c r="O2940" s="124">
        <v>0</v>
      </c>
      <c r="P2940" s="102">
        <v>0.34499999999999997</v>
      </c>
      <c r="Q2940" s="45" t="s">
        <v>154</v>
      </c>
    </row>
    <row r="2941" spans="1:17" ht="48" x14ac:dyDescent="0.25">
      <c r="A2941" s="21">
        <v>39617</v>
      </c>
      <c r="B2941" s="21">
        <v>39617</v>
      </c>
      <c r="C2941" s="45">
        <v>2008</v>
      </c>
      <c r="D2941" s="24" t="s">
        <v>141</v>
      </c>
      <c r="E2941" s="30" t="s">
        <v>142</v>
      </c>
      <c r="F2941" s="28" t="s">
        <v>210</v>
      </c>
      <c r="G2941" s="25" t="s">
        <v>4415</v>
      </c>
      <c r="H2941" s="25" t="s">
        <v>4416</v>
      </c>
      <c r="I2941" s="46">
        <v>0</v>
      </c>
      <c r="J2941" s="46">
        <v>1</v>
      </c>
      <c r="K2941" s="46">
        <v>0</v>
      </c>
      <c r="L2941" s="46">
        <v>0</v>
      </c>
      <c r="M2941" s="46">
        <v>0</v>
      </c>
      <c r="N2941" s="46">
        <v>0</v>
      </c>
      <c r="O2941" s="124">
        <v>0</v>
      </c>
      <c r="P2941" s="102">
        <v>0.45</v>
      </c>
      <c r="Q2941" s="45" t="s">
        <v>154</v>
      </c>
    </row>
    <row r="2942" spans="1:17" ht="60" x14ac:dyDescent="0.25">
      <c r="A2942" s="21">
        <v>39620</v>
      </c>
      <c r="B2942" s="21">
        <v>39620</v>
      </c>
      <c r="C2942" s="45">
        <v>2008</v>
      </c>
      <c r="D2942" s="24" t="s">
        <v>141</v>
      </c>
      <c r="E2942" s="30" t="s">
        <v>142</v>
      </c>
      <c r="F2942" s="25" t="s">
        <v>781</v>
      </c>
      <c r="G2942" s="25" t="s">
        <v>1116</v>
      </c>
      <c r="H2942" s="25" t="s">
        <v>4417</v>
      </c>
      <c r="I2942" s="46">
        <v>3</v>
      </c>
      <c r="J2942" s="46">
        <v>3</v>
      </c>
      <c r="K2942" s="46">
        <v>0</v>
      </c>
      <c r="L2942" s="46">
        <v>0</v>
      </c>
      <c r="M2942" s="46">
        <v>0</v>
      </c>
      <c r="N2942" s="46">
        <v>0</v>
      </c>
      <c r="O2942" s="124">
        <v>0</v>
      </c>
      <c r="P2942" s="102">
        <v>0.45440000000000003</v>
      </c>
      <c r="Q2942" s="45" t="s">
        <v>154</v>
      </c>
    </row>
    <row r="2943" spans="1:17" ht="48" x14ac:dyDescent="0.25">
      <c r="A2943" s="21">
        <v>39625</v>
      </c>
      <c r="B2943" s="21">
        <v>39625</v>
      </c>
      <c r="C2943" s="45">
        <v>2008</v>
      </c>
      <c r="D2943" s="24" t="s">
        <v>141</v>
      </c>
      <c r="E2943" s="30" t="s">
        <v>142</v>
      </c>
      <c r="F2943" s="7" t="s">
        <v>75</v>
      </c>
      <c r="G2943" s="25" t="s">
        <v>4418</v>
      </c>
      <c r="H2943" s="25" t="s">
        <v>4419</v>
      </c>
      <c r="I2943" s="46">
        <v>5</v>
      </c>
      <c r="J2943" s="46">
        <v>21</v>
      </c>
      <c r="K2943" s="46">
        <v>0</v>
      </c>
      <c r="L2943" s="46">
        <v>0</v>
      </c>
      <c r="M2943" s="46">
        <v>0</v>
      </c>
      <c r="N2943" s="46">
        <v>0</v>
      </c>
      <c r="O2943" s="124">
        <v>0</v>
      </c>
      <c r="P2943" s="102">
        <v>0.4</v>
      </c>
      <c r="Q2943" s="45" t="s">
        <v>154</v>
      </c>
    </row>
    <row r="2944" spans="1:17" ht="48" x14ac:dyDescent="0.25">
      <c r="A2944" s="21">
        <v>39630</v>
      </c>
      <c r="B2944" s="21">
        <v>39630</v>
      </c>
      <c r="C2944" s="45">
        <v>2008</v>
      </c>
      <c r="D2944" s="24" t="s">
        <v>141</v>
      </c>
      <c r="E2944" s="30" t="s">
        <v>142</v>
      </c>
      <c r="F2944" s="7" t="s">
        <v>87</v>
      </c>
      <c r="G2944" s="25" t="s">
        <v>4420</v>
      </c>
      <c r="H2944" s="25" t="s">
        <v>4421</v>
      </c>
      <c r="I2944" s="46">
        <v>0</v>
      </c>
      <c r="J2944" s="46">
        <v>1</v>
      </c>
      <c r="K2944" s="46">
        <v>0</v>
      </c>
      <c r="L2944" s="46">
        <v>0</v>
      </c>
      <c r="M2944" s="46">
        <v>0</v>
      </c>
      <c r="N2944" s="46">
        <v>0</v>
      </c>
      <c r="O2944" s="124">
        <v>0</v>
      </c>
      <c r="P2944" s="102">
        <v>0.45</v>
      </c>
      <c r="Q2944" s="45" t="s">
        <v>154</v>
      </c>
    </row>
    <row r="2945" spans="1:17" ht="36" x14ac:dyDescent="0.25">
      <c r="A2945" s="21">
        <v>39630</v>
      </c>
      <c r="B2945" s="21">
        <v>39630</v>
      </c>
      <c r="C2945" s="45">
        <v>2008</v>
      </c>
      <c r="D2945" s="24" t="s">
        <v>141</v>
      </c>
      <c r="E2945" s="30" t="s">
        <v>142</v>
      </c>
      <c r="F2945" s="7" t="s">
        <v>91</v>
      </c>
      <c r="G2945" s="25" t="s">
        <v>2315</v>
      </c>
      <c r="H2945" s="25" t="s">
        <v>4422</v>
      </c>
      <c r="I2945" s="46">
        <v>0</v>
      </c>
      <c r="J2945" s="46">
        <v>0</v>
      </c>
      <c r="K2945" s="46">
        <v>0</v>
      </c>
      <c r="L2945" s="46">
        <v>0</v>
      </c>
      <c r="M2945" s="46">
        <v>0</v>
      </c>
      <c r="N2945" s="46">
        <v>0</v>
      </c>
      <c r="O2945" s="124">
        <v>0</v>
      </c>
      <c r="P2945" s="102">
        <v>0.55020000000000002</v>
      </c>
      <c r="Q2945" s="45" t="s">
        <v>154</v>
      </c>
    </row>
    <row r="2946" spans="1:17" ht="36" x14ac:dyDescent="0.25">
      <c r="A2946" s="21">
        <v>39630</v>
      </c>
      <c r="B2946" s="21">
        <v>39630</v>
      </c>
      <c r="C2946" s="45">
        <v>2008</v>
      </c>
      <c r="D2946" s="24" t="s">
        <v>141</v>
      </c>
      <c r="E2946" s="30" t="s">
        <v>142</v>
      </c>
      <c r="F2946" s="7" t="s">
        <v>87</v>
      </c>
      <c r="G2946" s="25" t="s">
        <v>2758</v>
      </c>
      <c r="H2946" s="25" t="s">
        <v>4423</v>
      </c>
      <c r="I2946" s="46">
        <v>0</v>
      </c>
      <c r="J2946" s="46">
        <v>0</v>
      </c>
      <c r="K2946" s="46">
        <v>0</v>
      </c>
      <c r="L2946" s="46">
        <v>0</v>
      </c>
      <c r="M2946" s="46">
        <v>0</v>
      </c>
      <c r="N2946" s="46">
        <v>0</v>
      </c>
      <c r="O2946" s="124">
        <v>0</v>
      </c>
      <c r="P2946" s="102">
        <v>0.60440000000000005</v>
      </c>
      <c r="Q2946" s="45" t="s">
        <v>154</v>
      </c>
    </row>
    <row r="2947" spans="1:17" ht="60" x14ac:dyDescent="0.25">
      <c r="A2947" s="21">
        <v>39633</v>
      </c>
      <c r="B2947" s="21">
        <v>39633</v>
      </c>
      <c r="C2947" s="45">
        <v>2008</v>
      </c>
      <c r="D2947" s="24" t="s">
        <v>141</v>
      </c>
      <c r="E2947" s="30" t="s">
        <v>142</v>
      </c>
      <c r="F2947" s="7" t="s">
        <v>45</v>
      </c>
      <c r="G2947" s="25" t="s">
        <v>3124</v>
      </c>
      <c r="H2947" s="25" t="s">
        <v>4424</v>
      </c>
      <c r="I2947" s="46">
        <v>5</v>
      </c>
      <c r="J2947" s="46">
        <v>34</v>
      </c>
      <c r="K2947" s="46">
        <v>0</v>
      </c>
      <c r="L2947" s="46">
        <v>0</v>
      </c>
      <c r="M2947" s="46">
        <v>0</v>
      </c>
      <c r="N2947" s="46">
        <v>0</v>
      </c>
      <c r="O2947" s="124">
        <v>0</v>
      </c>
      <c r="P2947" s="102">
        <v>0.4</v>
      </c>
      <c r="Q2947" s="45" t="s">
        <v>154</v>
      </c>
    </row>
    <row r="2948" spans="1:17" ht="24" x14ac:dyDescent="0.25">
      <c r="A2948" s="125">
        <v>39664</v>
      </c>
      <c r="B2948" s="125">
        <v>39664</v>
      </c>
      <c r="C2948" s="45">
        <v>2008</v>
      </c>
      <c r="D2948" s="24" t="s">
        <v>141</v>
      </c>
      <c r="E2948" s="30" t="s">
        <v>142</v>
      </c>
      <c r="F2948" s="7" t="s">
        <v>53</v>
      </c>
      <c r="G2948" s="25" t="s">
        <v>2287</v>
      </c>
      <c r="H2948" s="25" t="s">
        <v>4425</v>
      </c>
      <c r="I2948" s="46">
        <v>4</v>
      </c>
      <c r="J2948" s="46">
        <v>7</v>
      </c>
      <c r="K2948" s="46">
        <v>0</v>
      </c>
      <c r="L2948" s="46">
        <v>0</v>
      </c>
      <c r="M2948" s="46">
        <v>0</v>
      </c>
      <c r="N2948" s="46">
        <v>0</v>
      </c>
      <c r="O2948" s="124">
        <v>0</v>
      </c>
      <c r="P2948" s="102">
        <v>0.34499999999999997</v>
      </c>
      <c r="Q2948" s="45" t="s">
        <v>154</v>
      </c>
    </row>
    <row r="2949" spans="1:17" ht="36" x14ac:dyDescent="0.25">
      <c r="A2949" s="125">
        <v>39664</v>
      </c>
      <c r="B2949" s="125">
        <v>39664</v>
      </c>
      <c r="C2949" s="45">
        <v>2008</v>
      </c>
      <c r="D2949" s="24" t="s">
        <v>141</v>
      </c>
      <c r="E2949" s="30" t="s">
        <v>142</v>
      </c>
      <c r="F2949" s="28" t="s">
        <v>210</v>
      </c>
      <c r="G2949" s="25" t="s">
        <v>2076</v>
      </c>
      <c r="H2949" s="25" t="s">
        <v>4426</v>
      </c>
      <c r="I2949" s="46">
        <v>2</v>
      </c>
      <c r="J2949" s="46">
        <v>27</v>
      </c>
      <c r="K2949" s="46">
        <v>0</v>
      </c>
      <c r="L2949" s="46">
        <v>0</v>
      </c>
      <c r="M2949" s="46">
        <v>0</v>
      </c>
      <c r="N2949" s="46">
        <v>0</v>
      </c>
      <c r="O2949" s="124">
        <v>0</v>
      </c>
      <c r="P2949" s="102">
        <v>0.3</v>
      </c>
      <c r="Q2949" s="45" t="s">
        <v>154</v>
      </c>
    </row>
    <row r="2950" spans="1:17" ht="60" x14ac:dyDescent="0.25">
      <c r="A2950" s="125">
        <v>39664</v>
      </c>
      <c r="B2950" s="125">
        <v>39664</v>
      </c>
      <c r="C2950" s="45">
        <v>2008</v>
      </c>
      <c r="D2950" s="24" t="s">
        <v>141</v>
      </c>
      <c r="E2950" s="30" t="s">
        <v>4427</v>
      </c>
      <c r="F2950" s="7" t="s">
        <v>36</v>
      </c>
      <c r="G2950" s="25" t="s">
        <v>1513</v>
      </c>
      <c r="H2950" s="25" t="s">
        <v>4428</v>
      </c>
      <c r="I2950" s="46">
        <v>0</v>
      </c>
      <c r="J2950" s="46">
        <v>8</v>
      </c>
      <c r="K2950" s="46">
        <v>0</v>
      </c>
      <c r="L2950" s="46">
        <v>0</v>
      </c>
      <c r="M2950" s="46">
        <v>0</v>
      </c>
      <c r="N2950" s="46">
        <v>0</v>
      </c>
      <c r="O2950" s="124">
        <v>0</v>
      </c>
      <c r="P2950" s="102">
        <v>0</v>
      </c>
      <c r="Q2950" s="45" t="s">
        <v>154</v>
      </c>
    </row>
    <row r="2951" spans="1:17" ht="24" x14ac:dyDescent="0.25">
      <c r="A2951" s="125">
        <v>39666</v>
      </c>
      <c r="B2951" s="125">
        <v>39666</v>
      </c>
      <c r="C2951" s="45">
        <v>2008</v>
      </c>
      <c r="D2951" s="24" t="s">
        <v>141</v>
      </c>
      <c r="E2951" s="30" t="s">
        <v>4427</v>
      </c>
      <c r="F2951" s="7" t="s">
        <v>60</v>
      </c>
      <c r="G2951" s="25" t="s">
        <v>4429</v>
      </c>
      <c r="H2951" s="25" t="s">
        <v>4430</v>
      </c>
      <c r="I2951" s="46">
        <v>5</v>
      </c>
      <c r="J2951" s="46">
        <v>19</v>
      </c>
      <c r="K2951" s="46">
        <v>0</v>
      </c>
      <c r="L2951" s="46">
        <v>0</v>
      </c>
      <c r="M2951" s="46">
        <v>0</v>
      </c>
      <c r="N2951" s="46">
        <v>0</v>
      </c>
      <c r="O2951" s="124">
        <v>0</v>
      </c>
      <c r="P2951" s="102">
        <v>0.18</v>
      </c>
      <c r="Q2951" s="45" t="s">
        <v>154</v>
      </c>
    </row>
    <row r="2952" spans="1:17" ht="132" x14ac:dyDescent="0.25">
      <c r="A2952" s="125">
        <v>39673</v>
      </c>
      <c r="B2952" s="125">
        <v>39673</v>
      </c>
      <c r="C2952" s="45">
        <v>2008</v>
      </c>
      <c r="D2952" s="24" t="s">
        <v>141</v>
      </c>
      <c r="E2952" s="30" t="s">
        <v>142</v>
      </c>
      <c r="F2952" s="7" t="s">
        <v>87</v>
      </c>
      <c r="G2952" s="25" t="s">
        <v>4431</v>
      </c>
      <c r="H2952" s="25" t="s">
        <v>4432</v>
      </c>
      <c r="I2952" s="46">
        <v>0</v>
      </c>
      <c r="J2952" s="46">
        <v>1</v>
      </c>
      <c r="K2952" s="46">
        <v>0</v>
      </c>
      <c r="L2952" s="46">
        <v>0</v>
      </c>
      <c r="M2952" s="46">
        <v>0</v>
      </c>
      <c r="N2952" s="46">
        <v>0</v>
      </c>
      <c r="O2952" s="124">
        <v>0</v>
      </c>
      <c r="P2952" s="102">
        <v>1.02545</v>
      </c>
      <c r="Q2952" s="45" t="s">
        <v>154</v>
      </c>
    </row>
    <row r="2953" spans="1:17" ht="24" x14ac:dyDescent="0.25">
      <c r="A2953" s="125">
        <v>39675</v>
      </c>
      <c r="B2953" s="125">
        <v>39675</v>
      </c>
      <c r="C2953" s="45">
        <v>2008</v>
      </c>
      <c r="D2953" s="24" t="s">
        <v>141</v>
      </c>
      <c r="E2953" s="30" t="s">
        <v>142</v>
      </c>
      <c r="F2953" s="7" t="s">
        <v>58</v>
      </c>
      <c r="G2953" s="25" t="s">
        <v>4433</v>
      </c>
      <c r="H2953" s="25" t="s">
        <v>4434</v>
      </c>
      <c r="I2953" s="46">
        <v>1</v>
      </c>
      <c r="J2953" s="46">
        <v>16</v>
      </c>
      <c r="K2953" s="46">
        <v>0</v>
      </c>
      <c r="L2953" s="46">
        <v>0</v>
      </c>
      <c r="M2953" s="46">
        <v>0</v>
      </c>
      <c r="N2953" s="46">
        <v>0</v>
      </c>
      <c r="O2953" s="124">
        <v>0</v>
      </c>
      <c r="P2953" s="102">
        <v>0.45</v>
      </c>
      <c r="Q2953" s="45" t="s">
        <v>154</v>
      </c>
    </row>
    <row r="2954" spans="1:17" ht="24" x14ac:dyDescent="0.25">
      <c r="A2954" s="125">
        <v>39677</v>
      </c>
      <c r="B2954" s="125">
        <v>39677</v>
      </c>
      <c r="C2954" s="45">
        <v>2008</v>
      </c>
      <c r="D2954" s="24" t="s">
        <v>141</v>
      </c>
      <c r="E2954" s="30" t="s">
        <v>142</v>
      </c>
      <c r="F2954" s="7" t="s">
        <v>87</v>
      </c>
      <c r="G2954" s="25" t="s">
        <v>2259</v>
      </c>
      <c r="H2954" s="25" t="s">
        <v>4435</v>
      </c>
      <c r="I2954" s="46">
        <v>1</v>
      </c>
      <c r="J2954" s="46">
        <v>1</v>
      </c>
      <c r="K2954" s="46">
        <v>0</v>
      </c>
      <c r="L2954" s="46">
        <v>0</v>
      </c>
      <c r="M2954" s="46">
        <v>0</v>
      </c>
      <c r="N2954" s="46">
        <v>0</v>
      </c>
      <c r="O2954" s="124">
        <v>0</v>
      </c>
      <c r="P2954" s="102">
        <v>0.45</v>
      </c>
      <c r="Q2954" s="45" t="s">
        <v>154</v>
      </c>
    </row>
    <row r="2955" spans="1:17" ht="24" x14ac:dyDescent="0.25">
      <c r="A2955" s="125">
        <v>39680</v>
      </c>
      <c r="B2955" s="125">
        <v>39680</v>
      </c>
      <c r="C2955" s="45">
        <v>2008</v>
      </c>
      <c r="D2955" s="24" t="s">
        <v>141</v>
      </c>
      <c r="E2955" s="30" t="s">
        <v>142</v>
      </c>
      <c r="F2955" s="7" t="s">
        <v>60</v>
      </c>
      <c r="G2955" s="25" t="s">
        <v>908</v>
      </c>
      <c r="H2955" s="25" t="s">
        <v>4436</v>
      </c>
      <c r="I2955" s="46">
        <v>0</v>
      </c>
      <c r="J2955" s="46"/>
      <c r="K2955" s="46">
        <v>0</v>
      </c>
      <c r="L2955" s="46">
        <v>0</v>
      </c>
      <c r="M2955" s="46">
        <v>0</v>
      </c>
      <c r="N2955" s="46">
        <v>0</v>
      </c>
      <c r="O2955" s="124">
        <v>0</v>
      </c>
      <c r="P2955" s="102">
        <v>0.3</v>
      </c>
      <c r="Q2955" s="45" t="s">
        <v>154</v>
      </c>
    </row>
    <row r="2956" spans="1:17" ht="24" x14ac:dyDescent="0.25">
      <c r="A2956" s="125">
        <v>39690</v>
      </c>
      <c r="B2956" s="125">
        <v>39690</v>
      </c>
      <c r="C2956" s="45">
        <v>2008</v>
      </c>
      <c r="D2956" s="24" t="s">
        <v>141</v>
      </c>
      <c r="E2956" s="6" t="s">
        <v>333</v>
      </c>
      <c r="F2956" s="7" t="s">
        <v>45</v>
      </c>
      <c r="G2956" s="25" t="s">
        <v>4437</v>
      </c>
      <c r="H2956" s="25" t="s">
        <v>4438</v>
      </c>
      <c r="I2956" s="46" t="s">
        <v>4439</v>
      </c>
      <c r="J2956" s="46">
        <v>4</v>
      </c>
      <c r="K2956" s="46">
        <v>0</v>
      </c>
      <c r="L2956" s="46">
        <v>0</v>
      </c>
      <c r="M2956" s="46">
        <v>0</v>
      </c>
      <c r="N2956" s="46">
        <v>0</v>
      </c>
      <c r="O2956" s="124">
        <v>0</v>
      </c>
      <c r="P2956" s="102">
        <v>0</v>
      </c>
      <c r="Q2956" s="45" t="s">
        <v>154</v>
      </c>
    </row>
    <row r="2957" spans="1:17" ht="48" x14ac:dyDescent="0.25">
      <c r="A2957" s="125">
        <v>39691</v>
      </c>
      <c r="B2957" s="125">
        <v>39691</v>
      </c>
      <c r="C2957" s="45">
        <v>2008</v>
      </c>
      <c r="D2957" s="24" t="s">
        <v>141</v>
      </c>
      <c r="E2957" s="30" t="s">
        <v>142</v>
      </c>
      <c r="F2957" s="7" t="s">
        <v>56</v>
      </c>
      <c r="G2957" s="25" t="s">
        <v>1039</v>
      </c>
      <c r="H2957" s="25" t="s">
        <v>4440</v>
      </c>
      <c r="I2957" s="46"/>
      <c r="J2957" s="46">
        <v>42</v>
      </c>
      <c r="K2957" s="46">
        <v>0</v>
      </c>
      <c r="L2957" s="46">
        <v>0</v>
      </c>
      <c r="M2957" s="46">
        <v>0</v>
      </c>
      <c r="N2957" s="46">
        <v>0</v>
      </c>
      <c r="O2957" s="124">
        <v>0</v>
      </c>
      <c r="P2957" s="102">
        <v>0.1</v>
      </c>
      <c r="Q2957" s="45" t="s">
        <v>154</v>
      </c>
    </row>
    <row r="2958" spans="1:17" ht="48" x14ac:dyDescent="0.25">
      <c r="A2958" s="125">
        <v>39664</v>
      </c>
      <c r="B2958" s="125">
        <v>39664</v>
      </c>
      <c r="C2958" s="45">
        <v>2008</v>
      </c>
      <c r="D2958" s="24" t="s">
        <v>141</v>
      </c>
      <c r="E2958" s="6" t="s">
        <v>333</v>
      </c>
      <c r="F2958" s="7" t="s">
        <v>68</v>
      </c>
      <c r="G2958" s="25" t="s">
        <v>1121</v>
      </c>
      <c r="H2958" s="25" t="s">
        <v>4441</v>
      </c>
      <c r="I2958" s="46" t="s">
        <v>4439</v>
      </c>
      <c r="J2958" s="46">
        <v>2</v>
      </c>
      <c r="K2958" s="46">
        <v>0</v>
      </c>
      <c r="L2958" s="46">
        <v>0</v>
      </c>
      <c r="M2958" s="46">
        <v>0</v>
      </c>
      <c r="N2958" s="46">
        <v>0</v>
      </c>
      <c r="O2958" s="124">
        <v>0</v>
      </c>
      <c r="P2958" s="102">
        <v>0.05</v>
      </c>
      <c r="Q2958" s="45" t="s">
        <v>154</v>
      </c>
    </row>
    <row r="2959" spans="1:17" ht="24" x14ac:dyDescent="0.25">
      <c r="A2959" s="125">
        <v>39697</v>
      </c>
      <c r="B2959" s="125">
        <v>39697</v>
      </c>
      <c r="C2959" s="45">
        <v>2008</v>
      </c>
      <c r="D2959" s="24" t="s">
        <v>141</v>
      </c>
      <c r="E2959" s="30" t="s">
        <v>142</v>
      </c>
      <c r="F2959" s="7" t="s">
        <v>56</v>
      </c>
      <c r="G2959" s="25" t="s">
        <v>646</v>
      </c>
      <c r="H2959" s="25" t="s">
        <v>4442</v>
      </c>
      <c r="I2959" s="46">
        <v>4</v>
      </c>
      <c r="J2959" s="46">
        <v>14</v>
      </c>
      <c r="K2959" s="46">
        <v>0</v>
      </c>
      <c r="L2959" s="46">
        <v>0</v>
      </c>
      <c r="M2959" s="46">
        <v>0</v>
      </c>
      <c r="N2959" s="46">
        <v>0</v>
      </c>
      <c r="O2959" s="124">
        <v>0</v>
      </c>
      <c r="P2959" s="102">
        <v>0.7</v>
      </c>
      <c r="Q2959" s="45" t="s">
        <v>154</v>
      </c>
    </row>
    <row r="2960" spans="1:17" ht="60" x14ac:dyDescent="0.25">
      <c r="A2960" s="125">
        <v>39706</v>
      </c>
      <c r="B2960" s="125">
        <v>39706</v>
      </c>
      <c r="C2960" s="45">
        <v>2008</v>
      </c>
      <c r="D2960" s="24" t="s">
        <v>141</v>
      </c>
      <c r="E2960" s="6" t="s">
        <v>333</v>
      </c>
      <c r="F2960" s="7" t="s">
        <v>62</v>
      </c>
      <c r="G2960" s="25" t="s">
        <v>165</v>
      </c>
      <c r="H2960" s="25" t="s">
        <v>4443</v>
      </c>
      <c r="I2960" s="46">
        <v>8</v>
      </c>
      <c r="J2960" s="46">
        <v>109</v>
      </c>
      <c r="K2960" s="46">
        <v>0</v>
      </c>
      <c r="L2960" s="46">
        <v>0</v>
      </c>
      <c r="M2960" s="46">
        <v>0</v>
      </c>
      <c r="N2960" s="46">
        <v>0</v>
      </c>
      <c r="O2960" s="124">
        <v>0</v>
      </c>
      <c r="P2960" s="102">
        <v>0</v>
      </c>
      <c r="Q2960" s="45" t="s">
        <v>154</v>
      </c>
    </row>
    <row r="2961" spans="1:17" x14ac:dyDescent="0.25">
      <c r="A2961" s="125">
        <v>39706</v>
      </c>
      <c r="B2961" s="125">
        <v>39706</v>
      </c>
      <c r="C2961" s="45">
        <v>2008</v>
      </c>
      <c r="D2961" s="24" t="s">
        <v>141</v>
      </c>
      <c r="E2961" s="30" t="s">
        <v>142</v>
      </c>
      <c r="F2961" s="7" t="s">
        <v>40</v>
      </c>
      <c r="G2961" s="25" t="s">
        <v>4444</v>
      </c>
      <c r="H2961" s="25" t="s">
        <v>4445</v>
      </c>
      <c r="I2961" s="46">
        <v>4</v>
      </c>
      <c r="J2961" s="46">
        <v>4</v>
      </c>
      <c r="K2961" s="46">
        <v>0</v>
      </c>
      <c r="L2961" s="46">
        <v>0</v>
      </c>
      <c r="M2961" s="46">
        <v>0</v>
      </c>
      <c r="N2961" s="46">
        <v>0</v>
      </c>
      <c r="O2961" s="124">
        <v>0</v>
      </c>
      <c r="P2961" s="102">
        <v>1.5</v>
      </c>
      <c r="Q2961" s="45" t="s">
        <v>154</v>
      </c>
    </row>
    <row r="2962" spans="1:17" ht="24" x14ac:dyDescent="0.25">
      <c r="A2962" s="125">
        <v>39727</v>
      </c>
      <c r="B2962" s="125">
        <v>39727</v>
      </c>
      <c r="C2962" s="45">
        <v>2008</v>
      </c>
      <c r="D2962" s="24" t="s">
        <v>141</v>
      </c>
      <c r="E2962" s="30" t="s">
        <v>4446</v>
      </c>
      <c r="F2962" s="7" t="s">
        <v>72</v>
      </c>
      <c r="G2962" s="25" t="s">
        <v>4447</v>
      </c>
      <c r="H2962" s="25" t="s">
        <v>4448</v>
      </c>
      <c r="I2962" s="46">
        <v>2</v>
      </c>
      <c r="J2962" s="46">
        <v>2</v>
      </c>
      <c r="K2962" s="46">
        <v>0</v>
      </c>
      <c r="L2962" s="46">
        <v>0</v>
      </c>
      <c r="M2962" s="46">
        <v>0</v>
      </c>
      <c r="N2962" s="46">
        <v>0</v>
      </c>
      <c r="O2962" s="124">
        <v>0</v>
      </c>
      <c r="P2962" s="102">
        <v>0</v>
      </c>
      <c r="Q2962" s="45" t="s">
        <v>154</v>
      </c>
    </row>
    <row r="2963" spans="1:17" ht="36" x14ac:dyDescent="0.25">
      <c r="A2963" s="125">
        <v>39737</v>
      </c>
      <c r="B2963" s="125">
        <v>39737</v>
      </c>
      <c r="C2963" s="45">
        <v>2008</v>
      </c>
      <c r="D2963" s="24" t="s">
        <v>141</v>
      </c>
      <c r="E2963" s="42" t="s">
        <v>447</v>
      </c>
      <c r="F2963" s="28" t="s">
        <v>157</v>
      </c>
      <c r="G2963" s="25" t="s">
        <v>4449</v>
      </c>
      <c r="H2963" s="25" t="s">
        <v>4450</v>
      </c>
      <c r="I2963" s="46"/>
      <c r="J2963" s="46">
        <v>169</v>
      </c>
      <c r="K2963" s="46">
        <v>0</v>
      </c>
      <c r="L2963" s="46">
        <v>0</v>
      </c>
      <c r="M2963" s="46">
        <v>0</v>
      </c>
      <c r="N2963" s="46">
        <v>0</v>
      </c>
      <c r="O2963" s="124">
        <v>0</v>
      </c>
      <c r="P2963" s="102">
        <v>0</v>
      </c>
      <c r="Q2963" s="45" t="s">
        <v>154</v>
      </c>
    </row>
    <row r="2964" spans="1:17" ht="24" x14ac:dyDescent="0.25">
      <c r="A2964" s="125">
        <v>39738</v>
      </c>
      <c r="B2964" s="125">
        <v>39738</v>
      </c>
      <c r="C2964" s="45">
        <v>2008</v>
      </c>
      <c r="D2964" s="24" t="s">
        <v>141</v>
      </c>
      <c r="E2964" s="30" t="s">
        <v>142</v>
      </c>
      <c r="F2964" s="7" t="s">
        <v>53</v>
      </c>
      <c r="G2964" s="25" t="s">
        <v>4451</v>
      </c>
      <c r="H2964" s="25" t="s">
        <v>4452</v>
      </c>
      <c r="I2964" s="46"/>
      <c r="J2964" s="46">
        <v>1</v>
      </c>
      <c r="K2964" s="46">
        <v>0</v>
      </c>
      <c r="L2964" s="46">
        <v>0</v>
      </c>
      <c r="M2964" s="46">
        <v>0</v>
      </c>
      <c r="N2964" s="46">
        <v>0</v>
      </c>
      <c r="O2964" s="124">
        <v>0</v>
      </c>
      <c r="P2964" s="102">
        <v>0.3</v>
      </c>
      <c r="Q2964" s="45" t="s">
        <v>154</v>
      </c>
    </row>
    <row r="2965" spans="1:17" ht="24" x14ac:dyDescent="0.25">
      <c r="A2965" s="125">
        <v>39738</v>
      </c>
      <c r="B2965" s="125">
        <v>39738</v>
      </c>
      <c r="C2965" s="45">
        <v>2008</v>
      </c>
      <c r="D2965" s="24" t="s">
        <v>141</v>
      </c>
      <c r="E2965" s="30" t="str">
        <f>+E2962</f>
        <v>Accidente aéreo</v>
      </c>
      <c r="F2965" s="7" t="s">
        <v>68</v>
      </c>
      <c r="G2965" s="25" t="s">
        <v>4453</v>
      </c>
      <c r="H2965" s="25" t="s">
        <v>4454</v>
      </c>
      <c r="I2965" s="46">
        <v>3</v>
      </c>
      <c r="J2965" s="46"/>
      <c r="K2965" s="46">
        <v>0</v>
      </c>
      <c r="L2965" s="46">
        <v>0</v>
      </c>
      <c r="M2965" s="46">
        <v>0</v>
      </c>
      <c r="N2965" s="46">
        <v>0</v>
      </c>
      <c r="O2965" s="124">
        <v>0</v>
      </c>
      <c r="P2965" s="102">
        <v>1.5</v>
      </c>
      <c r="Q2965" s="45" t="s">
        <v>154</v>
      </c>
    </row>
    <row r="2966" spans="1:17" ht="48" x14ac:dyDescent="0.25">
      <c r="A2966" s="125">
        <v>39739</v>
      </c>
      <c r="B2966" s="125">
        <v>39739</v>
      </c>
      <c r="C2966" s="45">
        <v>2008</v>
      </c>
      <c r="D2966" s="24" t="s">
        <v>141</v>
      </c>
      <c r="E2966" s="30" t="s">
        <v>142</v>
      </c>
      <c r="F2966" s="7" t="s">
        <v>53</v>
      </c>
      <c r="G2966" s="25" t="s">
        <v>4455</v>
      </c>
      <c r="H2966" s="25" t="s">
        <v>4456</v>
      </c>
      <c r="I2966" s="46">
        <v>11</v>
      </c>
      <c r="J2966" s="46">
        <v>29</v>
      </c>
      <c r="K2966" s="46">
        <v>0</v>
      </c>
      <c r="L2966" s="46">
        <v>0</v>
      </c>
      <c r="M2966" s="46">
        <v>0</v>
      </c>
      <c r="N2966" s="46">
        <v>0</v>
      </c>
      <c r="O2966" s="124">
        <v>0</v>
      </c>
      <c r="P2966" s="102">
        <v>0.7</v>
      </c>
      <c r="Q2966" s="45" t="s">
        <v>154</v>
      </c>
    </row>
    <row r="2967" spans="1:17" ht="24" x14ac:dyDescent="0.25">
      <c r="A2967" s="125">
        <v>39746</v>
      </c>
      <c r="B2967" s="125">
        <v>39746</v>
      </c>
      <c r="C2967" s="45">
        <v>2008</v>
      </c>
      <c r="D2967" s="24" t="s">
        <v>141</v>
      </c>
      <c r="E2967" s="30" t="s">
        <v>142</v>
      </c>
      <c r="F2967" s="7" t="s">
        <v>56</v>
      </c>
      <c r="G2967" s="25" t="s">
        <v>351</v>
      </c>
      <c r="H2967" s="25" t="s">
        <v>4457</v>
      </c>
      <c r="I2967" s="46">
        <v>5</v>
      </c>
      <c r="J2967" s="46">
        <v>44</v>
      </c>
      <c r="K2967" s="46">
        <v>0</v>
      </c>
      <c r="L2967" s="46">
        <v>0</v>
      </c>
      <c r="M2967" s="46">
        <v>0</v>
      </c>
      <c r="N2967" s="46">
        <v>0</v>
      </c>
      <c r="O2967" s="124">
        <v>0</v>
      </c>
      <c r="P2967" s="102">
        <v>0.44500000000000001</v>
      </c>
      <c r="Q2967" s="45" t="s">
        <v>154</v>
      </c>
    </row>
    <row r="2968" spans="1:17" ht="60" x14ac:dyDescent="0.25">
      <c r="A2968" s="125">
        <v>39751</v>
      </c>
      <c r="B2968" s="125">
        <v>39751</v>
      </c>
      <c r="C2968" s="45">
        <v>2008</v>
      </c>
      <c r="D2968" s="24" t="s">
        <v>141</v>
      </c>
      <c r="E2968" s="30" t="s">
        <v>142</v>
      </c>
      <c r="F2968" s="7" t="s">
        <v>60</v>
      </c>
      <c r="G2968" s="25" t="s">
        <v>4458</v>
      </c>
      <c r="H2968" s="25" t="s">
        <v>4459</v>
      </c>
      <c r="I2968" s="46">
        <v>5</v>
      </c>
      <c r="J2968" s="46"/>
      <c r="K2968" s="46">
        <v>0</v>
      </c>
      <c r="L2968" s="46">
        <v>0</v>
      </c>
      <c r="M2968" s="46">
        <v>0</v>
      </c>
      <c r="N2968" s="46">
        <v>0</v>
      </c>
      <c r="O2968" s="124">
        <v>0</v>
      </c>
      <c r="P2968" s="102">
        <v>4.4999999999999998E-2</v>
      </c>
      <c r="Q2968" s="45" t="s">
        <v>154</v>
      </c>
    </row>
    <row r="2969" spans="1:17" ht="72" x14ac:dyDescent="0.25">
      <c r="A2969" s="125">
        <v>39752</v>
      </c>
      <c r="B2969" s="125">
        <v>39752</v>
      </c>
      <c r="C2969" s="45">
        <v>2008</v>
      </c>
      <c r="D2969" s="24" t="s">
        <v>141</v>
      </c>
      <c r="E2969" s="30" t="s">
        <v>142</v>
      </c>
      <c r="F2969" s="7" t="s">
        <v>45</v>
      </c>
      <c r="G2969" s="25" t="s">
        <v>577</v>
      </c>
      <c r="H2969" s="25" t="s">
        <v>4460</v>
      </c>
      <c r="I2969" s="46">
        <v>0</v>
      </c>
      <c r="J2969" s="46">
        <v>2</v>
      </c>
      <c r="K2969" s="46">
        <v>0</v>
      </c>
      <c r="L2969" s="46">
        <v>0</v>
      </c>
      <c r="M2969" s="46">
        <v>0</v>
      </c>
      <c r="N2969" s="46">
        <v>0</v>
      </c>
      <c r="O2969" s="124">
        <v>0</v>
      </c>
      <c r="P2969" s="102">
        <v>0.46001999999999998</v>
      </c>
      <c r="Q2969" s="45" t="s">
        <v>154</v>
      </c>
    </row>
    <row r="2970" spans="1:17" ht="60" x14ac:dyDescent="0.25">
      <c r="A2970" s="125">
        <v>39756</v>
      </c>
      <c r="B2970" s="125">
        <v>39756</v>
      </c>
      <c r="C2970" s="45">
        <v>2008</v>
      </c>
      <c r="D2970" s="24" t="s">
        <v>141</v>
      </c>
      <c r="E2970" s="30" t="s">
        <v>4446</v>
      </c>
      <c r="F2970" s="28" t="s">
        <v>157</v>
      </c>
      <c r="G2970" s="25" t="s">
        <v>1190</v>
      </c>
      <c r="H2970" s="25" t="s">
        <v>4461</v>
      </c>
      <c r="I2970" s="46">
        <v>14</v>
      </c>
      <c r="J2970" s="46">
        <v>54</v>
      </c>
      <c r="K2970" s="46">
        <v>0</v>
      </c>
      <c r="L2970" s="46">
        <v>0</v>
      </c>
      <c r="M2970" s="46">
        <v>0</v>
      </c>
      <c r="N2970" s="46">
        <v>0</v>
      </c>
      <c r="O2970" s="124">
        <v>0</v>
      </c>
      <c r="P2970" s="102" t="s">
        <v>110</v>
      </c>
      <c r="Q2970" s="45" t="s">
        <v>154</v>
      </c>
    </row>
    <row r="2971" spans="1:17" ht="48" x14ac:dyDescent="0.25">
      <c r="A2971" s="125">
        <v>39757</v>
      </c>
      <c r="B2971" s="125">
        <v>39757</v>
      </c>
      <c r="C2971" s="45">
        <v>2008</v>
      </c>
      <c r="D2971" s="24" t="s">
        <v>141</v>
      </c>
      <c r="E2971" s="30" t="s">
        <v>4446</v>
      </c>
      <c r="F2971" s="7" t="s">
        <v>67</v>
      </c>
      <c r="G2971" s="25" t="s">
        <v>4462</v>
      </c>
      <c r="H2971" s="25" t="s">
        <v>4463</v>
      </c>
      <c r="I2971" s="46">
        <v>0</v>
      </c>
      <c r="J2971" s="46">
        <v>1</v>
      </c>
      <c r="K2971" s="46">
        <v>0</v>
      </c>
      <c r="L2971" s="46">
        <v>0</v>
      </c>
      <c r="M2971" s="46">
        <v>0</v>
      </c>
      <c r="N2971" s="46">
        <v>0</v>
      </c>
      <c r="O2971" s="124">
        <v>0</v>
      </c>
      <c r="P2971" s="102">
        <v>1.5</v>
      </c>
      <c r="Q2971" s="45" t="s">
        <v>154</v>
      </c>
    </row>
    <row r="2972" spans="1:17" ht="36" x14ac:dyDescent="0.25">
      <c r="A2972" s="125">
        <v>39758</v>
      </c>
      <c r="B2972" s="125">
        <v>39758</v>
      </c>
      <c r="C2972" s="45">
        <v>2008</v>
      </c>
      <c r="D2972" s="24" t="s">
        <v>141</v>
      </c>
      <c r="E2972" s="30" t="str">
        <f>+E2971</f>
        <v>Accidente aéreo</v>
      </c>
      <c r="F2972" s="7" t="s">
        <v>53</v>
      </c>
      <c r="G2972" s="25" t="s">
        <v>4464</v>
      </c>
      <c r="H2972" s="25" t="s">
        <v>4465</v>
      </c>
      <c r="I2972" s="46">
        <v>0</v>
      </c>
      <c r="J2972" s="46">
        <v>2</v>
      </c>
      <c r="K2972" s="46">
        <v>0</v>
      </c>
      <c r="L2972" s="46">
        <v>0</v>
      </c>
      <c r="M2972" s="46">
        <v>0</v>
      </c>
      <c r="N2972" s="46">
        <v>0</v>
      </c>
      <c r="O2972" s="124">
        <v>0</v>
      </c>
      <c r="P2972" s="102">
        <v>1.5</v>
      </c>
      <c r="Q2972" s="45" t="s">
        <v>154</v>
      </c>
    </row>
    <row r="2973" spans="1:17" ht="36" x14ac:dyDescent="0.25">
      <c r="A2973" s="125">
        <v>39759</v>
      </c>
      <c r="B2973" s="125">
        <v>39759</v>
      </c>
      <c r="C2973" s="45">
        <v>2008</v>
      </c>
      <c r="D2973" s="24" t="s">
        <v>141</v>
      </c>
      <c r="E2973" s="30" t="s">
        <v>142</v>
      </c>
      <c r="F2973" s="7" t="s">
        <v>72</v>
      </c>
      <c r="G2973" s="25" t="s">
        <v>4466</v>
      </c>
      <c r="H2973" s="25" t="s">
        <v>4467</v>
      </c>
      <c r="I2973" s="46">
        <v>18</v>
      </c>
      <c r="J2973" s="46">
        <v>23</v>
      </c>
      <c r="K2973" s="46">
        <v>0</v>
      </c>
      <c r="L2973" s="46">
        <v>0</v>
      </c>
      <c r="M2973" s="46">
        <v>0</v>
      </c>
      <c r="N2973" s="46">
        <v>0</v>
      </c>
      <c r="O2973" s="124">
        <v>0</v>
      </c>
      <c r="P2973" s="102">
        <v>0.3</v>
      </c>
      <c r="Q2973" s="45" t="s">
        <v>154</v>
      </c>
    </row>
    <row r="2974" spans="1:17" ht="24" x14ac:dyDescent="0.25">
      <c r="A2974" s="125">
        <v>39766</v>
      </c>
      <c r="B2974" s="125">
        <v>39766</v>
      </c>
      <c r="C2974" s="45">
        <v>2008</v>
      </c>
      <c r="D2974" s="24" t="s">
        <v>141</v>
      </c>
      <c r="E2974" s="41" t="s">
        <v>1965</v>
      </c>
      <c r="F2974" s="7" t="s">
        <v>53</v>
      </c>
      <c r="G2974" s="25" t="s">
        <v>170</v>
      </c>
      <c r="H2974" s="25" t="s">
        <v>4468</v>
      </c>
      <c r="I2974" s="46">
        <v>4</v>
      </c>
      <c r="J2974" s="46">
        <v>4</v>
      </c>
      <c r="K2974" s="46">
        <v>0</v>
      </c>
      <c r="L2974" s="46">
        <v>0</v>
      </c>
      <c r="M2974" s="46">
        <v>0</v>
      </c>
      <c r="N2974" s="46">
        <v>0</v>
      </c>
      <c r="O2974" s="124">
        <v>0</v>
      </c>
      <c r="P2974" s="102">
        <v>0</v>
      </c>
      <c r="Q2974" s="45" t="s">
        <v>154</v>
      </c>
    </row>
    <row r="2975" spans="1:17" ht="48" x14ac:dyDescent="0.25">
      <c r="A2975" s="125">
        <v>39768</v>
      </c>
      <c r="B2975" s="125">
        <v>39768</v>
      </c>
      <c r="C2975" s="45">
        <v>2008</v>
      </c>
      <c r="D2975" s="24" t="s">
        <v>141</v>
      </c>
      <c r="E2975" s="30" t="s">
        <v>142</v>
      </c>
      <c r="F2975" s="7" t="s">
        <v>75</v>
      </c>
      <c r="G2975" s="25" t="s">
        <v>4469</v>
      </c>
      <c r="H2975" s="25" t="s">
        <v>4470</v>
      </c>
      <c r="I2975" s="46">
        <v>2</v>
      </c>
      <c r="J2975" s="46">
        <v>47</v>
      </c>
      <c r="K2975" s="46">
        <v>0</v>
      </c>
      <c r="L2975" s="46">
        <v>0</v>
      </c>
      <c r="M2975" s="46">
        <v>0</v>
      </c>
      <c r="N2975" s="46">
        <v>0</v>
      </c>
      <c r="O2975" s="124">
        <v>0</v>
      </c>
      <c r="P2975" s="102">
        <v>0.4</v>
      </c>
      <c r="Q2975" s="45" t="s">
        <v>154</v>
      </c>
    </row>
    <row r="2976" spans="1:17" ht="48" x14ac:dyDescent="0.25">
      <c r="A2976" s="125">
        <v>39769</v>
      </c>
      <c r="B2976" s="125">
        <v>39769</v>
      </c>
      <c r="C2976" s="45">
        <v>2008</v>
      </c>
      <c r="D2976" s="24" t="s">
        <v>141</v>
      </c>
      <c r="E2976" s="30" t="s">
        <v>142</v>
      </c>
      <c r="F2976" s="7" t="s">
        <v>58</v>
      </c>
      <c r="G2976" s="25" t="s">
        <v>1194</v>
      </c>
      <c r="H2976" s="25" t="s">
        <v>4471</v>
      </c>
      <c r="I2976" s="46">
        <v>4</v>
      </c>
      <c r="J2976" s="46">
        <v>38</v>
      </c>
      <c r="K2976" s="46">
        <v>0</v>
      </c>
      <c r="L2976" s="46">
        <v>0</v>
      </c>
      <c r="M2976" s="46">
        <v>0</v>
      </c>
      <c r="N2976" s="46">
        <v>0</v>
      </c>
      <c r="O2976" s="124">
        <v>0</v>
      </c>
      <c r="P2976" s="102">
        <v>0.4</v>
      </c>
      <c r="Q2976" s="45" t="s">
        <v>154</v>
      </c>
    </row>
    <row r="2977" spans="1:17" ht="24" x14ac:dyDescent="0.25">
      <c r="A2977" s="125">
        <v>39770</v>
      </c>
      <c r="B2977" s="125">
        <v>39770</v>
      </c>
      <c r="C2977" s="45">
        <v>2008</v>
      </c>
      <c r="D2977" s="24" t="s">
        <v>141</v>
      </c>
      <c r="E2977" s="30" t="s">
        <v>4446</v>
      </c>
      <c r="F2977" s="7" t="s">
        <v>40</v>
      </c>
      <c r="G2977" s="25" t="str">
        <f>+F2977</f>
        <v>Chihuahua</v>
      </c>
      <c r="H2977" s="25" t="s">
        <v>4472</v>
      </c>
      <c r="I2977" s="46">
        <v>2</v>
      </c>
      <c r="J2977" s="46">
        <v>2</v>
      </c>
      <c r="K2977" s="46">
        <v>0</v>
      </c>
      <c r="L2977" s="46">
        <v>0</v>
      </c>
      <c r="M2977" s="46">
        <v>0</v>
      </c>
      <c r="N2977" s="46">
        <v>0</v>
      </c>
      <c r="O2977" s="124">
        <v>0</v>
      </c>
      <c r="P2977" s="102">
        <v>1</v>
      </c>
      <c r="Q2977" s="45" t="s">
        <v>154</v>
      </c>
    </row>
    <row r="2978" spans="1:17" ht="36" x14ac:dyDescent="0.25">
      <c r="A2978" s="125">
        <v>39771</v>
      </c>
      <c r="B2978" s="125">
        <v>39771</v>
      </c>
      <c r="C2978" s="45">
        <v>2008</v>
      </c>
      <c r="D2978" s="24" t="s">
        <v>141</v>
      </c>
      <c r="E2978" s="30" t="s">
        <v>142</v>
      </c>
      <c r="F2978" s="7" t="s">
        <v>56</v>
      </c>
      <c r="G2978" s="25" t="s">
        <v>1638</v>
      </c>
      <c r="H2978" s="25" t="s">
        <v>4473</v>
      </c>
      <c r="I2978" s="46">
        <v>2</v>
      </c>
      <c r="J2978" s="46">
        <v>14</v>
      </c>
      <c r="K2978" s="46">
        <v>0</v>
      </c>
      <c r="L2978" s="46">
        <v>0</v>
      </c>
      <c r="M2978" s="46">
        <v>0</v>
      </c>
      <c r="N2978" s="46">
        <v>0</v>
      </c>
      <c r="O2978" s="124">
        <v>0</v>
      </c>
      <c r="P2978" s="102">
        <v>0.4</v>
      </c>
      <c r="Q2978" s="45" t="s">
        <v>154</v>
      </c>
    </row>
    <row r="2979" spans="1:17" ht="24" x14ac:dyDescent="0.25">
      <c r="A2979" s="125">
        <v>39771</v>
      </c>
      <c r="B2979" s="125">
        <v>39771</v>
      </c>
      <c r="C2979" s="45">
        <v>2008</v>
      </c>
      <c r="D2979" s="24" t="s">
        <v>141</v>
      </c>
      <c r="E2979" s="30" t="s">
        <v>142</v>
      </c>
      <c r="F2979" s="7" t="s">
        <v>87</v>
      </c>
      <c r="G2979" s="25" t="s">
        <v>1718</v>
      </c>
      <c r="H2979" s="25" t="s">
        <v>4474</v>
      </c>
      <c r="I2979" s="46">
        <v>1</v>
      </c>
      <c r="J2979" s="46">
        <v>1</v>
      </c>
      <c r="K2979" s="46">
        <v>0</v>
      </c>
      <c r="L2979" s="46">
        <v>0</v>
      </c>
      <c r="M2979" s="46">
        <v>0</v>
      </c>
      <c r="N2979" s="46">
        <v>0</v>
      </c>
      <c r="O2979" s="124">
        <v>0</v>
      </c>
      <c r="P2979" s="102">
        <v>0.45</v>
      </c>
      <c r="Q2979" s="45" t="s">
        <v>154</v>
      </c>
    </row>
    <row r="2980" spans="1:17" x14ac:dyDescent="0.25">
      <c r="A2980" s="125">
        <v>39772</v>
      </c>
      <c r="B2980" s="125">
        <v>39772</v>
      </c>
      <c r="C2980" s="45">
        <v>2008</v>
      </c>
      <c r="D2980" s="24" t="s">
        <v>141</v>
      </c>
      <c r="E2980" s="30" t="s">
        <v>142</v>
      </c>
      <c r="F2980" s="7" t="s">
        <v>49</v>
      </c>
      <c r="G2980" s="25" t="s">
        <v>436</v>
      </c>
      <c r="H2980" s="25" t="s">
        <v>4475</v>
      </c>
      <c r="I2980" s="46">
        <v>1</v>
      </c>
      <c r="J2980" s="46">
        <v>2</v>
      </c>
      <c r="K2980" s="46">
        <v>0</v>
      </c>
      <c r="L2980" s="46">
        <v>0</v>
      </c>
      <c r="M2980" s="46">
        <v>0</v>
      </c>
      <c r="N2980" s="46">
        <v>0</v>
      </c>
      <c r="O2980" s="124">
        <v>0</v>
      </c>
      <c r="P2980" s="102">
        <v>1.5</v>
      </c>
      <c r="Q2980" s="45" t="s">
        <v>154</v>
      </c>
    </row>
    <row r="2981" spans="1:17" ht="24" x14ac:dyDescent="0.25">
      <c r="A2981" s="125">
        <v>39774</v>
      </c>
      <c r="B2981" s="125">
        <v>39774</v>
      </c>
      <c r="C2981" s="45">
        <v>2008</v>
      </c>
      <c r="D2981" s="24" t="s">
        <v>141</v>
      </c>
      <c r="E2981" s="41" t="s">
        <v>1965</v>
      </c>
      <c r="F2981" s="28" t="s">
        <v>210</v>
      </c>
      <c r="G2981" s="25" t="s">
        <v>4476</v>
      </c>
      <c r="H2981" s="25" t="s">
        <v>4477</v>
      </c>
      <c r="I2981" s="46">
        <v>0</v>
      </c>
      <c r="J2981" s="46">
        <v>20</v>
      </c>
      <c r="K2981" s="46">
        <v>0</v>
      </c>
      <c r="L2981" s="46">
        <v>0</v>
      </c>
      <c r="M2981" s="46">
        <v>0</v>
      </c>
      <c r="N2981" s="46">
        <v>0</v>
      </c>
      <c r="O2981" s="124">
        <v>0</v>
      </c>
      <c r="P2981" s="102">
        <v>0</v>
      </c>
      <c r="Q2981" s="45" t="s">
        <v>154</v>
      </c>
    </row>
    <row r="2982" spans="1:17" ht="48" x14ac:dyDescent="0.25">
      <c r="A2982" s="125">
        <v>39774</v>
      </c>
      <c r="B2982" s="125">
        <v>39774</v>
      </c>
      <c r="C2982" s="45">
        <v>2008</v>
      </c>
      <c r="D2982" s="24" t="s">
        <v>141</v>
      </c>
      <c r="E2982" s="30" t="s">
        <v>142</v>
      </c>
      <c r="F2982" s="28" t="s">
        <v>163</v>
      </c>
      <c r="G2982" s="25" t="s">
        <v>4478</v>
      </c>
      <c r="H2982" s="25" t="s">
        <v>4479</v>
      </c>
      <c r="I2982" s="46">
        <v>0</v>
      </c>
      <c r="J2982" s="46">
        <v>20</v>
      </c>
      <c r="K2982" s="46">
        <v>0</v>
      </c>
      <c r="L2982" s="46">
        <v>0</v>
      </c>
      <c r="M2982" s="46">
        <v>0</v>
      </c>
      <c r="N2982" s="46">
        <v>0</v>
      </c>
      <c r="O2982" s="124">
        <v>0</v>
      </c>
      <c r="P2982" s="102">
        <v>0.44500000000000001</v>
      </c>
      <c r="Q2982" s="45" t="s">
        <v>154</v>
      </c>
    </row>
    <row r="2983" spans="1:17" ht="36" x14ac:dyDescent="0.25">
      <c r="A2983" s="125">
        <v>39780</v>
      </c>
      <c r="B2983" s="125">
        <v>39780</v>
      </c>
      <c r="C2983" s="45">
        <v>2008</v>
      </c>
      <c r="D2983" s="24" t="s">
        <v>141</v>
      </c>
      <c r="E2983" s="41" t="s">
        <v>1965</v>
      </c>
      <c r="F2983" s="28" t="s">
        <v>157</v>
      </c>
      <c r="G2983" s="25" t="s">
        <v>1062</v>
      </c>
      <c r="H2983" s="25" t="s">
        <v>4480</v>
      </c>
      <c r="I2983" s="46">
        <v>1</v>
      </c>
      <c r="J2983" s="46">
        <v>3</v>
      </c>
      <c r="K2983" s="46">
        <v>0</v>
      </c>
      <c r="L2983" s="46">
        <v>0</v>
      </c>
      <c r="M2983" s="46">
        <v>0</v>
      </c>
      <c r="N2983" s="46">
        <v>0</v>
      </c>
      <c r="O2983" s="124">
        <v>0</v>
      </c>
      <c r="P2983" s="102">
        <v>0</v>
      </c>
      <c r="Q2983" s="45" t="s">
        <v>154</v>
      </c>
    </row>
    <row r="2984" spans="1:17" ht="60" x14ac:dyDescent="0.25">
      <c r="A2984" s="125">
        <v>39780</v>
      </c>
      <c r="B2984" s="125">
        <v>39780</v>
      </c>
      <c r="C2984" s="45">
        <v>2008</v>
      </c>
      <c r="D2984" s="24" t="s">
        <v>141</v>
      </c>
      <c r="E2984" s="30" t="s">
        <v>142</v>
      </c>
      <c r="F2984" s="7" t="s">
        <v>53</v>
      </c>
      <c r="G2984" s="25" t="s">
        <v>460</v>
      </c>
      <c r="H2984" s="25" t="s">
        <v>4481</v>
      </c>
      <c r="I2984" s="46">
        <v>1</v>
      </c>
      <c r="J2984" s="46">
        <v>1</v>
      </c>
      <c r="K2984" s="46">
        <v>0</v>
      </c>
      <c r="L2984" s="46">
        <v>0</v>
      </c>
      <c r="M2984" s="46">
        <v>0</v>
      </c>
      <c r="N2984" s="46">
        <v>0</v>
      </c>
      <c r="O2984" s="124">
        <v>0</v>
      </c>
      <c r="P2984" s="102">
        <v>0.6</v>
      </c>
      <c r="Q2984" s="45" t="s">
        <v>154</v>
      </c>
    </row>
    <row r="2985" spans="1:17" ht="24" x14ac:dyDescent="0.25">
      <c r="A2985" s="125">
        <v>39782</v>
      </c>
      <c r="B2985" s="125">
        <v>39782</v>
      </c>
      <c r="C2985" s="45">
        <v>2008</v>
      </c>
      <c r="D2985" s="24" t="s">
        <v>141</v>
      </c>
      <c r="E2985" s="30" t="s">
        <v>142</v>
      </c>
      <c r="F2985" s="7" t="s">
        <v>56</v>
      </c>
      <c r="G2985" s="25" t="s">
        <v>2731</v>
      </c>
      <c r="H2985" s="25" t="s">
        <v>4482</v>
      </c>
      <c r="I2985" s="46">
        <v>5</v>
      </c>
      <c r="J2985" s="46">
        <v>10</v>
      </c>
      <c r="K2985" s="46">
        <v>0</v>
      </c>
      <c r="L2985" s="46">
        <v>0</v>
      </c>
      <c r="M2985" s="46">
        <v>0</v>
      </c>
      <c r="N2985" s="46">
        <v>0</v>
      </c>
      <c r="O2985" s="124">
        <v>0</v>
      </c>
      <c r="P2985" s="102">
        <v>0</v>
      </c>
      <c r="Q2985" s="45" t="s">
        <v>154</v>
      </c>
    </row>
    <row r="2986" spans="1:17" ht="24" x14ac:dyDescent="0.25">
      <c r="A2986" s="125">
        <v>39786</v>
      </c>
      <c r="B2986" s="125">
        <v>39786</v>
      </c>
      <c r="C2986" s="45">
        <v>2008</v>
      </c>
      <c r="D2986" s="24" t="s">
        <v>141</v>
      </c>
      <c r="E2986" s="30" t="s">
        <v>142</v>
      </c>
      <c r="F2986" s="7" t="s">
        <v>60</v>
      </c>
      <c r="G2986" s="25" t="s">
        <v>4483</v>
      </c>
      <c r="H2986" s="25" t="s">
        <v>4484</v>
      </c>
      <c r="I2986" s="46">
        <v>1</v>
      </c>
      <c r="J2986" s="46">
        <v>1</v>
      </c>
      <c r="K2986" s="46">
        <v>0</v>
      </c>
      <c r="L2986" s="46">
        <v>0</v>
      </c>
      <c r="M2986" s="46">
        <v>0</v>
      </c>
      <c r="N2986" s="46">
        <v>0</v>
      </c>
      <c r="O2986" s="124">
        <v>0</v>
      </c>
      <c r="P2986" s="102">
        <v>1.5</v>
      </c>
      <c r="Q2986" s="45" t="s">
        <v>154</v>
      </c>
    </row>
    <row r="2987" spans="1:17" ht="24" x14ac:dyDescent="0.25">
      <c r="A2987" s="125">
        <v>39787</v>
      </c>
      <c r="B2987" s="125">
        <v>39787</v>
      </c>
      <c r="C2987" s="45">
        <v>2008</v>
      </c>
      <c r="D2987" s="24" t="s">
        <v>141</v>
      </c>
      <c r="E2987" s="30" t="s">
        <v>142</v>
      </c>
      <c r="F2987" s="7" t="s">
        <v>53</v>
      </c>
      <c r="G2987" s="25" t="s">
        <v>451</v>
      </c>
      <c r="H2987" s="25" t="s">
        <v>4485</v>
      </c>
      <c r="I2987" s="46">
        <v>1</v>
      </c>
      <c r="J2987" s="46">
        <v>8</v>
      </c>
      <c r="K2987" s="46">
        <v>0</v>
      </c>
      <c r="L2987" s="46">
        <v>0</v>
      </c>
      <c r="M2987" s="46">
        <v>0</v>
      </c>
      <c r="N2987" s="46">
        <v>0</v>
      </c>
      <c r="O2987" s="124">
        <v>0</v>
      </c>
      <c r="P2987" s="102">
        <v>0</v>
      </c>
      <c r="Q2987" s="45" t="s">
        <v>154</v>
      </c>
    </row>
    <row r="2988" spans="1:17" ht="36" x14ac:dyDescent="0.25">
      <c r="A2988" s="125">
        <v>39787</v>
      </c>
      <c r="B2988" s="125">
        <v>39787</v>
      </c>
      <c r="C2988" s="45">
        <v>2008</v>
      </c>
      <c r="D2988" s="24" t="s">
        <v>141</v>
      </c>
      <c r="E2988" s="30" t="s">
        <v>142</v>
      </c>
      <c r="F2988" s="28" t="s">
        <v>160</v>
      </c>
      <c r="G2988" s="25" t="s">
        <v>3424</v>
      </c>
      <c r="H2988" s="25" t="s">
        <v>4486</v>
      </c>
      <c r="I2988" s="46">
        <v>0</v>
      </c>
      <c r="J2988" s="46">
        <v>2</v>
      </c>
      <c r="K2988" s="46">
        <v>0</v>
      </c>
      <c r="L2988" s="46">
        <v>0</v>
      </c>
      <c r="M2988" s="46">
        <v>0</v>
      </c>
      <c r="N2988" s="46">
        <v>0</v>
      </c>
      <c r="O2988" s="124">
        <v>0</v>
      </c>
      <c r="P2988" s="102">
        <v>0.6</v>
      </c>
      <c r="Q2988" s="45" t="s">
        <v>154</v>
      </c>
    </row>
    <row r="2989" spans="1:17" ht="24" x14ac:dyDescent="0.25">
      <c r="A2989" s="125">
        <v>39790</v>
      </c>
      <c r="B2989" s="125">
        <v>39790</v>
      </c>
      <c r="C2989" s="45">
        <v>2008</v>
      </c>
      <c r="D2989" s="24" t="s">
        <v>141</v>
      </c>
      <c r="E2989" s="30" t="s">
        <v>142</v>
      </c>
      <c r="F2989" s="28" t="s">
        <v>160</v>
      </c>
      <c r="G2989" s="25" t="s">
        <v>4487</v>
      </c>
      <c r="H2989" s="25" t="s">
        <v>4488</v>
      </c>
      <c r="I2989" s="46">
        <v>1</v>
      </c>
      <c r="J2989" s="46">
        <v>1</v>
      </c>
      <c r="K2989" s="46">
        <v>0</v>
      </c>
      <c r="L2989" s="46">
        <v>0</v>
      </c>
      <c r="M2989" s="46">
        <v>0</v>
      </c>
      <c r="N2989" s="46">
        <v>0</v>
      </c>
      <c r="O2989" s="124">
        <v>0</v>
      </c>
      <c r="P2989" s="102">
        <v>0.34499999999999997</v>
      </c>
      <c r="Q2989" s="45" t="s">
        <v>154</v>
      </c>
    </row>
    <row r="2990" spans="1:17" ht="36" x14ac:dyDescent="0.25">
      <c r="A2990" s="125">
        <v>39791</v>
      </c>
      <c r="B2990" s="125">
        <v>39791</v>
      </c>
      <c r="C2990" s="45">
        <v>2008</v>
      </c>
      <c r="D2990" s="24" t="s">
        <v>141</v>
      </c>
      <c r="E2990" s="42" t="s">
        <v>447</v>
      </c>
      <c r="F2990" s="28" t="s">
        <v>157</v>
      </c>
      <c r="G2990" s="25" t="s">
        <v>2941</v>
      </c>
      <c r="H2990" s="25" t="s">
        <v>4450</v>
      </c>
      <c r="I2990" s="46">
        <v>0</v>
      </c>
      <c r="J2990" s="46">
        <v>1721</v>
      </c>
      <c r="K2990" s="46">
        <v>0</v>
      </c>
      <c r="L2990" s="46">
        <v>0</v>
      </c>
      <c r="M2990" s="46">
        <v>0</v>
      </c>
      <c r="N2990" s="46">
        <v>0</v>
      </c>
      <c r="O2990" s="124">
        <v>0</v>
      </c>
      <c r="P2990" s="102">
        <v>0</v>
      </c>
      <c r="Q2990" s="45" t="s">
        <v>154</v>
      </c>
    </row>
    <row r="2991" spans="1:17" ht="72" x14ac:dyDescent="0.25">
      <c r="A2991" s="125">
        <v>39795</v>
      </c>
      <c r="B2991" s="125">
        <v>39795</v>
      </c>
      <c r="C2991" s="45">
        <v>2008</v>
      </c>
      <c r="D2991" s="24" t="s">
        <v>141</v>
      </c>
      <c r="E2991" s="30" t="s">
        <v>142</v>
      </c>
      <c r="F2991" s="7" t="s">
        <v>60</v>
      </c>
      <c r="G2991" s="25" t="s">
        <v>4489</v>
      </c>
      <c r="H2991" s="25" t="s">
        <v>4490</v>
      </c>
      <c r="I2991" s="46">
        <v>0</v>
      </c>
      <c r="J2991" s="46">
        <v>1</v>
      </c>
      <c r="K2991" s="46">
        <v>0</v>
      </c>
      <c r="L2991" s="46">
        <v>0</v>
      </c>
      <c r="M2991" s="46">
        <v>0</v>
      </c>
      <c r="N2991" s="46">
        <v>0</v>
      </c>
      <c r="O2991" s="124">
        <v>0</v>
      </c>
      <c r="P2991" s="102">
        <v>0.45</v>
      </c>
      <c r="Q2991" s="45" t="s">
        <v>154</v>
      </c>
    </row>
    <row r="2992" spans="1:17" ht="24" x14ac:dyDescent="0.25">
      <c r="A2992" s="125">
        <v>39799</v>
      </c>
      <c r="B2992" s="125">
        <v>39799</v>
      </c>
      <c r="C2992" s="45">
        <v>2008</v>
      </c>
      <c r="D2992" s="24" t="s">
        <v>141</v>
      </c>
      <c r="E2992" s="30" t="s">
        <v>142</v>
      </c>
      <c r="F2992" s="7" t="s">
        <v>65</v>
      </c>
      <c r="G2992" s="25" t="s">
        <v>1632</v>
      </c>
      <c r="H2992" s="25" t="s">
        <v>4491</v>
      </c>
      <c r="I2992" s="46">
        <v>11</v>
      </c>
      <c r="J2992" s="46">
        <v>11</v>
      </c>
      <c r="K2992" s="46">
        <v>0</v>
      </c>
      <c r="L2992" s="46">
        <v>0</v>
      </c>
      <c r="M2992" s="46">
        <v>0</v>
      </c>
      <c r="N2992" s="46">
        <v>0</v>
      </c>
      <c r="O2992" s="124">
        <v>0</v>
      </c>
      <c r="P2992" s="102">
        <v>4.4999999999999998E-2</v>
      </c>
      <c r="Q2992" s="45" t="s">
        <v>154</v>
      </c>
    </row>
    <row r="2993" spans="1:17" ht="24" x14ac:dyDescent="0.25">
      <c r="A2993" s="125">
        <v>39805</v>
      </c>
      <c r="B2993" s="125">
        <v>39805</v>
      </c>
      <c r="C2993" s="45">
        <v>2008</v>
      </c>
      <c r="D2993" s="24" t="s">
        <v>141</v>
      </c>
      <c r="E2993" s="30" t="s">
        <v>142</v>
      </c>
      <c r="F2993" s="7" t="s">
        <v>97</v>
      </c>
      <c r="G2993" s="25" t="s">
        <v>895</v>
      </c>
      <c r="H2993" s="25" t="s">
        <v>4492</v>
      </c>
      <c r="I2993" s="46">
        <v>0</v>
      </c>
      <c r="J2993" s="46">
        <v>1</v>
      </c>
      <c r="K2993" s="46">
        <v>0</v>
      </c>
      <c r="L2993" s="46">
        <v>0</v>
      </c>
      <c r="M2993" s="46">
        <v>0</v>
      </c>
      <c r="N2993" s="46">
        <v>0</v>
      </c>
      <c r="O2993" s="124">
        <v>0</v>
      </c>
      <c r="P2993" s="102">
        <v>0.45</v>
      </c>
      <c r="Q2993" s="45" t="s">
        <v>154</v>
      </c>
    </row>
    <row r="2994" spans="1:17" ht="48" x14ac:dyDescent="0.25">
      <c r="A2994" s="125">
        <v>39810</v>
      </c>
      <c r="B2994" s="125">
        <v>39810</v>
      </c>
      <c r="C2994" s="45">
        <v>2008</v>
      </c>
      <c r="D2994" s="24" t="s">
        <v>141</v>
      </c>
      <c r="E2994" s="30" t="s">
        <v>142</v>
      </c>
      <c r="F2994" s="28" t="s">
        <v>210</v>
      </c>
      <c r="G2994" s="25" t="s">
        <v>4493</v>
      </c>
      <c r="H2994" s="25" t="s">
        <v>4494</v>
      </c>
      <c r="I2994" s="46">
        <v>12</v>
      </c>
      <c r="J2994" s="46">
        <v>12</v>
      </c>
      <c r="K2994" s="46">
        <v>0</v>
      </c>
      <c r="L2994" s="46">
        <v>0</v>
      </c>
      <c r="M2994" s="46">
        <v>0</v>
      </c>
      <c r="N2994" s="46">
        <v>0</v>
      </c>
      <c r="O2994" s="124">
        <v>0</v>
      </c>
      <c r="P2994" s="102">
        <v>4.4999999999999998E-2</v>
      </c>
      <c r="Q2994" s="45" t="s">
        <v>154</v>
      </c>
    </row>
    <row r="2995" spans="1:17" ht="48" x14ac:dyDescent="0.25">
      <c r="A2995" s="21">
        <v>39834</v>
      </c>
      <c r="B2995" s="21">
        <v>39834</v>
      </c>
      <c r="C2995" s="45">
        <v>2009</v>
      </c>
      <c r="D2995" s="351" t="s">
        <v>23</v>
      </c>
      <c r="E2995" s="30" t="s">
        <v>86</v>
      </c>
      <c r="F2995" s="7" t="s">
        <v>53</v>
      </c>
      <c r="G2995" s="25" t="s">
        <v>878</v>
      </c>
      <c r="H2995" s="25" t="s">
        <v>4495</v>
      </c>
      <c r="I2995" s="46">
        <v>0</v>
      </c>
      <c r="J2995" s="46">
        <v>250</v>
      </c>
      <c r="K2995" s="46">
        <v>50</v>
      </c>
      <c r="L2995" s="46">
        <v>0</v>
      </c>
      <c r="M2995" s="46">
        <v>0</v>
      </c>
      <c r="N2995" s="46">
        <v>0</v>
      </c>
      <c r="O2995" s="124">
        <v>0</v>
      </c>
      <c r="P2995" s="102">
        <v>0.56000000000000005</v>
      </c>
      <c r="Q2995" s="45" t="s">
        <v>154</v>
      </c>
    </row>
    <row r="2996" spans="1:17" ht="156" x14ac:dyDescent="0.25">
      <c r="A2996" s="21">
        <v>39853</v>
      </c>
      <c r="B2996" s="21">
        <v>39853</v>
      </c>
      <c r="C2996" s="45">
        <v>2009</v>
      </c>
      <c r="D2996" s="351" t="s">
        <v>23</v>
      </c>
      <c r="E2996" s="30" t="s">
        <v>86</v>
      </c>
      <c r="F2996" s="7" t="s">
        <v>30</v>
      </c>
      <c r="G2996" s="25" t="s">
        <v>4496</v>
      </c>
      <c r="H2996" s="25" t="s">
        <v>4497</v>
      </c>
      <c r="I2996" s="46">
        <v>0</v>
      </c>
      <c r="J2996" s="46">
        <v>0</v>
      </c>
      <c r="K2996" s="46">
        <v>0</v>
      </c>
      <c r="L2996" s="46">
        <v>0</v>
      </c>
      <c r="M2996" s="46">
        <v>0</v>
      </c>
      <c r="N2996" s="46">
        <v>0</v>
      </c>
      <c r="O2996" s="124">
        <v>0</v>
      </c>
      <c r="P2996" s="102">
        <v>0</v>
      </c>
      <c r="Q2996" s="45" t="s">
        <v>154</v>
      </c>
    </row>
    <row r="2997" spans="1:17" ht="48" x14ac:dyDescent="0.25">
      <c r="A2997" s="21">
        <v>39919</v>
      </c>
      <c r="B2997" s="21">
        <v>39919</v>
      </c>
      <c r="C2997" s="45">
        <v>2009</v>
      </c>
      <c r="D2997" s="351" t="s">
        <v>23</v>
      </c>
      <c r="E2997" s="30" t="s">
        <v>86</v>
      </c>
      <c r="F2997" s="28" t="s">
        <v>210</v>
      </c>
      <c r="G2997" s="25" t="s">
        <v>4498</v>
      </c>
      <c r="H2997" s="25" t="s">
        <v>4499</v>
      </c>
      <c r="I2997" s="46">
        <v>0</v>
      </c>
      <c r="J2997" s="46">
        <v>875</v>
      </c>
      <c r="K2997" s="46">
        <v>175</v>
      </c>
      <c r="L2997" s="46">
        <v>0</v>
      </c>
      <c r="M2997" s="46">
        <v>0</v>
      </c>
      <c r="N2997" s="46">
        <v>0</v>
      </c>
      <c r="O2997" s="124">
        <v>0</v>
      </c>
      <c r="P2997" s="102">
        <v>0.9</v>
      </c>
      <c r="Q2997" s="45" t="s">
        <v>154</v>
      </c>
    </row>
    <row r="2998" spans="1:17" ht="132" x14ac:dyDescent="0.25">
      <c r="A2998" s="21">
        <v>39924</v>
      </c>
      <c r="B2998" s="21">
        <v>39924</v>
      </c>
      <c r="C2998" s="45">
        <v>2009</v>
      </c>
      <c r="D2998" s="351" t="s">
        <v>23</v>
      </c>
      <c r="E2998" s="30" t="s">
        <v>86</v>
      </c>
      <c r="F2998" s="7" t="s">
        <v>58</v>
      </c>
      <c r="G2998" s="25" t="s">
        <v>4500</v>
      </c>
      <c r="H2998" s="25" t="s">
        <v>4501</v>
      </c>
      <c r="I2998" s="46">
        <v>0</v>
      </c>
      <c r="J2998" s="46">
        <v>210</v>
      </c>
      <c r="K2998" s="46">
        <v>42</v>
      </c>
      <c r="L2998" s="46">
        <v>1</v>
      </c>
      <c r="M2998" s="46">
        <v>0</v>
      </c>
      <c r="N2998" s="46">
        <v>0</v>
      </c>
      <c r="O2998" s="124">
        <v>0</v>
      </c>
      <c r="P2998" s="102">
        <v>0.25</v>
      </c>
      <c r="Q2998" s="45" t="s">
        <v>154</v>
      </c>
    </row>
    <row r="2999" spans="1:17" ht="156" x14ac:dyDescent="0.25">
      <c r="A2999" s="21">
        <v>39948</v>
      </c>
      <c r="B2999" s="21">
        <v>39948</v>
      </c>
      <c r="C2999" s="45">
        <v>2009</v>
      </c>
      <c r="D2999" s="351" t="s">
        <v>23</v>
      </c>
      <c r="E2999" s="30" t="s">
        <v>86</v>
      </c>
      <c r="F2999" s="7" t="s">
        <v>56</v>
      </c>
      <c r="G2999" s="25" t="s">
        <v>218</v>
      </c>
      <c r="H2999" s="25" t="s">
        <v>4502</v>
      </c>
      <c r="I2999" s="46">
        <v>0</v>
      </c>
      <c r="J2999" s="46">
        <v>160</v>
      </c>
      <c r="K2999" s="46">
        <v>32</v>
      </c>
      <c r="L2999" s="46">
        <v>0</v>
      </c>
      <c r="M2999" s="46">
        <v>0</v>
      </c>
      <c r="N2999" s="46">
        <v>0</v>
      </c>
      <c r="O2999" s="124">
        <v>0</v>
      </c>
      <c r="P2999" s="102">
        <v>0.17</v>
      </c>
      <c r="Q2999" s="45" t="s">
        <v>154</v>
      </c>
    </row>
    <row r="3000" spans="1:17" ht="60" x14ac:dyDescent="0.25">
      <c r="A3000" s="21">
        <v>39950</v>
      </c>
      <c r="B3000" s="21">
        <v>39950</v>
      </c>
      <c r="C3000" s="45">
        <v>2009</v>
      </c>
      <c r="D3000" s="351" t="s">
        <v>23</v>
      </c>
      <c r="E3000" s="30" t="s">
        <v>86</v>
      </c>
      <c r="F3000" s="7" t="s">
        <v>101</v>
      </c>
      <c r="G3000" s="25" t="s">
        <v>174</v>
      </c>
      <c r="H3000" s="25" t="s">
        <v>4503</v>
      </c>
      <c r="I3000" s="46">
        <v>0</v>
      </c>
      <c r="J3000" s="46">
        <v>200</v>
      </c>
      <c r="K3000" s="46">
        <v>40</v>
      </c>
      <c r="L3000" s="46">
        <v>0</v>
      </c>
      <c r="M3000" s="46">
        <v>0</v>
      </c>
      <c r="N3000" s="46">
        <v>0</v>
      </c>
      <c r="O3000" s="124">
        <v>0</v>
      </c>
      <c r="P3000" s="102">
        <v>0.35</v>
      </c>
      <c r="Q3000" s="45" t="s">
        <v>154</v>
      </c>
    </row>
    <row r="3001" spans="1:17" ht="240" x14ac:dyDescent="0.25">
      <c r="A3001" s="21">
        <v>39958</v>
      </c>
      <c r="B3001" s="21">
        <v>39958</v>
      </c>
      <c r="C3001" s="45">
        <v>2009</v>
      </c>
      <c r="D3001" s="351" t="s">
        <v>23</v>
      </c>
      <c r="E3001" s="30" t="s">
        <v>86</v>
      </c>
      <c r="F3001" s="7" t="s">
        <v>45</v>
      </c>
      <c r="G3001" s="25" t="s">
        <v>4504</v>
      </c>
      <c r="H3001" s="25" t="s">
        <v>4505</v>
      </c>
      <c r="I3001" s="46">
        <v>0</v>
      </c>
      <c r="J3001" s="46">
        <v>15</v>
      </c>
      <c r="K3001" s="46">
        <v>3</v>
      </c>
      <c r="L3001" s="46">
        <v>0</v>
      </c>
      <c r="M3001" s="46">
        <v>0</v>
      </c>
      <c r="N3001" s="46">
        <v>0</v>
      </c>
      <c r="O3001" s="124">
        <v>0</v>
      </c>
      <c r="P3001" s="102">
        <v>0.03</v>
      </c>
      <c r="Q3001" s="45" t="s">
        <v>154</v>
      </c>
    </row>
    <row r="3002" spans="1:17" ht="72" x14ac:dyDescent="0.25">
      <c r="A3002" s="21">
        <v>39961</v>
      </c>
      <c r="B3002" s="21">
        <v>39961</v>
      </c>
      <c r="C3002" s="45">
        <v>2009</v>
      </c>
      <c r="D3002" s="351" t="s">
        <v>23</v>
      </c>
      <c r="E3002" s="30" t="s">
        <v>86</v>
      </c>
      <c r="F3002" s="28" t="s">
        <v>210</v>
      </c>
      <c r="G3002" s="25" t="s">
        <v>4506</v>
      </c>
      <c r="H3002" s="25" t="s">
        <v>4507</v>
      </c>
      <c r="I3002" s="46">
        <v>0</v>
      </c>
      <c r="J3002" s="46">
        <f>(K3002*5)</f>
        <v>905</v>
      </c>
      <c r="K3002" s="46">
        <v>181</v>
      </c>
      <c r="L3002" s="46">
        <v>0</v>
      </c>
      <c r="M3002" s="46">
        <v>4</v>
      </c>
      <c r="N3002" s="46">
        <v>0</v>
      </c>
      <c r="O3002" s="124">
        <v>0</v>
      </c>
      <c r="P3002" s="102">
        <v>145.32499999999999</v>
      </c>
      <c r="Q3002" s="45" t="s">
        <v>186</v>
      </c>
    </row>
    <row r="3003" spans="1:17" ht="48" x14ac:dyDescent="0.25">
      <c r="A3003" s="21">
        <v>39961</v>
      </c>
      <c r="B3003" s="21">
        <v>39961</v>
      </c>
      <c r="C3003" s="45">
        <v>2009</v>
      </c>
      <c r="D3003" s="351" t="s">
        <v>23</v>
      </c>
      <c r="E3003" s="30" t="s">
        <v>86</v>
      </c>
      <c r="F3003" s="28" t="s">
        <v>163</v>
      </c>
      <c r="G3003" s="25" t="s">
        <v>4202</v>
      </c>
      <c r="H3003" s="25" t="s">
        <v>4508</v>
      </c>
      <c r="I3003" s="46">
        <v>0</v>
      </c>
      <c r="J3003" s="46">
        <v>1</v>
      </c>
      <c r="K3003" s="46">
        <v>0</v>
      </c>
      <c r="L3003" s="46">
        <v>0</v>
      </c>
      <c r="M3003" s="46">
        <v>0</v>
      </c>
      <c r="N3003" s="46">
        <v>0</v>
      </c>
      <c r="O3003" s="124">
        <v>0</v>
      </c>
      <c r="P3003" s="102">
        <v>0</v>
      </c>
      <c r="Q3003" s="45" t="s">
        <v>154</v>
      </c>
    </row>
    <row r="3004" spans="1:17" ht="60" x14ac:dyDescent="0.25">
      <c r="A3004" s="21">
        <v>39962</v>
      </c>
      <c r="B3004" s="21">
        <v>39962</v>
      </c>
      <c r="C3004" s="45">
        <v>2009</v>
      </c>
      <c r="D3004" s="351" t="s">
        <v>23</v>
      </c>
      <c r="E3004" s="30" t="s">
        <v>86</v>
      </c>
      <c r="F3004" s="7" t="s">
        <v>97</v>
      </c>
      <c r="G3004" s="25" t="s">
        <v>4509</v>
      </c>
      <c r="H3004" s="25" t="s">
        <v>4510</v>
      </c>
      <c r="I3004" s="46">
        <v>0</v>
      </c>
      <c r="J3004" s="46">
        <v>18000</v>
      </c>
      <c r="K3004" s="46">
        <v>3600</v>
      </c>
      <c r="L3004" s="46">
        <v>0</v>
      </c>
      <c r="M3004" s="46">
        <v>0</v>
      </c>
      <c r="N3004" s="46">
        <v>0</v>
      </c>
      <c r="O3004" s="124">
        <v>0</v>
      </c>
      <c r="P3004" s="102">
        <f>(K3004*5120)/1000000</f>
        <v>18.431999999999999</v>
      </c>
      <c r="Q3004" s="45" t="s">
        <v>154</v>
      </c>
    </row>
    <row r="3005" spans="1:17" ht="84" x14ac:dyDescent="0.25">
      <c r="A3005" s="21">
        <v>39963</v>
      </c>
      <c r="B3005" s="21">
        <v>39963</v>
      </c>
      <c r="C3005" s="45">
        <v>2009</v>
      </c>
      <c r="D3005" s="351" t="s">
        <v>23</v>
      </c>
      <c r="E3005" s="30" t="s">
        <v>86</v>
      </c>
      <c r="F3005" s="7" t="s">
        <v>56</v>
      </c>
      <c r="G3005" s="25" t="s">
        <v>4511</v>
      </c>
      <c r="H3005" s="25" t="s">
        <v>4512</v>
      </c>
      <c r="I3005" s="46">
        <v>0</v>
      </c>
      <c r="J3005" s="46">
        <v>200</v>
      </c>
      <c r="K3005" s="46">
        <v>40</v>
      </c>
      <c r="L3005" s="46">
        <v>0</v>
      </c>
      <c r="M3005" s="46">
        <v>0</v>
      </c>
      <c r="N3005" s="46">
        <v>0</v>
      </c>
      <c r="O3005" s="124">
        <v>0</v>
      </c>
      <c r="P3005" s="102">
        <f>(K3005*8738)/1000000</f>
        <v>0.34952</v>
      </c>
      <c r="Q3005" s="45" t="s">
        <v>154</v>
      </c>
    </row>
    <row r="3006" spans="1:17" ht="48" x14ac:dyDescent="0.25">
      <c r="A3006" s="21">
        <v>39963</v>
      </c>
      <c r="B3006" s="21">
        <v>39963</v>
      </c>
      <c r="C3006" s="45">
        <v>2009</v>
      </c>
      <c r="D3006" s="351" t="s">
        <v>23</v>
      </c>
      <c r="E3006" s="30" t="s">
        <v>86</v>
      </c>
      <c r="F3006" s="28" t="s">
        <v>210</v>
      </c>
      <c r="G3006" s="25" t="s">
        <v>4513</v>
      </c>
      <c r="H3006" s="25" t="s">
        <v>4514</v>
      </c>
      <c r="I3006" s="46">
        <v>0</v>
      </c>
      <c r="J3006" s="46">
        <v>1670</v>
      </c>
      <c r="K3006" s="46">
        <v>294</v>
      </c>
      <c r="L3006" s="46">
        <v>0</v>
      </c>
      <c r="M3006" s="46">
        <v>0</v>
      </c>
      <c r="N3006" s="46">
        <v>0</v>
      </c>
      <c r="O3006" s="124">
        <v>0</v>
      </c>
      <c r="P3006" s="102">
        <f>(K3006*5120)/1000000</f>
        <v>1.50528</v>
      </c>
      <c r="Q3006" s="45" t="s">
        <v>154</v>
      </c>
    </row>
    <row r="3007" spans="1:17" ht="60" x14ac:dyDescent="0.25">
      <c r="A3007" s="21">
        <v>39965</v>
      </c>
      <c r="B3007" s="21">
        <v>39965</v>
      </c>
      <c r="C3007" s="45">
        <v>2009</v>
      </c>
      <c r="D3007" s="351" t="s">
        <v>23</v>
      </c>
      <c r="E3007" s="30" t="s">
        <v>86</v>
      </c>
      <c r="F3007" s="28" t="s">
        <v>210</v>
      </c>
      <c r="G3007" s="25" t="s">
        <v>4515</v>
      </c>
      <c r="H3007" s="25" t="s">
        <v>4516</v>
      </c>
      <c r="I3007" s="46">
        <v>1</v>
      </c>
      <c r="J3007" s="46">
        <v>241</v>
      </c>
      <c r="K3007" s="46">
        <v>48</v>
      </c>
      <c r="L3007" s="46">
        <v>0</v>
      </c>
      <c r="M3007" s="46">
        <v>0</v>
      </c>
      <c r="N3007" s="46">
        <v>0</v>
      </c>
      <c r="O3007" s="124">
        <v>0</v>
      </c>
      <c r="P3007" s="102">
        <f>(K3007*5120)/1000000</f>
        <v>0.24576000000000001</v>
      </c>
      <c r="Q3007" s="45" t="s">
        <v>154</v>
      </c>
    </row>
    <row r="3008" spans="1:17" ht="36" x14ac:dyDescent="0.25">
      <c r="A3008" s="21">
        <v>39967</v>
      </c>
      <c r="B3008" s="21">
        <v>39967</v>
      </c>
      <c r="C3008" s="45">
        <v>2009</v>
      </c>
      <c r="D3008" s="351" t="s">
        <v>23</v>
      </c>
      <c r="E3008" s="30" t="s">
        <v>86</v>
      </c>
      <c r="F3008" s="7" t="s">
        <v>62</v>
      </c>
      <c r="G3008" s="25" t="s">
        <v>4517</v>
      </c>
      <c r="H3008" s="25" t="s">
        <v>4518</v>
      </c>
      <c r="I3008" s="46">
        <v>0</v>
      </c>
      <c r="J3008" s="46">
        <v>300</v>
      </c>
      <c r="K3008" s="46">
        <v>60</v>
      </c>
      <c r="L3008" s="46">
        <v>0</v>
      </c>
      <c r="M3008" s="46">
        <v>0</v>
      </c>
      <c r="N3008" s="46">
        <v>0</v>
      </c>
      <c r="O3008" s="124">
        <v>0</v>
      </c>
      <c r="P3008" s="102">
        <f>(K3008*8738)/1000000</f>
        <v>0.52427999999999997</v>
      </c>
      <c r="Q3008" s="45" t="s">
        <v>154</v>
      </c>
    </row>
    <row r="3009" spans="1:17" ht="48" x14ac:dyDescent="0.25">
      <c r="A3009" s="21">
        <v>39968</v>
      </c>
      <c r="B3009" s="21">
        <v>39968</v>
      </c>
      <c r="C3009" s="45">
        <v>2009</v>
      </c>
      <c r="D3009" s="351" t="s">
        <v>23</v>
      </c>
      <c r="E3009" s="30" t="s">
        <v>86</v>
      </c>
      <c r="F3009" s="7" t="s">
        <v>91</v>
      </c>
      <c r="G3009" s="25" t="s">
        <v>1220</v>
      </c>
      <c r="H3009" s="25" t="s">
        <v>4519</v>
      </c>
      <c r="I3009" s="46">
        <v>0</v>
      </c>
      <c r="J3009" s="46">
        <v>55</v>
      </c>
      <c r="K3009" s="46">
        <v>11</v>
      </c>
      <c r="L3009" s="46">
        <v>0</v>
      </c>
      <c r="M3009" s="46">
        <v>0</v>
      </c>
      <c r="N3009" s="46">
        <v>0</v>
      </c>
      <c r="O3009" s="124">
        <v>0</v>
      </c>
      <c r="P3009" s="102">
        <f>(K3009*8738)/1000000</f>
        <v>9.6117999999999995E-2</v>
      </c>
      <c r="Q3009" s="45" t="s">
        <v>154</v>
      </c>
    </row>
    <row r="3010" spans="1:17" ht="120" x14ac:dyDescent="0.25">
      <c r="A3010" s="21">
        <v>39973</v>
      </c>
      <c r="B3010" s="21">
        <v>39973</v>
      </c>
      <c r="C3010" s="45">
        <v>2009</v>
      </c>
      <c r="D3010" s="351" t="s">
        <v>23</v>
      </c>
      <c r="E3010" s="30" t="s">
        <v>86</v>
      </c>
      <c r="F3010" s="7" t="s">
        <v>75</v>
      </c>
      <c r="G3010" s="25" t="s">
        <v>4520</v>
      </c>
      <c r="H3010" s="29" t="s">
        <v>4521</v>
      </c>
      <c r="I3010" s="46">
        <v>0</v>
      </c>
      <c r="J3010" s="46">
        <v>380</v>
      </c>
      <c r="K3010" s="46">
        <v>76</v>
      </c>
      <c r="L3010" s="46">
        <v>0</v>
      </c>
      <c r="M3010" s="46">
        <v>0</v>
      </c>
      <c r="N3010" s="46">
        <v>0</v>
      </c>
      <c r="O3010" s="46">
        <v>0</v>
      </c>
      <c r="P3010" s="102">
        <f>(K3010*8738)/1000000</f>
        <v>0.66408800000000001</v>
      </c>
      <c r="Q3010" s="45" t="s">
        <v>154</v>
      </c>
    </row>
    <row r="3011" spans="1:17" ht="36" x14ac:dyDescent="0.25">
      <c r="A3011" s="21">
        <v>39972</v>
      </c>
      <c r="B3011" s="21">
        <v>39972</v>
      </c>
      <c r="C3011" s="45">
        <v>2009</v>
      </c>
      <c r="D3011" s="351" t="s">
        <v>23</v>
      </c>
      <c r="E3011" s="30" t="s">
        <v>86</v>
      </c>
      <c r="F3011" s="7" t="s">
        <v>45</v>
      </c>
      <c r="G3011" s="25" t="s">
        <v>4108</v>
      </c>
      <c r="H3011" s="25" t="s">
        <v>4522</v>
      </c>
      <c r="I3011" s="46">
        <v>0</v>
      </c>
      <c r="J3011" s="46">
        <v>0</v>
      </c>
      <c r="K3011" s="46">
        <v>0</v>
      </c>
      <c r="L3011" s="46">
        <v>0</v>
      </c>
      <c r="M3011" s="46">
        <v>0</v>
      </c>
      <c r="N3011" s="46">
        <v>0</v>
      </c>
      <c r="O3011" s="46">
        <v>0</v>
      </c>
      <c r="P3011" s="102" t="s">
        <v>110</v>
      </c>
      <c r="Q3011" s="45" t="s">
        <v>154</v>
      </c>
    </row>
    <row r="3012" spans="1:17" ht="108" x14ac:dyDescent="0.25">
      <c r="A3012" s="21">
        <v>39981</v>
      </c>
      <c r="B3012" s="21">
        <v>39981</v>
      </c>
      <c r="C3012" s="45">
        <v>2009</v>
      </c>
      <c r="D3012" s="351" t="s">
        <v>23</v>
      </c>
      <c r="E3012" s="30" t="s">
        <v>86</v>
      </c>
      <c r="F3012" s="7" t="s">
        <v>62</v>
      </c>
      <c r="G3012" s="25" t="s">
        <v>4523</v>
      </c>
      <c r="H3012" s="29" t="s">
        <v>4524</v>
      </c>
      <c r="I3012" s="46">
        <v>0</v>
      </c>
      <c r="J3012" s="46">
        <v>35</v>
      </c>
      <c r="K3012" s="46">
        <v>7</v>
      </c>
      <c r="L3012" s="46">
        <v>0</v>
      </c>
      <c r="M3012" s="46">
        <v>0</v>
      </c>
      <c r="N3012" s="46">
        <v>0</v>
      </c>
      <c r="O3012" s="46">
        <v>0</v>
      </c>
      <c r="P3012" s="102">
        <f>((K3012*8738)+(K3012*7500))/1000000</f>
        <v>0.113666</v>
      </c>
      <c r="Q3012" s="45" t="s">
        <v>154</v>
      </c>
    </row>
    <row r="3013" spans="1:17" ht="48" x14ac:dyDescent="0.25">
      <c r="A3013" s="21">
        <v>39981</v>
      </c>
      <c r="B3013" s="21">
        <v>39981</v>
      </c>
      <c r="C3013" s="45">
        <v>2009</v>
      </c>
      <c r="D3013" s="351" t="s">
        <v>23</v>
      </c>
      <c r="E3013" s="30" t="s">
        <v>86</v>
      </c>
      <c r="F3013" s="7" t="s">
        <v>97</v>
      </c>
      <c r="G3013" s="25" t="s">
        <v>97</v>
      </c>
      <c r="H3013" s="25" t="s">
        <v>4525</v>
      </c>
      <c r="I3013" s="46">
        <v>0</v>
      </c>
      <c r="J3013" s="46">
        <v>175</v>
      </c>
      <c r="K3013" s="46">
        <v>35</v>
      </c>
      <c r="L3013" s="46">
        <v>0</v>
      </c>
      <c r="M3013" s="46">
        <v>0</v>
      </c>
      <c r="N3013" s="46">
        <v>0</v>
      </c>
      <c r="O3013" s="46">
        <v>0</v>
      </c>
      <c r="P3013" s="102">
        <f>(K3013*5120)/1000000</f>
        <v>0.1792</v>
      </c>
      <c r="Q3013" s="45" t="s">
        <v>154</v>
      </c>
    </row>
    <row r="3014" spans="1:17" ht="96" x14ac:dyDescent="0.25">
      <c r="A3014" s="21">
        <v>39982</v>
      </c>
      <c r="B3014" s="21">
        <v>39982</v>
      </c>
      <c r="C3014" s="45">
        <v>2009</v>
      </c>
      <c r="D3014" s="351" t="s">
        <v>23</v>
      </c>
      <c r="E3014" s="30" t="s">
        <v>86</v>
      </c>
      <c r="F3014" s="7" t="s">
        <v>53</v>
      </c>
      <c r="G3014" s="25" t="s">
        <v>1502</v>
      </c>
      <c r="H3014" s="29" t="s">
        <v>4526</v>
      </c>
      <c r="I3014" s="46">
        <v>0</v>
      </c>
      <c r="J3014" s="46">
        <v>0</v>
      </c>
      <c r="K3014" s="46" t="s">
        <v>110</v>
      </c>
      <c r="L3014" s="46">
        <v>0</v>
      </c>
      <c r="M3014" s="46">
        <v>0</v>
      </c>
      <c r="N3014" s="46">
        <v>0</v>
      </c>
      <c r="O3014" s="46">
        <v>0</v>
      </c>
      <c r="P3014" s="102" t="s">
        <v>110</v>
      </c>
      <c r="Q3014" s="45" t="s">
        <v>154</v>
      </c>
    </row>
    <row r="3015" spans="1:17" ht="96" x14ac:dyDescent="0.25">
      <c r="A3015" s="21">
        <v>39982</v>
      </c>
      <c r="B3015" s="21">
        <v>39982</v>
      </c>
      <c r="C3015" s="45">
        <v>2009</v>
      </c>
      <c r="D3015" s="351" t="s">
        <v>23</v>
      </c>
      <c r="E3015" s="30" t="s">
        <v>86</v>
      </c>
      <c r="F3015" s="28" t="s">
        <v>157</v>
      </c>
      <c r="G3015" s="25" t="s">
        <v>4527</v>
      </c>
      <c r="H3015" s="29" t="s">
        <v>4528</v>
      </c>
      <c r="I3015" s="46">
        <v>0</v>
      </c>
      <c r="J3015" s="46">
        <v>0</v>
      </c>
      <c r="K3015" s="46">
        <v>0</v>
      </c>
      <c r="L3015" s="46">
        <v>0</v>
      </c>
      <c r="M3015" s="46">
        <v>0</v>
      </c>
      <c r="N3015" s="46">
        <v>0</v>
      </c>
      <c r="O3015" s="46">
        <v>0</v>
      </c>
      <c r="P3015" s="102" t="s">
        <v>110</v>
      </c>
      <c r="Q3015" s="45" t="s">
        <v>154</v>
      </c>
    </row>
    <row r="3016" spans="1:17" ht="72" x14ac:dyDescent="0.25">
      <c r="A3016" s="21">
        <v>39982</v>
      </c>
      <c r="B3016" s="21">
        <v>39982</v>
      </c>
      <c r="C3016" s="45">
        <v>2009</v>
      </c>
      <c r="D3016" s="351" t="s">
        <v>23</v>
      </c>
      <c r="E3016" s="30" t="s">
        <v>86</v>
      </c>
      <c r="F3016" s="7" t="s">
        <v>75</v>
      </c>
      <c r="G3016" s="25" t="s">
        <v>75</v>
      </c>
      <c r="H3016" s="29" t="s">
        <v>4529</v>
      </c>
      <c r="I3016" s="46">
        <v>1</v>
      </c>
      <c r="J3016" s="46">
        <v>76</v>
      </c>
      <c r="K3016" s="46">
        <v>15</v>
      </c>
      <c r="L3016" s="46">
        <v>0</v>
      </c>
      <c r="M3016" s="46">
        <v>0</v>
      </c>
      <c r="N3016" s="46">
        <v>0</v>
      </c>
      <c r="O3016" s="46">
        <v>0</v>
      </c>
      <c r="P3016" s="102">
        <f>(K3016*5120)/1000000</f>
        <v>7.6799999999999993E-2</v>
      </c>
      <c r="Q3016" s="45" t="s">
        <v>154</v>
      </c>
    </row>
    <row r="3017" spans="1:17" ht="96" x14ac:dyDescent="0.25">
      <c r="A3017" s="21">
        <v>39983</v>
      </c>
      <c r="B3017" s="21">
        <v>39983</v>
      </c>
      <c r="C3017" s="45">
        <v>2009</v>
      </c>
      <c r="D3017" s="351" t="s">
        <v>23</v>
      </c>
      <c r="E3017" s="30" t="s">
        <v>86</v>
      </c>
      <c r="F3017" s="7" t="s">
        <v>45</v>
      </c>
      <c r="G3017" s="25" t="s">
        <v>2866</v>
      </c>
      <c r="H3017" s="25" t="s">
        <v>4530</v>
      </c>
      <c r="I3017" s="46">
        <v>0</v>
      </c>
      <c r="J3017" s="46">
        <v>0</v>
      </c>
      <c r="K3017" s="46">
        <v>2</v>
      </c>
      <c r="L3017" s="46">
        <v>0</v>
      </c>
      <c r="M3017" s="46">
        <v>0</v>
      </c>
      <c r="N3017" s="46">
        <v>0</v>
      </c>
      <c r="O3017" s="46">
        <v>0</v>
      </c>
      <c r="P3017" s="102">
        <f>(K3017*8738)/1000000</f>
        <v>1.7475999999999998E-2</v>
      </c>
      <c r="Q3017" s="45" t="s">
        <v>154</v>
      </c>
    </row>
    <row r="3018" spans="1:17" ht="84" x14ac:dyDescent="0.25">
      <c r="A3018" s="21">
        <v>39984</v>
      </c>
      <c r="B3018" s="21">
        <v>39984</v>
      </c>
      <c r="C3018" s="45">
        <v>2009</v>
      </c>
      <c r="D3018" s="351" t="s">
        <v>23</v>
      </c>
      <c r="E3018" s="30" t="s">
        <v>86</v>
      </c>
      <c r="F3018" s="7" t="s">
        <v>56</v>
      </c>
      <c r="G3018" s="25" t="s">
        <v>4531</v>
      </c>
      <c r="H3018" s="25" t="s">
        <v>4532</v>
      </c>
      <c r="I3018" s="46">
        <v>0</v>
      </c>
      <c r="J3018" s="46">
        <v>264</v>
      </c>
      <c r="K3018" s="46">
        <v>66</v>
      </c>
      <c r="L3018" s="46">
        <v>0</v>
      </c>
      <c r="M3018" s="46">
        <v>0</v>
      </c>
      <c r="N3018" s="46">
        <v>0</v>
      </c>
      <c r="O3018" s="46">
        <v>0</v>
      </c>
      <c r="P3018" s="102">
        <f>(K3018*5120)/1000000</f>
        <v>0.33792</v>
      </c>
      <c r="Q3018" s="45" t="s">
        <v>154</v>
      </c>
    </row>
    <row r="3019" spans="1:17" ht="72" x14ac:dyDescent="0.25">
      <c r="A3019" s="21">
        <v>39984</v>
      </c>
      <c r="B3019" s="21">
        <v>39984</v>
      </c>
      <c r="C3019" s="45">
        <v>2009</v>
      </c>
      <c r="D3019" s="351" t="s">
        <v>23</v>
      </c>
      <c r="E3019" s="30" t="s">
        <v>86</v>
      </c>
      <c r="F3019" s="28" t="s">
        <v>157</v>
      </c>
      <c r="G3019" s="25" t="s">
        <v>1062</v>
      </c>
      <c r="H3019" s="25" t="s">
        <v>4533</v>
      </c>
      <c r="I3019" s="46">
        <v>0</v>
      </c>
      <c r="J3019" s="46">
        <v>6</v>
      </c>
      <c r="K3019" s="46">
        <v>0</v>
      </c>
      <c r="L3019" s="46">
        <v>0</v>
      </c>
      <c r="M3019" s="46">
        <v>0</v>
      </c>
      <c r="N3019" s="46">
        <v>0</v>
      </c>
      <c r="O3019" s="46">
        <v>0</v>
      </c>
      <c r="P3019" s="102">
        <v>0</v>
      </c>
      <c r="Q3019" s="45" t="s">
        <v>154</v>
      </c>
    </row>
    <row r="3020" spans="1:17" ht="168" x14ac:dyDescent="0.25">
      <c r="A3020" s="21">
        <v>39985</v>
      </c>
      <c r="B3020" s="21">
        <v>39985</v>
      </c>
      <c r="C3020" s="45">
        <v>2009</v>
      </c>
      <c r="D3020" s="351" t="s">
        <v>23</v>
      </c>
      <c r="E3020" s="30" t="s">
        <v>86</v>
      </c>
      <c r="F3020" s="7" t="s">
        <v>40</v>
      </c>
      <c r="G3020" s="25" t="s">
        <v>1062</v>
      </c>
      <c r="H3020" s="25" t="s">
        <v>4534</v>
      </c>
      <c r="I3020" s="46">
        <v>9</v>
      </c>
      <c r="J3020" s="46">
        <v>309</v>
      </c>
      <c r="K3020" s="46">
        <v>60</v>
      </c>
      <c r="L3020" s="46">
        <v>0</v>
      </c>
      <c r="M3020" s="46">
        <v>0</v>
      </c>
      <c r="N3020" s="46">
        <v>0</v>
      </c>
      <c r="O3020" s="46">
        <v>0</v>
      </c>
      <c r="P3020" s="102">
        <f>((50*5120)+(8*27687)+(2*95904))/1000000</f>
        <v>0.66930400000000001</v>
      </c>
      <c r="Q3020" s="45" t="s">
        <v>154</v>
      </c>
    </row>
    <row r="3021" spans="1:17" ht="120" x14ac:dyDescent="0.25">
      <c r="A3021" s="21">
        <v>39986</v>
      </c>
      <c r="B3021" s="21">
        <v>39986</v>
      </c>
      <c r="C3021" s="45">
        <v>2009</v>
      </c>
      <c r="D3021" s="351" t="s">
        <v>23</v>
      </c>
      <c r="E3021" s="14" t="s">
        <v>32</v>
      </c>
      <c r="F3021" s="7" t="s">
        <v>62</v>
      </c>
      <c r="G3021" s="25" t="s">
        <v>3384</v>
      </c>
      <c r="H3021" s="25" t="s">
        <v>4535</v>
      </c>
      <c r="I3021" s="46">
        <v>0</v>
      </c>
      <c r="J3021" s="46">
        <f>(K3021*5)</f>
        <v>550</v>
      </c>
      <c r="K3021" s="46">
        <v>110</v>
      </c>
      <c r="L3021" s="46">
        <v>0</v>
      </c>
      <c r="M3021" s="46">
        <v>0</v>
      </c>
      <c r="N3021" s="46">
        <v>0</v>
      </c>
      <c r="O3021" s="46">
        <v>0</v>
      </c>
      <c r="P3021" s="102">
        <f>((K3021*5120)+(K3021*7500))/1000000</f>
        <v>1.3882000000000001</v>
      </c>
      <c r="Q3021" s="45" t="s">
        <v>154</v>
      </c>
    </row>
    <row r="3022" spans="1:17" ht="108" x14ac:dyDescent="0.25">
      <c r="A3022" s="21">
        <v>39986</v>
      </c>
      <c r="B3022" s="21">
        <v>39986</v>
      </c>
      <c r="C3022" s="45">
        <v>2009</v>
      </c>
      <c r="D3022" s="351" t="s">
        <v>23</v>
      </c>
      <c r="E3022" s="14" t="s">
        <v>32</v>
      </c>
      <c r="F3022" s="7" t="s">
        <v>58</v>
      </c>
      <c r="G3022" s="25" t="s">
        <v>4536</v>
      </c>
      <c r="H3022" s="25" t="s">
        <v>4537</v>
      </c>
      <c r="I3022" s="46">
        <v>1</v>
      </c>
      <c r="J3022" s="46">
        <v>252</v>
      </c>
      <c r="K3022" s="46">
        <v>50</v>
      </c>
      <c r="L3022" s="46">
        <v>0</v>
      </c>
      <c r="M3022" s="46">
        <v>0</v>
      </c>
      <c r="N3022" s="46">
        <v>0</v>
      </c>
      <c r="O3022" s="46">
        <v>0</v>
      </c>
      <c r="P3022" s="102">
        <f>(K3022*8738)/1000000</f>
        <v>0.43690000000000001</v>
      </c>
      <c r="Q3022" s="45" t="s">
        <v>154</v>
      </c>
    </row>
    <row r="3023" spans="1:17" ht="132" x14ac:dyDescent="0.25">
      <c r="A3023" s="21">
        <v>39988</v>
      </c>
      <c r="B3023" s="21">
        <v>39988</v>
      </c>
      <c r="C3023" s="45">
        <v>2009</v>
      </c>
      <c r="D3023" s="351" t="s">
        <v>23</v>
      </c>
      <c r="E3023" s="30" t="s">
        <v>86</v>
      </c>
      <c r="F3023" s="7" t="s">
        <v>36</v>
      </c>
      <c r="G3023" s="25" t="s">
        <v>744</v>
      </c>
      <c r="H3023" s="25" t="s">
        <v>4538</v>
      </c>
      <c r="I3023" s="46">
        <v>1</v>
      </c>
      <c r="J3023" s="46">
        <v>631</v>
      </c>
      <c r="K3023" s="46">
        <v>126</v>
      </c>
      <c r="L3023" s="46">
        <v>0</v>
      </c>
      <c r="M3023" s="46">
        <v>0</v>
      </c>
      <c r="N3023" s="46">
        <v>0</v>
      </c>
      <c r="O3023" s="124">
        <v>0</v>
      </c>
      <c r="P3023" s="102">
        <f>(K3023*5120)/1000000</f>
        <v>0.64512000000000003</v>
      </c>
      <c r="Q3023" s="45" t="s">
        <v>154</v>
      </c>
    </row>
    <row r="3024" spans="1:17" ht="252" x14ac:dyDescent="0.25">
      <c r="A3024" s="21">
        <v>39992</v>
      </c>
      <c r="B3024" s="21">
        <v>39992</v>
      </c>
      <c r="C3024" s="45">
        <v>2009</v>
      </c>
      <c r="D3024" s="351" t="s">
        <v>23</v>
      </c>
      <c r="E3024" s="30" t="s">
        <v>86</v>
      </c>
      <c r="F3024" s="7" t="s">
        <v>56</v>
      </c>
      <c r="G3024" s="25" t="s">
        <v>4531</v>
      </c>
      <c r="H3024" s="25" t="s">
        <v>4539</v>
      </c>
      <c r="I3024" s="46">
        <v>4</v>
      </c>
      <c r="J3024" s="46">
        <v>6</v>
      </c>
      <c r="K3024" s="46">
        <v>0</v>
      </c>
      <c r="L3024" s="46">
        <v>0</v>
      </c>
      <c r="M3024" s="46">
        <v>0</v>
      </c>
      <c r="N3024" s="46">
        <v>0</v>
      </c>
      <c r="O3024" s="124">
        <v>0</v>
      </c>
      <c r="P3024" s="102">
        <v>0</v>
      </c>
      <c r="Q3024" s="45" t="s">
        <v>154</v>
      </c>
    </row>
    <row r="3025" spans="1:17" ht="72" x14ac:dyDescent="0.25">
      <c r="A3025" s="21">
        <v>39994</v>
      </c>
      <c r="B3025" s="21">
        <v>39994</v>
      </c>
      <c r="C3025" s="45">
        <v>2009</v>
      </c>
      <c r="D3025" s="351" t="s">
        <v>23</v>
      </c>
      <c r="E3025" s="30" t="s">
        <v>86</v>
      </c>
      <c r="F3025" s="7" t="s">
        <v>53</v>
      </c>
      <c r="G3025" s="25" t="s">
        <v>4540</v>
      </c>
      <c r="H3025" s="25" t="s">
        <v>4541</v>
      </c>
      <c r="I3025" s="46">
        <v>0</v>
      </c>
      <c r="J3025" s="46">
        <v>0</v>
      </c>
      <c r="K3025" s="46" t="s">
        <v>110</v>
      </c>
      <c r="L3025" s="46">
        <v>0</v>
      </c>
      <c r="M3025" s="46">
        <v>0</v>
      </c>
      <c r="N3025" s="46">
        <v>0</v>
      </c>
      <c r="O3025" s="124">
        <v>0</v>
      </c>
      <c r="P3025" s="102" t="s">
        <v>110</v>
      </c>
      <c r="Q3025" s="45" t="s">
        <v>154</v>
      </c>
    </row>
    <row r="3026" spans="1:17" ht="36" x14ac:dyDescent="0.25">
      <c r="A3026" s="21">
        <v>39994</v>
      </c>
      <c r="B3026" s="21">
        <v>39994</v>
      </c>
      <c r="C3026" s="45">
        <v>2009</v>
      </c>
      <c r="D3026" s="351" t="s">
        <v>23</v>
      </c>
      <c r="E3026" s="30" t="s">
        <v>86</v>
      </c>
      <c r="F3026" s="28" t="s">
        <v>210</v>
      </c>
      <c r="G3026" s="25" t="s">
        <v>4542</v>
      </c>
      <c r="H3026" s="25" t="s">
        <v>4543</v>
      </c>
      <c r="I3026" s="46">
        <v>0</v>
      </c>
      <c r="J3026" s="46">
        <v>160</v>
      </c>
      <c r="K3026" s="46">
        <v>32</v>
      </c>
      <c r="L3026" s="46">
        <v>0</v>
      </c>
      <c r="M3026" s="46">
        <v>0</v>
      </c>
      <c r="N3026" s="46">
        <v>0</v>
      </c>
      <c r="O3026" s="124">
        <v>0</v>
      </c>
      <c r="P3026" s="102">
        <f>(K3026*5120)/1000000</f>
        <v>0.16384000000000001</v>
      </c>
      <c r="Q3026" s="45" t="s">
        <v>154</v>
      </c>
    </row>
    <row r="3027" spans="1:17" ht="48" x14ac:dyDescent="0.25">
      <c r="A3027" s="21">
        <v>39993</v>
      </c>
      <c r="B3027" s="21">
        <v>39993</v>
      </c>
      <c r="C3027" s="45">
        <v>2009</v>
      </c>
      <c r="D3027" s="351" t="s">
        <v>23</v>
      </c>
      <c r="E3027" s="30" t="s">
        <v>86</v>
      </c>
      <c r="F3027" s="7" t="s">
        <v>72</v>
      </c>
      <c r="G3027" s="25" t="s">
        <v>4544</v>
      </c>
      <c r="H3027" s="25" t="s">
        <v>4545</v>
      </c>
      <c r="I3027" s="46">
        <v>0</v>
      </c>
      <c r="J3027" s="46">
        <v>2200</v>
      </c>
      <c r="K3027" s="46">
        <v>0</v>
      </c>
      <c r="L3027" s="46">
        <v>0</v>
      </c>
      <c r="M3027" s="46">
        <v>0</v>
      </c>
      <c r="N3027" s="46">
        <v>0</v>
      </c>
      <c r="O3027" s="124">
        <v>0</v>
      </c>
      <c r="P3027" s="102">
        <v>1.139</v>
      </c>
      <c r="Q3027" s="45" t="s">
        <v>186</v>
      </c>
    </row>
    <row r="3028" spans="1:17" ht="180" x14ac:dyDescent="0.25">
      <c r="A3028" s="21">
        <v>39994</v>
      </c>
      <c r="B3028" s="21">
        <v>39994</v>
      </c>
      <c r="C3028" s="45">
        <v>2009</v>
      </c>
      <c r="D3028" s="351" t="s">
        <v>23</v>
      </c>
      <c r="E3028" s="30" t="s">
        <v>86</v>
      </c>
      <c r="F3028" s="7" t="s">
        <v>72</v>
      </c>
      <c r="G3028" s="25" t="s">
        <v>4546</v>
      </c>
      <c r="H3028" s="25" t="s">
        <v>4547</v>
      </c>
      <c r="I3028" s="46">
        <v>1</v>
      </c>
      <c r="J3028" s="46">
        <v>5</v>
      </c>
      <c r="K3028" s="46">
        <v>0</v>
      </c>
      <c r="L3028" s="46">
        <v>0</v>
      </c>
      <c r="M3028" s="46">
        <v>0</v>
      </c>
      <c r="N3028" s="46">
        <v>0</v>
      </c>
      <c r="O3028" s="124">
        <v>0</v>
      </c>
      <c r="P3028" s="102" t="s">
        <v>3339</v>
      </c>
      <c r="Q3028" s="45" t="s">
        <v>154</v>
      </c>
    </row>
    <row r="3029" spans="1:17" ht="60" x14ac:dyDescent="0.25">
      <c r="A3029" s="21">
        <v>39994</v>
      </c>
      <c r="B3029" s="21">
        <v>39994</v>
      </c>
      <c r="C3029" s="45">
        <v>2009</v>
      </c>
      <c r="D3029" s="351" t="s">
        <v>23</v>
      </c>
      <c r="E3029" s="30" t="s">
        <v>86</v>
      </c>
      <c r="F3029" s="7" t="s">
        <v>97</v>
      </c>
      <c r="G3029" s="25" t="s">
        <v>4548</v>
      </c>
      <c r="H3029" s="25" t="s">
        <v>4549</v>
      </c>
      <c r="I3029" s="46">
        <v>0</v>
      </c>
      <c r="J3029" s="46">
        <v>1300</v>
      </c>
      <c r="K3029" s="46">
        <v>260</v>
      </c>
      <c r="L3029" s="46">
        <v>0</v>
      </c>
      <c r="M3029" s="46">
        <v>0</v>
      </c>
      <c r="N3029" s="46">
        <v>0</v>
      </c>
      <c r="O3029" s="124">
        <v>0</v>
      </c>
      <c r="P3029" s="102">
        <f>(K3029*5120)/1000000</f>
        <v>1.3311999999999999</v>
      </c>
      <c r="Q3029" s="45" t="s">
        <v>154</v>
      </c>
    </row>
    <row r="3030" spans="1:17" ht="72" x14ac:dyDescent="0.25">
      <c r="A3030" s="21">
        <v>39994</v>
      </c>
      <c r="B3030" s="21">
        <v>39994</v>
      </c>
      <c r="C3030" s="45">
        <v>2009</v>
      </c>
      <c r="D3030" s="351" t="s">
        <v>23</v>
      </c>
      <c r="E3030" s="30" t="s">
        <v>86</v>
      </c>
      <c r="F3030" s="7" t="s">
        <v>97</v>
      </c>
      <c r="G3030" s="25" t="s">
        <v>4550</v>
      </c>
      <c r="H3030" s="25" t="s">
        <v>4551</v>
      </c>
      <c r="I3030" s="46">
        <v>0</v>
      </c>
      <c r="J3030" s="46">
        <v>8400</v>
      </c>
      <c r="K3030" s="46">
        <v>350</v>
      </c>
      <c r="L3030" s="46">
        <v>0</v>
      </c>
      <c r="M3030" s="46">
        <v>0</v>
      </c>
      <c r="N3030" s="46">
        <v>0</v>
      </c>
      <c r="O3030" s="124">
        <v>0</v>
      </c>
      <c r="P3030" s="102">
        <f>((K3030*5120)/(1000000))+(5.938)</f>
        <v>7.7299999999999995</v>
      </c>
      <c r="Q3030" s="45" t="s">
        <v>186</v>
      </c>
    </row>
    <row r="3031" spans="1:17" ht="48" x14ac:dyDescent="0.25">
      <c r="A3031" s="21">
        <v>39995</v>
      </c>
      <c r="B3031" s="21">
        <v>39995</v>
      </c>
      <c r="C3031" s="45">
        <v>2009</v>
      </c>
      <c r="D3031" s="351" t="s">
        <v>23</v>
      </c>
      <c r="E3031" s="30" t="s">
        <v>86</v>
      </c>
      <c r="F3031" s="7" t="s">
        <v>60</v>
      </c>
      <c r="G3031" s="25" t="s">
        <v>4552</v>
      </c>
      <c r="H3031" s="25" t="s">
        <v>4553</v>
      </c>
      <c r="I3031" s="46">
        <v>0</v>
      </c>
      <c r="J3031" s="46">
        <v>30</v>
      </c>
      <c r="K3031" s="46">
        <v>6</v>
      </c>
      <c r="L3031" s="46">
        <v>0</v>
      </c>
      <c r="M3031" s="46">
        <v>0</v>
      </c>
      <c r="N3031" s="46">
        <v>0</v>
      </c>
      <c r="O3031" s="124">
        <v>0</v>
      </c>
      <c r="P3031" s="102">
        <f>(K3031*5120)/1000000</f>
        <v>3.0720000000000001E-2</v>
      </c>
      <c r="Q3031" s="45" t="s">
        <v>154</v>
      </c>
    </row>
    <row r="3032" spans="1:17" ht="96.75" x14ac:dyDescent="0.25">
      <c r="A3032" s="21">
        <v>39996</v>
      </c>
      <c r="B3032" s="21">
        <v>39996</v>
      </c>
      <c r="C3032" s="45">
        <v>2009</v>
      </c>
      <c r="D3032" s="351" t="s">
        <v>23</v>
      </c>
      <c r="E3032" s="30" t="s">
        <v>86</v>
      </c>
      <c r="F3032" s="7" t="s">
        <v>53</v>
      </c>
      <c r="G3032" s="25" t="s">
        <v>4554</v>
      </c>
      <c r="H3032" s="55" t="s">
        <v>4555</v>
      </c>
      <c r="I3032" s="46">
        <v>0</v>
      </c>
      <c r="J3032" s="46">
        <v>14</v>
      </c>
      <c r="K3032" s="46">
        <v>0</v>
      </c>
      <c r="L3032" s="46">
        <v>0</v>
      </c>
      <c r="M3032" s="46">
        <v>0</v>
      </c>
      <c r="N3032" s="46">
        <v>0</v>
      </c>
      <c r="O3032" s="124">
        <v>0</v>
      </c>
      <c r="P3032" s="102">
        <v>0</v>
      </c>
      <c r="Q3032" s="45" t="s">
        <v>154</v>
      </c>
    </row>
    <row r="3033" spans="1:17" ht="108" x14ac:dyDescent="0.25">
      <c r="A3033" s="21">
        <v>39997</v>
      </c>
      <c r="B3033" s="21">
        <v>39997</v>
      </c>
      <c r="C3033" s="45">
        <v>2009</v>
      </c>
      <c r="D3033" s="351" t="s">
        <v>23</v>
      </c>
      <c r="E3033" s="30" t="s">
        <v>86</v>
      </c>
      <c r="F3033" s="7" t="s">
        <v>60</v>
      </c>
      <c r="G3033" s="25" t="s">
        <v>4556</v>
      </c>
      <c r="H3033" s="25" t="s">
        <v>4557</v>
      </c>
      <c r="I3033" s="46">
        <v>0</v>
      </c>
      <c r="J3033" s="46">
        <v>0</v>
      </c>
      <c r="K3033" s="46">
        <v>0</v>
      </c>
      <c r="L3033" s="46">
        <v>0</v>
      </c>
      <c r="M3033" s="46">
        <v>0</v>
      </c>
      <c r="N3033" s="46">
        <v>0</v>
      </c>
      <c r="O3033" s="124">
        <v>0</v>
      </c>
      <c r="P3033" s="102" t="s">
        <v>4558</v>
      </c>
      <c r="Q3033" s="45" t="s">
        <v>154</v>
      </c>
    </row>
    <row r="3034" spans="1:17" ht="108" x14ac:dyDescent="0.25">
      <c r="A3034" s="21">
        <v>39999</v>
      </c>
      <c r="B3034" s="21">
        <v>39999</v>
      </c>
      <c r="C3034" s="45">
        <v>2009</v>
      </c>
      <c r="D3034" s="351" t="s">
        <v>23</v>
      </c>
      <c r="E3034" s="30" t="s">
        <v>86</v>
      </c>
      <c r="F3034" s="7" t="s">
        <v>60</v>
      </c>
      <c r="G3034" s="25" t="s">
        <v>307</v>
      </c>
      <c r="H3034" s="25" t="s">
        <v>4559</v>
      </c>
      <c r="I3034" s="46">
        <v>0</v>
      </c>
      <c r="J3034" s="46">
        <v>0</v>
      </c>
      <c r="K3034" s="46">
        <v>200</v>
      </c>
      <c r="L3034" s="46">
        <v>0</v>
      </c>
      <c r="M3034" s="46">
        <v>0</v>
      </c>
      <c r="N3034" s="46">
        <v>0</v>
      </c>
      <c r="O3034" s="124">
        <v>0</v>
      </c>
      <c r="P3034" s="102">
        <f>(K3034*8738)/1000000</f>
        <v>1.7476</v>
      </c>
      <c r="Q3034" s="45" t="s">
        <v>154</v>
      </c>
    </row>
    <row r="3035" spans="1:17" ht="144" x14ac:dyDescent="0.25">
      <c r="A3035" s="21">
        <v>40003</v>
      </c>
      <c r="B3035" s="21">
        <v>40003</v>
      </c>
      <c r="C3035" s="45">
        <v>2009</v>
      </c>
      <c r="D3035" s="351" t="s">
        <v>23</v>
      </c>
      <c r="E3035" s="30" t="s">
        <v>86</v>
      </c>
      <c r="F3035" s="7" t="s">
        <v>72</v>
      </c>
      <c r="G3035" s="25" t="s">
        <v>4560</v>
      </c>
      <c r="H3035" s="25" t="s">
        <v>4561</v>
      </c>
      <c r="I3035" s="46">
        <v>0</v>
      </c>
      <c r="J3035" s="46">
        <v>22600</v>
      </c>
      <c r="K3035" s="46">
        <v>675</v>
      </c>
      <c r="L3035" s="46">
        <v>8</v>
      </c>
      <c r="M3035" s="46">
        <v>0</v>
      </c>
      <c r="N3035" s="46">
        <v>0</v>
      </c>
      <c r="O3035" s="124" t="s">
        <v>110</v>
      </c>
      <c r="P3035" s="102">
        <f>((K3035*5120)/1000000)+(14.819)</f>
        <v>18.275000000000002</v>
      </c>
      <c r="Q3035" s="45" t="s">
        <v>186</v>
      </c>
    </row>
    <row r="3036" spans="1:17" ht="24" x14ac:dyDescent="0.25">
      <c r="A3036" s="21">
        <v>40004</v>
      </c>
      <c r="B3036" s="21">
        <v>40004</v>
      </c>
      <c r="C3036" s="45">
        <v>2009</v>
      </c>
      <c r="D3036" s="351" t="s">
        <v>23</v>
      </c>
      <c r="E3036" s="30" t="s">
        <v>86</v>
      </c>
      <c r="F3036" s="7" t="s">
        <v>72</v>
      </c>
      <c r="G3036" s="25" t="s">
        <v>4562</v>
      </c>
      <c r="H3036" s="25" t="s">
        <v>4563</v>
      </c>
      <c r="I3036" s="46">
        <v>0</v>
      </c>
      <c r="J3036" s="46">
        <v>300</v>
      </c>
      <c r="K3036" s="46">
        <v>60</v>
      </c>
      <c r="L3036" s="46">
        <v>0</v>
      </c>
      <c r="M3036" s="46">
        <v>0</v>
      </c>
      <c r="N3036" s="46">
        <v>0</v>
      </c>
      <c r="O3036" s="124">
        <v>0</v>
      </c>
      <c r="P3036" s="102">
        <f>(K3036*95904)/1000000</f>
        <v>5.7542400000000002</v>
      </c>
      <c r="Q3036" s="45" t="s">
        <v>154</v>
      </c>
    </row>
    <row r="3037" spans="1:17" ht="24" x14ac:dyDescent="0.25">
      <c r="A3037" s="21">
        <v>40005</v>
      </c>
      <c r="B3037" s="21">
        <v>40005</v>
      </c>
      <c r="C3037" s="45">
        <v>2009</v>
      </c>
      <c r="D3037" s="351" t="s">
        <v>23</v>
      </c>
      <c r="E3037" s="30" t="s">
        <v>86</v>
      </c>
      <c r="F3037" s="28" t="s">
        <v>210</v>
      </c>
      <c r="G3037" s="25" t="s">
        <v>4564</v>
      </c>
      <c r="H3037" s="25" t="s">
        <v>4565</v>
      </c>
      <c r="I3037" s="46">
        <v>0</v>
      </c>
      <c r="J3037" s="46">
        <v>60</v>
      </c>
      <c r="K3037" s="46">
        <v>12</v>
      </c>
      <c r="L3037" s="46">
        <v>0</v>
      </c>
      <c r="M3037" s="46">
        <v>0</v>
      </c>
      <c r="N3037" s="46">
        <v>0</v>
      </c>
      <c r="O3037" s="124">
        <v>0</v>
      </c>
      <c r="P3037" s="102">
        <f>(K3037*8738)/1000000</f>
        <v>0.104856</v>
      </c>
      <c r="Q3037" s="45" t="s">
        <v>154</v>
      </c>
    </row>
    <row r="3038" spans="1:17" ht="36" x14ac:dyDescent="0.25">
      <c r="A3038" s="21">
        <v>40012</v>
      </c>
      <c r="B3038" s="21">
        <v>40012</v>
      </c>
      <c r="C3038" s="45">
        <v>2009</v>
      </c>
      <c r="D3038" s="351" t="s">
        <v>23</v>
      </c>
      <c r="E3038" s="30" t="s">
        <v>86</v>
      </c>
      <c r="F3038" s="7" t="s">
        <v>58</v>
      </c>
      <c r="G3038" s="25" t="s">
        <v>4566</v>
      </c>
      <c r="H3038" s="25" t="s">
        <v>4567</v>
      </c>
      <c r="I3038" s="46">
        <v>0</v>
      </c>
      <c r="J3038" s="46">
        <v>480</v>
      </c>
      <c r="K3038" s="46">
        <v>96</v>
      </c>
      <c r="L3038" s="46">
        <v>0</v>
      </c>
      <c r="M3038" s="46">
        <v>0</v>
      </c>
      <c r="N3038" s="46">
        <v>0</v>
      </c>
      <c r="O3038" s="124">
        <v>0</v>
      </c>
      <c r="P3038" s="102">
        <f>(K3038*8738)/1000000</f>
        <v>0.83884800000000004</v>
      </c>
      <c r="Q3038" s="45" t="s">
        <v>154</v>
      </c>
    </row>
    <row r="3039" spans="1:17" ht="48" x14ac:dyDescent="0.25">
      <c r="A3039" s="21">
        <v>40012</v>
      </c>
      <c r="B3039" s="21">
        <v>40012</v>
      </c>
      <c r="C3039" s="45">
        <v>2009</v>
      </c>
      <c r="D3039" s="351" t="s">
        <v>23</v>
      </c>
      <c r="E3039" s="30" t="s">
        <v>86</v>
      </c>
      <c r="F3039" s="7" t="s">
        <v>87</v>
      </c>
      <c r="G3039" s="25" t="s">
        <v>4568</v>
      </c>
      <c r="H3039" s="25" t="s">
        <v>4569</v>
      </c>
      <c r="I3039" s="46">
        <v>0</v>
      </c>
      <c r="J3039" s="46">
        <v>40</v>
      </c>
      <c r="K3039" s="46">
        <v>8</v>
      </c>
      <c r="L3039" s="46">
        <v>0</v>
      </c>
      <c r="M3039" s="46">
        <v>0</v>
      </c>
      <c r="N3039" s="46">
        <v>0</v>
      </c>
      <c r="O3039" s="124">
        <v>0</v>
      </c>
      <c r="P3039" s="102">
        <f>(K3039*8738)/1000000</f>
        <v>6.9903999999999994E-2</v>
      </c>
      <c r="Q3039" s="45" t="s">
        <v>154</v>
      </c>
    </row>
    <row r="3040" spans="1:17" ht="36" x14ac:dyDescent="0.25">
      <c r="A3040" s="21">
        <v>40014</v>
      </c>
      <c r="B3040" s="21">
        <v>40014</v>
      </c>
      <c r="C3040" s="45">
        <v>2009</v>
      </c>
      <c r="D3040" s="351" t="s">
        <v>23</v>
      </c>
      <c r="E3040" s="30" t="s">
        <v>52</v>
      </c>
      <c r="F3040" s="7" t="s">
        <v>53</v>
      </c>
      <c r="G3040" s="25" t="s">
        <v>1502</v>
      </c>
      <c r="H3040" s="25" t="s">
        <v>4570</v>
      </c>
      <c r="I3040" s="46">
        <v>0</v>
      </c>
      <c r="J3040" s="46">
        <v>0</v>
      </c>
      <c r="K3040" s="46">
        <v>0</v>
      </c>
      <c r="L3040" s="46">
        <v>0</v>
      </c>
      <c r="M3040" s="46">
        <v>0</v>
      </c>
      <c r="N3040" s="46">
        <v>0</v>
      </c>
      <c r="O3040" s="124">
        <v>6</v>
      </c>
      <c r="P3040" s="102">
        <f>((O3040*2.2)*1850)/1000000</f>
        <v>2.4420000000000004E-2</v>
      </c>
      <c r="Q3040" s="45" t="s">
        <v>154</v>
      </c>
    </row>
    <row r="3041" spans="1:17" ht="48" x14ac:dyDescent="0.25">
      <c r="A3041" s="21">
        <v>40014</v>
      </c>
      <c r="B3041" s="21">
        <v>40014</v>
      </c>
      <c r="C3041" s="45">
        <v>2009</v>
      </c>
      <c r="D3041" s="351" t="s">
        <v>23</v>
      </c>
      <c r="E3041" s="30" t="s">
        <v>86</v>
      </c>
      <c r="F3041" s="7" t="s">
        <v>87</v>
      </c>
      <c r="G3041" s="25" t="s">
        <v>567</v>
      </c>
      <c r="H3041" s="25" t="s">
        <v>4571</v>
      </c>
      <c r="I3041" s="46">
        <v>0</v>
      </c>
      <c r="J3041" s="46">
        <v>15</v>
      </c>
      <c r="K3041" s="46">
        <v>3</v>
      </c>
      <c r="L3041" s="46">
        <v>0</v>
      </c>
      <c r="M3041" s="46">
        <v>0</v>
      </c>
      <c r="N3041" s="46">
        <v>0</v>
      </c>
      <c r="O3041" s="124">
        <v>0</v>
      </c>
      <c r="P3041" s="102">
        <f>(K3041*8738)/1000000</f>
        <v>2.6214000000000001E-2</v>
      </c>
      <c r="Q3041" s="45" t="s">
        <v>154</v>
      </c>
    </row>
    <row r="3042" spans="1:17" ht="24" x14ac:dyDescent="0.25">
      <c r="A3042" s="21">
        <v>40015</v>
      </c>
      <c r="B3042" s="21">
        <v>40015</v>
      </c>
      <c r="C3042" s="45">
        <v>2009</v>
      </c>
      <c r="D3042" s="351" t="s">
        <v>23</v>
      </c>
      <c r="E3042" s="30" t="s">
        <v>86</v>
      </c>
      <c r="F3042" s="7" t="s">
        <v>60</v>
      </c>
      <c r="G3042" s="25" t="s">
        <v>1424</v>
      </c>
      <c r="H3042" s="25" t="s">
        <v>4572</v>
      </c>
      <c r="I3042" s="46">
        <v>0</v>
      </c>
      <c r="J3042" s="46">
        <v>200</v>
      </c>
      <c r="K3042" s="46">
        <v>40</v>
      </c>
      <c r="L3042" s="46">
        <v>0</v>
      </c>
      <c r="M3042" s="46">
        <v>0</v>
      </c>
      <c r="N3042" s="46">
        <v>0</v>
      </c>
      <c r="O3042" s="124">
        <v>0</v>
      </c>
      <c r="P3042" s="102">
        <f>(K3042*5120)/1000000</f>
        <v>0.20480000000000001</v>
      </c>
      <c r="Q3042" s="45" t="s">
        <v>154</v>
      </c>
    </row>
    <row r="3043" spans="1:17" ht="48" x14ac:dyDescent="0.25">
      <c r="A3043" s="21">
        <v>40023</v>
      </c>
      <c r="B3043" s="21">
        <v>40023</v>
      </c>
      <c r="C3043" s="45">
        <v>2009</v>
      </c>
      <c r="D3043" s="351" t="s">
        <v>23</v>
      </c>
      <c r="E3043" s="30" t="s">
        <v>86</v>
      </c>
      <c r="F3043" s="7" t="s">
        <v>72</v>
      </c>
      <c r="G3043" s="25" t="s">
        <v>4573</v>
      </c>
      <c r="H3043" s="25" t="s">
        <v>4574</v>
      </c>
      <c r="I3043" s="46">
        <v>0</v>
      </c>
      <c r="J3043" s="46">
        <v>1375</v>
      </c>
      <c r="K3043" s="46">
        <v>275</v>
      </c>
      <c r="L3043" s="46">
        <v>0</v>
      </c>
      <c r="M3043" s="46">
        <v>0</v>
      </c>
      <c r="N3043" s="46">
        <v>0</v>
      </c>
      <c r="O3043" s="124">
        <v>0</v>
      </c>
      <c r="P3043" s="102">
        <f>(K3043*5120)/1000000</f>
        <v>1.4079999999999999</v>
      </c>
      <c r="Q3043" s="45" t="s">
        <v>154</v>
      </c>
    </row>
    <row r="3044" spans="1:17" ht="48" x14ac:dyDescent="0.25">
      <c r="A3044" s="21">
        <v>40025</v>
      </c>
      <c r="B3044" s="21">
        <v>40025</v>
      </c>
      <c r="C3044" s="45">
        <v>2009</v>
      </c>
      <c r="D3044" s="351" t="s">
        <v>23</v>
      </c>
      <c r="E3044" s="30" t="s">
        <v>86</v>
      </c>
      <c r="F3044" s="7" t="s">
        <v>60</v>
      </c>
      <c r="G3044" s="25" t="s">
        <v>4575</v>
      </c>
      <c r="H3044" s="25" t="s">
        <v>4576</v>
      </c>
      <c r="I3044" s="46">
        <v>0</v>
      </c>
      <c r="J3044" s="46">
        <v>156</v>
      </c>
      <c r="K3044" s="46">
        <v>31</v>
      </c>
      <c r="L3044" s="46">
        <v>0</v>
      </c>
      <c r="M3044" s="46">
        <v>0</v>
      </c>
      <c r="N3044" s="46">
        <v>0</v>
      </c>
      <c r="O3044" s="124">
        <v>0</v>
      </c>
      <c r="P3044" s="102">
        <f>(K3044*8738)/1000000</f>
        <v>0.27087800000000001</v>
      </c>
      <c r="Q3044" s="45" t="s">
        <v>154</v>
      </c>
    </row>
    <row r="3045" spans="1:17" ht="60" x14ac:dyDescent="0.25">
      <c r="A3045" s="21">
        <v>40030</v>
      </c>
      <c r="B3045" s="21">
        <v>40030</v>
      </c>
      <c r="C3045" s="45">
        <v>2009</v>
      </c>
      <c r="D3045" s="351" t="s">
        <v>23</v>
      </c>
      <c r="E3045" s="30" t="s">
        <v>86</v>
      </c>
      <c r="F3045" s="7" t="s">
        <v>53</v>
      </c>
      <c r="G3045" s="25" t="s">
        <v>460</v>
      </c>
      <c r="H3045" s="25" t="s">
        <v>4577</v>
      </c>
      <c r="I3045" s="46">
        <v>0</v>
      </c>
      <c r="J3045" s="46">
        <v>500</v>
      </c>
      <c r="K3045" s="46">
        <v>100</v>
      </c>
      <c r="L3045" s="46">
        <v>0</v>
      </c>
      <c r="M3045" s="46">
        <v>0</v>
      </c>
      <c r="N3045" s="46">
        <v>0</v>
      </c>
      <c r="O3045" s="124">
        <v>0</v>
      </c>
      <c r="P3045" s="102">
        <f>((K3045*5120)+(K3045*7500))/1000000</f>
        <v>1.262</v>
      </c>
      <c r="Q3045" s="45" t="s">
        <v>154</v>
      </c>
    </row>
    <row r="3046" spans="1:17" ht="36" x14ac:dyDescent="0.25">
      <c r="A3046" s="21">
        <v>40030</v>
      </c>
      <c r="B3046" s="21">
        <v>40030</v>
      </c>
      <c r="C3046" s="45">
        <v>2009</v>
      </c>
      <c r="D3046" s="351" t="s">
        <v>23</v>
      </c>
      <c r="E3046" s="30" t="s">
        <v>86</v>
      </c>
      <c r="F3046" s="28" t="s">
        <v>210</v>
      </c>
      <c r="G3046" s="25" t="s">
        <v>4578</v>
      </c>
      <c r="H3046" s="25" t="s">
        <v>4579</v>
      </c>
      <c r="I3046" s="46">
        <v>0</v>
      </c>
      <c r="J3046" s="46">
        <v>250</v>
      </c>
      <c r="K3046" s="46">
        <v>50</v>
      </c>
      <c r="L3046" s="46">
        <v>0</v>
      </c>
      <c r="M3046" s="46">
        <v>0</v>
      </c>
      <c r="N3046" s="46">
        <v>0</v>
      </c>
      <c r="O3046" s="124">
        <v>0</v>
      </c>
      <c r="P3046" s="102">
        <f>(K3046*5120)/1000000</f>
        <v>0.25600000000000001</v>
      </c>
      <c r="Q3046" s="45" t="s">
        <v>154</v>
      </c>
    </row>
    <row r="3047" spans="1:17" ht="60" x14ac:dyDescent="0.25">
      <c r="A3047" s="21">
        <v>40033</v>
      </c>
      <c r="B3047" s="21">
        <v>40033</v>
      </c>
      <c r="C3047" s="45">
        <v>2009</v>
      </c>
      <c r="D3047" s="351" t="s">
        <v>23</v>
      </c>
      <c r="E3047" s="30" t="s">
        <v>86</v>
      </c>
      <c r="F3047" s="7" t="s">
        <v>60</v>
      </c>
      <c r="G3047" s="25" t="s">
        <v>4580</v>
      </c>
      <c r="H3047" s="25" t="s">
        <v>4581</v>
      </c>
      <c r="I3047" s="46">
        <v>1</v>
      </c>
      <c r="J3047" s="46">
        <v>366</v>
      </c>
      <c r="K3047" s="46">
        <v>75</v>
      </c>
      <c r="L3047" s="46">
        <v>0</v>
      </c>
      <c r="M3047" s="46">
        <v>0</v>
      </c>
      <c r="N3047" s="46">
        <v>0</v>
      </c>
      <c r="O3047" s="124">
        <v>0</v>
      </c>
      <c r="P3047" s="102">
        <f>((K3047*5120)+(K3047*7500))/1000000</f>
        <v>0.94650000000000001</v>
      </c>
      <c r="Q3047" s="45" t="s">
        <v>154</v>
      </c>
    </row>
    <row r="3048" spans="1:17" ht="36" x14ac:dyDescent="0.25">
      <c r="A3048" s="21">
        <v>40033</v>
      </c>
      <c r="B3048" s="21">
        <v>40033</v>
      </c>
      <c r="C3048" s="45">
        <v>2009</v>
      </c>
      <c r="D3048" s="351" t="s">
        <v>23</v>
      </c>
      <c r="E3048" s="30" t="s">
        <v>86</v>
      </c>
      <c r="F3048" s="7" t="s">
        <v>62</v>
      </c>
      <c r="G3048" s="25" t="s">
        <v>4582</v>
      </c>
      <c r="H3048" s="25" t="s">
        <v>4583</v>
      </c>
      <c r="I3048" s="46">
        <v>0</v>
      </c>
      <c r="J3048" s="46">
        <v>175</v>
      </c>
      <c r="K3048" s="46">
        <v>35</v>
      </c>
      <c r="L3048" s="46">
        <v>0</v>
      </c>
      <c r="M3048" s="46">
        <v>0</v>
      </c>
      <c r="N3048" s="46">
        <v>0</v>
      </c>
      <c r="O3048" s="124">
        <v>0</v>
      </c>
      <c r="P3048" s="102">
        <f>(K3048*5120)/1000000</f>
        <v>0.1792</v>
      </c>
      <c r="Q3048" s="45" t="s">
        <v>154</v>
      </c>
    </row>
    <row r="3049" spans="1:17" ht="36" x14ac:dyDescent="0.25">
      <c r="A3049" s="21">
        <v>40042</v>
      </c>
      <c r="B3049" s="21">
        <v>40042</v>
      </c>
      <c r="C3049" s="45">
        <v>2009</v>
      </c>
      <c r="D3049" s="351" t="s">
        <v>23</v>
      </c>
      <c r="E3049" s="30" t="s">
        <v>86</v>
      </c>
      <c r="F3049" s="7" t="s">
        <v>75</v>
      </c>
      <c r="G3049" s="25" t="s">
        <v>3006</v>
      </c>
      <c r="H3049" s="25" t="s">
        <v>4584</v>
      </c>
      <c r="I3049" s="46">
        <v>0</v>
      </c>
      <c r="J3049" s="46">
        <v>120</v>
      </c>
      <c r="K3049" s="46">
        <v>24</v>
      </c>
      <c r="L3049" s="46">
        <v>0</v>
      </c>
      <c r="M3049" s="46">
        <v>0</v>
      </c>
      <c r="N3049" s="46">
        <v>0</v>
      </c>
      <c r="O3049" s="124">
        <v>0</v>
      </c>
      <c r="P3049" s="102">
        <f>(K3049*8738)/1000000</f>
        <v>0.20971200000000001</v>
      </c>
      <c r="Q3049" s="45" t="s">
        <v>154</v>
      </c>
    </row>
    <row r="3050" spans="1:17" ht="48" x14ac:dyDescent="0.25">
      <c r="A3050" s="21">
        <v>40046</v>
      </c>
      <c r="B3050" s="21">
        <v>40046</v>
      </c>
      <c r="C3050" s="45">
        <v>2009</v>
      </c>
      <c r="D3050" s="351" t="s">
        <v>23</v>
      </c>
      <c r="E3050" s="30" t="s">
        <v>86</v>
      </c>
      <c r="F3050" s="7" t="s">
        <v>25</v>
      </c>
      <c r="G3050" s="25" t="s">
        <v>25</v>
      </c>
      <c r="H3050" s="25" t="s">
        <v>4585</v>
      </c>
      <c r="I3050" s="46">
        <v>1</v>
      </c>
      <c r="J3050" s="46">
        <v>133</v>
      </c>
      <c r="K3050" s="46">
        <v>25</v>
      </c>
      <c r="L3050" s="46">
        <v>0</v>
      </c>
      <c r="M3050" s="46">
        <v>0</v>
      </c>
      <c r="N3050" s="46">
        <v>0</v>
      </c>
      <c r="O3050" s="124">
        <v>0</v>
      </c>
      <c r="P3050" s="102">
        <f>(K3050*5120)/1000000</f>
        <v>0.128</v>
      </c>
      <c r="Q3050" s="45" t="s">
        <v>154</v>
      </c>
    </row>
    <row r="3051" spans="1:17" ht="36" x14ac:dyDescent="0.25">
      <c r="A3051" s="21">
        <v>40048</v>
      </c>
      <c r="B3051" s="21">
        <v>40048</v>
      </c>
      <c r="C3051" s="45">
        <v>2009</v>
      </c>
      <c r="D3051" s="351" t="s">
        <v>23</v>
      </c>
      <c r="E3051" s="30" t="s">
        <v>86</v>
      </c>
      <c r="F3051" s="7" t="s">
        <v>84</v>
      </c>
      <c r="G3051" s="25" t="s">
        <v>2143</v>
      </c>
      <c r="H3051" s="25" t="s">
        <v>4586</v>
      </c>
      <c r="I3051" s="46">
        <v>1</v>
      </c>
      <c r="J3051" s="46">
        <v>1</v>
      </c>
      <c r="K3051" s="46">
        <v>0</v>
      </c>
      <c r="L3051" s="46">
        <v>0</v>
      </c>
      <c r="M3051" s="46">
        <v>0</v>
      </c>
      <c r="N3051" s="46">
        <v>0</v>
      </c>
      <c r="O3051" s="124">
        <v>0</v>
      </c>
      <c r="P3051" s="102">
        <v>0</v>
      </c>
      <c r="Q3051" s="45" t="s">
        <v>154</v>
      </c>
    </row>
    <row r="3052" spans="1:17" ht="24" x14ac:dyDescent="0.25">
      <c r="A3052" s="21">
        <v>40048</v>
      </c>
      <c r="B3052" s="21">
        <v>40048</v>
      </c>
      <c r="C3052" s="45">
        <v>2009</v>
      </c>
      <c r="D3052" s="351" t="s">
        <v>23</v>
      </c>
      <c r="E3052" s="30" t="s">
        <v>86</v>
      </c>
      <c r="F3052" s="7" t="s">
        <v>67</v>
      </c>
      <c r="G3052" s="25" t="s">
        <v>2973</v>
      </c>
      <c r="H3052" s="25" t="s">
        <v>4587</v>
      </c>
      <c r="I3052" s="46">
        <v>0</v>
      </c>
      <c r="J3052" s="46">
        <v>255</v>
      </c>
      <c r="K3052" s="46">
        <v>51</v>
      </c>
      <c r="L3052" s="46">
        <v>0</v>
      </c>
      <c r="M3052" s="46">
        <v>0</v>
      </c>
      <c r="N3052" s="46">
        <v>0</v>
      </c>
      <c r="O3052" s="124">
        <v>0</v>
      </c>
      <c r="P3052" s="102">
        <f>(K3052*5120)/1000000</f>
        <v>0.26112000000000002</v>
      </c>
      <c r="Q3052" s="45" t="s">
        <v>154</v>
      </c>
    </row>
    <row r="3053" spans="1:17" ht="36" x14ac:dyDescent="0.25">
      <c r="A3053" s="21">
        <v>40051</v>
      </c>
      <c r="B3053" s="21">
        <v>40051</v>
      </c>
      <c r="C3053" s="45">
        <v>2009</v>
      </c>
      <c r="D3053" s="351" t="s">
        <v>23</v>
      </c>
      <c r="E3053" s="30" t="s">
        <v>86</v>
      </c>
      <c r="F3053" s="28" t="s">
        <v>157</v>
      </c>
      <c r="G3053" s="25" t="s">
        <v>4588</v>
      </c>
      <c r="H3053" s="25" t="s">
        <v>4589</v>
      </c>
      <c r="I3053" s="46">
        <v>0</v>
      </c>
      <c r="J3053" s="46">
        <v>50</v>
      </c>
      <c r="K3053" s="46">
        <v>10</v>
      </c>
      <c r="L3053" s="46">
        <v>0</v>
      </c>
      <c r="M3053" s="46">
        <v>0</v>
      </c>
      <c r="N3053" s="46">
        <v>0</v>
      </c>
      <c r="O3053" s="124">
        <v>0</v>
      </c>
      <c r="P3053" s="102">
        <f>(K3053*5120)/1000000</f>
        <v>5.1200000000000002E-2</v>
      </c>
      <c r="Q3053" s="45" t="s">
        <v>154</v>
      </c>
    </row>
    <row r="3054" spans="1:17" ht="24" x14ac:dyDescent="0.25">
      <c r="A3054" s="21">
        <v>40055</v>
      </c>
      <c r="B3054" s="21">
        <v>40055</v>
      </c>
      <c r="C3054" s="45">
        <v>2009</v>
      </c>
      <c r="D3054" s="351" t="s">
        <v>23</v>
      </c>
      <c r="E3054" s="30" t="s">
        <v>86</v>
      </c>
      <c r="F3054" s="28" t="s">
        <v>210</v>
      </c>
      <c r="G3054" s="25" t="s">
        <v>4590</v>
      </c>
      <c r="H3054" s="25" t="s">
        <v>4591</v>
      </c>
      <c r="I3054" s="46">
        <v>0</v>
      </c>
      <c r="J3054" s="46">
        <v>110</v>
      </c>
      <c r="K3054" s="46">
        <v>22</v>
      </c>
      <c r="L3054" s="46">
        <v>0</v>
      </c>
      <c r="M3054" s="46">
        <v>0</v>
      </c>
      <c r="N3054" s="46">
        <v>0</v>
      </c>
      <c r="O3054" s="124">
        <v>0</v>
      </c>
      <c r="P3054" s="102">
        <f>(K3054*5120)/1000000</f>
        <v>0.11264</v>
      </c>
      <c r="Q3054" s="45" t="s">
        <v>154</v>
      </c>
    </row>
    <row r="3055" spans="1:17" ht="24" x14ac:dyDescent="0.25">
      <c r="A3055" s="21">
        <v>40056</v>
      </c>
      <c r="B3055" s="21">
        <v>40056</v>
      </c>
      <c r="C3055" s="45">
        <v>2009</v>
      </c>
      <c r="D3055" s="351" t="s">
        <v>23</v>
      </c>
      <c r="E3055" s="30" t="s">
        <v>86</v>
      </c>
      <c r="F3055" s="28" t="s">
        <v>210</v>
      </c>
      <c r="G3055" s="25" t="s">
        <v>4592</v>
      </c>
      <c r="H3055" s="25" t="s">
        <v>4593</v>
      </c>
      <c r="I3055" s="46">
        <v>0</v>
      </c>
      <c r="J3055" s="46">
        <v>250</v>
      </c>
      <c r="K3055" s="46">
        <v>50</v>
      </c>
      <c r="L3055" s="46">
        <v>0</v>
      </c>
      <c r="M3055" s="46">
        <v>0</v>
      </c>
      <c r="N3055" s="46">
        <v>0</v>
      </c>
      <c r="O3055" s="124">
        <v>0</v>
      </c>
      <c r="P3055" s="102">
        <f>(K3055*5120)/1000000</f>
        <v>0.25600000000000001</v>
      </c>
      <c r="Q3055" s="45" t="s">
        <v>154</v>
      </c>
    </row>
    <row r="3056" spans="1:17" ht="48" x14ac:dyDescent="0.25">
      <c r="A3056" s="21">
        <v>40057</v>
      </c>
      <c r="B3056" s="21">
        <v>40057</v>
      </c>
      <c r="C3056" s="45">
        <v>2009</v>
      </c>
      <c r="D3056" s="351" t="s">
        <v>23</v>
      </c>
      <c r="E3056" s="14" t="s">
        <v>32</v>
      </c>
      <c r="F3056" s="7" t="s">
        <v>33</v>
      </c>
      <c r="G3056" s="25" t="s">
        <v>4594</v>
      </c>
      <c r="H3056" s="25" t="s">
        <v>4595</v>
      </c>
      <c r="I3056" s="46">
        <v>1</v>
      </c>
      <c r="J3056" s="46">
        <v>17505</v>
      </c>
      <c r="K3056" s="46">
        <v>3501</v>
      </c>
      <c r="L3056" s="46">
        <v>153</v>
      </c>
      <c r="M3056" s="46">
        <v>7</v>
      </c>
      <c r="N3056" s="46">
        <v>833</v>
      </c>
      <c r="O3056" s="20">
        <v>0</v>
      </c>
      <c r="P3056" s="102">
        <v>1333</v>
      </c>
      <c r="Q3056" s="45" t="s">
        <v>22</v>
      </c>
    </row>
    <row r="3057" spans="1:17" ht="72" x14ac:dyDescent="0.25">
      <c r="A3057" s="21">
        <v>40059</v>
      </c>
      <c r="B3057" s="21">
        <v>40059</v>
      </c>
      <c r="C3057" s="45">
        <v>2009</v>
      </c>
      <c r="D3057" s="351" t="s">
        <v>23</v>
      </c>
      <c r="E3057" s="14" t="s">
        <v>32</v>
      </c>
      <c r="F3057" s="7" t="s">
        <v>87</v>
      </c>
      <c r="G3057" s="25" t="s">
        <v>4596</v>
      </c>
      <c r="H3057" s="25" t="s">
        <v>4597</v>
      </c>
      <c r="I3057" s="46">
        <v>0</v>
      </c>
      <c r="J3057" s="46">
        <f>(K3057*5)</f>
        <v>17585</v>
      </c>
      <c r="K3057" s="46">
        <v>3517</v>
      </c>
      <c r="L3057" s="46">
        <v>36</v>
      </c>
      <c r="M3057" s="46">
        <v>0</v>
      </c>
      <c r="N3057" s="46">
        <v>86</v>
      </c>
      <c r="O3057" s="124">
        <v>2042</v>
      </c>
      <c r="P3057" s="102">
        <v>979.2</v>
      </c>
      <c r="Q3057" s="45" t="s">
        <v>22</v>
      </c>
    </row>
    <row r="3058" spans="1:17" ht="84" x14ac:dyDescent="0.25">
      <c r="A3058" s="21">
        <v>40062</v>
      </c>
      <c r="B3058" s="21">
        <v>40062</v>
      </c>
      <c r="C3058" s="45">
        <v>2009</v>
      </c>
      <c r="D3058" s="351" t="s">
        <v>23</v>
      </c>
      <c r="E3058" s="30" t="s">
        <v>86</v>
      </c>
      <c r="F3058" s="7" t="s">
        <v>53</v>
      </c>
      <c r="G3058" s="25" t="s">
        <v>4598</v>
      </c>
      <c r="H3058" s="25" t="s">
        <v>4599</v>
      </c>
      <c r="I3058" s="46">
        <v>2</v>
      </c>
      <c r="J3058" s="46">
        <v>11825</v>
      </c>
      <c r="K3058" s="46">
        <v>2365</v>
      </c>
      <c r="L3058" s="46">
        <v>12</v>
      </c>
      <c r="M3058" s="46">
        <v>1</v>
      </c>
      <c r="N3058" s="46">
        <v>238</v>
      </c>
      <c r="O3058" s="124">
        <v>0</v>
      </c>
      <c r="P3058" s="102">
        <v>396.78</v>
      </c>
      <c r="Q3058" s="45" t="s">
        <v>22</v>
      </c>
    </row>
    <row r="3059" spans="1:17" ht="48" x14ac:dyDescent="0.25">
      <c r="A3059" s="21">
        <v>40062</v>
      </c>
      <c r="B3059" s="21">
        <v>40062</v>
      </c>
      <c r="C3059" s="45">
        <v>2009</v>
      </c>
      <c r="D3059" s="351" t="s">
        <v>23</v>
      </c>
      <c r="E3059" s="30" t="s">
        <v>86</v>
      </c>
      <c r="F3059" s="28" t="s">
        <v>157</v>
      </c>
      <c r="G3059" s="25" t="s">
        <v>2698</v>
      </c>
      <c r="H3059" s="25" t="s">
        <v>4600</v>
      </c>
      <c r="I3059" s="46" t="s">
        <v>110</v>
      </c>
      <c r="J3059" s="46" t="s">
        <v>110</v>
      </c>
      <c r="K3059" s="46" t="s">
        <v>110</v>
      </c>
      <c r="L3059" s="46" t="s">
        <v>110</v>
      </c>
      <c r="M3059" s="46" t="s">
        <v>110</v>
      </c>
      <c r="N3059" s="46">
        <v>0</v>
      </c>
      <c r="O3059" s="124" t="s">
        <v>110</v>
      </c>
      <c r="P3059" s="102" t="s">
        <v>110</v>
      </c>
      <c r="Q3059" s="45" t="s">
        <v>154</v>
      </c>
    </row>
    <row r="3060" spans="1:17" ht="24" x14ac:dyDescent="0.25">
      <c r="A3060" s="21">
        <v>40062</v>
      </c>
      <c r="B3060" s="21">
        <v>40062</v>
      </c>
      <c r="C3060" s="45">
        <v>2009</v>
      </c>
      <c r="D3060" s="351" t="s">
        <v>23</v>
      </c>
      <c r="E3060" s="30" t="s">
        <v>86</v>
      </c>
      <c r="F3060" s="28" t="s">
        <v>210</v>
      </c>
      <c r="G3060" s="25" t="s">
        <v>4601</v>
      </c>
      <c r="H3060" s="25" t="s">
        <v>4602</v>
      </c>
      <c r="I3060" s="46">
        <v>0</v>
      </c>
      <c r="J3060" s="46">
        <v>855</v>
      </c>
      <c r="K3060" s="46">
        <v>171</v>
      </c>
      <c r="L3060" s="46">
        <v>0</v>
      </c>
      <c r="M3060" s="46">
        <v>0</v>
      </c>
      <c r="N3060" s="46">
        <v>0</v>
      </c>
      <c r="O3060" s="124">
        <v>0</v>
      </c>
      <c r="P3060" s="102">
        <f>(K3060*5120)/1000000</f>
        <v>0.87551999999999996</v>
      </c>
      <c r="Q3060" s="45" t="s">
        <v>154</v>
      </c>
    </row>
    <row r="3061" spans="1:17" ht="132" x14ac:dyDescent="0.25">
      <c r="A3061" s="21">
        <v>40064</v>
      </c>
      <c r="B3061" s="21">
        <v>40064</v>
      </c>
      <c r="C3061" s="45">
        <v>2009</v>
      </c>
      <c r="D3061" s="351" t="s">
        <v>23</v>
      </c>
      <c r="E3061" s="30" t="s">
        <v>86</v>
      </c>
      <c r="F3061" s="28" t="s">
        <v>210</v>
      </c>
      <c r="G3061" s="25" t="s">
        <v>4603</v>
      </c>
      <c r="H3061" s="25" t="s">
        <v>4604</v>
      </c>
      <c r="I3061" s="46">
        <v>2</v>
      </c>
      <c r="J3061" s="46">
        <f>(K3061*5)</f>
        <v>17385</v>
      </c>
      <c r="K3061" s="46">
        <v>3477</v>
      </c>
      <c r="L3061" s="46">
        <v>0</v>
      </c>
      <c r="M3061" s="46">
        <v>0</v>
      </c>
      <c r="N3061" s="46">
        <v>0</v>
      </c>
      <c r="O3061" s="124">
        <v>0</v>
      </c>
      <c r="P3061" s="102">
        <f>592.083+7.583+6.169</f>
        <v>605.83499999999992</v>
      </c>
      <c r="Q3061" s="45" t="s">
        <v>186</v>
      </c>
    </row>
    <row r="3062" spans="1:17" ht="48" x14ac:dyDescent="0.25">
      <c r="A3062" s="21">
        <v>40065</v>
      </c>
      <c r="B3062" s="21">
        <v>40065</v>
      </c>
      <c r="C3062" s="45">
        <v>2009</v>
      </c>
      <c r="D3062" s="351" t="s">
        <v>23</v>
      </c>
      <c r="E3062" s="30" t="s">
        <v>86</v>
      </c>
      <c r="F3062" s="28" t="s">
        <v>210</v>
      </c>
      <c r="G3062" s="25" t="s">
        <v>4605</v>
      </c>
      <c r="H3062" s="25" t="s">
        <v>4606</v>
      </c>
      <c r="I3062" s="46">
        <v>0</v>
      </c>
      <c r="J3062" s="46">
        <v>0</v>
      </c>
      <c r="K3062" s="46">
        <v>0</v>
      </c>
      <c r="L3062" s="46">
        <v>0</v>
      </c>
      <c r="M3062" s="46">
        <v>0</v>
      </c>
      <c r="N3062" s="46">
        <v>0</v>
      </c>
      <c r="O3062" s="124">
        <v>0</v>
      </c>
      <c r="P3062" s="102">
        <v>22.73</v>
      </c>
      <c r="Q3062" s="45" t="s">
        <v>186</v>
      </c>
    </row>
    <row r="3063" spans="1:17" ht="36" x14ac:dyDescent="0.25">
      <c r="A3063" s="21">
        <v>40068</v>
      </c>
      <c r="B3063" s="21">
        <v>40068</v>
      </c>
      <c r="C3063" s="45">
        <v>2009</v>
      </c>
      <c r="D3063" s="351" t="s">
        <v>23</v>
      </c>
      <c r="E3063" s="30" t="s">
        <v>86</v>
      </c>
      <c r="F3063" s="7" t="s">
        <v>65</v>
      </c>
      <c r="G3063" s="25" t="s">
        <v>4607</v>
      </c>
      <c r="H3063" s="25" t="s">
        <v>4608</v>
      </c>
      <c r="I3063" s="46">
        <v>0</v>
      </c>
      <c r="J3063" s="46">
        <v>200</v>
      </c>
      <c r="K3063" s="46">
        <v>40</v>
      </c>
      <c r="L3063" s="46">
        <v>0</v>
      </c>
      <c r="M3063" s="46">
        <v>0</v>
      </c>
      <c r="N3063" s="46">
        <v>0</v>
      </c>
      <c r="O3063" s="124">
        <v>0</v>
      </c>
      <c r="P3063" s="102">
        <f>(K3063*5120)/1000000</f>
        <v>0.20480000000000001</v>
      </c>
      <c r="Q3063" s="45" t="s">
        <v>154</v>
      </c>
    </row>
    <row r="3064" spans="1:17" ht="24" x14ac:dyDescent="0.25">
      <c r="A3064" s="21">
        <v>40068</v>
      </c>
      <c r="B3064" s="21">
        <v>40068</v>
      </c>
      <c r="C3064" s="45">
        <v>2009</v>
      </c>
      <c r="D3064" s="351" t="s">
        <v>23</v>
      </c>
      <c r="E3064" s="30" t="s">
        <v>86</v>
      </c>
      <c r="F3064" s="7" t="s">
        <v>56</v>
      </c>
      <c r="G3064" s="25" t="s">
        <v>1348</v>
      </c>
      <c r="H3064" s="25" t="s">
        <v>4609</v>
      </c>
      <c r="I3064" s="46">
        <v>0</v>
      </c>
      <c r="J3064" s="46">
        <v>290</v>
      </c>
      <c r="K3064" s="46">
        <v>58</v>
      </c>
      <c r="L3064" s="46">
        <v>0</v>
      </c>
      <c r="M3064" s="46">
        <v>0</v>
      </c>
      <c r="N3064" s="46">
        <v>0</v>
      </c>
      <c r="O3064" s="124">
        <v>0</v>
      </c>
      <c r="P3064" s="102">
        <f>(K3064*5120)/1000000</f>
        <v>0.29696</v>
      </c>
      <c r="Q3064" s="45" t="s">
        <v>154</v>
      </c>
    </row>
    <row r="3065" spans="1:17" ht="24" x14ac:dyDescent="0.25">
      <c r="A3065" s="21">
        <v>40068</v>
      </c>
      <c r="B3065" s="21">
        <v>40068</v>
      </c>
      <c r="C3065" s="45">
        <v>2009</v>
      </c>
      <c r="D3065" s="351" t="s">
        <v>23</v>
      </c>
      <c r="E3065" s="30" t="s">
        <v>86</v>
      </c>
      <c r="F3065" s="7" t="s">
        <v>97</v>
      </c>
      <c r="G3065" s="25" t="s">
        <v>97</v>
      </c>
      <c r="H3065" s="25" t="s">
        <v>4610</v>
      </c>
      <c r="I3065" s="46">
        <v>0</v>
      </c>
      <c r="J3065" s="46">
        <v>150</v>
      </c>
      <c r="K3065" s="46">
        <v>30</v>
      </c>
      <c r="L3065" s="46">
        <v>0</v>
      </c>
      <c r="M3065" s="46">
        <v>0</v>
      </c>
      <c r="N3065" s="46">
        <v>0</v>
      </c>
      <c r="O3065" s="124">
        <v>0</v>
      </c>
      <c r="P3065" s="102">
        <f>(K3065*5120)/1000000</f>
        <v>0.15359999999999999</v>
      </c>
      <c r="Q3065" s="45" t="s">
        <v>154</v>
      </c>
    </row>
    <row r="3066" spans="1:17" ht="36" x14ac:dyDescent="0.25">
      <c r="A3066" s="21">
        <v>40069</v>
      </c>
      <c r="B3066" s="21">
        <v>40069</v>
      </c>
      <c r="C3066" s="45">
        <v>2009</v>
      </c>
      <c r="D3066" s="351" t="s">
        <v>23</v>
      </c>
      <c r="E3066" s="30" t="s">
        <v>86</v>
      </c>
      <c r="F3066" s="7" t="s">
        <v>56</v>
      </c>
      <c r="G3066" s="25" t="s">
        <v>4611</v>
      </c>
      <c r="H3066" s="25" t="s">
        <v>4612</v>
      </c>
      <c r="I3066" s="46">
        <v>0</v>
      </c>
      <c r="J3066" s="46">
        <v>135</v>
      </c>
      <c r="K3066" s="46">
        <v>27</v>
      </c>
      <c r="L3066" s="46">
        <v>1</v>
      </c>
      <c r="M3066" s="46">
        <v>0</v>
      </c>
      <c r="N3066" s="46">
        <v>0</v>
      </c>
      <c r="O3066" s="124">
        <v>0</v>
      </c>
      <c r="P3066" s="102">
        <f>(K3066*5120)/1000000</f>
        <v>0.13824</v>
      </c>
      <c r="Q3066" s="45" t="s">
        <v>154</v>
      </c>
    </row>
    <row r="3067" spans="1:17" ht="36" x14ac:dyDescent="0.25">
      <c r="A3067" s="21">
        <v>40069</v>
      </c>
      <c r="B3067" s="21">
        <v>40069</v>
      </c>
      <c r="C3067" s="45">
        <v>2009</v>
      </c>
      <c r="D3067" s="351" t="s">
        <v>23</v>
      </c>
      <c r="E3067" s="30" t="s">
        <v>86</v>
      </c>
      <c r="F3067" s="28" t="s">
        <v>160</v>
      </c>
      <c r="G3067" s="25" t="s">
        <v>428</v>
      </c>
      <c r="H3067" s="25" t="s">
        <v>4613</v>
      </c>
      <c r="I3067" s="46">
        <v>0</v>
      </c>
      <c r="J3067" s="46">
        <v>750</v>
      </c>
      <c r="K3067" s="46">
        <v>150</v>
      </c>
      <c r="L3067" s="46">
        <v>0</v>
      </c>
      <c r="M3067" s="46">
        <v>0</v>
      </c>
      <c r="N3067" s="46">
        <v>0</v>
      </c>
      <c r="O3067" s="124">
        <v>0</v>
      </c>
      <c r="P3067" s="102">
        <f>(K3067*5120)/1000000</f>
        <v>0.76800000000000002</v>
      </c>
      <c r="Q3067" s="45" t="s">
        <v>154</v>
      </c>
    </row>
    <row r="3068" spans="1:17" ht="48" x14ac:dyDescent="0.25">
      <c r="A3068" s="21">
        <v>40069</v>
      </c>
      <c r="B3068" s="21">
        <v>40069</v>
      </c>
      <c r="C3068" s="45">
        <v>2009</v>
      </c>
      <c r="D3068" s="351" t="s">
        <v>23</v>
      </c>
      <c r="E3068" s="30" t="s">
        <v>86</v>
      </c>
      <c r="F3068" s="7" t="s">
        <v>75</v>
      </c>
      <c r="G3068" s="25" t="s">
        <v>4614</v>
      </c>
      <c r="H3068" s="25" t="s">
        <v>4615</v>
      </c>
      <c r="I3068" s="46">
        <v>6</v>
      </c>
      <c r="J3068" s="46">
        <v>6</v>
      </c>
      <c r="K3068" s="46">
        <v>0</v>
      </c>
      <c r="L3068" s="46">
        <v>0</v>
      </c>
      <c r="M3068" s="46">
        <v>0</v>
      </c>
      <c r="N3068" s="46">
        <v>0</v>
      </c>
      <c r="O3068" s="124">
        <v>0</v>
      </c>
      <c r="P3068" s="102">
        <v>0</v>
      </c>
      <c r="Q3068" s="45" t="s">
        <v>154</v>
      </c>
    </row>
    <row r="3069" spans="1:17" ht="36" x14ac:dyDescent="0.25">
      <c r="A3069" s="21">
        <v>40069</v>
      </c>
      <c r="B3069" s="21">
        <v>40069</v>
      </c>
      <c r="C3069" s="45">
        <v>2009</v>
      </c>
      <c r="D3069" s="351" t="s">
        <v>23</v>
      </c>
      <c r="E3069" s="30" t="s">
        <v>86</v>
      </c>
      <c r="F3069" s="7" t="s">
        <v>97</v>
      </c>
      <c r="G3069" s="25" t="s">
        <v>4616</v>
      </c>
      <c r="H3069" s="25" t="s">
        <v>4617</v>
      </c>
      <c r="I3069" s="46">
        <v>0</v>
      </c>
      <c r="J3069" s="46">
        <v>300</v>
      </c>
      <c r="K3069" s="46">
        <v>60</v>
      </c>
      <c r="L3069" s="46">
        <v>0</v>
      </c>
      <c r="M3069" s="46">
        <v>0</v>
      </c>
      <c r="N3069" s="46">
        <v>0</v>
      </c>
      <c r="O3069" s="124">
        <v>0</v>
      </c>
      <c r="P3069" s="102">
        <f>((K3069*5120)+(K3069*7500))/1000000</f>
        <v>0.75719999999999998</v>
      </c>
      <c r="Q3069" s="45" t="s">
        <v>154</v>
      </c>
    </row>
    <row r="3070" spans="1:17" ht="24" x14ac:dyDescent="0.25">
      <c r="A3070" s="21">
        <v>40069</v>
      </c>
      <c r="B3070" s="21">
        <v>40069</v>
      </c>
      <c r="C3070" s="45">
        <v>2009</v>
      </c>
      <c r="D3070" s="351" t="s">
        <v>23</v>
      </c>
      <c r="E3070" s="30" t="s">
        <v>86</v>
      </c>
      <c r="F3070" s="7" t="s">
        <v>58</v>
      </c>
      <c r="G3070" s="25" t="s">
        <v>4618</v>
      </c>
      <c r="H3070" s="25" t="s">
        <v>4619</v>
      </c>
      <c r="I3070" s="46">
        <v>0</v>
      </c>
      <c r="J3070" s="46">
        <v>215</v>
      </c>
      <c r="K3070" s="46">
        <v>43</v>
      </c>
      <c r="L3070" s="46">
        <v>0</v>
      </c>
      <c r="M3070" s="46">
        <v>0</v>
      </c>
      <c r="N3070" s="46">
        <v>0</v>
      </c>
      <c r="O3070" s="124">
        <v>0</v>
      </c>
      <c r="P3070" s="102">
        <f>(K3070*5120)/1000000</f>
        <v>0.22015999999999999</v>
      </c>
      <c r="Q3070" s="45" t="s">
        <v>154</v>
      </c>
    </row>
    <row r="3071" spans="1:17" ht="36" x14ac:dyDescent="0.25">
      <c r="A3071" s="21">
        <v>40070</v>
      </c>
      <c r="B3071" s="21">
        <v>40070</v>
      </c>
      <c r="C3071" s="45">
        <v>2009</v>
      </c>
      <c r="D3071" s="351" t="s">
        <v>23</v>
      </c>
      <c r="E3071" s="30" t="s">
        <v>86</v>
      </c>
      <c r="F3071" s="7" t="s">
        <v>65</v>
      </c>
      <c r="G3071" s="25" t="s">
        <v>4620</v>
      </c>
      <c r="H3071" s="25" t="s">
        <v>4621</v>
      </c>
      <c r="I3071" s="46">
        <v>0</v>
      </c>
      <c r="J3071" s="46">
        <v>115</v>
      </c>
      <c r="K3071" s="46">
        <v>23</v>
      </c>
      <c r="L3071" s="46">
        <v>0</v>
      </c>
      <c r="M3071" s="46">
        <v>0</v>
      </c>
      <c r="N3071" s="46">
        <v>0</v>
      </c>
      <c r="O3071" s="124">
        <v>0</v>
      </c>
      <c r="P3071" s="102">
        <f>(K3071*5120)/1000000</f>
        <v>0.11776</v>
      </c>
      <c r="Q3071" s="45" t="s">
        <v>154</v>
      </c>
    </row>
    <row r="3072" spans="1:17" ht="48" x14ac:dyDescent="0.25">
      <c r="A3072" s="21">
        <v>40070</v>
      </c>
      <c r="B3072" s="21">
        <v>40070</v>
      </c>
      <c r="C3072" s="45">
        <v>2009</v>
      </c>
      <c r="D3072" s="351" t="s">
        <v>23</v>
      </c>
      <c r="E3072" s="30" t="s">
        <v>86</v>
      </c>
      <c r="F3072" s="7" t="s">
        <v>56</v>
      </c>
      <c r="G3072" s="25" t="s">
        <v>4622</v>
      </c>
      <c r="H3072" s="25" t="s">
        <v>4623</v>
      </c>
      <c r="I3072" s="46">
        <v>0</v>
      </c>
      <c r="J3072" s="46">
        <v>150</v>
      </c>
      <c r="K3072" s="46">
        <v>30</v>
      </c>
      <c r="L3072" s="46">
        <v>0</v>
      </c>
      <c r="M3072" s="46">
        <v>0</v>
      </c>
      <c r="N3072" s="46">
        <v>0</v>
      </c>
      <c r="O3072" s="124">
        <v>0</v>
      </c>
      <c r="P3072" s="102">
        <f>(K3072*5120)/1000000</f>
        <v>0.15359999999999999</v>
      </c>
      <c r="Q3072" s="45" t="s">
        <v>154</v>
      </c>
    </row>
    <row r="3073" spans="1:17" ht="36" x14ac:dyDescent="0.25">
      <c r="A3073" s="21">
        <v>40070</v>
      </c>
      <c r="B3073" s="21">
        <v>40070</v>
      </c>
      <c r="C3073" s="45">
        <v>2009</v>
      </c>
      <c r="D3073" s="351" t="s">
        <v>23</v>
      </c>
      <c r="E3073" s="30" t="s">
        <v>86</v>
      </c>
      <c r="F3073" s="7" t="s">
        <v>91</v>
      </c>
      <c r="G3073" s="25" t="s">
        <v>1874</v>
      </c>
      <c r="H3073" s="25" t="s">
        <v>4624</v>
      </c>
      <c r="I3073" s="46">
        <v>1</v>
      </c>
      <c r="J3073" s="46">
        <v>1</v>
      </c>
      <c r="K3073" s="46">
        <v>0</v>
      </c>
      <c r="L3073" s="46">
        <v>0</v>
      </c>
      <c r="M3073" s="46">
        <v>0</v>
      </c>
      <c r="N3073" s="46">
        <v>0</v>
      </c>
      <c r="O3073" s="124">
        <v>0</v>
      </c>
      <c r="P3073" s="102">
        <v>0</v>
      </c>
      <c r="Q3073" s="45" t="s">
        <v>154</v>
      </c>
    </row>
    <row r="3074" spans="1:17" ht="48" x14ac:dyDescent="0.25">
      <c r="A3074" s="21">
        <v>40071</v>
      </c>
      <c r="B3074" s="21">
        <v>40071</v>
      </c>
      <c r="C3074" s="45">
        <v>2009</v>
      </c>
      <c r="D3074" s="351" t="s">
        <v>23</v>
      </c>
      <c r="E3074" s="30" t="s">
        <v>86</v>
      </c>
      <c r="F3074" s="7" t="s">
        <v>62</v>
      </c>
      <c r="G3074" s="25" t="s">
        <v>2562</v>
      </c>
      <c r="H3074" s="25" t="s">
        <v>4625</v>
      </c>
      <c r="I3074" s="46">
        <v>0</v>
      </c>
      <c r="J3074" s="46">
        <v>310</v>
      </c>
      <c r="K3074" s="46">
        <v>62</v>
      </c>
      <c r="L3074" s="46">
        <v>0</v>
      </c>
      <c r="M3074" s="46">
        <v>0</v>
      </c>
      <c r="N3074" s="46">
        <v>0</v>
      </c>
      <c r="O3074" s="124">
        <v>0</v>
      </c>
      <c r="P3074" s="102">
        <f>((51*5120)+(9*95904)+(9*7500))/1000000</f>
        <v>1.191756</v>
      </c>
      <c r="Q3074" s="45" t="s">
        <v>154</v>
      </c>
    </row>
    <row r="3075" spans="1:17" ht="36" x14ac:dyDescent="0.25">
      <c r="A3075" s="21">
        <v>40073</v>
      </c>
      <c r="B3075" s="21">
        <v>40073</v>
      </c>
      <c r="C3075" s="45">
        <v>2009</v>
      </c>
      <c r="D3075" s="351" t="s">
        <v>23</v>
      </c>
      <c r="E3075" s="30" t="s">
        <v>86</v>
      </c>
      <c r="F3075" s="7" t="s">
        <v>75</v>
      </c>
      <c r="G3075" s="25" t="s">
        <v>3437</v>
      </c>
      <c r="H3075" s="25" t="s">
        <v>4626</v>
      </c>
      <c r="I3075" s="46">
        <v>2</v>
      </c>
      <c r="J3075" s="46">
        <v>2</v>
      </c>
      <c r="K3075" s="46">
        <v>0</v>
      </c>
      <c r="L3075" s="46">
        <v>0</v>
      </c>
      <c r="M3075" s="46">
        <v>0</v>
      </c>
      <c r="N3075" s="46">
        <v>0</v>
      </c>
      <c r="O3075" s="124">
        <v>0</v>
      </c>
      <c r="P3075" s="102">
        <v>0</v>
      </c>
      <c r="Q3075" s="45" t="s">
        <v>154</v>
      </c>
    </row>
    <row r="3076" spans="1:17" ht="48" x14ac:dyDescent="0.25">
      <c r="A3076" s="21">
        <v>40078</v>
      </c>
      <c r="B3076" s="21">
        <v>40078</v>
      </c>
      <c r="C3076" s="45">
        <v>2009</v>
      </c>
      <c r="D3076" s="351" t="s">
        <v>23</v>
      </c>
      <c r="E3076" s="30" t="s">
        <v>86</v>
      </c>
      <c r="F3076" s="28" t="s">
        <v>157</v>
      </c>
      <c r="G3076" s="25" t="s">
        <v>4627</v>
      </c>
      <c r="H3076" s="25" t="s">
        <v>4628</v>
      </c>
      <c r="I3076" s="46">
        <v>0</v>
      </c>
      <c r="J3076" s="46">
        <v>5</v>
      </c>
      <c r="K3076" s="46">
        <v>1</v>
      </c>
      <c r="L3076" s="46">
        <v>0</v>
      </c>
      <c r="M3076" s="46">
        <v>0</v>
      </c>
      <c r="N3076" s="46">
        <v>0</v>
      </c>
      <c r="O3076" s="124">
        <v>0</v>
      </c>
      <c r="P3076" s="102">
        <f>(K3076*95904)/1000000</f>
        <v>9.5904000000000003E-2</v>
      </c>
      <c r="Q3076" s="45" t="s">
        <v>154</v>
      </c>
    </row>
    <row r="3077" spans="1:17" ht="180" x14ac:dyDescent="0.25">
      <c r="A3077" s="21">
        <v>40079</v>
      </c>
      <c r="B3077" s="21">
        <v>40079</v>
      </c>
      <c r="C3077" s="45">
        <v>2009</v>
      </c>
      <c r="D3077" s="351" t="s">
        <v>23</v>
      </c>
      <c r="E3077" s="30" t="s">
        <v>86</v>
      </c>
      <c r="F3077" s="28" t="s">
        <v>210</v>
      </c>
      <c r="G3077" s="25" t="s">
        <v>4629</v>
      </c>
      <c r="H3077" s="25" t="s">
        <v>4630</v>
      </c>
      <c r="I3077" s="46">
        <v>0</v>
      </c>
      <c r="J3077" s="46">
        <v>64000</v>
      </c>
      <c r="K3077" s="46">
        <v>9635</v>
      </c>
      <c r="L3077" s="46">
        <v>0</v>
      </c>
      <c r="M3077" s="46">
        <v>0</v>
      </c>
      <c r="N3077" s="46">
        <v>0</v>
      </c>
      <c r="O3077" s="124">
        <v>0</v>
      </c>
      <c r="P3077" s="102">
        <f>(1023.525+47.144)+(22.498)</f>
        <v>1093.1669999999999</v>
      </c>
      <c r="Q3077" s="45" t="s">
        <v>186</v>
      </c>
    </row>
    <row r="3078" spans="1:17" ht="120" x14ac:dyDescent="0.25">
      <c r="A3078" s="21">
        <v>40079</v>
      </c>
      <c r="B3078" s="21">
        <v>40079</v>
      </c>
      <c r="C3078" s="45">
        <v>2009</v>
      </c>
      <c r="D3078" s="351" t="s">
        <v>23</v>
      </c>
      <c r="E3078" s="30" t="s">
        <v>86</v>
      </c>
      <c r="F3078" s="7" t="s">
        <v>72</v>
      </c>
      <c r="G3078" s="25" t="s">
        <v>4631</v>
      </c>
      <c r="H3078" s="25" t="s">
        <v>4632</v>
      </c>
      <c r="I3078" s="46">
        <v>0</v>
      </c>
      <c r="J3078" s="46">
        <v>12750</v>
      </c>
      <c r="K3078" s="46">
        <v>2550</v>
      </c>
      <c r="L3078" s="46">
        <v>0</v>
      </c>
      <c r="M3078" s="46">
        <v>0</v>
      </c>
      <c r="N3078" s="46">
        <v>0</v>
      </c>
      <c r="O3078" s="124">
        <v>0</v>
      </c>
      <c r="P3078" s="102">
        <f>(160.842+13.056)+(4.443)</f>
        <v>178.34100000000004</v>
      </c>
      <c r="Q3078" s="45" t="s">
        <v>186</v>
      </c>
    </row>
    <row r="3079" spans="1:17" ht="24" x14ac:dyDescent="0.25">
      <c r="A3079" s="21">
        <v>40081</v>
      </c>
      <c r="B3079" s="21">
        <v>40081</v>
      </c>
      <c r="C3079" s="45">
        <v>2009</v>
      </c>
      <c r="D3079" s="351" t="s">
        <v>23</v>
      </c>
      <c r="E3079" s="30" t="s">
        <v>86</v>
      </c>
      <c r="F3079" s="7" t="s">
        <v>75</v>
      </c>
      <c r="G3079" s="25" t="s">
        <v>4633</v>
      </c>
      <c r="H3079" s="25" t="s">
        <v>4634</v>
      </c>
      <c r="I3079" s="46">
        <v>0</v>
      </c>
      <c r="J3079" s="46">
        <v>450</v>
      </c>
      <c r="K3079" s="46">
        <v>90</v>
      </c>
      <c r="L3079" s="46">
        <v>0</v>
      </c>
      <c r="M3079" s="46">
        <v>0</v>
      </c>
      <c r="N3079" s="46">
        <v>0</v>
      </c>
      <c r="O3079" s="124">
        <v>0</v>
      </c>
      <c r="P3079" s="102">
        <f>(K3079*5120)/1000000</f>
        <v>0.46079999999999999</v>
      </c>
      <c r="Q3079" s="45" t="s">
        <v>154</v>
      </c>
    </row>
    <row r="3080" spans="1:17" ht="36" x14ac:dyDescent="0.25">
      <c r="A3080" s="21">
        <v>40081</v>
      </c>
      <c r="B3080" s="21">
        <v>40081</v>
      </c>
      <c r="C3080" s="45">
        <v>2009</v>
      </c>
      <c r="D3080" s="351" t="s">
        <v>23</v>
      </c>
      <c r="E3080" s="30" t="s">
        <v>86</v>
      </c>
      <c r="F3080" s="25" t="s">
        <v>781</v>
      </c>
      <c r="G3080" s="25" t="s">
        <v>3061</v>
      </c>
      <c r="H3080" s="25" t="s">
        <v>4635</v>
      </c>
      <c r="I3080" s="46">
        <v>0</v>
      </c>
      <c r="J3080" s="46">
        <v>115</v>
      </c>
      <c r="K3080" s="46">
        <v>23</v>
      </c>
      <c r="L3080" s="46">
        <v>0</v>
      </c>
      <c r="M3080" s="46">
        <v>0</v>
      </c>
      <c r="N3080" s="46">
        <v>0</v>
      </c>
      <c r="O3080" s="124">
        <v>0</v>
      </c>
      <c r="P3080" s="102">
        <f>(K3080*5120)/1000000</f>
        <v>0.11776</v>
      </c>
      <c r="Q3080" s="45" t="s">
        <v>154</v>
      </c>
    </row>
    <row r="3081" spans="1:17" ht="48" x14ac:dyDescent="0.25">
      <c r="A3081" s="21">
        <v>40083</v>
      </c>
      <c r="B3081" s="21">
        <v>40083</v>
      </c>
      <c r="C3081" s="45">
        <v>2009</v>
      </c>
      <c r="D3081" s="351" t="s">
        <v>23</v>
      </c>
      <c r="E3081" s="30" t="s">
        <v>86</v>
      </c>
      <c r="F3081" s="28" t="s">
        <v>160</v>
      </c>
      <c r="G3081" s="25" t="s">
        <v>4636</v>
      </c>
      <c r="H3081" s="25" t="s">
        <v>4637</v>
      </c>
      <c r="I3081" s="46">
        <v>0</v>
      </c>
      <c r="J3081" s="46">
        <v>0</v>
      </c>
      <c r="K3081" s="46">
        <v>0</v>
      </c>
      <c r="L3081" s="46">
        <v>0</v>
      </c>
      <c r="M3081" s="46">
        <v>0</v>
      </c>
      <c r="N3081" s="46">
        <v>0</v>
      </c>
      <c r="O3081" s="124">
        <v>0</v>
      </c>
      <c r="P3081" s="102">
        <v>40</v>
      </c>
      <c r="Q3081" s="45" t="s">
        <v>186</v>
      </c>
    </row>
    <row r="3082" spans="1:17" ht="60" x14ac:dyDescent="0.25">
      <c r="A3082" s="21">
        <v>40082</v>
      </c>
      <c r="B3082" s="21">
        <v>40082</v>
      </c>
      <c r="C3082" s="45">
        <v>2009</v>
      </c>
      <c r="D3082" s="351" t="s">
        <v>23</v>
      </c>
      <c r="E3082" s="30" t="s">
        <v>86</v>
      </c>
      <c r="F3082" s="28" t="s">
        <v>160</v>
      </c>
      <c r="G3082" s="25" t="s">
        <v>4638</v>
      </c>
      <c r="H3082" s="25" t="s">
        <v>4639</v>
      </c>
      <c r="I3082" s="46">
        <v>0</v>
      </c>
      <c r="J3082" s="46">
        <v>0</v>
      </c>
      <c r="K3082" s="46">
        <v>0</v>
      </c>
      <c r="L3082" s="46">
        <v>0</v>
      </c>
      <c r="M3082" s="46">
        <v>0</v>
      </c>
      <c r="N3082" s="46">
        <v>0</v>
      </c>
      <c r="O3082" s="124">
        <v>0</v>
      </c>
      <c r="P3082" s="102">
        <v>667.65</v>
      </c>
      <c r="Q3082" s="45" t="s">
        <v>186</v>
      </c>
    </row>
    <row r="3083" spans="1:17" ht="60" x14ac:dyDescent="0.25">
      <c r="A3083" s="21">
        <v>40098</v>
      </c>
      <c r="B3083" s="21">
        <v>40098</v>
      </c>
      <c r="C3083" s="45">
        <v>2009</v>
      </c>
      <c r="D3083" s="351" t="s">
        <v>23</v>
      </c>
      <c r="E3083" s="14" t="s">
        <v>32</v>
      </c>
      <c r="F3083" s="7" t="s">
        <v>87</v>
      </c>
      <c r="G3083" s="25" t="s">
        <v>4640</v>
      </c>
      <c r="H3083" s="25" t="s">
        <v>4641</v>
      </c>
      <c r="I3083" s="46">
        <v>0</v>
      </c>
      <c r="J3083" s="46">
        <v>8000</v>
      </c>
      <c r="K3083" s="46">
        <v>0</v>
      </c>
      <c r="L3083" s="46">
        <v>0</v>
      </c>
      <c r="M3083" s="46">
        <v>0</v>
      </c>
      <c r="N3083" s="46">
        <v>0</v>
      </c>
      <c r="O3083" s="124">
        <v>0</v>
      </c>
      <c r="P3083" s="102">
        <v>2.242</v>
      </c>
      <c r="Q3083" s="45" t="s">
        <v>186</v>
      </c>
    </row>
    <row r="3084" spans="1:17" ht="84" x14ac:dyDescent="0.25">
      <c r="A3084" s="21">
        <v>40098</v>
      </c>
      <c r="B3084" s="21">
        <v>40098</v>
      </c>
      <c r="C3084" s="45">
        <v>2009</v>
      </c>
      <c r="D3084" s="351" t="s">
        <v>23</v>
      </c>
      <c r="E3084" s="14" t="s">
        <v>32</v>
      </c>
      <c r="F3084" s="7" t="s">
        <v>84</v>
      </c>
      <c r="G3084" s="25" t="s">
        <v>4027</v>
      </c>
      <c r="H3084" s="25" t="s">
        <v>4642</v>
      </c>
      <c r="I3084" s="46">
        <v>0</v>
      </c>
      <c r="J3084" s="46">
        <v>4200</v>
      </c>
      <c r="K3084" s="46">
        <v>300</v>
      </c>
      <c r="L3084" s="46">
        <v>0</v>
      </c>
      <c r="M3084" s="46">
        <v>0</v>
      </c>
      <c r="N3084" s="46">
        <v>0</v>
      </c>
      <c r="O3084" s="124">
        <v>0</v>
      </c>
      <c r="P3084" s="102">
        <f>((K3084*8738)/1000000)+(1.884)</f>
        <v>4.5053999999999998</v>
      </c>
      <c r="Q3084" s="45" t="s">
        <v>154</v>
      </c>
    </row>
    <row r="3085" spans="1:17" ht="108" x14ac:dyDescent="0.25">
      <c r="A3085" s="21">
        <v>40103</v>
      </c>
      <c r="B3085" s="21">
        <v>40103</v>
      </c>
      <c r="C3085" s="45">
        <v>2009</v>
      </c>
      <c r="D3085" s="351" t="s">
        <v>23</v>
      </c>
      <c r="E3085" s="30" t="s">
        <v>86</v>
      </c>
      <c r="F3085" s="28" t="s">
        <v>210</v>
      </c>
      <c r="G3085" s="25" t="s">
        <v>4643</v>
      </c>
      <c r="H3085" s="25" t="s">
        <v>4644</v>
      </c>
      <c r="I3085" s="46">
        <v>0</v>
      </c>
      <c r="J3085" s="46">
        <v>16000</v>
      </c>
      <c r="K3085" s="46">
        <v>205</v>
      </c>
      <c r="L3085" s="46">
        <v>0</v>
      </c>
      <c r="M3085" s="46">
        <v>0</v>
      </c>
      <c r="N3085" s="46">
        <v>0</v>
      </c>
      <c r="O3085" s="124">
        <v>0</v>
      </c>
      <c r="P3085" s="102">
        <f>(625.14+11.996)</f>
        <v>637.13599999999997</v>
      </c>
      <c r="Q3085" s="45" t="s">
        <v>186</v>
      </c>
    </row>
    <row r="3086" spans="1:17" ht="60" x14ac:dyDescent="0.25">
      <c r="A3086" s="21">
        <v>40107</v>
      </c>
      <c r="B3086" s="21">
        <v>40107</v>
      </c>
      <c r="C3086" s="45">
        <v>2009</v>
      </c>
      <c r="D3086" s="351" t="s">
        <v>23</v>
      </c>
      <c r="E3086" s="14" t="s">
        <v>32</v>
      </c>
      <c r="F3086" s="7" t="s">
        <v>47</v>
      </c>
      <c r="G3086" s="25" t="s">
        <v>2926</v>
      </c>
      <c r="H3086" s="25" t="s">
        <v>4645</v>
      </c>
      <c r="I3086" s="46">
        <v>0</v>
      </c>
      <c r="J3086" s="46">
        <v>1500</v>
      </c>
      <c r="K3086" s="46">
        <v>0</v>
      </c>
      <c r="L3086" s="46">
        <v>0</v>
      </c>
      <c r="M3086" s="46">
        <v>0</v>
      </c>
      <c r="N3086" s="46">
        <v>0</v>
      </c>
      <c r="O3086" s="124">
        <v>0</v>
      </c>
      <c r="P3086" s="102">
        <v>1.4E-2</v>
      </c>
      <c r="Q3086" s="45" t="s">
        <v>186</v>
      </c>
    </row>
    <row r="3087" spans="1:17" ht="60" x14ac:dyDescent="0.25">
      <c r="A3087" s="21">
        <v>40107</v>
      </c>
      <c r="B3087" s="21">
        <v>40107</v>
      </c>
      <c r="C3087" s="45">
        <v>2009</v>
      </c>
      <c r="D3087" s="351" t="s">
        <v>23</v>
      </c>
      <c r="E3087" s="14" t="s">
        <v>32</v>
      </c>
      <c r="F3087" s="7" t="s">
        <v>33</v>
      </c>
      <c r="G3087" s="25" t="s">
        <v>3155</v>
      </c>
      <c r="H3087" s="25" t="s">
        <v>4646</v>
      </c>
      <c r="I3087" s="46">
        <v>0</v>
      </c>
      <c r="J3087" s="46">
        <v>6000</v>
      </c>
      <c r="K3087" s="46">
        <v>0</v>
      </c>
      <c r="L3087" s="46">
        <v>0</v>
      </c>
      <c r="M3087" s="46">
        <v>0</v>
      </c>
      <c r="N3087" s="46">
        <v>0</v>
      </c>
      <c r="O3087" s="124">
        <v>0</v>
      </c>
      <c r="P3087" s="102">
        <v>0.47</v>
      </c>
      <c r="Q3087" s="45" t="s">
        <v>186</v>
      </c>
    </row>
    <row r="3088" spans="1:17" ht="84" x14ac:dyDescent="0.25">
      <c r="A3088" s="21">
        <v>40107</v>
      </c>
      <c r="B3088" s="21">
        <v>40107</v>
      </c>
      <c r="C3088" s="45">
        <v>2009</v>
      </c>
      <c r="D3088" s="351" t="s">
        <v>23</v>
      </c>
      <c r="E3088" s="14" t="s">
        <v>32</v>
      </c>
      <c r="F3088" s="7" t="s">
        <v>84</v>
      </c>
      <c r="G3088" s="25" t="s">
        <v>4647</v>
      </c>
      <c r="H3088" s="25" t="s">
        <v>4648</v>
      </c>
      <c r="I3088" s="46">
        <v>0</v>
      </c>
      <c r="J3088" s="46">
        <v>10000</v>
      </c>
      <c r="K3088" s="46">
        <v>714</v>
      </c>
      <c r="L3088" s="46">
        <v>0</v>
      </c>
      <c r="M3088" s="46">
        <v>0</v>
      </c>
      <c r="N3088" s="46">
        <v>0</v>
      </c>
      <c r="O3088" s="124">
        <v>0</v>
      </c>
      <c r="P3088" s="102">
        <f>(209.745+4.31)</f>
        <v>214.05500000000001</v>
      </c>
      <c r="Q3088" s="45" t="s">
        <v>186</v>
      </c>
    </row>
    <row r="3089" spans="1:17" ht="36" x14ac:dyDescent="0.25">
      <c r="A3089" s="21">
        <v>40116</v>
      </c>
      <c r="B3089" s="21">
        <v>40116</v>
      </c>
      <c r="C3089" s="45">
        <v>2009</v>
      </c>
      <c r="D3089" s="351" t="s">
        <v>23</v>
      </c>
      <c r="E3089" s="30" t="s">
        <v>86</v>
      </c>
      <c r="F3089" s="28" t="s">
        <v>157</v>
      </c>
      <c r="G3089" s="25" t="s">
        <v>4649</v>
      </c>
      <c r="H3089" s="25" t="s">
        <v>4650</v>
      </c>
      <c r="I3089" s="46">
        <v>0</v>
      </c>
      <c r="J3089" s="46">
        <v>300</v>
      </c>
      <c r="K3089" s="46">
        <v>60</v>
      </c>
      <c r="L3089" s="46">
        <v>2</v>
      </c>
      <c r="M3089" s="46">
        <v>1</v>
      </c>
      <c r="N3089" s="46">
        <v>0</v>
      </c>
      <c r="O3089" s="124">
        <v>0</v>
      </c>
      <c r="P3089" s="102">
        <f>((K3089*8738)+(K3089*7500))/1000000</f>
        <v>0.97428000000000003</v>
      </c>
      <c r="Q3089" s="45" t="s">
        <v>154</v>
      </c>
    </row>
    <row r="3090" spans="1:17" ht="168" x14ac:dyDescent="0.25">
      <c r="A3090" s="21">
        <v>40116</v>
      </c>
      <c r="B3090" s="21">
        <v>40116</v>
      </c>
      <c r="C3090" s="45">
        <v>2009</v>
      </c>
      <c r="D3090" s="351" t="s">
        <v>23</v>
      </c>
      <c r="E3090" s="30" t="s">
        <v>86</v>
      </c>
      <c r="F3090" s="7" t="s">
        <v>53</v>
      </c>
      <c r="G3090" s="25" t="s">
        <v>4651</v>
      </c>
      <c r="H3090" s="25" t="s">
        <v>4652</v>
      </c>
      <c r="I3090" s="46">
        <v>5</v>
      </c>
      <c r="J3090" s="46">
        <f>(K3090*5)</f>
        <v>2600</v>
      </c>
      <c r="K3090" s="46">
        <v>520</v>
      </c>
      <c r="L3090" s="46">
        <v>0</v>
      </c>
      <c r="M3090" s="46">
        <v>0</v>
      </c>
      <c r="N3090" s="46">
        <v>0</v>
      </c>
      <c r="O3090" s="124">
        <v>0</v>
      </c>
      <c r="P3090" s="102">
        <f>83.685+2.585+1.438</f>
        <v>87.707999999999998</v>
      </c>
      <c r="Q3090" s="45" t="s">
        <v>186</v>
      </c>
    </row>
    <row r="3091" spans="1:17" ht="156" x14ac:dyDescent="0.25">
      <c r="A3091" s="21">
        <v>40116</v>
      </c>
      <c r="B3091" s="21">
        <v>40116</v>
      </c>
      <c r="C3091" s="45">
        <v>2009</v>
      </c>
      <c r="D3091" s="351" t="s">
        <v>23</v>
      </c>
      <c r="E3091" s="30" t="s">
        <v>86</v>
      </c>
      <c r="F3091" s="25" t="s">
        <v>781</v>
      </c>
      <c r="G3091" s="25" t="s">
        <v>4653</v>
      </c>
      <c r="H3091" s="25" t="s">
        <v>4654</v>
      </c>
      <c r="I3091" s="46">
        <v>2</v>
      </c>
      <c r="J3091" s="46">
        <v>65800</v>
      </c>
      <c r="K3091" s="46">
        <v>2369</v>
      </c>
      <c r="L3091" s="46">
        <v>421</v>
      </c>
      <c r="M3091" s="46">
        <v>11</v>
      </c>
      <c r="N3091" s="46">
        <v>730</v>
      </c>
      <c r="O3091" s="124">
        <v>22021.5</v>
      </c>
      <c r="P3091" s="102">
        <v>2465.2350000000001</v>
      </c>
      <c r="Q3091" s="45" t="s">
        <v>22</v>
      </c>
    </row>
    <row r="3092" spans="1:17" ht="36" x14ac:dyDescent="0.25">
      <c r="A3092" s="21">
        <v>40119</v>
      </c>
      <c r="B3092" s="21">
        <v>40119</v>
      </c>
      <c r="C3092" s="45">
        <v>2009</v>
      </c>
      <c r="D3092" s="351" t="s">
        <v>23</v>
      </c>
      <c r="E3092" s="30" t="s">
        <v>86</v>
      </c>
      <c r="F3092" s="7" t="s">
        <v>36</v>
      </c>
      <c r="G3092" s="25" t="s">
        <v>4655</v>
      </c>
      <c r="H3092" s="25" t="s">
        <v>4656</v>
      </c>
      <c r="I3092" s="46">
        <v>0</v>
      </c>
      <c r="J3092" s="46">
        <v>270</v>
      </c>
      <c r="K3092" s="46">
        <v>54</v>
      </c>
      <c r="L3092" s="46">
        <v>0</v>
      </c>
      <c r="M3092" s="46">
        <v>0</v>
      </c>
      <c r="N3092" s="46">
        <v>0</v>
      </c>
      <c r="O3092" s="124">
        <v>0</v>
      </c>
      <c r="P3092" s="102">
        <v>0</v>
      </c>
      <c r="Q3092" s="45" t="s">
        <v>154</v>
      </c>
    </row>
    <row r="3093" spans="1:17" ht="156" x14ac:dyDescent="0.25">
      <c r="A3093" s="21">
        <v>40119</v>
      </c>
      <c r="B3093" s="21">
        <v>40119</v>
      </c>
      <c r="C3093" s="45">
        <v>2009</v>
      </c>
      <c r="D3093" s="351" t="s">
        <v>23</v>
      </c>
      <c r="E3093" s="30" t="s">
        <v>86</v>
      </c>
      <c r="F3093" s="28" t="s">
        <v>210</v>
      </c>
      <c r="G3093" s="25" t="s">
        <v>4657</v>
      </c>
      <c r="H3093" s="25" t="s">
        <v>4658</v>
      </c>
      <c r="I3093" s="46">
        <v>0</v>
      </c>
      <c r="J3093" s="46">
        <f>(K3093*5)</f>
        <v>45780</v>
      </c>
      <c r="K3093" s="46">
        <v>9156</v>
      </c>
      <c r="L3093" s="46">
        <v>235</v>
      </c>
      <c r="M3093" s="46">
        <v>65</v>
      </c>
      <c r="N3093" s="46">
        <v>0</v>
      </c>
      <c r="O3093" s="124">
        <v>6500</v>
      </c>
      <c r="P3093" s="102">
        <v>1912.32</v>
      </c>
      <c r="Q3093" s="45" t="s">
        <v>22</v>
      </c>
    </row>
    <row r="3094" spans="1:17" ht="108" x14ac:dyDescent="0.25">
      <c r="A3094" s="21">
        <v>40152</v>
      </c>
      <c r="B3094" s="21">
        <v>40152</v>
      </c>
      <c r="C3094" s="45">
        <v>2009</v>
      </c>
      <c r="D3094" s="351" t="s">
        <v>23</v>
      </c>
      <c r="E3094" s="30" t="s">
        <v>52</v>
      </c>
      <c r="F3094" s="7" t="s">
        <v>67</v>
      </c>
      <c r="G3094" s="25" t="s">
        <v>4659</v>
      </c>
      <c r="H3094" s="25" t="s">
        <v>4660</v>
      </c>
      <c r="I3094" s="46">
        <v>0</v>
      </c>
      <c r="J3094" s="46">
        <v>1658</v>
      </c>
      <c r="K3094" s="46">
        <v>0</v>
      </c>
      <c r="L3094" s="46">
        <v>0</v>
      </c>
      <c r="M3094" s="46">
        <v>0</v>
      </c>
      <c r="N3094" s="46">
        <v>0</v>
      </c>
      <c r="O3094" s="124">
        <v>5182</v>
      </c>
      <c r="P3094" s="102">
        <v>70.349999999999994</v>
      </c>
      <c r="Q3094" s="45" t="s">
        <v>4078</v>
      </c>
    </row>
    <row r="3095" spans="1:17" ht="108" x14ac:dyDescent="0.25">
      <c r="A3095" s="21">
        <v>39995</v>
      </c>
      <c r="B3095" s="21">
        <v>39995</v>
      </c>
      <c r="C3095" s="45">
        <v>2009</v>
      </c>
      <c r="D3095" s="351" t="s">
        <v>23</v>
      </c>
      <c r="E3095" s="30" t="s">
        <v>24</v>
      </c>
      <c r="F3095" s="7" t="s">
        <v>101</v>
      </c>
      <c r="G3095" s="25" t="s">
        <v>4661</v>
      </c>
      <c r="H3095" s="25" t="s">
        <v>4662</v>
      </c>
      <c r="I3095" s="46">
        <v>0</v>
      </c>
      <c r="J3095" s="46">
        <v>9975</v>
      </c>
      <c r="K3095" s="46">
        <v>0</v>
      </c>
      <c r="L3095" s="46">
        <v>0</v>
      </c>
      <c r="M3095" s="46">
        <v>0</v>
      </c>
      <c r="N3095" s="46">
        <v>0</v>
      </c>
      <c r="O3095" s="124">
        <v>40345.360000000001</v>
      </c>
      <c r="P3095" s="102">
        <f>(O3095*1.63*2801.29)/1000000</f>
        <v>184.22105722847201</v>
      </c>
      <c r="Q3095" s="45" t="s">
        <v>4663</v>
      </c>
    </row>
    <row r="3096" spans="1:17" ht="204" x14ac:dyDescent="0.25">
      <c r="A3096" s="21">
        <v>39995</v>
      </c>
      <c r="B3096" s="21">
        <v>39995</v>
      </c>
      <c r="C3096" s="45">
        <v>2009</v>
      </c>
      <c r="D3096" s="351" t="s">
        <v>23</v>
      </c>
      <c r="E3096" s="30" t="s">
        <v>24</v>
      </c>
      <c r="F3096" s="7" t="s">
        <v>101</v>
      </c>
      <c r="G3096" s="25" t="s">
        <v>4664</v>
      </c>
      <c r="H3096" s="25" t="s">
        <v>4665</v>
      </c>
      <c r="I3096" s="46">
        <v>0</v>
      </c>
      <c r="J3096" s="46">
        <v>1629</v>
      </c>
      <c r="K3096" s="46">
        <v>0</v>
      </c>
      <c r="L3096" s="46">
        <v>0</v>
      </c>
      <c r="M3096" s="46">
        <v>0</v>
      </c>
      <c r="N3096" s="46">
        <v>0</v>
      </c>
      <c r="O3096" s="124" t="s">
        <v>4666</v>
      </c>
      <c r="P3096" s="102">
        <f>(23522.43*4692.5)/1000000</f>
        <v>110.379002775</v>
      </c>
      <c r="Q3096" s="45" t="s">
        <v>4663</v>
      </c>
    </row>
    <row r="3097" spans="1:17" ht="168" x14ac:dyDescent="0.25">
      <c r="A3097" s="21">
        <v>39995</v>
      </c>
      <c r="B3097" s="21">
        <v>39995</v>
      </c>
      <c r="C3097" s="45">
        <v>2009</v>
      </c>
      <c r="D3097" s="351" t="s">
        <v>23</v>
      </c>
      <c r="E3097" s="30" t="s">
        <v>24</v>
      </c>
      <c r="F3097" s="7" t="s">
        <v>62</v>
      </c>
      <c r="G3097" s="25" t="s">
        <v>4667</v>
      </c>
      <c r="H3097" s="25" t="s">
        <v>4668</v>
      </c>
      <c r="I3097" s="46">
        <v>0</v>
      </c>
      <c r="J3097" s="46">
        <v>12772</v>
      </c>
      <c r="K3097" s="46">
        <v>0</v>
      </c>
      <c r="L3097" s="46">
        <v>0</v>
      </c>
      <c r="M3097" s="46">
        <v>0</v>
      </c>
      <c r="N3097" s="46">
        <v>0</v>
      </c>
      <c r="O3097" s="124">
        <v>40622.22</v>
      </c>
      <c r="P3097" s="102">
        <f>(O3097*3.51*2632.78)/1000000</f>
        <v>375.39228298431607</v>
      </c>
      <c r="Q3097" s="45" t="s">
        <v>4663</v>
      </c>
    </row>
    <row r="3098" spans="1:17" ht="60" x14ac:dyDescent="0.25">
      <c r="A3098" s="21">
        <v>39965</v>
      </c>
      <c r="B3098" s="21">
        <v>39965</v>
      </c>
      <c r="C3098" s="45">
        <v>2009</v>
      </c>
      <c r="D3098" s="351" t="s">
        <v>23</v>
      </c>
      <c r="E3098" s="30" t="s">
        <v>24</v>
      </c>
      <c r="F3098" s="7" t="s">
        <v>62</v>
      </c>
      <c r="G3098" s="25" t="s">
        <v>4669</v>
      </c>
      <c r="H3098" s="25" t="s">
        <v>4670</v>
      </c>
      <c r="I3098" s="46">
        <v>0</v>
      </c>
      <c r="J3098" s="46">
        <v>4695</v>
      </c>
      <c r="K3098" s="46">
        <v>0</v>
      </c>
      <c r="L3098" s="46">
        <v>0</v>
      </c>
      <c r="M3098" s="46">
        <v>0</v>
      </c>
      <c r="N3098" s="46">
        <v>0</v>
      </c>
      <c r="O3098" s="124">
        <v>17149.009999999998</v>
      </c>
      <c r="P3098" s="102">
        <f>(O3098*3.51*2632.78)/1000000</f>
        <v>158.47499262277799</v>
      </c>
      <c r="Q3098" s="45" t="s">
        <v>4663</v>
      </c>
    </row>
    <row r="3099" spans="1:17" ht="48" x14ac:dyDescent="0.25">
      <c r="A3099" s="21">
        <v>39995</v>
      </c>
      <c r="B3099" s="21">
        <v>39995</v>
      </c>
      <c r="C3099" s="45">
        <v>2009</v>
      </c>
      <c r="D3099" s="351" t="s">
        <v>23</v>
      </c>
      <c r="E3099" s="30" t="s">
        <v>24</v>
      </c>
      <c r="F3099" s="7" t="s">
        <v>67</v>
      </c>
      <c r="G3099" s="25" t="s">
        <v>4671</v>
      </c>
      <c r="H3099" s="25" t="s">
        <v>4672</v>
      </c>
      <c r="I3099" s="46">
        <v>0</v>
      </c>
      <c r="J3099" s="46">
        <v>3642</v>
      </c>
      <c r="K3099" s="46">
        <v>0</v>
      </c>
      <c r="L3099" s="46">
        <v>0</v>
      </c>
      <c r="M3099" s="46">
        <v>0</v>
      </c>
      <c r="N3099" s="46">
        <v>0</v>
      </c>
      <c r="O3099" s="124">
        <v>6700.5</v>
      </c>
      <c r="P3099" s="102">
        <f>(O3099*4.1*2803.33)/1000000</f>
        <v>77.013221926499995</v>
      </c>
      <c r="Q3099" s="45" t="s">
        <v>4663</v>
      </c>
    </row>
    <row r="3100" spans="1:17" ht="60" x14ac:dyDescent="0.25">
      <c r="A3100" s="21">
        <v>39965</v>
      </c>
      <c r="B3100" s="21">
        <v>39965</v>
      </c>
      <c r="C3100" s="45">
        <v>2009</v>
      </c>
      <c r="D3100" s="351" t="s">
        <v>23</v>
      </c>
      <c r="E3100" s="30" t="s">
        <v>24</v>
      </c>
      <c r="F3100" s="7" t="s">
        <v>77</v>
      </c>
      <c r="G3100" s="25" t="s">
        <v>4673</v>
      </c>
      <c r="H3100" s="25" t="s">
        <v>4674</v>
      </c>
      <c r="I3100" s="46">
        <v>0</v>
      </c>
      <c r="J3100" s="46">
        <v>6168</v>
      </c>
      <c r="K3100" s="46">
        <v>0</v>
      </c>
      <c r="L3100" s="46">
        <v>0</v>
      </c>
      <c r="M3100" s="46">
        <v>0</v>
      </c>
      <c r="N3100" s="46">
        <v>0</v>
      </c>
      <c r="O3100" s="124">
        <v>17529.88</v>
      </c>
      <c r="P3100" s="102">
        <f>(O3100*2.79*2414.89)/1000000</f>
        <v>118.108322037828</v>
      </c>
      <c r="Q3100" s="45" t="s">
        <v>4663</v>
      </c>
    </row>
    <row r="3101" spans="1:17" ht="60" x14ac:dyDescent="0.25">
      <c r="A3101" s="21">
        <v>39995</v>
      </c>
      <c r="B3101" s="21">
        <v>39995</v>
      </c>
      <c r="C3101" s="45">
        <v>2009</v>
      </c>
      <c r="D3101" s="351" t="s">
        <v>23</v>
      </c>
      <c r="E3101" s="30" t="s">
        <v>24</v>
      </c>
      <c r="F3101" s="7" t="s">
        <v>77</v>
      </c>
      <c r="G3101" s="25" t="s">
        <v>4675</v>
      </c>
      <c r="H3101" s="25" t="s">
        <v>4676</v>
      </c>
      <c r="I3101" s="46">
        <v>0</v>
      </c>
      <c r="J3101" s="46">
        <v>4481</v>
      </c>
      <c r="K3101" s="46">
        <v>0</v>
      </c>
      <c r="L3101" s="46">
        <v>0</v>
      </c>
      <c r="M3101" s="46">
        <v>0</v>
      </c>
      <c r="N3101" s="46">
        <v>0</v>
      </c>
      <c r="O3101" s="124">
        <v>12991.43</v>
      </c>
      <c r="P3101" s="102">
        <f>(O3101*0.89*6424.19)/1000000</f>
        <v>74.278879075612991</v>
      </c>
      <c r="Q3101" s="45" t="s">
        <v>4663</v>
      </c>
    </row>
    <row r="3102" spans="1:17" ht="120" x14ac:dyDescent="0.25">
      <c r="A3102" s="21">
        <v>39995</v>
      </c>
      <c r="B3102" s="21">
        <v>39995</v>
      </c>
      <c r="C3102" s="45">
        <v>2009</v>
      </c>
      <c r="D3102" s="351" t="s">
        <v>23</v>
      </c>
      <c r="E3102" s="30" t="s">
        <v>24</v>
      </c>
      <c r="F3102" s="7" t="s">
        <v>56</v>
      </c>
      <c r="G3102" s="25" t="s">
        <v>4677</v>
      </c>
      <c r="H3102" s="25" t="s">
        <v>4678</v>
      </c>
      <c r="I3102" s="46">
        <v>0</v>
      </c>
      <c r="J3102" s="46">
        <v>8756</v>
      </c>
      <c r="K3102" s="46">
        <v>0</v>
      </c>
      <c r="L3102" s="46">
        <v>0</v>
      </c>
      <c r="M3102" s="46">
        <v>0</v>
      </c>
      <c r="N3102" s="46">
        <v>0</v>
      </c>
      <c r="O3102" s="124">
        <v>32779.32</v>
      </c>
      <c r="P3102" s="102">
        <f>(O3102*4.22*2575.67)/1000000</f>
        <v>356.28916102936796</v>
      </c>
      <c r="Q3102" s="45" t="s">
        <v>4663</v>
      </c>
    </row>
    <row r="3103" spans="1:17" ht="60" x14ac:dyDescent="0.25">
      <c r="A3103" s="21">
        <v>39965</v>
      </c>
      <c r="B3103" s="21">
        <v>39965</v>
      </c>
      <c r="C3103" s="45">
        <v>2009</v>
      </c>
      <c r="D3103" s="351" t="s">
        <v>23</v>
      </c>
      <c r="E3103" s="30" t="s">
        <v>24</v>
      </c>
      <c r="F3103" s="7" t="s">
        <v>82</v>
      </c>
      <c r="G3103" s="25" t="s">
        <v>4679</v>
      </c>
      <c r="H3103" s="25" t="s">
        <v>4680</v>
      </c>
      <c r="I3103" s="46">
        <v>0</v>
      </c>
      <c r="J3103" s="46">
        <v>2737</v>
      </c>
      <c r="K3103" s="46">
        <v>0</v>
      </c>
      <c r="L3103" s="46">
        <v>0</v>
      </c>
      <c r="M3103" s="46">
        <v>0</v>
      </c>
      <c r="N3103" s="46">
        <v>0</v>
      </c>
      <c r="O3103" s="124">
        <v>6843</v>
      </c>
      <c r="P3103" s="102">
        <f>(O3103*10.5*3053.49)/1000000</f>
        <v>219.397836735</v>
      </c>
      <c r="Q3103" s="45" t="s">
        <v>4663</v>
      </c>
    </row>
    <row r="3104" spans="1:17" ht="312" x14ac:dyDescent="0.25">
      <c r="A3104" s="21">
        <v>39965</v>
      </c>
      <c r="B3104" s="21">
        <v>39965</v>
      </c>
      <c r="C3104" s="45">
        <v>2009</v>
      </c>
      <c r="D3104" s="351" t="s">
        <v>23</v>
      </c>
      <c r="E3104" s="30" t="s">
        <v>24</v>
      </c>
      <c r="F3104" s="7" t="s">
        <v>75</v>
      </c>
      <c r="G3104" s="25" t="s">
        <v>4681</v>
      </c>
      <c r="H3104" s="25" t="s">
        <v>4682</v>
      </c>
      <c r="I3104" s="124">
        <v>0</v>
      </c>
      <c r="J3104" s="46">
        <v>13816</v>
      </c>
      <c r="K3104" s="46">
        <v>0</v>
      </c>
      <c r="L3104" s="46">
        <v>0</v>
      </c>
      <c r="M3104" s="46">
        <v>0</v>
      </c>
      <c r="N3104" s="46">
        <v>0</v>
      </c>
      <c r="O3104" s="124">
        <v>38675.870000000003</v>
      </c>
      <c r="P3104" s="102">
        <f>(O3104*1.86*2846.2)/1000000</f>
        <v>204.74742582084002</v>
      </c>
      <c r="Q3104" s="45" t="s">
        <v>4663</v>
      </c>
    </row>
    <row r="3105" spans="1:17" ht="228" x14ac:dyDescent="0.25">
      <c r="A3105" s="21">
        <v>39934</v>
      </c>
      <c r="B3105" s="21">
        <v>39934</v>
      </c>
      <c r="C3105" s="45">
        <v>2009</v>
      </c>
      <c r="D3105" s="351" t="s">
        <v>23</v>
      </c>
      <c r="E3105" s="30" t="s">
        <v>24</v>
      </c>
      <c r="F3105" s="28" t="s">
        <v>163</v>
      </c>
      <c r="G3105" s="25" t="s">
        <v>4683</v>
      </c>
      <c r="H3105" s="25" t="s">
        <v>4684</v>
      </c>
      <c r="I3105" s="46">
        <v>0</v>
      </c>
      <c r="J3105" s="46">
        <v>943</v>
      </c>
      <c r="K3105" s="46">
        <v>0</v>
      </c>
      <c r="L3105" s="46">
        <v>0</v>
      </c>
      <c r="M3105" s="46">
        <v>0</v>
      </c>
      <c r="N3105" s="46">
        <v>0</v>
      </c>
      <c r="O3105" s="124" t="s">
        <v>4666</v>
      </c>
      <c r="P3105" s="102">
        <f>(4692.5*9666.2)/1000000</f>
        <v>45.358643499999999</v>
      </c>
      <c r="Q3105" s="45" t="s">
        <v>4663</v>
      </c>
    </row>
    <row r="3106" spans="1:17" ht="36" x14ac:dyDescent="0.25">
      <c r="A3106" s="21">
        <v>39995</v>
      </c>
      <c r="B3106" s="21">
        <v>39995</v>
      </c>
      <c r="C3106" s="45">
        <v>2009</v>
      </c>
      <c r="D3106" s="351" t="s">
        <v>23</v>
      </c>
      <c r="E3106" s="30" t="s">
        <v>24</v>
      </c>
      <c r="F3106" s="7" t="s">
        <v>72</v>
      </c>
      <c r="G3106" s="25" t="s">
        <v>4685</v>
      </c>
      <c r="H3106" s="25" t="s">
        <v>4686</v>
      </c>
      <c r="I3106" s="46"/>
      <c r="J3106" s="46">
        <v>47814</v>
      </c>
      <c r="K3106" s="46"/>
      <c r="L3106" s="46"/>
      <c r="M3106" s="46"/>
      <c r="N3106" s="46">
        <v>0</v>
      </c>
      <c r="O3106" s="124">
        <v>62745.5</v>
      </c>
      <c r="P3106" s="102">
        <f>(O3106*1.32*3458.55)/1000000</f>
        <v>286.451152713</v>
      </c>
      <c r="Q3106" s="45" t="s">
        <v>4663</v>
      </c>
    </row>
    <row r="3107" spans="1:17" ht="48" x14ac:dyDescent="0.25">
      <c r="A3107" s="21">
        <v>39995</v>
      </c>
      <c r="B3107" s="21">
        <v>39995</v>
      </c>
      <c r="C3107" s="45">
        <v>2009</v>
      </c>
      <c r="D3107" s="351" t="s">
        <v>23</v>
      </c>
      <c r="E3107" s="30" t="s">
        <v>24</v>
      </c>
      <c r="F3107" s="7" t="s">
        <v>62</v>
      </c>
      <c r="G3107" s="25" t="s">
        <v>4687</v>
      </c>
      <c r="H3107" s="25" t="s">
        <v>4688</v>
      </c>
      <c r="I3107" s="46">
        <v>0</v>
      </c>
      <c r="J3107" s="46">
        <v>2906</v>
      </c>
      <c r="K3107" s="46">
        <v>0</v>
      </c>
      <c r="L3107" s="46">
        <v>0</v>
      </c>
      <c r="M3107" s="46">
        <v>0</v>
      </c>
      <c r="N3107" s="46">
        <v>0</v>
      </c>
      <c r="O3107" s="124">
        <v>10040.540000000001</v>
      </c>
      <c r="P3107" s="102">
        <f>(O3107*3.51*2632.78)/1000000</f>
        <v>92.785210483212012</v>
      </c>
      <c r="Q3107" s="45" t="s">
        <v>4663</v>
      </c>
    </row>
    <row r="3108" spans="1:17" ht="48" x14ac:dyDescent="0.25">
      <c r="A3108" s="21">
        <v>39995</v>
      </c>
      <c r="B3108" s="21">
        <v>39995</v>
      </c>
      <c r="C3108" s="45">
        <v>2009</v>
      </c>
      <c r="D3108" s="351" t="s">
        <v>23</v>
      </c>
      <c r="E3108" s="30" t="s">
        <v>24</v>
      </c>
      <c r="F3108" s="7" t="s">
        <v>49</v>
      </c>
      <c r="G3108" s="25" t="s">
        <v>4689</v>
      </c>
      <c r="H3108" s="25" t="s">
        <v>4690</v>
      </c>
      <c r="I3108" s="46">
        <v>0</v>
      </c>
      <c r="J3108" s="46">
        <v>460</v>
      </c>
      <c r="K3108" s="46">
        <v>0</v>
      </c>
      <c r="L3108" s="46">
        <v>0</v>
      </c>
      <c r="M3108" s="46">
        <v>0</v>
      </c>
      <c r="N3108" s="46">
        <v>0</v>
      </c>
      <c r="O3108" s="20">
        <v>0</v>
      </c>
      <c r="P3108" s="102">
        <f>(12075*4692.5)/1000000</f>
        <v>56.661937500000001</v>
      </c>
      <c r="Q3108" s="45" t="s">
        <v>4663</v>
      </c>
    </row>
    <row r="3109" spans="1:17" ht="48" x14ac:dyDescent="0.25">
      <c r="A3109" s="21">
        <v>39995</v>
      </c>
      <c r="B3109" s="21">
        <v>39995</v>
      </c>
      <c r="C3109" s="45">
        <v>2009</v>
      </c>
      <c r="D3109" s="351" t="s">
        <v>23</v>
      </c>
      <c r="E3109" s="30" t="s">
        <v>24</v>
      </c>
      <c r="F3109" s="7" t="s">
        <v>56</v>
      </c>
      <c r="G3109" s="25" t="s">
        <v>4691</v>
      </c>
      <c r="H3109" s="25" t="s">
        <v>4692</v>
      </c>
      <c r="I3109" s="46">
        <v>0</v>
      </c>
      <c r="J3109" s="46">
        <v>529</v>
      </c>
      <c r="K3109" s="46">
        <v>0</v>
      </c>
      <c r="L3109" s="46">
        <v>0</v>
      </c>
      <c r="M3109" s="46">
        <v>0</v>
      </c>
      <c r="N3109" s="46">
        <v>0</v>
      </c>
      <c r="O3109" s="124">
        <v>1002.07</v>
      </c>
      <c r="P3109" s="102">
        <f>(O3109*4.22*2575.67)/1000000</f>
        <v>10.891826907717999</v>
      </c>
      <c r="Q3109" s="45" t="s">
        <v>4663</v>
      </c>
    </row>
    <row r="3110" spans="1:17" ht="96" x14ac:dyDescent="0.25">
      <c r="A3110" s="21">
        <v>39995</v>
      </c>
      <c r="B3110" s="21">
        <v>39995</v>
      </c>
      <c r="C3110" s="45">
        <v>2009</v>
      </c>
      <c r="D3110" s="351" t="s">
        <v>23</v>
      </c>
      <c r="E3110" s="30" t="s">
        <v>24</v>
      </c>
      <c r="F3110" s="7" t="s">
        <v>101</v>
      </c>
      <c r="G3110" s="25" t="s">
        <v>4693</v>
      </c>
      <c r="H3110" s="25" t="s">
        <v>4694</v>
      </c>
      <c r="I3110" s="46">
        <v>0</v>
      </c>
      <c r="J3110" s="46">
        <v>11603</v>
      </c>
      <c r="K3110" s="46">
        <v>0</v>
      </c>
      <c r="L3110" s="46">
        <v>0</v>
      </c>
      <c r="M3110" s="46">
        <v>0</v>
      </c>
      <c r="N3110" s="46">
        <v>0</v>
      </c>
      <c r="O3110" s="124">
        <v>40345.360000000001</v>
      </c>
      <c r="P3110" s="102">
        <f>((O3110*1.63*2801.29)+23522.43*4692.5)/1000000</f>
        <v>294.60006000347198</v>
      </c>
      <c r="Q3110" s="45" t="s">
        <v>4663</v>
      </c>
    </row>
    <row r="3111" spans="1:17" ht="48" x14ac:dyDescent="0.25">
      <c r="A3111" s="21">
        <v>40026</v>
      </c>
      <c r="B3111" s="21">
        <v>40026</v>
      </c>
      <c r="C3111" s="45">
        <v>2009</v>
      </c>
      <c r="D3111" s="351" t="s">
        <v>23</v>
      </c>
      <c r="E3111" s="30" t="s">
        <v>24</v>
      </c>
      <c r="F3111" s="7" t="s">
        <v>75</v>
      </c>
      <c r="G3111" s="25" t="s">
        <v>4695</v>
      </c>
      <c r="H3111" s="25" t="s">
        <v>4696</v>
      </c>
      <c r="I3111" s="46">
        <v>0</v>
      </c>
      <c r="J3111" s="46">
        <v>526</v>
      </c>
      <c r="K3111" s="46">
        <v>0</v>
      </c>
      <c r="L3111" s="46">
        <v>0</v>
      </c>
      <c r="M3111" s="46">
        <v>0</v>
      </c>
      <c r="N3111" s="46">
        <v>0</v>
      </c>
      <c r="O3111" s="124">
        <v>1165.18</v>
      </c>
      <c r="P3111" s="102">
        <f>(O3111*1.86*2846.2)/1000000</f>
        <v>6.1683836877600005</v>
      </c>
      <c r="Q3111" s="45" t="s">
        <v>4663</v>
      </c>
    </row>
    <row r="3112" spans="1:17" ht="276" x14ac:dyDescent="0.25">
      <c r="A3112" s="21">
        <v>39965</v>
      </c>
      <c r="B3112" s="21">
        <v>39965</v>
      </c>
      <c r="C3112" s="45">
        <v>2009</v>
      </c>
      <c r="D3112" s="351" t="s">
        <v>23</v>
      </c>
      <c r="E3112" s="30" t="s">
        <v>24</v>
      </c>
      <c r="F3112" s="7" t="s">
        <v>75</v>
      </c>
      <c r="G3112" s="25" t="s">
        <v>4697</v>
      </c>
      <c r="H3112" s="25" t="s">
        <v>4698</v>
      </c>
      <c r="I3112" s="46">
        <v>0</v>
      </c>
      <c r="J3112" s="46">
        <v>13326</v>
      </c>
      <c r="K3112" s="46">
        <v>0</v>
      </c>
      <c r="L3112" s="46">
        <v>0</v>
      </c>
      <c r="M3112" s="46">
        <v>0</v>
      </c>
      <c r="N3112" s="46">
        <v>0</v>
      </c>
      <c r="O3112" s="124">
        <v>37510.69</v>
      </c>
      <c r="P3112" s="102">
        <f>((O3112*1.86*2846.2)+726*4692.5)/1000000</f>
        <v>201.98579713308001</v>
      </c>
      <c r="Q3112" s="45" t="s">
        <v>4663</v>
      </c>
    </row>
    <row r="3113" spans="1:17" ht="48" x14ac:dyDescent="0.25">
      <c r="A3113" s="21">
        <v>39995</v>
      </c>
      <c r="B3113" s="21">
        <v>39995</v>
      </c>
      <c r="C3113" s="45">
        <v>2009</v>
      </c>
      <c r="D3113" s="351" t="s">
        <v>23</v>
      </c>
      <c r="E3113" s="30" t="s">
        <v>24</v>
      </c>
      <c r="F3113" s="7" t="s">
        <v>62</v>
      </c>
      <c r="G3113" s="25" t="s">
        <v>4699</v>
      </c>
      <c r="H3113" s="25" t="s">
        <v>4700</v>
      </c>
      <c r="I3113" s="46">
        <v>0</v>
      </c>
      <c r="J3113" s="46">
        <v>4695</v>
      </c>
      <c r="K3113" s="46">
        <v>0</v>
      </c>
      <c r="L3113" s="46">
        <v>0</v>
      </c>
      <c r="M3113" s="46">
        <v>0</v>
      </c>
      <c r="N3113" s="46">
        <v>0</v>
      </c>
      <c r="O3113" s="124">
        <v>17149.009999999998</v>
      </c>
      <c r="P3113" s="102">
        <f>(O3113*3.51*2632.78)/1000000</f>
        <v>158.47499262277799</v>
      </c>
      <c r="Q3113" s="45" t="s">
        <v>4663</v>
      </c>
    </row>
    <row r="3114" spans="1:17" ht="108" x14ac:dyDescent="0.25">
      <c r="A3114" s="21">
        <v>39965</v>
      </c>
      <c r="B3114" s="21">
        <v>39965</v>
      </c>
      <c r="C3114" s="45">
        <v>2009</v>
      </c>
      <c r="D3114" s="351" t="s">
        <v>23</v>
      </c>
      <c r="E3114" s="30" t="s">
        <v>24</v>
      </c>
      <c r="F3114" s="28" t="s">
        <v>163</v>
      </c>
      <c r="G3114" s="25" t="s">
        <v>4701</v>
      </c>
      <c r="H3114" s="25" t="s">
        <v>4702</v>
      </c>
      <c r="I3114" s="46">
        <v>0</v>
      </c>
      <c r="J3114" s="46">
        <v>539</v>
      </c>
      <c r="K3114" s="46">
        <v>0</v>
      </c>
      <c r="L3114" s="46">
        <v>0</v>
      </c>
      <c r="M3114" s="46">
        <v>0</v>
      </c>
      <c r="N3114" s="46">
        <v>0</v>
      </c>
      <c r="O3114" s="124">
        <v>0</v>
      </c>
      <c r="P3114" s="102">
        <f>(8730*4692.5)/1000000</f>
        <v>40.965525</v>
      </c>
      <c r="Q3114" s="45" t="s">
        <v>4663</v>
      </c>
    </row>
    <row r="3115" spans="1:17" ht="48" x14ac:dyDescent="0.25">
      <c r="A3115" s="21">
        <v>39995</v>
      </c>
      <c r="B3115" s="21">
        <v>39995</v>
      </c>
      <c r="C3115" s="45">
        <v>2009</v>
      </c>
      <c r="D3115" s="351" t="s">
        <v>23</v>
      </c>
      <c r="E3115" s="30" t="s">
        <v>24</v>
      </c>
      <c r="F3115" s="7" t="s">
        <v>62</v>
      </c>
      <c r="G3115" s="25" t="s">
        <v>4703</v>
      </c>
      <c r="H3115" s="25" t="s">
        <v>4704</v>
      </c>
      <c r="I3115" s="46">
        <v>0</v>
      </c>
      <c r="J3115" s="46">
        <v>321</v>
      </c>
      <c r="K3115" s="46">
        <v>0</v>
      </c>
      <c r="L3115" s="46">
        <v>0</v>
      </c>
      <c r="M3115" s="46">
        <v>0</v>
      </c>
      <c r="N3115" s="46">
        <v>0</v>
      </c>
      <c r="O3115" s="124">
        <v>945.63</v>
      </c>
      <c r="P3115" s="102">
        <f>(O3115*3.51*2632.78)/1000000</f>
        <v>8.7386214874140009</v>
      </c>
      <c r="Q3115" s="45" t="s">
        <v>4663</v>
      </c>
    </row>
    <row r="3116" spans="1:17" ht="36" x14ac:dyDescent="0.25">
      <c r="A3116" s="21">
        <v>39814</v>
      </c>
      <c r="B3116" s="21">
        <v>40178</v>
      </c>
      <c r="C3116" s="45">
        <v>2009</v>
      </c>
      <c r="D3116" s="351" t="s">
        <v>23</v>
      </c>
      <c r="E3116" s="30" t="s">
        <v>4705</v>
      </c>
      <c r="F3116" s="7" t="s">
        <v>40</v>
      </c>
      <c r="G3116" s="126"/>
      <c r="H3116" s="126" t="s">
        <v>4706</v>
      </c>
      <c r="I3116" s="46">
        <v>13</v>
      </c>
      <c r="J3116" s="46">
        <v>0</v>
      </c>
      <c r="K3116" s="46">
        <v>0</v>
      </c>
      <c r="L3116" s="46">
        <v>0</v>
      </c>
      <c r="M3116" s="46">
        <v>0</v>
      </c>
      <c r="N3116" s="46">
        <v>0</v>
      </c>
      <c r="O3116" s="46">
        <v>0</v>
      </c>
      <c r="P3116" s="102">
        <v>0</v>
      </c>
      <c r="Q3116" s="45" t="s">
        <v>2218</v>
      </c>
    </row>
    <row r="3117" spans="1:17" ht="24" x14ac:dyDescent="0.25">
      <c r="A3117" s="21">
        <v>39814</v>
      </c>
      <c r="B3117" s="21">
        <v>40178</v>
      </c>
      <c r="C3117" s="45">
        <v>2009</v>
      </c>
      <c r="D3117" s="351" t="s">
        <v>23</v>
      </c>
      <c r="E3117" s="30" t="s">
        <v>4705</v>
      </c>
      <c r="F3117" s="7" t="s">
        <v>49</v>
      </c>
      <c r="G3117" s="126"/>
      <c r="H3117" s="126" t="s">
        <v>4707</v>
      </c>
      <c r="I3117" s="46">
        <v>1</v>
      </c>
      <c r="J3117" s="46">
        <v>0</v>
      </c>
      <c r="K3117" s="46">
        <v>0</v>
      </c>
      <c r="L3117" s="46">
        <v>0</v>
      </c>
      <c r="M3117" s="46">
        <v>0</v>
      </c>
      <c r="N3117" s="46">
        <v>0</v>
      </c>
      <c r="O3117" s="46">
        <v>0</v>
      </c>
      <c r="P3117" s="102">
        <v>0</v>
      </c>
      <c r="Q3117" s="45" t="s">
        <v>2218</v>
      </c>
    </row>
    <row r="3118" spans="1:17" ht="24" x14ac:dyDescent="0.25">
      <c r="A3118" s="21">
        <v>39814</v>
      </c>
      <c r="B3118" s="21">
        <v>40178</v>
      </c>
      <c r="C3118" s="45">
        <v>2009</v>
      </c>
      <c r="D3118" s="351" t="s">
        <v>23</v>
      </c>
      <c r="E3118" s="30" t="s">
        <v>4705</v>
      </c>
      <c r="F3118" s="7" t="s">
        <v>75</v>
      </c>
      <c r="G3118" s="126"/>
      <c r="H3118" s="126" t="s">
        <v>4708</v>
      </c>
      <c r="I3118" s="46">
        <v>2</v>
      </c>
      <c r="J3118" s="46">
        <v>0</v>
      </c>
      <c r="K3118" s="46">
        <v>0</v>
      </c>
      <c r="L3118" s="46">
        <v>0</v>
      </c>
      <c r="M3118" s="46">
        <v>0</v>
      </c>
      <c r="N3118" s="46">
        <v>0</v>
      </c>
      <c r="O3118" s="46">
        <v>0</v>
      </c>
      <c r="P3118" s="102">
        <v>0</v>
      </c>
      <c r="Q3118" s="45" t="s">
        <v>2218</v>
      </c>
    </row>
    <row r="3119" spans="1:17" ht="36" x14ac:dyDescent="0.25">
      <c r="A3119" s="21">
        <v>39814</v>
      </c>
      <c r="B3119" s="21">
        <v>40178</v>
      </c>
      <c r="C3119" s="45">
        <v>2009</v>
      </c>
      <c r="D3119" s="351" t="s">
        <v>23</v>
      </c>
      <c r="E3119" s="30" t="s">
        <v>4705</v>
      </c>
      <c r="F3119" s="7" t="s">
        <v>30</v>
      </c>
      <c r="G3119" s="126"/>
      <c r="H3119" s="126" t="s">
        <v>4709</v>
      </c>
      <c r="I3119" s="46">
        <v>3</v>
      </c>
      <c r="J3119" s="46">
        <v>0</v>
      </c>
      <c r="K3119" s="46">
        <v>0</v>
      </c>
      <c r="L3119" s="46">
        <v>0</v>
      </c>
      <c r="M3119" s="46">
        <v>0</v>
      </c>
      <c r="N3119" s="46">
        <v>0</v>
      </c>
      <c r="O3119" s="46">
        <v>0</v>
      </c>
      <c r="P3119" s="102">
        <v>0</v>
      </c>
      <c r="Q3119" s="45" t="s">
        <v>2218</v>
      </c>
    </row>
    <row r="3120" spans="1:17" ht="36" x14ac:dyDescent="0.25">
      <c r="A3120" s="21">
        <v>39814</v>
      </c>
      <c r="B3120" s="21">
        <v>40178</v>
      </c>
      <c r="C3120" s="45">
        <v>2009</v>
      </c>
      <c r="D3120" s="351" t="s">
        <v>23</v>
      </c>
      <c r="E3120" s="30" t="s">
        <v>4705</v>
      </c>
      <c r="F3120" s="28" t="s">
        <v>160</v>
      </c>
      <c r="G3120" s="126"/>
      <c r="H3120" s="126" t="s">
        <v>4710</v>
      </c>
      <c r="I3120" s="46">
        <v>2</v>
      </c>
      <c r="J3120" s="46">
        <v>0</v>
      </c>
      <c r="K3120" s="46">
        <v>0</v>
      </c>
      <c r="L3120" s="46">
        <v>0</v>
      </c>
      <c r="M3120" s="46">
        <v>0</v>
      </c>
      <c r="N3120" s="46">
        <v>0</v>
      </c>
      <c r="O3120" s="46">
        <v>0</v>
      </c>
      <c r="P3120" s="102">
        <v>0</v>
      </c>
      <c r="Q3120" s="45" t="s">
        <v>2218</v>
      </c>
    </row>
    <row r="3121" spans="1:17" ht="36" x14ac:dyDescent="0.25">
      <c r="A3121" s="21">
        <v>39814</v>
      </c>
      <c r="B3121" s="21">
        <v>40178</v>
      </c>
      <c r="C3121" s="45">
        <v>2009</v>
      </c>
      <c r="D3121" s="351" t="s">
        <v>23</v>
      </c>
      <c r="E3121" s="30" t="s">
        <v>4705</v>
      </c>
      <c r="F3121" s="7" t="s">
        <v>62</v>
      </c>
      <c r="G3121" s="126"/>
      <c r="H3121" s="126" t="s">
        <v>4711</v>
      </c>
      <c r="I3121" s="46">
        <v>6</v>
      </c>
      <c r="J3121" s="46">
        <v>0</v>
      </c>
      <c r="K3121" s="46">
        <v>0</v>
      </c>
      <c r="L3121" s="46">
        <v>0</v>
      </c>
      <c r="M3121" s="46">
        <v>0</v>
      </c>
      <c r="N3121" s="46">
        <v>0</v>
      </c>
      <c r="O3121" s="46">
        <v>0</v>
      </c>
      <c r="P3121" s="102">
        <v>0</v>
      </c>
      <c r="Q3121" s="45" t="s">
        <v>2218</v>
      </c>
    </row>
    <row r="3122" spans="1:17" ht="36" x14ac:dyDescent="0.25">
      <c r="A3122" s="21">
        <v>39814</v>
      </c>
      <c r="B3122" s="21">
        <v>40178</v>
      </c>
      <c r="C3122" s="45">
        <v>2009</v>
      </c>
      <c r="D3122" s="351" t="s">
        <v>23</v>
      </c>
      <c r="E3122" s="30" t="s">
        <v>4705</v>
      </c>
      <c r="F3122" s="7" t="s">
        <v>68</v>
      </c>
      <c r="G3122" s="126"/>
      <c r="H3122" s="126" t="s">
        <v>4712</v>
      </c>
      <c r="I3122" s="46">
        <v>2</v>
      </c>
      <c r="J3122" s="46">
        <v>0</v>
      </c>
      <c r="K3122" s="46">
        <v>0</v>
      </c>
      <c r="L3122" s="46">
        <v>0</v>
      </c>
      <c r="M3122" s="46">
        <v>0</v>
      </c>
      <c r="N3122" s="46">
        <v>0</v>
      </c>
      <c r="O3122" s="46">
        <v>0</v>
      </c>
      <c r="P3122" s="102">
        <v>0</v>
      </c>
      <c r="Q3122" s="45" t="s">
        <v>2218</v>
      </c>
    </row>
    <row r="3123" spans="1:17" ht="36" x14ac:dyDescent="0.25">
      <c r="A3123" s="21">
        <v>39814</v>
      </c>
      <c r="B3123" s="21">
        <v>40178</v>
      </c>
      <c r="C3123" s="45">
        <v>2009</v>
      </c>
      <c r="D3123" s="351" t="s">
        <v>23</v>
      </c>
      <c r="E3123" s="30" t="s">
        <v>4705</v>
      </c>
      <c r="F3123" s="7" t="s">
        <v>87</v>
      </c>
      <c r="G3123" s="126"/>
      <c r="H3123" s="126" t="s">
        <v>4713</v>
      </c>
      <c r="I3123" s="46">
        <v>9</v>
      </c>
      <c r="J3123" s="46">
        <v>0</v>
      </c>
      <c r="K3123" s="46">
        <v>0</v>
      </c>
      <c r="L3123" s="46">
        <v>0</v>
      </c>
      <c r="M3123" s="46">
        <v>0</v>
      </c>
      <c r="N3123" s="46">
        <v>0</v>
      </c>
      <c r="O3123" s="46">
        <v>0</v>
      </c>
      <c r="P3123" s="102">
        <v>0</v>
      </c>
      <c r="Q3123" s="45" t="s">
        <v>2218</v>
      </c>
    </row>
    <row r="3124" spans="1:17" ht="84" x14ac:dyDescent="0.25">
      <c r="A3124" s="21">
        <v>39844</v>
      </c>
      <c r="B3124" s="21">
        <v>39844</v>
      </c>
      <c r="C3124" s="45">
        <v>2009</v>
      </c>
      <c r="D3124" s="351" t="s">
        <v>23</v>
      </c>
      <c r="E3124" s="30" t="s">
        <v>2691</v>
      </c>
      <c r="F3124" s="7" t="s">
        <v>72</v>
      </c>
      <c r="G3124" s="25" t="s">
        <v>4028</v>
      </c>
      <c r="H3124" s="25" t="s">
        <v>4714</v>
      </c>
      <c r="I3124" s="46">
        <v>0</v>
      </c>
      <c r="J3124" s="46">
        <v>0</v>
      </c>
      <c r="K3124" s="46">
        <v>0</v>
      </c>
      <c r="L3124" s="46">
        <v>0</v>
      </c>
      <c r="M3124" s="46">
        <v>0</v>
      </c>
      <c r="N3124" s="46">
        <v>0</v>
      </c>
      <c r="O3124" s="46">
        <v>0</v>
      </c>
      <c r="P3124" s="102">
        <f>(450000*3)/1000000</f>
        <v>1.35</v>
      </c>
      <c r="Q3124" s="45" t="s">
        <v>154</v>
      </c>
    </row>
    <row r="3125" spans="1:17" ht="48" x14ac:dyDescent="0.25">
      <c r="A3125" s="21">
        <v>39846</v>
      </c>
      <c r="B3125" s="21">
        <v>39846</v>
      </c>
      <c r="C3125" s="45">
        <v>2009</v>
      </c>
      <c r="D3125" s="351" t="s">
        <v>23</v>
      </c>
      <c r="E3125" s="30" t="s">
        <v>2689</v>
      </c>
      <c r="F3125" s="7" t="s">
        <v>97</v>
      </c>
      <c r="G3125" s="25" t="s">
        <v>2977</v>
      </c>
      <c r="H3125" s="25" t="s">
        <v>4715</v>
      </c>
      <c r="I3125" s="46">
        <v>0</v>
      </c>
      <c r="J3125" s="46">
        <v>2000</v>
      </c>
      <c r="K3125" s="46">
        <v>0</v>
      </c>
      <c r="L3125" s="46">
        <v>0</v>
      </c>
      <c r="M3125" s="46">
        <v>0</v>
      </c>
      <c r="N3125" s="46">
        <v>0</v>
      </c>
      <c r="O3125" s="46">
        <v>0</v>
      </c>
      <c r="P3125" s="102">
        <v>1.8280000000000001</v>
      </c>
      <c r="Q3125" s="45" t="s">
        <v>186</v>
      </c>
    </row>
    <row r="3126" spans="1:17" ht="180" x14ac:dyDescent="0.25">
      <c r="A3126" s="21">
        <v>39864</v>
      </c>
      <c r="B3126" s="21">
        <v>39864</v>
      </c>
      <c r="C3126" s="45">
        <v>2009</v>
      </c>
      <c r="D3126" s="351" t="s">
        <v>23</v>
      </c>
      <c r="E3126" s="30" t="s">
        <v>2691</v>
      </c>
      <c r="F3126" s="28" t="s">
        <v>151</v>
      </c>
      <c r="G3126" s="25" t="s">
        <v>1477</v>
      </c>
      <c r="H3126" s="25" t="s">
        <v>4716</v>
      </c>
      <c r="I3126" s="46">
        <v>1</v>
      </c>
      <c r="J3126" s="46">
        <v>4</v>
      </c>
      <c r="K3126" s="46">
        <v>0</v>
      </c>
      <c r="L3126" s="46">
        <v>0</v>
      </c>
      <c r="M3126" s="46">
        <v>0</v>
      </c>
      <c r="N3126" s="46">
        <v>0</v>
      </c>
      <c r="O3126" s="124">
        <v>0</v>
      </c>
      <c r="P3126" s="102">
        <v>0</v>
      </c>
      <c r="Q3126" s="45" t="s">
        <v>154</v>
      </c>
    </row>
    <row r="3127" spans="1:17" ht="72" x14ac:dyDescent="0.25">
      <c r="A3127" s="21">
        <v>39865</v>
      </c>
      <c r="B3127" s="21">
        <v>39865</v>
      </c>
      <c r="C3127" s="45">
        <v>2009</v>
      </c>
      <c r="D3127" s="351" t="s">
        <v>23</v>
      </c>
      <c r="E3127" s="30" t="s">
        <v>2700</v>
      </c>
      <c r="F3127" s="7" t="s">
        <v>62</v>
      </c>
      <c r="G3127" s="25" t="s">
        <v>165</v>
      </c>
      <c r="H3127" s="25" t="s">
        <v>4717</v>
      </c>
      <c r="I3127" s="46">
        <v>0</v>
      </c>
      <c r="J3127" s="46">
        <v>30</v>
      </c>
      <c r="K3127" s="46">
        <v>6</v>
      </c>
      <c r="L3127" s="46">
        <v>0</v>
      </c>
      <c r="M3127" s="46">
        <v>0</v>
      </c>
      <c r="N3127" s="46">
        <v>0</v>
      </c>
      <c r="O3127" s="124">
        <v>0</v>
      </c>
      <c r="P3127" s="102">
        <f>(K3127*8738)/1000000</f>
        <v>5.2428000000000002E-2</v>
      </c>
      <c r="Q3127" s="45" t="s">
        <v>154</v>
      </c>
    </row>
    <row r="3128" spans="1:17" ht="72" x14ac:dyDescent="0.25">
      <c r="A3128" s="21">
        <v>39872</v>
      </c>
      <c r="B3128" s="21">
        <v>39872</v>
      </c>
      <c r="C3128" s="45">
        <v>2009</v>
      </c>
      <c r="D3128" s="351" t="s">
        <v>23</v>
      </c>
      <c r="E3128" s="30" t="s">
        <v>2691</v>
      </c>
      <c r="F3128" s="28" t="s">
        <v>210</v>
      </c>
      <c r="G3128" s="25" t="s">
        <v>4718</v>
      </c>
      <c r="H3128" s="25" t="s">
        <v>4719</v>
      </c>
      <c r="I3128" s="46">
        <v>0</v>
      </c>
      <c r="J3128" s="46">
        <v>250</v>
      </c>
      <c r="K3128" s="46">
        <v>50</v>
      </c>
      <c r="L3128" s="46">
        <v>0</v>
      </c>
      <c r="M3128" s="46">
        <v>0</v>
      </c>
      <c r="N3128" s="46">
        <v>0</v>
      </c>
      <c r="O3128" s="124">
        <v>0</v>
      </c>
      <c r="P3128" s="102">
        <f>(K3128*5120)/1000000</f>
        <v>0.25600000000000001</v>
      </c>
      <c r="Q3128" s="45" t="s">
        <v>154</v>
      </c>
    </row>
    <row r="3129" spans="1:17" ht="60" x14ac:dyDescent="0.25">
      <c r="A3129" s="21">
        <v>39874</v>
      </c>
      <c r="B3129" s="21">
        <v>39874</v>
      </c>
      <c r="C3129" s="45">
        <v>2009</v>
      </c>
      <c r="D3129" s="351" t="s">
        <v>23</v>
      </c>
      <c r="E3129" s="30" t="s">
        <v>2689</v>
      </c>
      <c r="F3129" s="28" t="s">
        <v>210</v>
      </c>
      <c r="G3129" s="25" t="s">
        <v>4720</v>
      </c>
      <c r="H3129" s="25" t="s">
        <v>4721</v>
      </c>
      <c r="I3129" s="46">
        <v>0</v>
      </c>
      <c r="J3129" s="46">
        <v>6400</v>
      </c>
      <c r="K3129" s="46">
        <v>0</v>
      </c>
      <c r="L3129" s="46">
        <v>0</v>
      </c>
      <c r="M3129" s="46">
        <v>0</v>
      </c>
      <c r="N3129" s="46">
        <v>0</v>
      </c>
      <c r="O3129" s="124">
        <v>0</v>
      </c>
      <c r="P3129" s="102">
        <v>2.1240000000000001</v>
      </c>
      <c r="Q3129" s="45" t="s">
        <v>186</v>
      </c>
    </row>
    <row r="3130" spans="1:17" ht="24" x14ac:dyDescent="0.25">
      <c r="A3130" s="21">
        <v>39884</v>
      </c>
      <c r="B3130" s="21">
        <v>39884</v>
      </c>
      <c r="C3130" s="45">
        <v>2009</v>
      </c>
      <c r="D3130" s="351" t="s">
        <v>23</v>
      </c>
      <c r="E3130" s="30" t="s">
        <v>2700</v>
      </c>
      <c r="F3130" s="7" t="s">
        <v>97</v>
      </c>
      <c r="G3130" s="25" t="s">
        <v>4722</v>
      </c>
      <c r="H3130" s="25" t="s">
        <v>4723</v>
      </c>
      <c r="I3130" s="46">
        <v>0</v>
      </c>
      <c r="J3130" s="46">
        <v>20</v>
      </c>
      <c r="K3130" s="46">
        <v>4</v>
      </c>
      <c r="L3130" s="46">
        <v>0</v>
      </c>
      <c r="M3130" s="46">
        <v>0</v>
      </c>
      <c r="N3130" s="46">
        <v>0</v>
      </c>
      <c r="O3130" s="124">
        <v>0</v>
      </c>
      <c r="P3130" s="102">
        <f>(K3130*8738)/1000000</f>
        <v>3.4951999999999997E-2</v>
      </c>
      <c r="Q3130" s="45" t="s">
        <v>154</v>
      </c>
    </row>
    <row r="3131" spans="1:17" ht="132" x14ac:dyDescent="0.25">
      <c r="A3131" s="21">
        <v>39897</v>
      </c>
      <c r="B3131" s="21">
        <v>39897</v>
      </c>
      <c r="C3131" s="45">
        <v>2009</v>
      </c>
      <c r="D3131" s="351" t="s">
        <v>23</v>
      </c>
      <c r="E3131" s="30" t="s">
        <v>2700</v>
      </c>
      <c r="F3131" s="7" t="s">
        <v>45</v>
      </c>
      <c r="G3131" s="25" t="s">
        <v>4724</v>
      </c>
      <c r="H3131" s="25" t="s">
        <v>4725</v>
      </c>
      <c r="I3131" s="46">
        <v>0</v>
      </c>
      <c r="J3131" s="46">
        <v>2</v>
      </c>
      <c r="K3131" s="46">
        <v>150</v>
      </c>
      <c r="L3131" s="46">
        <v>0</v>
      </c>
      <c r="M3131" s="46">
        <v>0</v>
      </c>
      <c r="N3131" s="46">
        <v>0</v>
      </c>
      <c r="O3131" s="124">
        <v>0</v>
      </c>
      <c r="P3131" s="102">
        <f>(K3131*8738)/1000000</f>
        <v>1.3107</v>
      </c>
      <c r="Q3131" s="45" t="s">
        <v>154</v>
      </c>
    </row>
    <row r="3132" spans="1:17" ht="156" x14ac:dyDescent="0.25">
      <c r="A3132" s="21">
        <v>39899</v>
      </c>
      <c r="B3132" s="21">
        <v>39899</v>
      </c>
      <c r="C3132" s="45">
        <v>2009</v>
      </c>
      <c r="D3132" s="351" t="s">
        <v>23</v>
      </c>
      <c r="E3132" s="30" t="s">
        <v>2691</v>
      </c>
      <c r="F3132" s="7" t="s">
        <v>36</v>
      </c>
      <c r="G3132" s="25" t="s">
        <v>4726</v>
      </c>
      <c r="H3132" s="25" t="s">
        <v>4727</v>
      </c>
      <c r="I3132" s="46">
        <v>0</v>
      </c>
      <c r="J3132" s="46">
        <v>82</v>
      </c>
      <c r="K3132" s="46">
        <v>12</v>
      </c>
      <c r="L3132" s="46">
        <v>3</v>
      </c>
      <c r="M3132" s="46">
        <v>0</v>
      </c>
      <c r="N3132" s="46">
        <v>0</v>
      </c>
      <c r="O3132" s="124">
        <v>0</v>
      </c>
      <c r="P3132" s="102">
        <f>(822500+104856)/1000000</f>
        <v>0.92735599999999996</v>
      </c>
      <c r="Q3132" s="45" t="s">
        <v>154</v>
      </c>
    </row>
    <row r="3133" spans="1:17" ht="96.75" x14ac:dyDescent="0.25">
      <c r="A3133" s="21">
        <v>39904</v>
      </c>
      <c r="B3133" s="21">
        <v>39904</v>
      </c>
      <c r="C3133" s="45">
        <v>2009</v>
      </c>
      <c r="D3133" s="351" t="s">
        <v>23</v>
      </c>
      <c r="E3133" s="30" t="s">
        <v>2691</v>
      </c>
      <c r="F3133" s="7" t="s">
        <v>75</v>
      </c>
      <c r="G3133" s="25" t="s">
        <v>4728</v>
      </c>
      <c r="H3133" s="55" t="s">
        <v>4729</v>
      </c>
      <c r="I3133" s="46">
        <v>0</v>
      </c>
      <c r="J3133" s="46">
        <v>0</v>
      </c>
      <c r="K3133" s="46">
        <v>32</v>
      </c>
      <c r="L3133" s="46">
        <v>0</v>
      </c>
      <c r="M3133" s="46">
        <v>0</v>
      </c>
      <c r="N3133" s="46">
        <v>0</v>
      </c>
      <c r="O3133" s="124">
        <v>0</v>
      </c>
      <c r="P3133" s="102">
        <f>(K3133*8738)/1000000</f>
        <v>0.27961599999999998</v>
      </c>
      <c r="Q3133" s="45" t="s">
        <v>154</v>
      </c>
    </row>
    <row r="3134" spans="1:17" ht="36.75" x14ac:dyDescent="0.25">
      <c r="A3134" s="21">
        <v>39907</v>
      </c>
      <c r="B3134" s="21">
        <v>39907</v>
      </c>
      <c r="C3134" s="45">
        <v>2009</v>
      </c>
      <c r="D3134" s="351" t="s">
        <v>23</v>
      </c>
      <c r="E3134" s="30" t="s">
        <v>2700</v>
      </c>
      <c r="F3134" s="28" t="s">
        <v>210</v>
      </c>
      <c r="G3134" s="25" t="s">
        <v>4730</v>
      </c>
      <c r="H3134" s="55" t="s">
        <v>4731</v>
      </c>
      <c r="I3134" s="46">
        <v>0</v>
      </c>
      <c r="J3134" s="46">
        <v>2280</v>
      </c>
      <c r="K3134" s="46">
        <v>456</v>
      </c>
      <c r="L3134" s="46">
        <v>0</v>
      </c>
      <c r="M3134" s="46">
        <v>0</v>
      </c>
      <c r="N3134" s="46">
        <v>0</v>
      </c>
      <c r="O3134" s="124">
        <v>0</v>
      </c>
      <c r="P3134" s="102">
        <f>(K3134*8738)/1000000</f>
        <v>3.9845280000000001</v>
      </c>
      <c r="Q3134" s="45" t="s">
        <v>154</v>
      </c>
    </row>
    <row r="3135" spans="1:17" ht="84" x14ac:dyDescent="0.25">
      <c r="A3135" s="21">
        <v>39943</v>
      </c>
      <c r="B3135" s="21">
        <v>39943</v>
      </c>
      <c r="C3135" s="45">
        <v>2009</v>
      </c>
      <c r="D3135" s="351" t="s">
        <v>23</v>
      </c>
      <c r="E3135" s="30" t="s">
        <v>2691</v>
      </c>
      <c r="F3135" s="7" t="s">
        <v>36</v>
      </c>
      <c r="G3135" s="25" t="s">
        <v>4732</v>
      </c>
      <c r="H3135" s="25" t="s">
        <v>4733</v>
      </c>
      <c r="I3135" s="46">
        <v>0</v>
      </c>
      <c r="J3135" s="46" t="s">
        <v>110</v>
      </c>
      <c r="K3135" s="46" t="s">
        <v>110</v>
      </c>
      <c r="L3135" s="46">
        <v>0</v>
      </c>
      <c r="M3135" s="46">
        <v>0</v>
      </c>
      <c r="N3135" s="46">
        <v>0</v>
      </c>
      <c r="O3135" s="124">
        <v>0</v>
      </c>
      <c r="P3135" s="102" t="s">
        <v>110</v>
      </c>
      <c r="Q3135" s="45" t="s">
        <v>154</v>
      </c>
    </row>
    <row r="3136" spans="1:17" ht="48" x14ac:dyDescent="0.25">
      <c r="A3136" s="21">
        <v>39958</v>
      </c>
      <c r="B3136" s="21">
        <v>39958</v>
      </c>
      <c r="C3136" s="45">
        <v>2009</v>
      </c>
      <c r="D3136" s="351" t="s">
        <v>23</v>
      </c>
      <c r="E3136" s="30" t="s">
        <v>2700</v>
      </c>
      <c r="F3136" s="28" t="s">
        <v>210</v>
      </c>
      <c r="G3136" s="25" t="s">
        <v>4734</v>
      </c>
      <c r="H3136" s="25" t="s">
        <v>4735</v>
      </c>
      <c r="I3136" s="46">
        <v>0</v>
      </c>
      <c r="J3136" s="46">
        <v>3325</v>
      </c>
      <c r="K3136" s="46">
        <v>665</v>
      </c>
      <c r="L3136" s="46">
        <v>0</v>
      </c>
      <c r="M3136" s="46">
        <v>0</v>
      </c>
      <c r="N3136" s="46">
        <v>0</v>
      </c>
      <c r="O3136" s="124">
        <v>0</v>
      </c>
      <c r="P3136" s="102">
        <f>(K3136*8738)/1000000</f>
        <v>5.8107699999999998</v>
      </c>
      <c r="Q3136" s="45" t="s">
        <v>154</v>
      </c>
    </row>
    <row r="3137" spans="1:17" ht="72" x14ac:dyDescent="0.25">
      <c r="A3137" s="21">
        <v>39963</v>
      </c>
      <c r="B3137" s="21">
        <v>39963</v>
      </c>
      <c r="C3137" s="45">
        <v>2009</v>
      </c>
      <c r="D3137" s="351" t="s">
        <v>23</v>
      </c>
      <c r="E3137" s="30" t="s">
        <v>2700</v>
      </c>
      <c r="F3137" s="7" t="s">
        <v>58</v>
      </c>
      <c r="G3137" s="25" t="s">
        <v>336</v>
      </c>
      <c r="H3137" s="25" t="s">
        <v>4736</v>
      </c>
      <c r="I3137" s="46">
        <v>0</v>
      </c>
      <c r="J3137" s="46">
        <v>175</v>
      </c>
      <c r="K3137" s="46">
        <v>35</v>
      </c>
      <c r="L3137" s="46">
        <v>0</v>
      </c>
      <c r="M3137" s="46">
        <v>0</v>
      </c>
      <c r="N3137" s="46">
        <v>0</v>
      </c>
      <c r="O3137" s="124">
        <v>0</v>
      </c>
      <c r="P3137" s="102">
        <f>(K3137*8738)/1000000</f>
        <v>0.30582999999999999</v>
      </c>
      <c r="Q3137" s="45" t="s">
        <v>154</v>
      </c>
    </row>
    <row r="3138" spans="1:17" ht="84" x14ac:dyDescent="0.25">
      <c r="A3138" s="21">
        <v>39993</v>
      </c>
      <c r="B3138" s="21">
        <v>39993</v>
      </c>
      <c r="C3138" s="45">
        <v>2009</v>
      </c>
      <c r="D3138" s="351" t="s">
        <v>23</v>
      </c>
      <c r="E3138" s="30" t="s">
        <v>2706</v>
      </c>
      <c r="F3138" s="7" t="s">
        <v>60</v>
      </c>
      <c r="G3138" s="25" t="s">
        <v>2671</v>
      </c>
      <c r="H3138" s="25" t="s">
        <v>4737</v>
      </c>
      <c r="I3138" s="46">
        <v>1</v>
      </c>
      <c r="J3138" s="46">
        <v>1</v>
      </c>
      <c r="K3138" s="46">
        <v>0</v>
      </c>
      <c r="L3138" s="46">
        <v>0</v>
      </c>
      <c r="M3138" s="46">
        <v>0</v>
      </c>
      <c r="N3138" s="46">
        <v>0</v>
      </c>
      <c r="O3138" s="124">
        <v>0</v>
      </c>
      <c r="P3138" s="102">
        <v>0</v>
      </c>
      <c r="Q3138" s="45" t="s">
        <v>154</v>
      </c>
    </row>
    <row r="3139" spans="1:17" ht="96" x14ac:dyDescent="0.25">
      <c r="A3139" s="21">
        <v>39995</v>
      </c>
      <c r="B3139" s="21">
        <v>39995</v>
      </c>
      <c r="C3139" s="45">
        <v>2009</v>
      </c>
      <c r="D3139" s="351" t="s">
        <v>23</v>
      </c>
      <c r="E3139" s="30" t="s">
        <v>2706</v>
      </c>
      <c r="F3139" s="7" t="s">
        <v>60</v>
      </c>
      <c r="G3139" s="25" t="s">
        <v>1605</v>
      </c>
      <c r="H3139" s="25" t="s">
        <v>4738</v>
      </c>
      <c r="I3139" s="46">
        <v>0</v>
      </c>
      <c r="J3139" s="46">
        <v>24</v>
      </c>
      <c r="K3139" s="46">
        <v>6</v>
      </c>
      <c r="L3139" s="46">
        <v>0</v>
      </c>
      <c r="M3139" s="46">
        <v>0</v>
      </c>
      <c r="N3139" s="46">
        <v>0</v>
      </c>
      <c r="O3139" s="124">
        <v>0</v>
      </c>
      <c r="P3139" s="102">
        <f>(K3139*8738)/1000000</f>
        <v>5.2428000000000002E-2</v>
      </c>
      <c r="Q3139" s="45" t="s">
        <v>154</v>
      </c>
    </row>
    <row r="3140" spans="1:17" ht="84" x14ac:dyDescent="0.25">
      <c r="A3140" s="21">
        <v>39996</v>
      </c>
      <c r="B3140" s="21">
        <v>39996</v>
      </c>
      <c r="C3140" s="45">
        <v>2009</v>
      </c>
      <c r="D3140" s="351" t="s">
        <v>23</v>
      </c>
      <c r="E3140" s="30" t="s">
        <v>2706</v>
      </c>
      <c r="F3140" s="7" t="s">
        <v>53</v>
      </c>
      <c r="G3140" s="25" t="s">
        <v>4554</v>
      </c>
      <c r="H3140" s="25" t="s">
        <v>4739</v>
      </c>
      <c r="I3140" s="46">
        <v>0</v>
      </c>
      <c r="J3140" s="46">
        <v>0</v>
      </c>
      <c r="K3140" s="46">
        <v>0</v>
      </c>
      <c r="L3140" s="46">
        <v>0</v>
      </c>
      <c r="M3140" s="46">
        <v>0</v>
      </c>
      <c r="N3140" s="46">
        <v>0</v>
      </c>
      <c r="O3140" s="124">
        <v>0</v>
      </c>
      <c r="P3140" s="102">
        <v>0</v>
      </c>
      <c r="Q3140" s="45" t="s">
        <v>154</v>
      </c>
    </row>
    <row r="3141" spans="1:17" x14ac:dyDescent="0.25">
      <c r="A3141" s="21">
        <v>40000</v>
      </c>
      <c r="B3141" s="21">
        <v>40000</v>
      </c>
      <c r="C3141" s="45">
        <v>2009</v>
      </c>
      <c r="D3141" s="351" t="s">
        <v>23</v>
      </c>
      <c r="E3141" s="30" t="s">
        <v>327</v>
      </c>
      <c r="F3141" s="7" t="s">
        <v>30</v>
      </c>
      <c r="G3141" s="25" t="s">
        <v>4740</v>
      </c>
      <c r="H3141" s="25" t="s">
        <v>4741</v>
      </c>
      <c r="I3141" s="46">
        <v>2</v>
      </c>
      <c r="J3141" s="46">
        <v>2</v>
      </c>
      <c r="K3141" s="46">
        <v>0</v>
      </c>
      <c r="L3141" s="46">
        <v>0</v>
      </c>
      <c r="M3141" s="46">
        <v>0</v>
      </c>
      <c r="N3141" s="46">
        <v>0</v>
      </c>
      <c r="O3141" s="124">
        <v>0</v>
      </c>
      <c r="P3141" s="102">
        <v>0</v>
      </c>
      <c r="Q3141" s="45" t="s">
        <v>154</v>
      </c>
    </row>
    <row r="3142" spans="1:17" ht="24" x14ac:dyDescent="0.25">
      <c r="A3142" s="21">
        <v>40004</v>
      </c>
      <c r="B3142" s="21">
        <v>40004</v>
      </c>
      <c r="C3142" s="45">
        <v>2009</v>
      </c>
      <c r="D3142" s="351" t="s">
        <v>23</v>
      </c>
      <c r="E3142" s="30" t="s">
        <v>327</v>
      </c>
      <c r="F3142" s="7" t="s">
        <v>45</v>
      </c>
      <c r="G3142" s="25" t="s">
        <v>4742</v>
      </c>
      <c r="H3142" s="25" t="s">
        <v>4743</v>
      </c>
      <c r="I3142" s="46">
        <v>2</v>
      </c>
      <c r="J3142" s="46">
        <v>2</v>
      </c>
      <c r="K3142" s="46">
        <v>0</v>
      </c>
      <c r="L3142" s="46">
        <v>0</v>
      </c>
      <c r="M3142" s="46">
        <v>0</v>
      </c>
      <c r="N3142" s="46">
        <v>0</v>
      </c>
      <c r="O3142" s="124">
        <v>0</v>
      </c>
      <c r="P3142" s="102">
        <v>0</v>
      </c>
      <c r="Q3142" s="45" t="s">
        <v>154</v>
      </c>
    </row>
    <row r="3143" spans="1:17" ht="24" x14ac:dyDescent="0.25">
      <c r="A3143" s="21">
        <v>39996</v>
      </c>
      <c r="B3143" s="21">
        <v>39996</v>
      </c>
      <c r="C3143" s="45">
        <v>2009</v>
      </c>
      <c r="D3143" s="351" t="s">
        <v>23</v>
      </c>
      <c r="E3143" s="30" t="s">
        <v>327</v>
      </c>
      <c r="F3143" s="7" t="s">
        <v>91</v>
      </c>
      <c r="G3143" s="25" t="s">
        <v>4744</v>
      </c>
      <c r="H3143" s="25" t="s">
        <v>4745</v>
      </c>
      <c r="I3143" s="46">
        <v>1</v>
      </c>
      <c r="J3143" s="46">
        <v>1</v>
      </c>
      <c r="K3143" s="46">
        <v>0</v>
      </c>
      <c r="L3143" s="46">
        <v>0</v>
      </c>
      <c r="M3143" s="46">
        <v>0</v>
      </c>
      <c r="N3143" s="46">
        <v>0</v>
      </c>
      <c r="O3143" s="124">
        <v>0</v>
      </c>
      <c r="P3143" s="102">
        <v>0</v>
      </c>
      <c r="Q3143" s="45" t="s">
        <v>154</v>
      </c>
    </row>
    <row r="3144" spans="1:17" x14ac:dyDescent="0.25">
      <c r="A3144" s="21">
        <v>40004</v>
      </c>
      <c r="B3144" s="21">
        <v>40004</v>
      </c>
      <c r="C3144" s="45">
        <v>2009</v>
      </c>
      <c r="D3144" s="351" t="s">
        <v>23</v>
      </c>
      <c r="E3144" s="30" t="s">
        <v>327</v>
      </c>
      <c r="F3144" s="7" t="s">
        <v>87</v>
      </c>
      <c r="G3144" s="25" t="s">
        <v>2168</v>
      </c>
      <c r="H3144" s="25" t="s">
        <v>4746</v>
      </c>
      <c r="I3144" s="46">
        <v>1</v>
      </c>
      <c r="J3144" s="46">
        <v>1</v>
      </c>
      <c r="K3144" s="46">
        <v>0</v>
      </c>
      <c r="L3144" s="46">
        <v>0</v>
      </c>
      <c r="M3144" s="46">
        <v>0</v>
      </c>
      <c r="N3144" s="46">
        <v>0</v>
      </c>
      <c r="O3144" s="124">
        <v>0</v>
      </c>
      <c r="P3144" s="102">
        <v>0</v>
      </c>
      <c r="Q3144" s="45" t="s">
        <v>154</v>
      </c>
    </row>
    <row r="3145" spans="1:17" x14ac:dyDescent="0.25">
      <c r="A3145" s="21">
        <v>40010</v>
      </c>
      <c r="B3145" s="21">
        <v>40010</v>
      </c>
      <c r="C3145" s="45">
        <v>2009</v>
      </c>
      <c r="D3145" s="351" t="s">
        <v>23</v>
      </c>
      <c r="E3145" s="30" t="s">
        <v>327</v>
      </c>
      <c r="F3145" s="7" t="s">
        <v>87</v>
      </c>
      <c r="G3145" s="25" t="s">
        <v>4747</v>
      </c>
      <c r="H3145" s="25" t="s">
        <v>4746</v>
      </c>
      <c r="I3145" s="46">
        <v>1</v>
      </c>
      <c r="J3145" s="46">
        <v>1</v>
      </c>
      <c r="K3145" s="46">
        <v>0</v>
      </c>
      <c r="L3145" s="46">
        <v>0</v>
      </c>
      <c r="M3145" s="46">
        <v>0</v>
      </c>
      <c r="N3145" s="46">
        <v>0</v>
      </c>
      <c r="O3145" s="124">
        <v>0</v>
      </c>
      <c r="P3145" s="102">
        <v>0</v>
      </c>
      <c r="Q3145" s="45" t="s">
        <v>154</v>
      </c>
    </row>
    <row r="3146" spans="1:17" ht="24" x14ac:dyDescent="0.25">
      <c r="A3146" s="21">
        <v>40012</v>
      </c>
      <c r="B3146" s="21">
        <v>40012</v>
      </c>
      <c r="C3146" s="45">
        <v>2009</v>
      </c>
      <c r="D3146" s="351" t="s">
        <v>23</v>
      </c>
      <c r="E3146" s="30" t="s">
        <v>327</v>
      </c>
      <c r="F3146" s="7" t="s">
        <v>91</v>
      </c>
      <c r="G3146" s="25" t="s">
        <v>3386</v>
      </c>
      <c r="H3146" s="25" t="s">
        <v>4748</v>
      </c>
      <c r="I3146" s="46">
        <v>1</v>
      </c>
      <c r="J3146" s="46">
        <v>1</v>
      </c>
      <c r="K3146" s="46">
        <v>0</v>
      </c>
      <c r="L3146" s="46">
        <v>0</v>
      </c>
      <c r="M3146" s="46">
        <v>0</v>
      </c>
      <c r="N3146" s="46">
        <v>0</v>
      </c>
      <c r="O3146" s="124">
        <v>0</v>
      </c>
      <c r="P3146" s="102">
        <v>0</v>
      </c>
      <c r="Q3146" s="45" t="s">
        <v>154</v>
      </c>
    </row>
    <row r="3147" spans="1:17" ht="60" x14ac:dyDescent="0.25">
      <c r="A3147" s="21">
        <v>40022</v>
      </c>
      <c r="B3147" s="21">
        <v>40022</v>
      </c>
      <c r="C3147" s="45">
        <v>2009</v>
      </c>
      <c r="D3147" s="351" t="s">
        <v>23</v>
      </c>
      <c r="E3147" s="30" t="s">
        <v>2691</v>
      </c>
      <c r="F3147" s="7" t="s">
        <v>40</v>
      </c>
      <c r="G3147" s="25" t="s">
        <v>4749</v>
      </c>
      <c r="H3147" s="25" t="s">
        <v>4750</v>
      </c>
      <c r="I3147" s="46">
        <v>0</v>
      </c>
      <c r="J3147" s="46">
        <v>400</v>
      </c>
      <c r="K3147" s="46">
        <v>80</v>
      </c>
      <c r="L3147" s="46">
        <v>0</v>
      </c>
      <c r="M3147" s="46">
        <v>0</v>
      </c>
      <c r="N3147" s="46">
        <v>0</v>
      </c>
      <c r="O3147" s="124">
        <v>0</v>
      </c>
      <c r="P3147" s="102">
        <f>(K3147*8738)/1000000</f>
        <v>0.69903999999999999</v>
      </c>
      <c r="Q3147" s="45" t="s">
        <v>154</v>
      </c>
    </row>
    <row r="3148" spans="1:17" ht="36" x14ac:dyDescent="0.25">
      <c r="A3148" s="21">
        <v>40024</v>
      </c>
      <c r="B3148" s="21">
        <v>40024</v>
      </c>
      <c r="C3148" s="45">
        <v>2009</v>
      </c>
      <c r="D3148" s="351" t="s">
        <v>23</v>
      </c>
      <c r="E3148" s="30" t="s">
        <v>2691</v>
      </c>
      <c r="F3148" s="7" t="s">
        <v>87</v>
      </c>
      <c r="G3148" s="25" t="s">
        <v>4751</v>
      </c>
      <c r="H3148" s="25" t="s">
        <v>4752</v>
      </c>
      <c r="I3148" s="46">
        <v>2</v>
      </c>
      <c r="J3148" s="46">
        <v>6</v>
      </c>
      <c r="K3148" s="46">
        <v>0</v>
      </c>
      <c r="L3148" s="46">
        <v>0</v>
      </c>
      <c r="M3148" s="46">
        <v>0</v>
      </c>
      <c r="N3148" s="46">
        <v>0</v>
      </c>
      <c r="O3148" s="124">
        <v>0</v>
      </c>
      <c r="P3148" s="102">
        <v>0</v>
      </c>
      <c r="Q3148" s="45" t="s">
        <v>154</v>
      </c>
    </row>
    <row r="3149" spans="1:17" x14ac:dyDescent="0.25">
      <c r="A3149" s="21">
        <v>40033</v>
      </c>
      <c r="B3149" s="21">
        <v>40033</v>
      </c>
      <c r="C3149" s="45">
        <v>2009</v>
      </c>
      <c r="D3149" s="351" t="s">
        <v>23</v>
      </c>
      <c r="E3149" s="30" t="s">
        <v>327</v>
      </c>
      <c r="F3149" s="7" t="s">
        <v>33</v>
      </c>
      <c r="G3149" s="25" t="s">
        <v>247</v>
      </c>
      <c r="H3149" s="25" t="s">
        <v>4753</v>
      </c>
      <c r="I3149" s="46">
        <v>1</v>
      </c>
      <c r="J3149" s="46">
        <v>1</v>
      </c>
      <c r="K3149" s="46">
        <v>0</v>
      </c>
      <c r="L3149" s="46">
        <v>0</v>
      </c>
      <c r="M3149" s="46">
        <v>0</v>
      </c>
      <c r="N3149" s="46">
        <v>0</v>
      </c>
      <c r="O3149" s="124">
        <v>0</v>
      </c>
      <c r="P3149" s="102">
        <v>0</v>
      </c>
      <c r="Q3149" s="45" t="s">
        <v>154</v>
      </c>
    </row>
    <row r="3150" spans="1:17" ht="36" x14ac:dyDescent="0.25">
      <c r="A3150" s="21">
        <v>40040</v>
      </c>
      <c r="B3150" s="21">
        <v>40040</v>
      </c>
      <c r="C3150" s="45">
        <v>2009</v>
      </c>
      <c r="D3150" s="351" t="s">
        <v>23</v>
      </c>
      <c r="E3150" s="30" t="s">
        <v>2706</v>
      </c>
      <c r="F3150" s="7" t="s">
        <v>36</v>
      </c>
      <c r="G3150" s="25" t="s">
        <v>3747</v>
      </c>
      <c r="H3150" s="25" t="s">
        <v>4754</v>
      </c>
      <c r="I3150" s="46">
        <v>2</v>
      </c>
      <c r="J3150" s="46">
        <v>5</v>
      </c>
      <c r="K3150" s="46">
        <v>0</v>
      </c>
      <c r="L3150" s="46">
        <v>0</v>
      </c>
      <c r="M3150" s="46">
        <v>0</v>
      </c>
      <c r="N3150" s="46">
        <v>0</v>
      </c>
      <c r="O3150" s="124">
        <v>0</v>
      </c>
      <c r="P3150" s="102">
        <v>0</v>
      </c>
      <c r="Q3150" s="45" t="s">
        <v>154</v>
      </c>
    </row>
    <row r="3151" spans="1:17" ht="24" x14ac:dyDescent="0.25">
      <c r="A3151" s="21">
        <v>40041</v>
      </c>
      <c r="B3151" s="21">
        <v>40041</v>
      </c>
      <c r="C3151" s="45">
        <v>2009</v>
      </c>
      <c r="D3151" s="351" t="s">
        <v>23</v>
      </c>
      <c r="E3151" s="30" t="s">
        <v>2706</v>
      </c>
      <c r="F3151" s="7" t="s">
        <v>58</v>
      </c>
      <c r="G3151" s="25" t="s">
        <v>2718</v>
      </c>
      <c r="H3151" s="25" t="s">
        <v>4755</v>
      </c>
      <c r="I3151" s="46">
        <v>0</v>
      </c>
      <c r="J3151" s="46">
        <v>2</v>
      </c>
      <c r="K3151" s="46">
        <v>0</v>
      </c>
      <c r="L3151" s="46">
        <v>0</v>
      </c>
      <c r="M3151" s="46">
        <v>0</v>
      </c>
      <c r="N3151" s="46">
        <v>0</v>
      </c>
      <c r="O3151" s="124">
        <v>0</v>
      </c>
      <c r="P3151" s="102">
        <v>0</v>
      </c>
      <c r="Q3151" s="45" t="s">
        <v>154</v>
      </c>
    </row>
    <row r="3152" spans="1:17" ht="24" x14ac:dyDescent="0.25">
      <c r="A3152" s="21">
        <v>40042</v>
      </c>
      <c r="B3152" s="21">
        <v>40042</v>
      </c>
      <c r="C3152" s="45">
        <v>2009</v>
      </c>
      <c r="D3152" s="351" t="s">
        <v>23</v>
      </c>
      <c r="E3152" s="30" t="s">
        <v>2691</v>
      </c>
      <c r="F3152" s="28" t="s">
        <v>210</v>
      </c>
      <c r="G3152" s="25" t="s">
        <v>4756</v>
      </c>
      <c r="H3152" s="25" t="s">
        <v>4757</v>
      </c>
      <c r="I3152" s="46">
        <v>0</v>
      </c>
      <c r="J3152" s="46">
        <v>590</v>
      </c>
      <c r="K3152" s="46">
        <v>118</v>
      </c>
      <c r="L3152" s="46">
        <v>0</v>
      </c>
      <c r="M3152" s="46">
        <v>0</v>
      </c>
      <c r="N3152" s="46">
        <v>0</v>
      </c>
      <c r="O3152" s="124">
        <v>0</v>
      </c>
      <c r="P3152" s="102">
        <f>(K3152*8738)/1000000</f>
        <v>1.0310839999999999</v>
      </c>
      <c r="Q3152" s="45" t="s">
        <v>154</v>
      </c>
    </row>
    <row r="3153" spans="1:17" ht="36" x14ac:dyDescent="0.25">
      <c r="A3153" s="21">
        <v>40046</v>
      </c>
      <c r="B3153" s="21">
        <v>40046</v>
      </c>
      <c r="C3153" s="45">
        <v>2009</v>
      </c>
      <c r="D3153" s="351" t="s">
        <v>23</v>
      </c>
      <c r="E3153" s="30" t="s">
        <v>2706</v>
      </c>
      <c r="F3153" s="7" t="s">
        <v>56</v>
      </c>
      <c r="G3153" s="25" t="s">
        <v>2792</v>
      </c>
      <c r="H3153" s="25" t="s">
        <v>4758</v>
      </c>
      <c r="I3153" s="46">
        <v>1</v>
      </c>
      <c r="J3153" s="46">
        <v>4</v>
      </c>
      <c r="K3153" s="46">
        <v>0</v>
      </c>
      <c r="L3153" s="46">
        <v>0</v>
      </c>
      <c r="M3153" s="46">
        <v>0</v>
      </c>
      <c r="N3153" s="46">
        <v>0</v>
      </c>
      <c r="O3153" s="124">
        <v>0</v>
      </c>
      <c r="P3153" s="102">
        <v>0</v>
      </c>
      <c r="Q3153" s="45" t="s">
        <v>154</v>
      </c>
    </row>
    <row r="3154" spans="1:17" ht="36" x14ac:dyDescent="0.25">
      <c r="A3154" s="21">
        <v>40051</v>
      </c>
      <c r="B3154" s="21">
        <v>40051</v>
      </c>
      <c r="C3154" s="45">
        <v>2009</v>
      </c>
      <c r="D3154" s="351" t="s">
        <v>23</v>
      </c>
      <c r="E3154" s="30" t="s">
        <v>2691</v>
      </c>
      <c r="F3154" s="7" t="s">
        <v>47</v>
      </c>
      <c r="G3154" s="25" t="s">
        <v>4759</v>
      </c>
      <c r="H3154" s="25" t="s">
        <v>4760</v>
      </c>
      <c r="I3154" s="46">
        <v>1</v>
      </c>
      <c r="J3154" s="46">
        <v>1</v>
      </c>
      <c r="K3154" s="46">
        <v>0</v>
      </c>
      <c r="L3154" s="46">
        <v>0</v>
      </c>
      <c r="M3154" s="46">
        <v>0</v>
      </c>
      <c r="N3154" s="46">
        <v>0</v>
      </c>
      <c r="O3154" s="124">
        <v>0</v>
      </c>
      <c r="P3154" s="102">
        <v>0</v>
      </c>
      <c r="Q3154" s="45" t="s">
        <v>154</v>
      </c>
    </row>
    <row r="3155" spans="1:17" ht="36" x14ac:dyDescent="0.25">
      <c r="A3155" s="21">
        <v>40060</v>
      </c>
      <c r="B3155" s="21">
        <v>40060</v>
      </c>
      <c r="C3155" s="45">
        <v>2009</v>
      </c>
      <c r="D3155" s="351" t="s">
        <v>23</v>
      </c>
      <c r="E3155" s="30" t="s">
        <v>2706</v>
      </c>
      <c r="F3155" s="28" t="s">
        <v>157</v>
      </c>
      <c r="G3155" s="25" t="s">
        <v>716</v>
      </c>
      <c r="H3155" s="25" t="s">
        <v>4761</v>
      </c>
      <c r="I3155" s="46">
        <v>0</v>
      </c>
      <c r="J3155" s="46">
        <v>4</v>
      </c>
      <c r="K3155" s="46">
        <v>0</v>
      </c>
      <c r="L3155" s="46">
        <v>0</v>
      </c>
      <c r="M3155" s="46">
        <v>0</v>
      </c>
      <c r="N3155" s="46">
        <v>0</v>
      </c>
      <c r="O3155" s="124">
        <v>0</v>
      </c>
      <c r="P3155" s="102">
        <v>0</v>
      </c>
      <c r="Q3155" s="45" t="s">
        <v>154</v>
      </c>
    </row>
    <row r="3156" spans="1:17" ht="24" x14ac:dyDescent="0.25">
      <c r="A3156" s="21">
        <v>40063</v>
      </c>
      <c r="B3156" s="21">
        <v>40063</v>
      </c>
      <c r="C3156" s="45">
        <v>2009</v>
      </c>
      <c r="D3156" s="351" t="s">
        <v>23</v>
      </c>
      <c r="E3156" s="30" t="s">
        <v>2706</v>
      </c>
      <c r="F3156" s="7" t="s">
        <v>82</v>
      </c>
      <c r="G3156" s="25" t="s">
        <v>3803</v>
      </c>
      <c r="H3156" s="25" t="s">
        <v>4762</v>
      </c>
      <c r="I3156" s="46">
        <v>1</v>
      </c>
      <c r="J3156" s="46">
        <v>1</v>
      </c>
      <c r="K3156" s="46">
        <v>0</v>
      </c>
      <c r="L3156" s="46">
        <v>0</v>
      </c>
      <c r="M3156" s="46">
        <v>0</v>
      </c>
      <c r="N3156" s="46">
        <v>0</v>
      </c>
      <c r="O3156" s="124">
        <v>0</v>
      </c>
      <c r="P3156" s="102">
        <v>0</v>
      </c>
      <c r="Q3156" s="45" t="s">
        <v>154</v>
      </c>
    </row>
    <row r="3157" spans="1:17" ht="24" x14ac:dyDescent="0.25">
      <c r="A3157" s="21">
        <v>40065</v>
      </c>
      <c r="B3157" s="21">
        <v>40065</v>
      </c>
      <c r="C3157" s="45">
        <v>2009</v>
      </c>
      <c r="D3157" s="351" t="s">
        <v>23</v>
      </c>
      <c r="E3157" s="30" t="s">
        <v>2706</v>
      </c>
      <c r="F3157" s="7" t="s">
        <v>56</v>
      </c>
      <c r="G3157" s="25" t="s">
        <v>351</v>
      </c>
      <c r="H3157" s="25" t="s">
        <v>4763</v>
      </c>
      <c r="I3157" s="46">
        <v>1</v>
      </c>
      <c r="J3157" s="46">
        <v>2</v>
      </c>
      <c r="K3157" s="46">
        <v>0</v>
      </c>
      <c r="L3157" s="46">
        <v>0</v>
      </c>
      <c r="M3157" s="46">
        <v>0</v>
      </c>
      <c r="N3157" s="46">
        <v>0</v>
      </c>
      <c r="O3157" s="124">
        <v>0</v>
      </c>
      <c r="P3157" s="102">
        <v>0</v>
      </c>
      <c r="Q3157" s="45" t="s">
        <v>154</v>
      </c>
    </row>
    <row r="3158" spans="1:17" ht="24" x14ac:dyDescent="0.25">
      <c r="A3158" s="21">
        <v>40090</v>
      </c>
      <c r="B3158" s="21">
        <v>40090</v>
      </c>
      <c r="C3158" s="45">
        <v>2009</v>
      </c>
      <c r="D3158" s="351" t="s">
        <v>23</v>
      </c>
      <c r="E3158" s="30" t="s">
        <v>2706</v>
      </c>
      <c r="F3158" s="7" t="s">
        <v>101</v>
      </c>
      <c r="G3158" s="25" t="s">
        <v>2550</v>
      </c>
      <c r="H3158" s="25" t="s">
        <v>4764</v>
      </c>
      <c r="I3158" s="46">
        <v>1</v>
      </c>
      <c r="J3158" s="46">
        <v>1</v>
      </c>
      <c r="K3158" s="46">
        <v>0</v>
      </c>
      <c r="L3158" s="46">
        <v>0</v>
      </c>
      <c r="M3158" s="46">
        <v>0</v>
      </c>
      <c r="N3158" s="46">
        <v>0</v>
      </c>
      <c r="O3158" s="124">
        <v>0</v>
      </c>
      <c r="P3158" s="102">
        <v>0</v>
      </c>
      <c r="Q3158" s="45" t="s">
        <v>154</v>
      </c>
    </row>
    <row r="3159" spans="1:17" ht="48" x14ac:dyDescent="0.25">
      <c r="A3159" s="21">
        <v>40148</v>
      </c>
      <c r="B3159" s="21">
        <v>40148</v>
      </c>
      <c r="C3159" s="45">
        <v>2009</v>
      </c>
      <c r="D3159" s="351" t="s">
        <v>23</v>
      </c>
      <c r="E3159" s="30" t="s">
        <v>2691</v>
      </c>
      <c r="F3159" s="7" t="s">
        <v>101</v>
      </c>
      <c r="G3159" s="25" t="s">
        <v>4765</v>
      </c>
      <c r="H3159" s="25" t="s">
        <v>4766</v>
      </c>
      <c r="I3159" s="46">
        <v>0</v>
      </c>
      <c r="J3159" s="46">
        <v>81</v>
      </c>
      <c r="K3159" s="46">
        <v>15</v>
      </c>
      <c r="L3159" s="46">
        <v>0</v>
      </c>
      <c r="M3159" s="46">
        <v>0</v>
      </c>
      <c r="N3159" s="46">
        <v>0</v>
      </c>
      <c r="O3159" s="124">
        <v>0</v>
      </c>
      <c r="P3159" s="102">
        <f>(K3159*8738)/1000000</f>
        <v>0.13106999999999999</v>
      </c>
      <c r="Q3159" s="45" t="s">
        <v>154</v>
      </c>
    </row>
    <row r="3160" spans="1:17" ht="60" x14ac:dyDescent="0.25">
      <c r="A3160" s="21">
        <v>40167</v>
      </c>
      <c r="B3160" s="21">
        <v>40167</v>
      </c>
      <c r="C3160" s="45">
        <v>2009</v>
      </c>
      <c r="D3160" s="351" t="s">
        <v>23</v>
      </c>
      <c r="E3160" s="30" t="s">
        <v>2689</v>
      </c>
      <c r="F3160" s="7" t="s">
        <v>101</v>
      </c>
      <c r="G3160" s="25" t="s">
        <v>4767</v>
      </c>
      <c r="H3160" s="25" t="s">
        <v>4768</v>
      </c>
      <c r="I3160" s="46">
        <v>0</v>
      </c>
      <c r="J3160" s="46">
        <v>11050</v>
      </c>
      <c r="K3160" s="46">
        <v>0</v>
      </c>
      <c r="L3160" s="46">
        <v>0</v>
      </c>
      <c r="M3160" s="46">
        <v>0</v>
      </c>
      <c r="N3160" s="46">
        <v>0</v>
      </c>
      <c r="O3160" s="124">
        <v>0</v>
      </c>
      <c r="P3160" s="102">
        <v>5.4580000000000002</v>
      </c>
      <c r="Q3160" s="45" t="s">
        <v>186</v>
      </c>
    </row>
    <row r="3161" spans="1:17" ht="48" x14ac:dyDescent="0.25">
      <c r="A3161" s="21">
        <v>40175</v>
      </c>
      <c r="B3161" s="21">
        <v>40175</v>
      </c>
      <c r="C3161" s="45">
        <v>2009</v>
      </c>
      <c r="D3161" s="351" t="s">
        <v>23</v>
      </c>
      <c r="E3161" s="30" t="s">
        <v>2689</v>
      </c>
      <c r="F3161" s="7" t="s">
        <v>49</v>
      </c>
      <c r="G3161" s="25" t="s">
        <v>4769</v>
      </c>
      <c r="H3161" s="25" t="s">
        <v>4770</v>
      </c>
      <c r="I3161" s="46">
        <v>0</v>
      </c>
      <c r="J3161" s="46">
        <v>2768</v>
      </c>
      <c r="K3161" s="46">
        <v>0</v>
      </c>
      <c r="L3161" s="46">
        <v>0</v>
      </c>
      <c r="M3161" s="46">
        <v>0</v>
      </c>
      <c r="N3161" s="46">
        <v>0</v>
      </c>
      <c r="O3161" s="124">
        <v>0</v>
      </c>
      <c r="P3161" s="102">
        <v>1.5049999999999999</v>
      </c>
      <c r="Q3161" s="45" t="s">
        <v>186</v>
      </c>
    </row>
    <row r="3162" spans="1:17" ht="132" x14ac:dyDescent="0.25">
      <c r="A3162" s="21">
        <v>39833</v>
      </c>
      <c r="B3162" s="21">
        <v>39833</v>
      </c>
      <c r="C3162" s="45">
        <v>2009</v>
      </c>
      <c r="D3162" s="35" t="s">
        <v>17</v>
      </c>
      <c r="E3162" s="30" t="s">
        <v>1603</v>
      </c>
      <c r="F3162" s="28" t="s">
        <v>157</v>
      </c>
      <c r="G3162" s="25" t="s">
        <v>4237</v>
      </c>
      <c r="H3162" s="25" t="s">
        <v>4771</v>
      </c>
      <c r="I3162" s="46">
        <v>2</v>
      </c>
      <c r="J3162" s="46" t="s">
        <v>110</v>
      </c>
      <c r="K3162" s="46" t="s">
        <v>110</v>
      </c>
      <c r="L3162" s="46">
        <v>0</v>
      </c>
      <c r="M3162" s="46">
        <v>0</v>
      </c>
      <c r="N3162" s="46">
        <v>0</v>
      </c>
      <c r="O3162" s="46">
        <v>0</v>
      </c>
      <c r="P3162" s="128" t="s">
        <v>110</v>
      </c>
      <c r="Q3162" s="45" t="s">
        <v>154</v>
      </c>
    </row>
    <row r="3163" spans="1:17" ht="156" x14ac:dyDescent="0.25">
      <c r="A3163" s="21">
        <v>39835</v>
      </c>
      <c r="B3163" s="21">
        <v>39835</v>
      </c>
      <c r="C3163" s="45">
        <v>2009</v>
      </c>
      <c r="D3163" s="35" t="s">
        <v>17</v>
      </c>
      <c r="E3163" s="6" t="s">
        <v>1597</v>
      </c>
      <c r="F3163" s="28" t="s">
        <v>157</v>
      </c>
      <c r="G3163" s="25" t="s">
        <v>206</v>
      </c>
      <c r="H3163" s="25" t="s">
        <v>4772</v>
      </c>
      <c r="I3163" s="46">
        <v>2</v>
      </c>
      <c r="J3163" s="46">
        <v>302</v>
      </c>
      <c r="K3163" s="46">
        <v>60</v>
      </c>
      <c r="L3163" s="46">
        <v>0</v>
      </c>
      <c r="M3163" s="46">
        <v>0</v>
      </c>
      <c r="N3163" s="46">
        <v>0</v>
      </c>
      <c r="O3163" s="124">
        <v>0</v>
      </c>
      <c r="P3163" s="102">
        <f>((54*27687)+(6*95904))/1000000</f>
        <v>2.070522</v>
      </c>
      <c r="Q3163" s="45" t="s">
        <v>154</v>
      </c>
    </row>
    <row r="3164" spans="1:17" ht="36" x14ac:dyDescent="0.25">
      <c r="A3164" s="21">
        <v>39837</v>
      </c>
      <c r="B3164" s="21">
        <v>39837</v>
      </c>
      <c r="C3164" s="45">
        <v>2009</v>
      </c>
      <c r="D3164" s="35" t="s">
        <v>17</v>
      </c>
      <c r="E3164" s="30" t="s">
        <v>1600</v>
      </c>
      <c r="F3164" s="28" t="s">
        <v>210</v>
      </c>
      <c r="G3164" s="25" t="s">
        <v>1935</v>
      </c>
      <c r="H3164" s="25" t="s">
        <v>4773</v>
      </c>
      <c r="I3164" s="46">
        <v>0</v>
      </c>
      <c r="J3164" s="46">
        <v>1</v>
      </c>
      <c r="K3164" s="46">
        <v>0</v>
      </c>
      <c r="L3164" s="46">
        <v>0</v>
      </c>
      <c r="M3164" s="46">
        <v>0</v>
      </c>
      <c r="N3164" s="46">
        <v>0</v>
      </c>
      <c r="O3164" s="124">
        <v>0</v>
      </c>
      <c r="P3164" s="102">
        <v>0</v>
      </c>
      <c r="Q3164" s="45" t="s">
        <v>154</v>
      </c>
    </row>
    <row r="3165" spans="1:17" ht="120" x14ac:dyDescent="0.25">
      <c r="A3165" s="21">
        <v>39843</v>
      </c>
      <c r="B3165" s="21">
        <v>39843</v>
      </c>
      <c r="C3165" s="45">
        <v>2009</v>
      </c>
      <c r="D3165" s="35" t="s">
        <v>17</v>
      </c>
      <c r="E3165" s="6" t="s">
        <v>1597</v>
      </c>
      <c r="F3165" s="7" t="s">
        <v>65</v>
      </c>
      <c r="G3165" s="25" t="s">
        <v>2987</v>
      </c>
      <c r="H3165" s="25" t="s">
        <v>4774</v>
      </c>
      <c r="I3165" s="46">
        <v>0</v>
      </c>
      <c r="J3165" s="46">
        <v>0</v>
      </c>
      <c r="K3165" s="46">
        <v>0</v>
      </c>
      <c r="L3165" s="46">
        <v>0</v>
      </c>
      <c r="M3165" s="46">
        <v>0</v>
      </c>
      <c r="N3165" s="46">
        <v>0</v>
      </c>
      <c r="O3165" s="124">
        <v>0</v>
      </c>
      <c r="P3165" s="102">
        <v>0</v>
      </c>
      <c r="Q3165" s="45" t="s">
        <v>154</v>
      </c>
    </row>
    <row r="3166" spans="1:17" ht="84" x14ac:dyDescent="0.25">
      <c r="A3166" s="21">
        <v>39844</v>
      </c>
      <c r="B3166" s="21">
        <v>39844</v>
      </c>
      <c r="C3166" s="45">
        <v>2009</v>
      </c>
      <c r="D3166" s="35" t="s">
        <v>17</v>
      </c>
      <c r="E3166" s="30" t="s">
        <v>1600</v>
      </c>
      <c r="F3166" s="7" t="s">
        <v>68</v>
      </c>
      <c r="G3166" s="25" t="s">
        <v>2786</v>
      </c>
      <c r="H3166" s="25" t="s">
        <v>4775</v>
      </c>
      <c r="I3166" s="46">
        <v>2</v>
      </c>
      <c r="J3166" s="46">
        <v>4</v>
      </c>
      <c r="K3166" s="46">
        <v>0</v>
      </c>
      <c r="L3166" s="46">
        <v>0</v>
      </c>
      <c r="M3166" s="46">
        <v>0</v>
      </c>
      <c r="N3166" s="46">
        <v>0</v>
      </c>
      <c r="O3166" s="124">
        <v>0</v>
      </c>
      <c r="P3166" s="102">
        <v>0</v>
      </c>
      <c r="Q3166" s="45" t="s">
        <v>154</v>
      </c>
    </row>
    <row r="3167" spans="1:17" ht="36" x14ac:dyDescent="0.25">
      <c r="A3167" s="21">
        <v>39884</v>
      </c>
      <c r="B3167" s="21">
        <v>39884</v>
      </c>
      <c r="C3167" s="45">
        <v>2009</v>
      </c>
      <c r="D3167" s="35" t="s">
        <v>17</v>
      </c>
      <c r="E3167" s="6" t="s">
        <v>1597</v>
      </c>
      <c r="F3167" s="28" t="s">
        <v>210</v>
      </c>
      <c r="G3167" s="25" t="s">
        <v>4776</v>
      </c>
      <c r="H3167" s="25" t="s">
        <v>4777</v>
      </c>
      <c r="I3167" s="46">
        <v>1</v>
      </c>
      <c r="J3167" s="46">
        <v>4</v>
      </c>
      <c r="K3167" s="46">
        <v>0</v>
      </c>
      <c r="L3167" s="46">
        <v>0</v>
      </c>
      <c r="M3167" s="46">
        <v>0</v>
      </c>
      <c r="N3167" s="46">
        <v>0</v>
      </c>
      <c r="O3167" s="124">
        <v>0</v>
      </c>
      <c r="P3167" s="102">
        <v>0</v>
      </c>
      <c r="Q3167" s="45" t="s">
        <v>154</v>
      </c>
    </row>
    <row r="3168" spans="1:17" ht="60" x14ac:dyDescent="0.25">
      <c r="A3168" s="21">
        <v>39930</v>
      </c>
      <c r="B3168" s="21">
        <v>39930</v>
      </c>
      <c r="C3168" s="45">
        <v>2009</v>
      </c>
      <c r="D3168" s="35" t="s">
        <v>17</v>
      </c>
      <c r="E3168" s="30" t="s">
        <v>122</v>
      </c>
      <c r="F3168" s="7" t="s">
        <v>58</v>
      </c>
      <c r="G3168" s="25" t="s">
        <v>4778</v>
      </c>
      <c r="H3168" s="25" t="s">
        <v>4779</v>
      </c>
      <c r="I3168" s="46">
        <v>1</v>
      </c>
      <c r="J3168" s="46">
        <f>(K3168*5)</f>
        <v>8055</v>
      </c>
      <c r="K3168" s="46">
        <v>1611</v>
      </c>
      <c r="L3168" s="46">
        <v>13</v>
      </c>
      <c r="M3168" s="46">
        <v>0</v>
      </c>
      <c r="N3168" s="46">
        <v>0</v>
      </c>
      <c r="O3168" s="124">
        <v>0</v>
      </c>
      <c r="P3168" s="102">
        <v>26.52</v>
      </c>
      <c r="Q3168" s="45" t="s">
        <v>186</v>
      </c>
    </row>
    <row r="3169" spans="1:17" ht="96" x14ac:dyDescent="0.25">
      <c r="A3169" s="21">
        <v>39946</v>
      </c>
      <c r="B3169" s="21">
        <v>39946</v>
      </c>
      <c r="C3169" s="45">
        <v>2009</v>
      </c>
      <c r="D3169" s="35" t="s">
        <v>17</v>
      </c>
      <c r="E3169" s="30" t="s">
        <v>1603</v>
      </c>
      <c r="F3169" s="28" t="s">
        <v>157</v>
      </c>
      <c r="G3169" s="25" t="s">
        <v>1089</v>
      </c>
      <c r="H3169" s="25" t="s">
        <v>4780</v>
      </c>
      <c r="I3169" s="46">
        <v>0</v>
      </c>
      <c r="J3169" s="46">
        <v>0</v>
      </c>
      <c r="K3169" s="46">
        <v>0</v>
      </c>
      <c r="L3169" s="46">
        <v>0</v>
      </c>
      <c r="M3169" s="46">
        <v>0</v>
      </c>
      <c r="N3169" s="46">
        <v>0</v>
      </c>
      <c r="O3169" s="46">
        <v>0</v>
      </c>
      <c r="P3169" s="102">
        <v>0</v>
      </c>
      <c r="Q3169" s="45" t="s">
        <v>154</v>
      </c>
    </row>
    <row r="3170" spans="1:17" ht="84" x14ac:dyDescent="0.25">
      <c r="A3170" s="21">
        <v>39965</v>
      </c>
      <c r="B3170" s="21">
        <v>39965</v>
      </c>
      <c r="C3170" s="45">
        <v>2009</v>
      </c>
      <c r="D3170" s="35" t="s">
        <v>17</v>
      </c>
      <c r="E3170" s="30" t="s">
        <v>1603</v>
      </c>
      <c r="F3170" s="7" t="s">
        <v>53</v>
      </c>
      <c r="G3170" s="25" t="s">
        <v>1502</v>
      </c>
      <c r="H3170" s="25" t="s">
        <v>4781</v>
      </c>
      <c r="I3170" s="46">
        <v>0</v>
      </c>
      <c r="J3170" s="46">
        <v>200</v>
      </c>
      <c r="K3170" s="46">
        <v>40</v>
      </c>
      <c r="L3170" s="46">
        <v>0</v>
      </c>
      <c r="M3170" s="46">
        <v>0</v>
      </c>
      <c r="N3170" s="46">
        <v>0</v>
      </c>
      <c r="O3170" s="46">
        <v>0</v>
      </c>
      <c r="P3170" s="102">
        <f>(K3170*27687)/1000000</f>
        <v>1.10748</v>
      </c>
      <c r="Q3170" s="45" t="s">
        <v>154</v>
      </c>
    </row>
    <row r="3171" spans="1:17" ht="36" x14ac:dyDescent="0.25">
      <c r="A3171" s="21">
        <v>40005</v>
      </c>
      <c r="B3171" s="21">
        <v>40005</v>
      </c>
      <c r="C3171" s="45">
        <v>2009</v>
      </c>
      <c r="D3171" s="35" t="s">
        <v>17</v>
      </c>
      <c r="E3171" s="30" t="s">
        <v>122</v>
      </c>
      <c r="F3171" s="7" t="s">
        <v>49</v>
      </c>
      <c r="G3171" s="25" t="s">
        <v>4782</v>
      </c>
      <c r="H3171" s="25" t="s">
        <v>4783</v>
      </c>
      <c r="I3171" s="46">
        <v>0</v>
      </c>
      <c r="J3171" s="46">
        <v>80</v>
      </c>
      <c r="K3171" s="46">
        <v>0</v>
      </c>
      <c r="L3171" s="46">
        <v>0</v>
      </c>
      <c r="M3171" s="46">
        <v>0</v>
      </c>
      <c r="N3171" s="46">
        <v>0</v>
      </c>
      <c r="O3171" s="124">
        <v>0</v>
      </c>
      <c r="P3171" s="102">
        <v>0</v>
      </c>
      <c r="Q3171" s="45" t="s">
        <v>154</v>
      </c>
    </row>
    <row r="3172" spans="1:17" ht="48" x14ac:dyDescent="0.25">
      <c r="A3172" s="21">
        <v>40038</v>
      </c>
      <c r="B3172" s="21">
        <v>40038</v>
      </c>
      <c r="C3172" s="45">
        <v>2009</v>
      </c>
      <c r="D3172" s="35" t="s">
        <v>17</v>
      </c>
      <c r="E3172" s="22" t="s">
        <v>2964</v>
      </c>
      <c r="F3172" s="7" t="s">
        <v>75</v>
      </c>
      <c r="G3172" s="25" t="s">
        <v>4784</v>
      </c>
      <c r="H3172" s="25" t="s">
        <v>4785</v>
      </c>
      <c r="I3172" s="46">
        <v>0</v>
      </c>
      <c r="J3172" s="46">
        <v>95</v>
      </c>
      <c r="K3172" s="46">
        <v>19</v>
      </c>
      <c r="L3172" s="46">
        <v>0</v>
      </c>
      <c r="M3172" s="46">
        <v>0</v>
      </c>
      <c r="N3172" s="46">
        <v>0</v>
      </c>
      <c r="O3172" s="124">
        <v>0</v>
      </c>
      <c r="P3172" s="102">
        <f>(19*27687)/1000000</f>
        <v>0.52605299999999999</v>
      </c>
      <c r="Q3172" s="45" t="s">
        <v>154</v>
      </c>
    </row>
    <row r="3173" spans="1:17" ht="48" x14ac:dyDescent="0.25">
      <c r="A3173" s="21">
        <v>40055</v>
      </c>
      <c r="B3173" s="21">
        <v>40055</v>
      </c>
      <c r="C3173" s="45">
        <v>2009</v>
      </c>
      <c r="D3173" s="35" t="s">
        <v>17</v>
      </c>
      <c r="E3173" s="6" t="s">
        <v>1597</v>
      </c>
      <c r="F3173" s="28" t="s">
        <v>157</v>
      </c>
      <c r="G3173" s="25" t="s">
        <v>2476</v>
      </c>
      <c r="H3173" s="25" t="s">
        <v>4786</v>
      </c>
      <c r="I3173" s="46">
        <v>1</v>
      </c>
      <c r="J3173" s="46">
        <v>6</v>
      </c>
      <c r="K3173" s="46">
        <v>1</v>
      </c>
      <c r="L3173" s="46">
        <v>0</v>
      </c>
      <c r="M3173" s="46">
        <v>0</v>
      </c>
      <c r="N3173" s="46">
        <v>0</v>
      </c>
      <c r="O3173" s="124">
        <v>0</v>
      </c>
      <c r="P3173" s="102">
        <v>0.95904</v>
      </c>
      <c r="Q3173" s="45" t="s">
        <v>154</v>
      </c>
    </row>
    <row r="3174" spans="1:17" ht="48" x14ac:dyDescent="0.25">
      <c r="A3174" s="21">
        <v>40057</v>
      </c>
      <c r="B3174" s="21">
        <v>40057</v>
      </c>
      <c r="C3174" s="45">
        <v>2009</v>
      </c>
      <c r="D3174" s="35" t="s">
        <v>17</v>
      </c>
      <c r="E3174" s="6" t="s">
        <v>1597</v>
      </c>
      <c r="F3174" s="7" t="s">
        <v>75</v>
      </c>
      <c r="G3174" s="25" t="s">
        <v>4787</v>
      </c>
      <c r="H3174" s="25" t="s">
        <v>4788</v>
      </c>
      <c r="I3174" s="46">
        <v>3</v>
      </c>
      <c r="J3174" s="46">
        <v>5</v>
      </c>
      <c r="K3174" s="46">
        <v>1</v>
      </c>
      <c r="L3174" s="46">
        <v>0</v>
      </c>
      <c r="M3174" s="46">
        <v>0</v>
      </c>
      <c r="N3174" s="46">
        <v>0</v>
      </c>
      <c r="O3174" s="124">
        <v>0</v>
      </c>
      <c r="P3174" s="102">
        <v>0.95904</v>
      </c>
      <c r="Q3174" s="45" t="s">
        <v>154</v>
      </c>
    </row>
    <row r="3175" spans="1:17" ht="48" x14ac:dyDescent="0.25">
      <c r="A3175" s="21">
        <v>40071</v>
      </c>
      <c r="B3175" s="21">
        <v>40071</v>
      </c>
      <c r="C3175" s="45">
        <v>2009</v>
      </c>
      <c r="D3175" s="35" t="s">
        <v>17</v>
      </c>
      <c r="E3175" s="6" t="s">
        <v>1597</v>
      </c>
      <c r="F3175" s="28" t="s">
        <v>157</v>
      </c>
      <c r="G3175" s="25" t="s">
        <v>2476</v>
      </c>
      <c r="H3175" s="25" t="s">
        <v>4789</v>
      </c>
      <c r="I3175" s="46">
        <v>3</v>
      </c>
      <c r="J3175" s="46">
        <v>4</v>
      </c>
      <c r="K3175" s="46">
        <v>0</v>
      </c>
      <c r="L3175" s="46">
        <v>0</v>
      </c>
      <c r="M3175" s="46">
        <v>0</v>
      </c>
      <c r="N3175" s="46">
        <v>0</v>
      </c>
      <c r="O3175" s="124">
        <v>0</v>
      </c>
      <c r="P3175" s="102">
        <v>0</v>
      </c>
      <c r="Q3175" s="45" t="s">
        <v>154</v>
      </c>
    </row>
    <row r="3176" spans="1:17" ht="36" x14ac:dyDescent="0.25">
      <c r="A3176" s="21">
        <v>40073</v>
      </c>
      <c r="B3176" s="21">
        <v>40073</v>
      </c>
      <c r="C3176" s="45">
        <v>2009</v>
      </c>
      <c r="D3176" s="35" t="s">
        <v>17</v>
      </c>
      <c r="E3176" s="6" t="s">
        <v>1597</v>
      </c>
      <c r="F3176" s="28" t="s">
        <v>210</v>
      </c>
      <c r="G3176" s="25" t="s">
        <v>893</v>
      </c>
      <c r="H3176" s="25" t="s">
        <v>4790</v>
      </c>
      <c r="I3176" s="46">
        <v>1</v>
      </c>
      <c r="J3176" s="46">
        <v>5</v>
      </c>
      <c r="K3176" s="46">
        <v>1</v>
      </c>
      <c r="L3176" s="46">
        <v>0</v>
      </c>
      <c r="M3176" s="46">
        <v>0</v>
      </c>
      <c r="N3176" s="46">
        <v>0</v>
      </c>
      <c r="O3176" s="124">
        <v>0</v>
      </c>
      <c r="P3176" s="102">
        <v>0.95904</v>
      </c>
      <c r="Q3176" s="45" t="s">
        <v>154</v>
      </c>
    </row>
    <row r="3177" spans="1:17" ht="48" x14ac:dyDescent="0.25">
      <c r="A3177" s="21">
        <v>40104</v>
      </c>
      <c r="B3177" s="21">
        <v>40104</v>
      </c>
      <c r="C3177" s="45">
        <v>2009</v>
      </c>
      <c r="D3177" s="35" t="s">
        <v>17</v>
      </c>
      <c r="E3177" s="6" t="s">
        <v>1597</v>
      </c>
      <c r="F3177" s="7" t="s">
        <v>75</v>
      </c>
      <c r="G3177" s="25" t="s">
        <v>4791</v>
      </c>
      <c r="H3177" s="25" t="s">
        <v>4792</v>
      </c>
      <c r="I3177" s="46">
        <v>0</v>
      </c>
      <c r="J3177" s="46">
        <v>1</v>
      </c>
      <c r="K3177" s="46">
        <v>0</v>
      </c>
      <c r="L3177" s="46">
        <v>0</v>
      </c>
      <c r="M3177" s="46">
        <v>0</v>
      </c>
      <c r="N3177" s="46">
        <v>0</v>
      </c>
      <c r="O3177" s="124">
        <v>0</v>
      </c>
      <c r="P3177" s="102">
        <v>0.4</v>
      </c>
      <c r="Q3177" s="45" t="s">
        <v>154</v>
      </c>
    </row>
    <row r="3178" spans="1:17" ht="48" x14ac:dyDescent="0.25">
      <c r="A3178" s="21">
        <v>40115</v>
      </c>
      <c r="B3178" s="21">
        <v>40115</v>
      </c>
      <c r="C3178" s="45">
        <v>2009</v>
      </c>
      <c r="D3178" s="35" t="s">
        <v>17</v>
      </c>
      <c r="E3178" s="30" t="s">
        <v>122</v>
      </c>
      <c r="F3178" s="28" t="s">
        <v>210</v>
      </c>
      <c r="G3178" s="25" t="s">
        <v>4793</v>
      </c>
      <c r="H3178" s="25" t="s">
        <v>4794</v>
      </c>
      <c r="I3178" s="46">
        <v>0</v>
      </c>
      <c r="J3178" s="46">
        <f>(K3178*5)</f>
        <v>70</v>
      </c>
      <c r="K3178" s="46">
        <v>14</v>
      </c>
      <c r="L3178" s="46">
        <v>7</v>
      </c>
      <c r="M3178" s="46">
        <v>0</v>
      </c>
      <c r="N3178" s="46">
        <v>0</v>
      </c>
      <c r="O3178" s="124">
        <v>0</v>
      </c>
      <c r="P3178" s="102">
        <f>38.362+0.122</f>
        <v>38.484000000000002</v>
      </c>
      <c r="Q3178" s="45" t="s">
        <v>186</v>
      </c>
    </row>
    <row r="3179" spans="1:17" ht="48" x14ac:dyDescent="0.25">
      <c r="A3179" s="21">
        <v>40123</v>
      </c>
      <c r="B3179" s="21">
        <v>40123</v>
      </c>
      <c r="C3179" s="45">
        <v>2009</v>
      </c>
      <c r="D3179" s="35" t="s">
        <v>17</v>
      </c>
      <c r="E3179" s="22" t="s">
        <v>2964</v>
      </c>
      <c r="F3179" s="7" t="s">
        <v>56</v>
      </c>
      <c r="G3179" s="25" t="s">
        <v>3722</v>
      </c>
      <c r="H3179" s="25" t="s">
        <v>4795</v>
      </c>
      <c r="I3179" s="46">
        <v>0</v>
      </c>
      <c r="J3179" s="46">
        <v>5</v>
      </c>
      <c r="K3179" s="46">
        <v>0</v>
      </c>
      <c r="L3179" s="46">
        <v>0</v>
      </c>
      <c r="M3179" s="46">
        <v>0</v>
      </c>
      <c r="N3179" s="46">
        <v>0</v>
      </c>
      <c r="O3179" s="124">
        <v>0</v>
      </c>
      <c r="P3179" s="102">
        <v>0</v>
      </c>
      <c r="Q3179" s="45" t="s">
        <v>154</v>
      </c>
    </row>
    <row r="3180" spans="1:17" x14ac:dyDescent="0.25">
      <c r="A3180" s="21">
        <v>39814</v>
      </c>
      <c r="B3180" s="21">
        <v>39814</v>
      </c>
      <c r="C3180" s="99">
        <v>2009</v>
      </c>
      <c r="D3180" s="35" t="s">
        <v>28</v>
      </c>
      <c r="E3180" s="30" t="s">
        <v>29</v>
      </c>
      <c r="F3180" s="7" t="s">
        <v>25</v>
      </c>
      <c r="G3180" s="25" t="s">
        <v>2109</v>
      </c>
      <c r="H3180" s="25" t="s">
        <v>4796</v>
      </c>
      <c r="I3180" s="46">
        <v>0</v>
      </c>
      <c r="J3180" s="46">
        <v>0</v>
      </c>
      <c r="K3180" s="46">
        <v>0</v>
      </c>
      <c r="L3180" s="46">
        <v>0</v>
      </c>
      <c r="M3180" s="46">
        <v>0</v>
      </c>
      <c r="N3180" s="46">
        <v>0</v>
      </c>
      <c r="O3180" s="355">
        <v>304</v>
      </c>
      <c r="P3180" s="102">
        <v>0.30399999999999999</v>
      </c>
      <c r="Q3180" s="27" t="s">
        <v>3556</v>
      </c>
    </row>
    <row r="3181" spans="1:17" x14ac:dyDescent="0.25">
      <c r="A3181" s="21">
        <v>39814</v>
      </c>
      <c r="B3181" s="21">
        <v>39814</v>
      </c>
      <c r="C3181" s="99">
        <v>2009</v>
      </c>
      <c r="D3181" s="35" t="s">
        <v>28</v>
      </c>
      <c r="E3181" s="30" t="s">
        <v>29</v>
      </c>
      <c r="F3181" s="7" t="s">
        <v>30</v>
      </c>
      <c r="G3181" s="25" t="s">
        <v>2109</v>
      </c>
      <c r="H3181" s="25" t="s">
        <v>4796</v>
      </c>
      <c r="I3181" s="46">
        <v>0</v>
      </c>
      <c r="J3181" s="46">
        <v>0</v>
      </c>
      <c r="K3181" s="46">
        <v>0</v>
      </c>
      <c r="L3181" s="46">
        <v>0</v>
      </c>
      <c r="M3181" s="46">
        <v>0</v>
      </c>
      <c r="N3181" s="46">
        <v>0</v>
      </c>
      <c r="O3181" s="355">
        <v>71854.66</v>
      </c>
      <c r="P3181" s="102">
        <v>71.854659999999996</v>
      </c>
      <c r="Q3181" s="27" t="s">
        <v>3556</v>
      </c>
    </row>
    <row r="3182" spans="1:17" x14ac:dyDescent="0.25">
      <c r="A3182" s="21">
        <v>39814</v>
      </c>
      <c r="B3182" s="21">
        <v>39814</v>
      </c>
      <c r="C3182" s="99">
        <v>2009</v>
      </c>
      <c r="D3182" s="35" t="s">
        <v>28</v>
      </c>
      <c r="E3182" s="30" t="s">
        <v>29</v>
      </c>
      <c r="F3182" s="7" t="s">
        <v>33</v>
      </c>
      <c r="G3182" s="25" t="s">
        <v>2109</v>
      </c>
      <c r="H3182" s="25" t="s">
        <v>4796</v>
      </c>
      <c r="I3182" s="46">
        <v>0</v>
      </c>
      <c r="J3182" s="46">
        <v>0</v>
      </c>
      <c r="K3182" s="46">
        <v>0</v>
      </c>
      <c r="L3182" s="46">
        <v>0</v>
      </c>
      <c r="M3182" s="46">
        <v>0</v>
      </c>
      <c r="N3182" s="46">
        <v>0</v>
      </c>
      <c r="O3182" s="355">
        <v>588</v>
      </c>
      <c r="P3182" s="102">
        <v>0.58799999999999997</v>
      </c>
      <c r="Q3182" s="27" t="s">
        <v>3556</v>
      </c>
    </row>
    <row r="3183" spans="1:17" x14ac:dyDescent="0.25">
      <c r="A3183" s="21">
        <v>39814</v>
      </c>
      <c r="B3183" s="21">
        <v>39814</v>
      </c>
      <c r="C3183" s="99">
        <v>2009</v>
      </c>
      <c r="D3183" s="35" t="s">
        <v>28</v>
      </c>
      <c r="E3183" s="30" t="s">
        <v>29</v>
      </c>
      <c r="F3183" s="28" t="s">
        <v>151</v>
      </c>
      <c r="G3183" s="25" t="s">
        <v>2109</v>
      </c>
      <c r="H3183" s="25" t="s">
        <v>4796</v>
      </c>
      <c r="I3183" s="46">
        <v>0</v>
      </c>
      <c r="J3183" s="46">
        <v>0</v>
      </c>
      <c r="K3183" s="46">
        <v>0</v>
      </c>
      <c r="L3183" s="46">
        <v>0</v>
      </c>
      <c r="M3183" s="46">
        <v>0</v>
      </c>
      <c r="N3183" s="46">
        <v>0</v>
      </c>
      <c r="O3183" s="355">
        <v>4335</v>
      </c>
      <c r="P3183" s="102">
        <v>4.335</v>
      </c>
      <c r="Q3183" s="27" t="s">
        <v>3556</v>
      </c>
    </row>
    <row r="3184" spans="1:17" x14ac:dyDescent="0.25">
      <c r="A3184" s="21">
        <v>39814</v>
      </c>
      <c r="B3184" s="21">
        <v>39814</v>
      </c>
      <c r="C3184" s="99">
        <v>2009</v>
      </c>
      <c r="D3184" s="35" t="s">
        <v>28</v>
      </c>
      <c r="E3184" s="30" t="s">
        <v>29</v>
      </c>
      <c r="F3184" s="7" t="s">
        <v>45</v>
      </c>
      <c r="G3184" s="25" t="s">
        <v>2109</v>
      </c>
      <c r="H3184" s="25" t="s">
        <v>4796</v>
      </c>
      <c r="I3184" s="46">
        <v>0</v>
      </c>
      <c r="J3184" s="46">
        <v>0</v>
      </c>
      <c r="K3184" s="46">
        <v>0</v>
      </c>
      <c r="L3184" s="46">
        <v>0</v>
      </c>
      <c r="M3184" s="46">
        <v>0</v>
      </c>
      <c r="N3184" s="46">
        <v>0</v>
      </c>
      <c r="O3184" s="355">
        <v>21475.5</v>
      </c>
      <c r="P3184" s="102">
        <v>21.4755</v>
      </c>
      <c r="Q3184" s="27" t="s">
        <v>3556</v>
      </c>
    </row>
    <row r="3185" spans="1:17" x14ac:dyDescent="0.25">
      <c r="A3185" s="21">
        <v>39814</v>
      </c>
      <c r="B3185" s="21">
        <v>39814</v>
      </c>
      <c r="C3185" s="99">
        <v>2009</v>
      </c>
      <c r="D3185" s="35" t="s">
        <v>28</v>
      </c>
      <c r="E3185" s="30" t="s">
        <v>29</v>
      </c>
      <c r="F3185" s="7" t="s">
        <v>47</v>
      </c>
      <c r="G3185" s="25" t="s">
        <v>2109</v>
      </c>
      <c r="H3185" s="25" t="s">
        <v>4796</v>
      </c>
      <c r="I3185" s="46">
        <v>0</v>
      </c>
      <c r="J3185" s="46">
        <v>0</v>
      </c>
      <c r="K3185" s="46">
        <v>0</v>
      </c>
      <c r="L3185" s="46">
        <v>0</v>
      </c>
      <c r="M3185" s="46">
        <v>0</v>
      </c>
      <c r="N3185" s="46">
        <v>0</v>
      </c>
      <c r="O3185" s="355">
        <v>213</v>
      </c>
      <c r="P3185" s="102">
        <v>0.21299999999999999</v>
      </c>
      <c r="Q3185" s="27" t="s">
        <v>3556</v>
      </c>
    </row>
    <row r="3186" spans="1:17" x14ac:dyDescent="0.25">
      <c r="A3186" s="21">
        <v>39814</v>
      </c>
      <c r="B3186" s="21">
        <v>39814</v>
      </c>
      <c r="C3186" s="99">
        <v>2009</v>
      </c>
      <c r="D3186" s="35" t="s">
        <v>28</v>
      </c>
      <c r="E3186" s="30" t="s">
        <v>29</v>
      </c>
      <c r="F3186" s="7" t="s">
        <v>36</v>
      </c>
      <c r="G3186" s="25" t="s">
        <v>2109</v>
      </c>
      <c r="H3186" s="25" t="s">
        <v>4796</v>
      </c>
      <c r="I3186" s="46">
        <v>0</v>
      </c>
      <c r="J3186" s="46">
        <v>0</v>
      </c>
      <c r="K3186" s="46">
        <v>0</v>
      </c>
      <c r="L3186" s="46">
        <v>0</v>
      </c>
      <c r="M3186" s="46">
        <v>0</v>
      </c>
      <c r="N3186" s="46">
        <v>0</v>
      </c>
      <c r="O3186" s="355">
        <v>12514.32</v>
      </c>
      <c r="P3186" s="102">
        <v>12.51432</v>
      </c>
      <c r="Q3186" s="27" t="s">
        <v>3556</v>
      </c>
    </row>
    <row r="3187" spans="1:17" x14ac:dyDescent="0.25">
      <c r="A3187" s="21">
        <v>39814</v>
      </c>
      <c r="B3187" s="21">
        <v>39814</v>
      </c>
      <c r="C3187" s="99">
        <v>2009</v>
      </c>
      <c r="D3187" s="35" t="s">
        <v>28</v>
      </c>
      <c r="E3187" s="30" t="s">
        <v>29</v>
      </c>
      <c r="F3187" s="7" t="s">
        <v>40</v>
      </c>
      <c r="G3187" s="25" t="s">
        <v>2109</v>
      </c>
      <c r="H3187" s="25" t="s">
        <v>4796</v>
      </c>
      <c r="I3187" s="46">
        <v>0</v>
      </c>
      <c r="J3187" s="46">
        <v>0</v>
      </c>
      <c r="K3187" s="46">
        <v>0</v>
      </c>
      <c r="L3187" s="46">
        <v>0</v>
      </c>
      <c r="M3187" s="46">
        <v>0</v>
      </c>
      <c r="N3187" s="46">
        <v>0</v>
      </c>
      <c r="O3187" s="355">
        <v>10703.87</v>
      </c>
      <c r="P3187" s="102">
        <v>10.70387</v>
      </c>
      <c r="Q3187" s="27" t="s">
        <v>3556</v>
      </c>
    </row>
    <row r="3188" spans="1:17" x14ac:dyDescent="0.25">
      <c r="A3188" s="21">
        <v>39814</v>
      </c>
      <c r="B3188" s="21">
        <v>39814</v>
      </c>
      <c r="C3188" s="99">
        <v>2009</v>
      </c>
      <c r="D3188" s="35" t="s">
        <v>28</v>
      </c>
      <c r="E3188" s="30" t="s">
        <v>29</v>
      </c>
      <c r="F3188" s="28" t="s">
        <v>157</v>
      </c>
      <c r="G3188" s="25" t="s">
        <v>2109</v>
      </c>
      <c r="H3188" s="25" t="s">
        <v>4796</v>
      </c>
      <c r="I3188" s="46">
        <v>0</v>
      </c>
      <c r="J3188" s="46">
        <v>0</v>
      </c>
      <c r="K3188" s="46">
        <v>0</v>
      </c>
      <c r="L3188" s="46">
        <v>0</v>
      </c>
      <c r="M3188" s="46">
        <v>0</v>
      </c>
      <c r="N3188" s="46">
        <v>0</v>
      </c>
      <c r="O3188" s="355">
        <v>1868.8500000000001</v>
      </c>
      <c r="P3188" s="102">
        <v>1.8688500000000001</v>
      </c>
      <c r="Q3188" s="27" t="s">
        <v>3556</v>
      </c>
    </row>
    <row r="3189" spans="1:17" x14ac:dyDescent="0.25">
      <c r="A3189" s="21">
        <v>39814</v>
      </c>
      <c r="B3189" s="21">
        <v>39814</v>
      </c>
      <c r="C3189" s="99">
        <v>2009</v>
      </c>
      <c r="D3189" s="35" t="s">
        <v>28</v>
      </c>
      <c r="E3189" s="30" t="s">
        <v>29</v>
      </c>
      <c r="F3189" s="7" t="s">
        <v>49</v>
      </c>
      <c r="G3189" s="25" t="s">
        <v>2109</v>
      </c>
      <c r="H3189" s="25" t="s">
        <v>4796</v>
      </c>
      <c r="I3189" s="46">
        <v>0</v>
      </c>
      <c r="J3189" s="46">
        <v>0</v>
      </c>
      <c r="K3189" s="46">
        <v>0</v>
      </c>
      <c r="L3189" s="46">
        <v>0</v>
      </c>
      <c r="M3189" s="46">
        <v>0</v>
      </c>
      <c r="N3189" s="46">
        <v>0</v>
      </c>
      <c r="O3189" s="355">
        <v>4580.78</v>
      </c>
      <c r="P3189" s="102">
        <v>4.5807799999999999</v>
      </c>
      <c r="Q3189" s="27" t="s">
        <v>3556</v>
      </c>
    </row>
    <row r="3190" spans="1:17" x14ac:dyDescent="0.25">
      <c r="A3190" s="21">
        <v>39814</v>
      </c>
      <c r="B3190" s="21">
        <v>39814</v>
      </c>
      <c r="C3190" s="99">
        <v>2009</v>
      </c>
      <c r="D3190" s="35" t="s">
        <v>28</v>
      </c>
      <c r="E3190" s="30" t="s">
        <v>29</v>
      </c>
      <c r="F3190" s="7" t="s">
        <v>56</v>
      </c>
      <c r="G3190" s="25" t="s">
        <v>2109</v>
      </c>
      <c r="H3190" s="25" t="s">
        <v>4796</v>
      </c>
      <c r="I3190" s="129">
        <v>1</v>
      </c>
      <c r="J3190" s="135">
        <v>2</v>
      </c>
      <c r="K3190" s="46">
        <v>0</v>
      </c>
      <c r="L3190" s="46">
        <v>0</v>
      </c>
      <c r="M3190" s="46">
        <v>0</v>
      </c>
      <c r="N3190" s="46">
        <v>0</v>
      </c>
      <c r="O3190" s="355">
        <v>435</v>
      </c>
      <c r="P3190" s="102">
        <v>0.435</v>
      </c>
      <c r="Q3190" s="27" t="s">
        <v>3556</v>
      </c>
    </row>
    <row r="3191" spans="1:17" x14ac:dyDescent="0.25">
      <c r="A3191" s="21">
        <v>39814</v>
      </c>
      <c r="B3191" s="21">
        <v>39814</v>
      </c>
      <c r="C3191" s="99">
        <v>2009</v>
      </c>
      <c r="D3191" s="35" t="s">
        <v>28</v>
      </c>
      <c r="E3191" s="30" t="s">
        <v>29</v>
      </c>
      <c r="F3191" s="7" t="s">
        <v>58</v>
      </c>
      <c r="G3191" s="25" t="s">
        <v>2109</v>
      </c>
      <c r="H3191" s="25" t="s">
        <v>4796</v>
      </c>
      <c r="I3191" s="46">
        <v>0</v>
      </c>
      <c r="J3191" s="46">
        <v>0</v>
      </c>
      <c r="K3191" s="46">
        <v>0</v>
      </c>
      <c r="L3191" s="46">
        <v>0</v>
      </c>
      <c r="M3191" s="46">
        <v>0</v>
      </c>
      <c r="N3191" s="46">
        <v>0</v>
      </c>
      <c r="O3191" s="355">
        <v>11496.75</v>
      </c>
      <c r="P3191" s="102">
        <v>11.49675</v>
      </c>
      <c r="Q3191" s="27" t="s">
        <v>3556</v>
      </c>
    </row>
    <row r="3192" spans="1:17" x14ac:dyDescent="0.25">
      <c r="A3192" s="21">
        <v>39814</v>
      </c>
      <c r="B3192" s="21">
        <v>39814</v>
      </c>
      <c r="C3192" s="99">
        <v>2009</v>
      </c>
      <c r="D3192" s="35" t="s">
        <v>28</v>
      </c>
      <c r="E3192" s="30" t="s">
        <v>29</v>
      </c>
      <c r="F3192" s="28" t="s">
        <v>160</v>
      </c>
      <c r="G3192" s="25" t="s">
        <v>2109</v>
      </c>
      <c r="H3192" s="25" t="s">
        <v>4796</v>
      </c>
      <c r="I3192" s="46">
        <v>0</v>
      </c>
      <c r="J3192" s="46">
        <v>0</v>
      </c>
      <c r="K3192" s="46">
        <v>0</v>
      </c>
      <c r="L3192" s="46">
        <v>0</v>
      </c>
      <c r="M3192" s="46">
        <v>0</v>
      </c>
      <c r="N3192" s="46">
        <v>0</v>
      </c>
      <c r="O3192" s="355">
        <v>3336.81</v>
      </c>
      <c r="P3192" s="102">
        <v>3.3368099999999998</v>
      </c>
      <c r="Q3192" s="27" t="s">
        <v>3556</v>
      </c>
    </row>
    <row r="3193" spans="1:17" x14ac:dyDescent="0.25">
      <c r="A3193" s="21">
        <v>39814</v>
      </c>
      <c r="B3193" s="21">
        <v>39814</v>
      </c>
      <c r="C3193" s="99">
        <v>2009</v>
      </c>
      <c r="D3193" s="35" t="s">
        <v>28</v>
      </c>
      <c r="E3193" s="30" t="s">
        <v>29</v>
      </c>
      <c r="F3193" s="7" t="s">
        <v>60</v>
      </c>
      <c r="G3193" s="25" t="s">
        <v>2109</v>
      </c>
      <c r="H3193" s="25" t="s">
        <v>4796</v>
      </c>
      <c r="I3193" s="46">
        <v>0</v>
      </c>
      <c r="J3193" s="46">
        <v>0</v>
      </c>
      <c r="K3193" s="46">
        <v>0</v>
      </c>
      <c r="L3193" s="46">
        <v>0</v>
      </c>
      <c r="M3193" s="46">
        <v>0</v>
      </c>
      <c r="N3193" s="46">
        <v>0</v>
      </c>
      <c r="O3193" s="355">
        <v>9458.5</v>
      </c>
      <c r="P3193" s="102">
        <v>9.4585000000000008</v>
      </c>
      <c r="Q3193" s="27" t="s">
        <v>3556</v>
      </c>
    </row>
    <row r="3194" spans="1:17" x14ac:dyDescent="0.25">
      <c r="A3194" s="21">
        <v>39814</v>
      </c>
      <c r="B3194" s="21">
        <v>39814</v>
      </c>
      <c r="C3194" s="99">
        <v>2009</v>
      </c>
      <c r="D3194" s="35" t="s">
        <v>28</v>
      </c>
      <c r="E3194" s="30" t="s">
        <v>29</v>
      </c>
      <c r="F3194" s="7" t="s">
        <v>53</v>
      </c>
      <c r="G3194" s="25" t="s">
        <v>2109</v>
      </c>
      <c r="H3194" s="25" t="s">
        <v>4796</v>
      </c>
      <c r="I3194" s="46">
        <v>0</v>
      </c>
      <c r="J3194" s="46">
        <v>0</v>
      </c>
      <c r="K3194" s="46">
        <v>0</v>
      </c>
      <c r="L3194" s="46">
        <v>0</v>
      </c>
      <c r="M3194" s="46">
        <v>0</v>
      </c>
      <c r="N3194" s="46">
        <v>0</v>
      </c>
      <c r="O3194" s="355">
        <v>6030.5</v>
      </c>
      <c r="P3194" s="102">
        <v>6.0305</v>
      </c>
      <c r="Q3194" s="27" t="s">
        <v>3556</v>
      </c>
    </row>
    <row r="3195" spans="1:17" x14ac:dyDescent="0.25">
      <c r="A3195" s="21">
        <v>39814</v>
      </c>
      <c r="B3195" s="21">
        <v>39814</v>
      </c>
      <c r="C3195" s="99">
        <v>2009</v>
      </c>
      <c r="D3195" s="35" t="s">
        <v>28</v>
      </c>
      <c r="E3195" s="30" t="s">
        <v>29</v>
      </c>
      <c r="F3195" s="7" t="s">
        <v>62</v>
      </c>
      <c r="G3195" s="25" t="s">
        <v>2109</v>
      </c>
      <c r="H3195" s="25" t="s">
        <v>4796</v>
      </c>
      <c r="I3195" s="46">
        <v>0</v>
      </c>
      <c r="J3195" s="46">
        <v>0</v>
      </c>
      <c r="K3195" s="46">
        <v>0</v>
      </c>
      <c r="L3195" s="46">
        <v>0</v>
      </c>
      <c r="M3195" s="46">
        <v>0</v>
      </c>
      <c r="N3195" s="46">
        <v>0</v>
      </c>
      <c r="O3195" s="355">
        <v>12468.75</v>
      </c>
      <c r="P3195" s="102">
        <v>12.46875</v>
      </c>
      <c r="Q3195" s="27" t="s">
        <v>3556</v>
      </c>
    </row>
    <row r="3196" spans="1:17" x14ac:dyDescent="0.25">
      <c r="A3196" s="21">
        <v>39814</v>
      </c>
      <c r="B3196" s="21">
        <v>39814</v>
      </c>
      <c r="C3196" s="99">
        <v>2009</v>
      </c>
      <c r="D3196" s="35" t="s">
        <v>28</v>
      </c>
      <c r="E3196" s="30" t="s">
        <v>29</v>
      </c>
      <c r="F3196" s="7" t="s">
        <v>65</v>
      </c>
      <c r="G3196" s="25" t="s">
        <v>2109</v>
      </c>
      <c r="H3196" s="25" t="s">
        <v>4796</v>
      </c>
      <c r="I3196" s="46">
        <v>0</v>
      </c>
      <c r="J3196" s="46">
        <v>0</v>
      </c>
      <c r="K3196" s="46">
        <v>0</v>
      </c>
      <c r="L3196" s="46">
        <v>0</v>
      </c>
      <c r="M3196" s="46">
        <v>0</v>
      </c>
      <c r="N3196" s="46">
        <v>0</v>
      </c>
      <c r="O3196" s="355">
        <v>677.81</v>
      </c>
      <c r="P3196" s="102">
        <v>0.67781000000000002</v>
      </c>
      <c r="Q3196" s="27" t="s">
        <v>3556</v>
      </c>
    </row>
    <row r="3197" spans="1:17" x14ac:dyDescent="0.25">
      <c r="A3197" s="21">
        <v>39814</v>
      </c>
      <c r="B3197" s="21">
        <v>39814</v>
      </c>
      <c r="C3197" s="99">
        <v>2009</v>
      </c>
      <c r="D3197" s="35" t="s">
        <v>28</v>
      </c>
      <c r="E3197" s="30" t="s">
        <v>29</v>
      </c>
      <c r="F3197" s="7" t="s">
        <v>67</v>
      </c>
      <c r="G3197" s="25" t="s">
        <v>2109</v>
      </c>
      <c r="H3197" s="25" t="s">
        <v>4796</v>
      </c>
      <c r="I3197" s="46">
        <v>0</v>
      </c>
      <c r="J3197" s="46">
        <v>0</v>
      </c>
      <c r="K3197" s="46">
        <v>0</v>
      </c>
      <c r="L3197" s="46">
        <v>0</v>
      </c>
      <c r="M3197" s="46">
        <v>0</v>
      </c>
      <c r="N3197" s="46">
        <v>0</v>
      </c>
      <c r="O3197" s="355">
        <v>4525</v>
      </c>
      <c r="P3197" s="102">
        <v>4.5250000000000004</v>
      </c>
      <c r="Q3197" s="27" t="s">
        <v>3556</v>
      </c>
    </row>
    <row r="3198" spans="1:17" x14ac:dyDescent="0.25">
      <c r="A3198" s="21">
        <v>39814</v>
      </c>
      <c r="B3198" s="21">
        <v>39814</v>
      </c>
      <c r="C3198" s="99">
        <v>2009</v>
      </c>
      <c r="D3198" s="35" t="s">
        <v>28</v>
      </c>
      <c r="E3198" s="30" t="s">
        <v>29</v>
      </c>
      <c r="F3198" s="7" t="s">
        <v>68</v>
      </c>
      <c r="G3198" s="25" t="s">
        <v>2109</v>
      </c>
      <c r="H3198" s="25" t="s">
        <v>4796</v>
      </c>
      <c r="I3198" s="46">
        <v>0</v>
      </c>
      <c r="J3198" s="46">
        <v>0</v>
      </c>
      <c r="K3198" s="46">
        <v>0</v>
      </c>
      <c r="L3198" s="46">
        <v>0</v>
      </c>
      <c r="M3198" s="46">
        <v>0</v>
      </c>
      <c r="N3198" s="46">
        <v>0</v>
      </c>
      <c r="O3198" s="355">
        <v>3090.7700000000004</v>
      </c>
      <c r="P3198" s="102">
        <v>3.0907700000000005</v>
      </c>
      <c r="Q3198" s="27" t="s">
        <v>3556</v>
      </c>
    </row>
    <row r="3199" spans="1:17" x14ac:dyDescent="0.25">
      <c r="A3199" s="21">
        <v>39814</v>
      </c>
      <c r="B3199" s="21">
        <v>39814</v>
      </c>
      <c r="C3199" s="99">
        <v>2009</v>
      </c>
      <c r="D3199" s="35" t="s">
        <v>28</v>
      </c>
      <c r="E3199" s="30" t="s">
        <v>29</v>
      </c>
      <c r="F3199" s="7" t="s">
        <v>72</v>
      </c>
      <c r="G3199" s="25" t="s">
        <v>2109</v>
      </c>
      <c r="H3199" s="25" t="s">
        <v>4796</v>
      </c>
      <c r="I3199" s="129">
        <v>5</v>
      </c>
      <c r="J3199" s="135">
        <v>5</v>
      </c>
      <c r="K3199" s="46">
        <v>0</v>
      </c>
      <c r="L3199" s="46">
        <v>0</v>
      </c>
      <c r="M3199" s="46">
        <v>0</v>
      </c>
      <c r="N3199" s="46">
        <v>0</v>
      </c>
      <c r="O3199" s="355">
        <v>14650</v>
      </c>
      <c r="P3199" s="102">
        <v>14.65</v>
      </c>
      <c r="Q3199" s="27" t="s">
        <v>3556</v>
      </c>
    </row>
    <row r="3200" spans="1:17" x14ac:dyDescent="0.25">
      <c r="A3200" s="21">
        <v>39814</v>
      </c>
      <c r="B3200" s="21">
        <v>39814</v>
      </c>
      <c r="C3200" s="99">
        <v>2009</v>
      </c>
      <c r="D3200" s="35" t="s">
        <v>28</v>
      </c>
      <c r="E3200" s="30" t="s">
        <v>29</v>
      </c>
      <c r="F3200" s="7" t="s">
        <v>75</v>
      </c>
      <c r="G3200" s="25" t="s">
        <v>2109</v>
      </c>
      <c r="H3200" s="25" t="s">
        <v>4796</v>
      </c>
      <c r="I3200" s="46">
        <v>0</v>
      </c>
      <c r="J3200" s="46">
        <v>0</v>
      </c>
      <c r="K3200" s="46">
        <v>0</v>
      </c>
      <c r="L3200" s="46">
        <v>0</v>
      </c>
      <c r="M3200" s="46">
        <v>0</v>
      </c>
      <c r="N3200" s="46">
        <v>0</v>
      </c>
      <c r="O3200" s="355">
        <v>7402.81</v>
      </c>
      <c r="P3200" s="102">
        <v>7.4028099999999997</v>
      </c>
      <c r="Q3200" s="27" t="s">
        <v>3556</v>
      </c>
    </row>
    <row r="3201" spans="1:17" x14ac:dyDescent="0.25">
      <c r="A3201" s="21">
        <v>39814</v>
      </c>
      <c r="B3201" s="21">
        <v>39814</v>
      </c>
      <c r="C3201" s="99">
        <v>2009</v>
      </c>
      <c r="D3201" s="35" t="s">
        <v>28</v>
      </c>
      <c r="E3201" s="30" t="s">
        <v>29</v>
      </c>
      <c r="F3201" s="7" t="s">
        <v>77</v>
      </c>
      <c r="G3201" s="25" t="s">
        <v>2109</v>
      </c>
      <c r="H3201" s="25" t="s">
        <v>4796</v>
      </c>
      <c r="I3201" s="46">
        <v>0</v>
      </c>
      <c r="J3201" s="46">
        <v>0</v>
      </c>
      <c r="K3201" s="46">
        <v>0</v>
      </c>
      <c r="L3201" s="46">
        <v>0</v>
      </c>
      <c r="M3201" s="46">
        <v>0</v>
      </c>
      <c r="N3201" s="46">
        <v>0</v>
      </c>
      <c r="O3201" s="355">
        <v>2059.5</v>
      </c>
      <c r="P3201" s="102">
        <v>2.0594999999999999</v>
      </c>
      <c r="Q3201" s="27" t="s">
        <v>3556</v>
      </c>
    </row>
    <row r="3202" spans="1:17" x14ac:dyDescent="0.25">
      <c r="A3202" s="21">
        <v>39814</v>
      </c>
      <c r="B3202" s="21">
        <v>39814</v>
      </c>
      <c r="C3202" s="99">
        <v>2009</v>
      </c>
      <c r="D3202" s="35" t="s">
        <v>28</v>
      </c>
      <c r="E3202" s="30" t="s">
        <v>29</v>
      </c>
      <c r="F3202" s="7" t="s">
        <v>80</v>
      </c>
      <c r="G3202" s="25" t="s">
        <v>2109</v>
      </c>
      <c r="H3202" s="25" t="s">
        <v>4796</v>
      </c>
      <c r="I3202" s="46">
        <v>0</v>
      </c>
      <c r="J3202" s="46">
        <v>0</v>
      </c>
      <c r="K3202" s="46">
        <v>0</v>
      </c>
      <c r="L3202" s="46">
        <v>0</v>
      </c>
      <c r="M3202" s="46">
        <v>0</v>
      </c>
      <c r="N3202" s="46">
        <v>0</v>
      </c>
      <c r="O3202" s="355">
        <v>42350</v>
      </c>
      <c r="P3202" s="102">
        <v>42.35</v>
      </c>
      <c r="Q3202" s="27" t="s">
        <v>3556</v>
      </c>
    </row>
    <row r="3203" spans="1:17" x14ac:dyDescent="0.25">
      <c r="A3203" s="21">
        <v>39814</v>
      </c>
      <c r="B3203" s="21">
        <v>39814</v>
      </c>
      <c r="C3203" s="99">
        <v>2009</v>
      </c>
      <c r="D3203" s="35" t="s">
        <v>28</v>
      </c>
      <c r="E3203" s="30" t="s">
        <v>29</v>
      </c>
      <c r="F3203" s="7" t="s">
        <v>82</v>
      </c>
      <c r="G3203" s="25" t="s">
        <v>2109</v>
      </c>
      <c r="H3203" s="25" t="s">
        <v>4796</v>
      </c>
      <c r="I3203" s="46">
        <v>0</v>
      </c>
      <c r="J3203" s="46">
        <v>0</v>
      </c>
      <c r="K3203" s="46">
        <v>0</v>
      </c>
      <c r="L3203" s="46">
        <v>0</v>
      </c>
      <c r="M3203" s="46">
        <v>0</v>
      </c>
      <c r="N3203" s="46">
        <v>0</v>
      </c>
      <c r="O3203" s="355">
        <v>1507</v>
      </c>
      <c r="P3203" s="102">
        <v>1.5069999999999999</v>
      </c>
      <c r="Q3203" s="27" t="s">
        <v>3556</v>
      </c>
    </row>
    <row r="3204" spans="1:17" x14ac:dyDescent="0.25">
      <c r="A3204" s="21">
        <v>39814</v>
      </c>
      <c r="B3204" s="21">
        <v>39814</v>
      </c>
      <c r="C3204" s="99">
        <v>2009</v>
      </c>
      <c r="D3204" s="35" t="s">
        <v>28</v>
      </c>
      <c r="E3204" s="30" t="s">
        <v>29</v>
      </c>
      <c r="F3204" s="7" t="s">
        <v>84</v>
      </c>
      <c r="G3204" s="25" t="s">
        <v>2109</v>
      </c>
      <c r="H3204" s="25" t="s">
        <v>4796</v>
      </c>
      <c r="I3204" s="46">
        <v>0</v>
      </c>
      <c r="J3204" s="46">
        <v>0</v>
      </c>
      <c r="K3204" s="46">
        <v>0</v>
      </c>
      <c r="L3204" s="46">
        <v>0</v>
      </c>
      <c r="M3204" s="46">
        <v>0</v>
      </c>
      <c r="N3204" s="46">
        <v>0</v>
      </c>
      <c r="O3204" s="355">
        <v>1488</v>
      </c>
      <c r="P3204" s="102">
        <v>1.488</v>
      </c>
      <c r="Q3204" s="27" t="s">
        <v>3556</v>
      </c>
    </row>
    <row r="3205" spans="1:17" x14ac:dyDescent="0.25">
      <c r="A3205" s="21">
        <v>39814</v>
      </c>
      <c r="B3205" s="21">
        <v>39814</v>
      </c>
      <c r="C3205" s="99">
        <v>2009</v>
      </c>
      <c r="D3205" s="35" t="s">
        <v>28</v>
      </c>
      <c r="E3205" s="30" t="s">
        <v>29</v>
      </c>
      <c r="F3205" s="7" t="s">
        <v>87</v>
      </c>
      <c r="G3205" s="25" t="s">
        <v>2109</v>
      </c>
      <c r="H3205" s="25" t="s">
        <v>4796</v>
      </c>
      <c r="I3205" s="46">
        <v>0</v>
      </c>
      <c r="J3205" s="46">
        <v>0</v>
      </c>
      <c r="K3205" s="46">
        <v>0</v>
      </c>
      <c r="L3205" s="46">
        <v>0</v>
      </c>
      <c r="M3205" s="46">
        <v>0</v>
      </c>
      <c r="N3205" s="46">
        <v>0</v>
      </c>
      <c r="O3205" s="355">
        <v>6009</v>
      </c>
      <c r="P3205" s="102">
        <v>6.0090000000000003</v>
      </c>
      <c r="Q3205" s="27" t="s">
        <v>3556</v>
      </c>
    </row>
    <row r="3206" spans="1:17" x14ac:dyDescent="0.25">
      <c r="A3206" s="21">
        <v>39814</v>
      </c>
      <c r="B3206" s="21">
        <v>39814</v>
      </c>
      <c r="C3206" s="99">
        <v>2009</v>
      </c>
      <c r="D3206" s="35" t="s">
        <v>28</v>
      </c>
      <c r="E3206" s="30" t="s">
        <v>29</v>
      </c>
      <c r="F3206" s="25" t="s">
        <v>781</v>
      </c>
      <c r="G3206" s="25" t="s">
        <v>2109</v>
      </c>
      <c r="H3206" s="25" t="s">
        <v>4796</v>
      </c>
      <c r="I3206" s="129">
        <v>1</v>
      </c>
      <c r="J3206" s="135">
        <v>0</v>
      </c>
      <c r="K3206" s="46">
        <v>0</v>
      </c>
      <c r="L3206" s="46">
        <v>0</v>
      </c>
      <c r="M3206" s="46">
        <v>0</v>
      </c>
      <c r="N3206" s="46">
        <v>0</v>
      </c>
      <c r="O3206" s="355">
        <v>4863.5</v>
      </c>
      <c r="P3206" s="102">
        <v>4.8635000000000002</v>
      </c>
      <c r="Q3206" s="27" t="s">
        <v>3556</v>
      </c>
    </row>
    <row r="3207" spans="1:17" x14ac:dyDescent="0.25">
      <c r="A3207" s="21">
        <v>39814</v>
      </c>
      <c r="B3207" s="21">
        <v>39814</v>
      </c>
      <c r="C3207" s="99">
        <v>2009</v>
      </c>
      <c r="D3207" s="35" t="s">
        <v>28</v>
      </c>
      <c r="E3207" s="30" t="s">
        <v>29</v>
      </c>
      <c r="F3207" s="7" t="s">
        <v>91</v>
      </c>
      <c r="G3207" s="25" t="s">
        <v>2109</v>
      </c>
      <c r="H3207" s="25" t="s">
        <v>4796</v>
      </c>
      <c r="I3207" s="46">
        <v>0</v>
      </c>
      <c r="J3207" s="46">
        <v>0</v>
      </c>
      <c r="K3207" s="46">
        <v>0</v>
      </c>
      <c r="L3207" s="46">
        <v>0</v>
      </c>
      <c r="M3207" s="46">
        <v>0</v>
      </c>
      <c r="N3207" s="46">
        <v>0</v>
      </c>
      <c r="O3207" s="355">
        <v>2269</v>
      </c>
      <c r="P3207" s="102">
        <v>2.2690000000000001</v>
      </c>
      <c r="Q3207" s="27" t="s">
        <v>3556</v>
      </c>
    </row>
    <row r="3208" spans="1:17" x14ac:dyDescent="0.25">
      <c r="A3208" s="21">
        <v>39814</v>
      </c>
      <c r="B3208" s="21">
        <v>39814</v>
      </c>
      <c r="C3208" s="99">
        <v>2009</v>
      </c>
      <c r="D3208" s="35" t="s">
        <v>28</v>
      </c>
      <c r="E3208" s="30" t="s">
        <v>29</v>
      </c>
      <c r="F3208" s="7" t="s">
        <v>97</v>
      </c>
      <c r="G3208" s="25" t="s">
        <v>2109</v>
      </c>
      <c r="H3208" s="25" t="s">
        <v>4796</v>
      </c>
      <c r="I3208" s="46">
        <v>0</v>
      </c>
      <c r="J3208" s="46">
        <v>0</v>
      </c>
      <c r="K3208" s="46">
        <v>0</v>
      </c>
      <c r="L3208" s="46">
        <v>0</v>
      </c>
      <c r="M3208" s="46">
        <v>0</v>
      </c>
      <c r="N3208" s="46">
        <v>0</v>
      </c>
      <c r="O3208" s="355">
        <v>2080</v>
      </c>
      <c r="P3208" s="102">
        <v>2.08</v>
      </c>
      <c r="Q3208" s="27" t="s">
        <v>3556</v>
      </c>
    </row>
    <row r="3209" spans="1:17" x14ac:dyDescent="0.25">
      <c r="A3209" s="21">
        <v>39814</v>
      </c>
      <c r="B3209" s="21">
        <v>39814</v>
      </c>
      <c r="C3209" s="99">
        <v>2009</v>
      </c>
      <c r="D3209" s="35" t="s">
        <v>28</v>
      </c>
      <c r="E3209" s="30" t="s">
        <v>29</v>
      </c>
      <c r="F3209" s="28" t="s">
        <v>210</v>
      </c>
      <c r="G3209" s="25" t="s">
        <v>2109</v>
      </c>
      <c r="H3209" s="25" t="s">
        <v>4796</v>
      </c>
      <c r="I3209" s="46">
        <v>0</v>
      </c>
      <c r="J3209" s="46">
        <v>0</v>
      </c>
      <c r="K3209" s="46">
        <v>0</v>
      </c>
      <c r="L3209" s="46">
        <v>0</v>
      </c>
      <c r="M3209" s="46">
        <v>0</v>
      </c>
      <c r="N3209" s="46">
        <v>0</v>
      </c>
      <c r="O3209" s="355">
        <v>2806.56</v>
      </c>
      <c r="P3209" s="102">
        <v>2.8065600000000002</v>
      </c>
      <c r="Q3209" s="27" t="s">
        <v>3556</v>
      </c>
    </row>
    <row r="3210" spans="1:17" x14ac:dyDescent="0.25">
      <c r="A3210" s="21">
        <v>39814</v>
      </c>
      <c r="B3210" s="21">
        <v>39814</v>
      </c>
      <c r="C3210" s="99">
        <v>2009</v>
      </c>
      <c r="D3210" s="35" t="s">
        <v>28</v>
      </c>
      <c r="E3210" s="30" t="s">
        <v>29</v>
      </c>
      <c r="F3210" s="28" t="s">
        <v>163</v>
      </c>
      <c r="G3210" s="25" t="s">
        <v>2109</v>
      </c>
      <c r="H3210" s="25" t="s">
        <v>4796</v>
      </c>
      <c r="I3210" s="46">
        <v>0</v>
      </c>
      <c r="J3210" s="46">
        <v>0</v>
      </c>
      <c r="K3210" s="46">
        <v>0</v>
      </c>
      <c r="L3210" s="46">
        <v>0</v>
      </c>
      <c r="M3210" s="46">
        <v>0</v>
      </c>
      <c r="N3210" s="46">
        <v>0</v>
      </c>
      <c r="O3210" s="355">
        <v>15463.23</v>
      </c>
      <c r="P3210" s="102">
        <v>15.463229999999999</v>
      </c>
      <c r="Q3210" s="27" t="s">
        <v>3556</v>
      </c>
    </row>
    <row r="3211" spans="1:17" x14ac:dyDescent="0.25">
      <c r="A3211" s="21">
        <v>39814</v>
      </c>
      <c r="B3211" s="21">
        <v>39814</v>
      </c>
      <c r="C3211" s="99">
        <v>2009</v>
      </c>
      <c r="D3211" s="35" t="s">
        <v>28</v>
      </c>
      <c r="E3211" s="30" t="s">
        <v>29</v>
      </c>
      <c r="F3211" s="7" t="s">
        <v>101</v>
      </c>
      <c r="G3211" s="25" t="s">
        <v>2109</v>
      </c>
      <c r="H3211" s="25" t="s">
        <v>4796</v>
      </c>
      <c r="I3211" s="46">
        <v>0</v>
      </c>
      <c r="J3211" s="46">
        <v>0</v>
      </c>
      <c r="K3211" s="46">
        <v>0</v>
      </c>
      <c r="L3211" s="46">
        <v>0</v>
      </c>
      <c r="M3211" s="46">
        <v>0</v>
      </c>
      <c r="N3211" s="46">
        <v>0</v>
      </c>
      <c r="O3211" s="355">
        <v>13437.75</v>
      </c>
      <c r="P3211" s="102">
        <v>13.437749999999999</v>
      </c>
      <c r="Q3211" s="27" t="s">
        <v>3556</v>
      </c>
    </row>
    <row r="3212" spans="1:17" ht="132" x14ac:dyDescent="0.25">
      <c r="A3212" s="23">
        <v>39815</v>
      </c>
      <c r="B3212" s="23">
        <v>39815</v>
      </c>
      <c r="C3212" s="27">
        <v>2009</v>
      </c>
      <c r="D3212" s="35" t="s">
        <v>28</v>
      </c>
      <c r="E3212" s="30" t="s">
        <v>149</v>
      </c>
      <c r="F3212" s="28" t="s">
        <v>157</v>
      </c>
      <c r="G3212" s="25" t="s">
        <v>1190</v>
      </c>
      <c r="H3212" s="25" t="s">
        <v>4797</v>
      </c>
      <c r="I3212" s="20">
        <v>1</v>
      </c>
      <c r="J3212" s="20">
        <v>6</v>
      </c>
      <c r="K3212" s="20">
        <v>0</v>
      </c>
      <c r="L3212" s="20">
        <v>0</v>
      </c>
      <c r="M3212" s="20">
        <v>0</v>
      </c>
      <c r="N3212" s="46">
        <v>0</v>
      </c>
      <c r="O3212" s="75">
        <v>0</v>
      </c>
      <c r="P3212" s="76">
        <v>0</v>
      </c>
      <c r="Q3212" s="27" t="s">
        <v>154</v>
      </c>
    </row>
    <row r="3213" spans="1:17" ht="144" x14ac:dyDescent="0.25">
      <c r="A3213" s="23">
        <v>39823</v>
      </c>
      <c r="B3213" s="23">
        <v>39823</v>
      </c>
      <c r="C3213" s="27">
        <v>2009</v>
      </c>
      <c r="D3213" s="35" t="s">
        <v>28</v>
      </c>
      <c r="E3213" s="30" t="s">
        <v>149</v>
      </c>
      <c r="F3213" s="28" t="s">
        <v>160</v>
      </c>
      <c r="G3213" s="25" t="s">
        <v>4798</v>
      </c>
      <c r="H3213" s="25" t="s">
        <v>4799</v>
      </c>
      <c r="I3213" s="20">
        <v>0</v>
      </c>
      <c r="J3213" s="20">
        <v>0</v>
      </c>
      <c r="K3213" s="20">
        <v>0</v>
      </c>
      <c r="L3213" s="20">
        <v>0</v>
      </c>
      <c r="M3213" s="20">
        <v>0</v>
      </c>
      <c r="N3213" s="46">
        <v>0</v>
      </c>
      <c r="O3213" s="20">
        <v>0</v>
      </c>
      <c r="P3213" s="76">
        <f>((450000*3)+(18000*7.72))/1000000</f>
        <v>1.4889600000000001</v>
      </c>
      <c r="Q3213" s="27" t="s">
        <v>154</v>
      </c>
    </row>
    <row r="3214" spans="1:17" ht="36" x14ac:dyDescent="0.25">
      <c r="A3214" s="23">
        <v>39824</v>
      </c>
      <c r="B3214" s="23">
        <v>39824</v>
      </c>
      <c r="C3214" s="27">
        <v>2009</v>
      </c>
      <c r="D3214" s="35" t="s">
        <v>28</v>
      </c>
      <c r="E3214" s="30" t="s">
        <v>149</v>
      </c>
      <c r="F3214" s="28" t="s">
        <v>163</v>
      </c>
      <c r="G3214" s="25" t="s">
        <v>4202</v>
      </c>
      <c r="H3214" s="25" t="s">
        <v>4800</v>
      </c>
      <c r="I3214" s="20">
        <v>0</v>
      </c>
      <c r="J3214" s="20">
        <v>16</v>
      </c>
      <c r="K3214" s="20">
        <v>0</v>
      </c>
      <c r="L3214" s="20">
        <v>0</v>
      </c>
      <c r="M3214" s="20">
        <v>0</v>
      </c>
      <c r="N3214" s="20">
        <v>0</v>
      </c>
      <c r="O3214" s="20">
        <v>0</v>
      </c>
      <c r="P3214" s="76">
        <v>0</v>
      </c>
      <c r="Q3214" s="27" t="s">
        <v>154</v>
      </c>
    </row>
    <row r="3215" spans="1:17" ht="60" x14ac:dyDescent="0.25">
      <c r="A3215" s="23">
        <v>39832</v>
      </c>
      <c r="B3215" s="23">
        <v>39832</v>
      </c>
      <c r="C3215" s="27">
        <v>2009</v>
      </c>
      <c r="D3215" s="35" t="s">
        <v>28</v>
      </c>
      <c r="E3215" s="30" t="s">
        <v>149</v>
      </c>
      <c r="F3215" s="28" t="s">
        <v>157</v>
      </c>
      <c r="G3215" s="126" t="s">
        <v>716</v>
      </c>
      <c r="H3215" s="126" t="s">
        <v>4801</v>
      </c>
      <c r="I3215" s="20">
        <v>0</v>
      </c>
      <c r="J3215" s="20">
        <v>0</v>
      </c>
      <c r="K3215" s="20">
        <v>0</v>
      </c>
      <c r="L3215" s="20">
        <v>0</v>
      </c>
      <c r="M3215" s="20">
        <v>0</v>
      </c>
      <c r="N3215" s="20">
        <v>0</v>
      </c>
      <c r="O3215" s="75">
        <v>0</v>
      </c>
      <c r="P3215" s="76">
        <v>0</v>
      </c>
      <c r="Q3215" s="27" t="s">
        <v>154</v>
      </c>
    </row>
    <row r="3216" spans="1:17" ht="120" x14ac:dyDescent="0.25">
      <c r="A3216" s="23">
        <v>39834</v>
      </c>
      <c r="B3216" s="23">
        <v>39834</v>
      </c>
      <c r="C3216" s="27">
        <v>2009</v>
      </c>
      <c r="D3216" s="35" t="s">
        <v>28</v>
      </c>
      <c r="E3216" s="30" t="s">
        <v>149</v>
      </c>
      <c r="F3216" s="7" t="s">
        <v>53</v>
      </c>
      <c r="G3216" s="126" t="s">
        <v>2516</v>
      </c>
      <c r="H3216" s="126" t="s">
        <v>4802</v>
      </c>
      <c r="I3216" s="20">
        <v>0</v>
      </c>
      <c r="J3216" s="20">
        <v>0</v>
      </c>
      <c r="K3216" s="20">
        <v>0</v>
      </c>
      <c r="L3216" s="20">
        <v>0</v>
      </c>
      <c r="M3216" s="20">
        <v>0</v>
      </c>
      <c r="N3216" s="20">
        <v>0</v>
      </c>
      <c r="O3216" s="75">
        <v>0</v>
      </c>
      <c r="P3216" s="76">
        <v>0</v>
      </c>
      <c r="Q3216" s="27" t="s">
        <v>154</v>
      </c>
    </row>
    <row r="3217" spans="1:17" ht="84" x14ac:dyDescent="0.25">
      <c r="A3217" s="23">
        <v>39834</v>
      </c>
      <c r="B3217" s="23">
        <v>39834</v>
      </c>
      <c r="C3217" s="27">
        <v>2009</v>
      </c>
      <c r="D3217" s="35" t="s">
        <v>28</v>
      </c>
      <c r="E3217" s="30" t="s">
        <v>149</v>
      </c>
      <c r="F3217" s="7" t="s">
        <v>68</v>
      </c>
      <c r="G3217" s="126" t="s">
        <v>1121</v>
      </c>
      <c r="H3217" s="126" t="s">
        <v>4803</v>
      </c>
      <c r="I3217" s="20">
        <v>0</v>
      </c>
      <c r="J3217" s="20">
        <v>75</v>
      </c>
      <c r="K3217" s="20">
        <v>0</v>
      </c>
      <c r="L3217" s="20">
        <v>0</v>
      </c>
      <c r="M3217" s="20">
        <v>0</v>
      </c>
      <c r="N3217" s="20">
        <v>0</v>
      </c>
      <c r="O3217" s="75">
        <v>0</v>
      </c>
      <c r="P3217" s="76">
        <v>0</v>
      </c>
      <c r="Q3217" s="27" t="s">
        <v>154</v>
      </c>
    </row>
    <row r="3218" spans="1:17" ht="36" x14ac:dyDescent="0.25">
      <c r="A3218" s="23">
        <v>39835</v>
      </c>
      <c r="B3218" s="23">
        <v>39835</v>
      </c>
      <c r="C3218" s="27">
        <v>2009</v>
      </c>
      <c r="D3218" s="35" t="s">
        <v>28</v>
      </c>
      <c r="E3218" s="30" t="s">
        <v>149</v>
      </c>
      <c r="F3218" s="28" t="s">
        <v>163</v>
      </c>
      <c r="G3218" s="126" t="s">
        <v>1696</v>
      </c>
      <c r="H3218" s="126" t="s">
        <v>4804</v>
      </c>
      <c r="I3218" s="20">
        <v>0</v>
      </c>
      <c r="J3218" s="20">
        <v>0</v>
      </c>
      <c r="K3218" s="20">
        <v>0</v>
      </c>
      <c r="L3218" s="20">
        <v>0</v>
      </c>
      <c r="M3218" s="20">
        <v>0</v>
      </c>
      <c r="N3218" s="20">
        <v>0</v>
      </c>
      <c r="O3218" s="75">
        <v>0</v>
      </c>
      <c r="P3218" s="76">
        <v>0</v>
      </c>
      <c r="Q3218" s="27" t="s">
        <v>154</v>
      </c>
    </row>
    <row r="3219" spans="1:17" ht="108" x14ac:dyDescent="0.25">
      <c r="A3219" s="23">
        <v>39838</v>
      </c>
      <c r="B3219" s="23">
        <v>39838</v>
      </c>
      <c r="C3219" s="27">
        <v>2009</v>
      </c>
      <c r="D3219" s="35" t="s">
        <v>28</v>
      </c>
      <c r="E3219" s="30" t="s">
        <v>149</v>
      </c>
      <c r="F3219" s="7" t="s">
        <v>62</v>
      </c>
      <c r="G3219" s="126" t="s">
        <v>4805</v>
      </c>
      <c r="H3219" s="126" t="s">
        <v>4806</v>
      </c>
      <c r="I3219" s="20">
        <v>0</v>
      </c>
      <c r="J3219" s="20">
        <v>0</v>
      </c>
      <c r="K3219" s="20">
        <v>0</v>
      </c>
      <c r="L3219" s="20">
        <v>0</v>
      </c>
      <c r="M3219" s="20">
        <v>0</v>
      </c>
      <c r="N3219" s="20">
        <v>0</v>
      </c>
      <c r="O3219" s="75">
        <v>0</v>
      </c>
      <c r="P3219" s="76" t="s">
        <v>4558</v>
      </c>
      <c r="Q3219" s="27" t="s">
        <v>154</v>
      </c>
    </row>
    <row r="3220" spans="1:17" ht="168" x14ac:dyDescent="0.25">
      <c r="A3220" s="23">
        <v>39841</v>
      </c>
      <c r="B3220" s="23">
        <v>39841</v>
      </c>
      <c r="C3220" s="27">
        <v>2009</v>
      </c>
      <c r="D3220" s="35" t="s">
        <v>28</v>
      </c>
      <c r="E3220" s="30" t="s">
        <v>149</v>
      </c>
      <c r="F3220" s="7" t="s">
        <v>56</v>
      </c>
      <c r="G3220" s="126" t="s">
        <v>351</v>
      </c>
      <c r="H3220" s="126" t="s">
        <v>4807</v>
      </c>
      <c r="I3220" s="20">
        <v>0</v>
      </c>
      <c r="J3220" s="20">
        <v>1</v>
      </c>
      <c r="K3220" s="20">
        <v>0</v>
      </c>
      <c r="L3220" s="20">
        <v>0</v>
      </c>
      <c r="M3220" s="20">
        <v>0</v>
      </c>
      <c r="N3220" s="20">
        <v>0</v>
      </c>
      <c r="O3220" s="75">
        <v>0</v>
      </c>
      <c r="P3220" s="76">
        <v>0</v>
      </c>
      <c r="Q3220" s="27" t="s">
        <v>154</v>
      </c>
    </row>
    <row r="3221" spans="1:17" ht="96" x14ac:dyDescent="0.25">
      <c r="A3221" s="23">
        <v>39845</v>
      </c>
      <c r="B3221" s="23">
        <v>39845</v>
      </c>
      <c r="C3221" s="27">
        <v>2009</v>
      </c>
      <c r="D3221" s="35" t="s">
        <v>28</v>
      </c>
      <c r="E3221" s="30" t="s">
        <v>149</v>
      </c>
      <c r="F3221" s="28" t="s">
        <v>157</v>
      </c>
      <c r="G3221" s="126" t="s">
        <v>4237</v>
      </c>
      <c r="H3221" s="126" t="s">
        <v>4808</v>
      </c>
      <c r="I3221" s="20">
        <v>0</v>
      </c>
      <c r="J3221" s="20">
        <v>500</v>
      </c>
      <c r="K3221" s="20">
        <v>0</v>
      </c>
      <c r="L3221" s="20">
        <v>0</v>
      </c>
      <c r="M3221" s="20">
        <v>0</v>
      </c>
      <c r="N3221" s="20">
        <v>0</v>
      </c>
      <c r="O3221" s="20">
        <v>0</v>
      </c>
      <c r="P3221" s="76" t="s">
        <v>4809</v>
      </c>
      <c r="Q3221" s="27" t="s">
        <v>154</v>
      </c>
    </row>
    <row r="3222" spans="1:17" ht="120" x14ac:dyDescent="0.25">
      <c r="A3222" s="23">
        <v>39845</v>
      </c>
      <c r="B3222" s="23">
        <v>39845</v>
      </c>
      <c r="C3222" s="27">
        <v>2009</v>
      </c>
      <c r="D3222" s="35" t="s">
        <v>28</v>
      </c>
      <c r="E3222" s="30" t="s">
        <v>149</v>
      </c>
      <c r="F3222" s="7" t="s">
        <v>36</v>
      </c>
      <c r="G3222" s="25" t="s">
        <v>2276</v>
      </c>
      <c r="H3222" s="25" t="s">
        <v>4810</v>
      </c>
      <c r="I3222" s="20">
        <v>0</v>
      </c>
      <c r="J3222" s="20">
        <v>0</v>
      </c>
      <c r="K3222" s="20">
        <v>0</v>
      </c>
      <c r="L3222" s="20">
        <v>0</v>
      </c>
      <c r="M3222" s="20">
        <v>0</v>
      </c>
      <c r="N3222" s="20">
        <v>0</v>
      </c>
      <c r="O3222" s="75">
        <v>0</v>
      </c>
      <c r="P3222" s="76">
        <v>0</v>
      </c>
      <c r="Q3222" s="27" t="s">
        <v>154</v>
      </c>
    </row>
    <row r="3223" spans="1:17" ht="168" x14ac:dyDescent="0.25">
      <c r="A3223" s="23">
        <v>39846</v>
      </c>
      <c r="B3223" s="23">
        <v>39846</v>
      </c>
      <c r="C3223" s="27">
        <v>2009</v>
      </c>
      <c r="D3223" s="35" t="s">
        <v>28</v>
      </c>
      <c r="E3223" s="30" t="s">
        <v>149</v>
      </c>
      <c r="F3223" s="7" t="s">
        <v>68</v>
      </c>
      <c r="G3223" s="25" t="s">
        <v>3128</v>
      </c>
      <c r="H3223" s="25" t="s">
        <v>4811</v>
      </c>
      <c r="I3223" s="20">
        <v>0</v>
      </c>
      <c r="J3223" s="20">
        <v>0</v>
      </c>
      <c r="K3223" s="20">
        <v>0</v>
      </c>
      <c r="L3223" s="20">
        <v>0</v>
      </c>
      <c r="M3223" s="20">
        <v>0</v>
      </c>
      <c r="N3223" s="20">
        <v>0</v>
      </c>
      <c r="O3223" s="75">
        <v>0</v>
      </c>
      <c r="P3223" s="76" t="s">
        <v>4558</v>
      </c>
      <c r="Q3223" s="27" t="s">
        <v>154</v>
      </c>
    </row>
    <row r="3224" spans="1:17" ht="36" x14ac:dyDescent="0.25">
      <c r="A3224" s="23">
        <v>39846</v>
      </c>
      <c r="B3224" s="23">
        <v>39846</v>
      </c>
      <c r="C3224" s="27">
        <v>2009</v>
      </c>
      <c r="D3224" s="35" t="s">
        <v>28</v>
      </c>
      <c r="E3224" s="30" t="s">
        <v>149</v>
      </c>
      <c r="F3224" s="7" t="s">
        <v>60</v>
      </c>
      <c r="G3224" s="25" t="s">
        <v>908</v>
      </c>
      <c r="H3224" s="25" t="s">
        <v>4812</v>
      </c>
      <c r="I3224" s="20">
        <v>0</v>
      </c>
      <c r="J3224" s="20">
        <v>6</v>
      </c>
      <c r="K3224" s="20">
        <v>1</v>
      </c>
      <c r="L3224" s="20">
        <v>0</v>
      </c>
      <c r="M3224" s="20">
        <v>0</v>
      </c>
      <c r="N3224" s="20">
        <v>0</v>
      </c>
      <c r="O3224" s="75">
        <v>0</v>
      </c>
      <c r="P3224" s="76">
        <v>0.95904</v>
      </c>
      <c r="Q3224" s="27" t="s">
        <v>154</v>
      </c>
    </row>
    <row r="3225" spans="1:17" ht="120" x14ac:dyDescent="0.25">
      <c r="A3225" s="23">
        <v>39848</v>
      </c>
      <c r="B3225" s="23">
        <v>39848</v>
      </c>
      <c r="C3225" s="27">
        <v>2009</v>
      </c>
      <c r="D3225" s="35" t="s">
        <v>28</v>
      </c>
      <c r="E3225" s="30" t="s">
        <v>149</v>
      </c>
      <c r="F3225" s="28" t="s">
        <v>157</v>
      </c>
      <c r="G3225" s="25" t="s">
        <v>1190</v>
      </c>
      <c r="H3225" s="25" t="s">
        <v>4813</v>
      </c>
      <c r="I3225" s="20">
        <v>0</v>
      </c>
      <c r="J3225" s="20">
        <v>4</v>
      </c>
      <c r="K3225" s="20">
        <v>2</v>
      </c>
      <c r="L3225" s="20">
        <v>0</v>
      </c>
      <c r="M3225" s="20">
        <v>0</v>
      </c>
      <c r="N3225" s="20">
        <v>0</v>
      </c>
      <c r="O3225" s="20">
        <v>0</v>
      </c>
      <c r="P3225" s="76">
        <v>0.95904</v>
      </c>
      <c r="Q3225" s="27" t="s">
        <v>154</v>
      </c>
    </row>
    <row r="3226" spans="1:17" ht="48" x14ac:dyDescent="0.25">
      <c r="A3226" s="23">
        <v>39848</v>
      </c>
      <c r="B3226" s="23">
        <v>39848</v>
      </c>
      <c r="C3226" s="27">
        <v>2009</v>
      </c>
      <c r="D3226" s="35" t="s">
        <v>28</v>
      </c>
      <c r="E3226" s="30" t="s">
        <v>149</v>
      </c>
      <c r="F3226" s="7" t="s">
        <v>91</v>
      </c>
      <c r="G3226" s="25" t="s">
        <v>2315</v>
      </c>
      <c r="H3226" s="25" t="s">
        <v>4814</v>
      </c>
      <c r="I3226" s="20">
        <v>0</v>
      </c>
      <c r="J3226" s="20">
        <v>1000</v>
      </c>
      <c r="K3226" s="20">
        <v>0</v>
      </c>
      <c r="L3226" s="20">
        <v>0</v>
      </c>
      <c r="M3226" s="20">
        <v>0</v>
      </c>
      <c r="N3226" s="20">
        <v>0</v>
      </c>
      <c r="O3226" s="20">
        <v>0</v>
      </c>
      <c r="P3226" s="76">
        <v>0</v>
      </c>
      <c r="Q3226" s="27" t="s">
        <v>154</v>
      </c>
    </row>
    <row r="3227" spans="1:17" ht="120" x14ac:dyDescent="0.25">
      <c r="A3227" s="23">
        <v>39859</v>
      </c>
      <c r="B3227" s="23">
        <v>39859</v>
      </c>
      <c r="C3227" s="27">
        <v>2009</v>
      </c>
      <c r="D3227" s="35" t="s">
        <v>28</v>
      </c>
      <c r="E3227" s="30" t="s">
        <v>149</v>
      </c>
      <c r="F3227" s="28" t="s">
        <v>157</v>
      </c>
      <c r="G3227" s="25" t="s">
        <v>2476</v>
      </c>
      <c r="H3227" s="25" t="s">
        <v>4815</v>
      </c>
      <c r="I3227" s="20">
        <v>0</v>
      </c>
      <c r="J3227" s="20">
        <v>13</v>
      </c>
      <c r="K3227" s="20">
        <v>0</v>
      </c>
      <c r="L3227" s="20">
        <v>0</v>
      </c>
      <c r="M3227" s="20">
        <v>0</v>
      </c>
      <c r="N3227" s="20">
        <v>0</v>
      </c>
      <c r="O3227" s="75">
        <v>0</v>
      </c>
      <c r="P3227" s="76">
        <v>0</v>
      </c>
      <c r="Q3227" s="27" t="s">
        <v>154</v>
      </c>
    </row>
    <row r="3228" spans="1:17" ht="108" x14ac:dyDescent="0.25">
      <c r="A3228" s="23">
        <v>39859</v>
      </c>
      <c r="B3228" s="23">
        <v>39859</v>
      </c>
      <c r="C3228" s="27">
        <v>2009</v>
      </c>
      <c r="D3228" s="35" t="s">
        <v>28</v>
      </c>
      <c r="E3228" s="30" t="s">
        <v>149</v>
      </c>
      <c r="F3228" s="7" t="s">
        <v>53</v>
      </c>
      <c r="G3228" s="25" t="s">
        <v>4816</v>
      </c>
      <c r="H3228" s="25" t="s">
        <v>4817</v>
      </c>
      <c r="I3228" s="20">
        <v>1</v>
      </c>
      <c r="J3228" s="20">
        <v>1</v>
      </c>
      <c r="K3228" s="20">
        <v>0</v>
      </c>
      <c r="L3228" s="20">
        <v>0</v>
      </c>
      <c r="M3228" s="20">
        <v>0</v>
      </c>
      <c r="N3228" s="20">
        <v>0</v>
      </c>
      <c r="O3228" s="75">
        <v>0</v>
      </c>
      <c r="P3228" s="76" t="s">
        <v>4558</v>
      </c>
      <c r="Q3228" s="27" t="s">
        <v>154</v>
      </c>
    </row>
    <row r="3229" spans="1:17" ht="84" x14ac:dyDescent="0.25">
      <c r="A3229" s="23">
        <v>39860</v>
      </c>
      <c r="B3229" s="23">
        <v>39860</v>
      </c>
      <c r="C3229" s="27">
        <v>2009</v>
      </c>
      <c r="D3229" s="35" t="s">
        <v>28</v>
      </c>
      <c r="E3229" s="30" t="s">
        <v>149</v>
      </c>
      <c r="F3229" s="28" t="s">
        <v>157</v>
      </c>
      <c r="G3229" s="25" t="s">
        <v>716</v>
      </c>
      <c r="H3229" s="25" t="s">
        <v>4818</v>
      </c>
      <c r="I3229" s="20">
        <v>0</v>
      </c>
      <c r="J3229" s="20">
        <v>2</v>
      </c>
      <c r="K3229" s="20">
        <v>0</v>
      </c>
      <c r="L3229" s="20">
        <v>0</v>
      </c>
      <c r="M3229" s="20">
        <v>0</v>
      </c>
      <c r="N3229" s="20">
        <v>0</v>
      </c>
      <c r="O3229" s="75">
        <v>0</v>
      </c>
      <c r="P3229" s="76">
        <v>0</v>
      </c>
      <c r="Q3229" s="27" t="s">
        <v>154</v>
      </c>
    </row>
    <row r="3230" spans="1:17" ht="120" x14ac:dyDescent="0.25">
      <c r="A3230" s="23">
        <v>39863</v>
      </c>
      <c r="B3230" s="23">
        <v>39863</v>
      </c>
      <c r="C3230" s="27">
        <v>2009</v>
      </c>
      <c r="D3230" s="35" t="s">
        <v>28</v>
      </c>
      <c r="E3230" s="30" t="s">
        <v>149</v>
      </c>
      <c r="F3230" s="28" t="s">
        <v>157</v>
      </c>
      <c r="G3230" s="25" t="s">
        <v>206</v>
      </c>
      <c r="H3230" s="25" t="s">
        <v>4819</v>
      </c>
      <c r="I3230" s="20">
        <v>0</v>
      </c>
      <c r="J3230" s="20">
        <v>0</v>
      </c>
      <c r="K3230" s="20">
        <v>0</v>
      </c>
      <c r="L3230" s="20">
        <v>0</v>
      </c>
      <c r="M3230" s="20">
        <v>0</v>
      </c>
      <c r="N3230" s="20">
        <v>0</v>
      </c>
      <c r="O3230" s="75">
        <v>0</v>
      </c>
      <c r="P3230" s="76">
        <v>0</v>
      </c>
      <c r="Q3230" s="27" t="s">
        <v>154</v>
      </c>
    </row>
    <row r="3231" spans="1:17" ht="132" x14ac:dyDescent="0.25">
      <c r="A3231" s="23">
        <v>39865</v>
      </c>
      <c r="B3231" s="23">
        <v>39865</v>
      </c>
      <c r="C3231" s="27">
        <v>2009</v>
      </c>
      <c r="D3231" s="35" t="s">
        <v>28</v>
      </c>
      <c r="E3231" s="30" t="s">
        <v>149</v>
      </c>
      <c r="F3231" s="28" t="s">
        <v>157</v>
      </c>
      <c r="G3231" s="25" t="s">
        <v>4820</v>
      </c>
      <c r="H3231" s="25" t="s">
        <v>4821</v>
      </c>
      <c r="I3231" s="20">
        <v>0</v>
      </c>
      <c r="J3231" s="20">
        <v>0</v>
      </c>
      <c r="K3231" s="20">
        <v>0</v>
      </c>
      <c r="L3231" s="20">
        <v>0</v>
      </c>
      <c r="M3231" s="20">
        <v>0</v>
      </c>
      <c r="N3231" s="20">
        <v>0</v>
      </c>
      <c r="O3231" s="75">
        <v>0</v>
      </c>
      <c r="P3231" s="130" t="s">
        <v>4822</v>
      </c>
      <c r="Q3231" s="27" t="s">
        <v>154</v>
      </c>
    </row>
    <row r="3232" spans="1:17" ht="84" x14ac:dyDescent="0.25">
      <c r="A3232" s="23">
        <v>39871</v>
      </c>
      <c r="B3232" s="23">
        <v>39871</v>
      </c>
      <c r="C3232" s="27">
        <v>2009</v>
      </c>
      <c r="D3232" s="35" t="s">
        <v>28</v>
      </c>
      <c r="E3232" s="30" t="s">
        <v>149</v>
      </c>
      <c r="F3232" s="7" t="s">
        <v>53</v>
      </c>
      <c r="G3232" s="25" t="s">
        <v>2516</v>
      </c>
      <c r="H3232" s="25" t="s">
        <v>4823</v>
      </c>
      <c r="I3232" s="20">
        <v>0</v>
      </c>
      <c r="J3232" s="20">
        <v>0</v>
      </c>
      <c r="K3232" s="20">
        <v>0</v>
      </c>
      <c r="L3232" s="20">
        <v>0</v>
      </c>
      <c r="M3232" s="20">
        <v>0</v>
      </c>
      <c r="N3232" s="20">
        <v>0</v>
      </c>
      <c r="O3232" s="75">
        <v>0</v>
      </c>
      <c r="P3232" s="130" t="s">
        <v>4558</v>
      </c>
      <c r="Q3232" s="27" t="s">
        <v>154</v>
      </c>
    </row>
    <row r="3233" spans="1:17" ht="120" x14ac:dyDescent="0.25">
      <c r="A3233" s="23">
        <v>39874</v>
      </c>
      <c r="B3233" s="23">
        <v>39874</v>
      </c>
      <c r="C3233" s="27">
        <v>2009</v>
      </c>
      <c r="D3233" s="35" t="s">
        <v>28</v>
      </c>
      <c r="E3233" s="30" t="s">
        <v>149</v>
      </c>
      <c r="F3233" s="28" t="s">
        <v>157</v>
      </c>
      <c r="G3233" s="25" t="s">
        <v>206</v>
      </c>
      <c r="H3233" s="25" t="s">
        <v>4824</v>
      </c>
      <c r="I3233" s="20">
        <v>0</v>
      </c>
      <c r="J3233" s="20">
        <v>170</v>
      </c>
      <c r="K3233" s="20">
        <v>50</v>
      </c>
      <c r="L3233" s="20">
        <v>0</v>
      </c>
      <c r="M3233" s="20">
        <v>0</v>
      </c>
      <c r="N3233" s="20">
        <v>0</v>
      </c>
      <c r="O3233" s="75">
        <v>0</v>
      </c>
      <c r="P3233" s="76">
        <f>(K3233*95904)/1000000</f>
        <v>4.7952000000000004</v>
      </c>
      <c r="Q3233" s="27" t="s">
        <v>154</v>
      </c>
    </row>
    <row r="3234" spans="1:17" ht="132" x14ac:dyDescent="0.25">
      <c r="A3234" s="23">
        <v>39876</v>
      </c>
      <c r="B3234" s="23">
        <v>39876</v>
      </c>
      <c r="C3234" s="27">
        <v>2009</v>
      </c>
      <c r="D3234" s="35" t="s">
        <v>28</v>
      </c>
      <c r="E3234" s="30" t="s">
        <v>149</v>
      </c>
      <c r="F3234" s="7" t="s">
        <v>53</v>
      </c>
      <c r="G3234" s="25" t="s">
        <v>353</v>
      </c>
      <c r="H3234" s="25" t="s">
        <v>4825</v>
      </c>
      <c r="I3234" s="20">
        <v>0</v>
      </c>
      <c r="J3234" s="20">
        <v>0</v>
      </c>
      <c r="K3234" s="20">
        <v>0</v>
      </c>
      <c r="L3234" s="20">
        <v>0</v>
      </c>
      <c r="M3234" s="20">
        <v>0</v>
      </c>
      <c r="N3234" s="20">
        <v>0</v>
      </c>
      <c r="O3234" s="75">
        <v>0</v>
      </c>
      <c r="P3234" s="76">
        <v>0</v>
      </c>
      <c r="Q3234" s="27" t="s">
        <v>154</v>
      </c>
    </row>
    <row r="3235" spans="1:17" ht="72" x14ac:dyDescent="0.25">
      <c r="A3235" s="23">
        <v>39878</v>
      </c>
      <c r="B3235" s="23">
        <v>39878</v>
      </c>
      <c r="C3235" s="27">
        <v>2009</v>
      </c>
      <c r="D3235" s="35" t="s">
        <v>28</v>
      </c>
      <c r="E3235" s="30" t="s">
        <v>149</v>
      </c>
      <c r="F3235" s="28" t="s">
        <v>160</v>
      </c>
      <c r="G3235" s="25" t="s">
        <v>4224</v>
      </c>
      <c r="H3235" s="25" t="s">
        <v>4826</v>
      </c>
      <c r="I3235" s="20">
        <v>0</v>
      </c>
      <c r="J3235" s="131">
        <v>0</v>
      </c>
      <c r="K3235" s="20">
        <v>0</v>
      </c>
      <c r="L3235" s="20">
        <v>0</v>
      </c>
      <c r="M3235" s="20">
        <v>0</v>
      </c>
      <c r="N3235" s="20">
        <v>0</v>
      </c>
      <c r="O3235" s="75">
        <v>0</v>
      </c>
      <c r="P3235" s="76">
        <v>0</v>
      </c>
      <c r="Q3235" s="27" t="s">
        <v>154</v>
      </c>
    </row>
    <row r="3236" spans="1:17" ht="36" x14ac:dyDescent="0.25">
      <c r="A3236" s="23">
        <v>39885</v>
      </c>
      <c r="B3236" s="23">
        <v>39885</v>
      </c>
      <c r="C3236" s="27">
        <v>2009</v>
      </c>
      <c r="D3236" s="35" t="s">
        <v>28</v>
      </c>
      <c r="E3236" s="30" t="s">
        <v>149</v>
      </c>
      <c r="F3236" s="7" t="s">
        <v>87</v>
      </c>
      <c r="G3236" s="25" t="s">
        <v>2608</v>
      </c>
      <c r="H3236" s="25" t="s">
        <v>4827</v>
      </c>
      <c r="I3236" s="20">
        <v>0</v>
      </c>
      <c r="J3236" s="20">
        <v>0</v>
      </c>
      <c r="K3236" s="20">
        <v>3</v>
      </c>
      <c r="L3236" s="20">
        <v>0</v>
      </c>
      <c r="M3236" s="20">
        <v>0</v>
      </c>
      <c r="N3236" s="20">
        <v>0</v>
      </c>
      <c r="O3236" s="75">
        <v>0</v>
      </c>
      <c r="P3236" s="76">
        <f>(K3236*95904)/1000000</f>
        <v>0.28771200000000002</v>
      </c>
      <c r="Q3236" s="27" t="s">
        <v>154</v>
      </c>
    </row>
    <row r="3237" spans="1:17" ht="36" x14ac:dyDescent="0.25">
      <c r="A3237" s="23">
        <v>39886</v>
      </c>
      <c r="B3237" s="23">
        <v>39886</v>
      </c>
      <c r="C3237" s="27">
        <v>2009</v>
      </c>
      <c r="D3237" s="35" t="s">
        <v>28</v>
      </c>
      <c r="E3237" s="30" t="s">
        <v>149</v>
      </c>
      <c r="F3237" s="7" t="s">
        <v>87</v>
      </c>
      <c r="G3237" s="25" t="s">
        <v>2608</v>
      </c>
      <c r="H3237" s="25" t="s">
        <v>4828</v>
      </c>
      <c r="I3237" s="20">
        <v>0</v>
      </c>
      <c r="J3237" s="20">
        <v>0</v>
      </c>
      <c r="K3237" s="20">
        <v>5</v>
      </c>
      <c r="L3237" s="20">
        <v>0</v>
      </c>
      <c r="M3237" s="20">
        <v>0</v>
      </c>
      <c r="N3237" s="20">
        <v>0</v>
      </c>
      <c r="O3237" s="75">
        <v>0</v>
      </c>
      <c r="P3237" s="76">
        <f>(K3237*95604)/1000000</f>
        <v>0.47802</v>
      </c>
      <c r="Q3237" s="27" t="s">
        <v>154</v>
      </c>
    </row>
    <row r="3238" spans="1:17" ht="48" x14ac:dyDescent="0.25">
      <c r="A3238" s="23">
        <v>39891</v>
      </c>
      <c r="B3238" s="23">
        <v>39891</v>
      </c>
      <c r="C3238" s="27">
        <v>2009</v>
      </c>
      <c r="D3238" s="35" t="s">
        <v>28</v>
      </c>
      <c r="E3238" s="30" t="s">
        <v>149</v>
      </c>
      <c r="F3238" s="28" t="s">
        <v>157</v>
      </c>
      <c r="G3238" s="25" t="s">
        <v>206</v>
      </c>
      <c r="H3238" s="25" t="s">
        <v>4829</v>
      </c>
      <c r="I3238" s="20">
        <v>0</v>
      </c>
      <c r="J3238" s="20">
        <v>2500</v>
      </c>
      <c r="K3238" s="20">
        <v>60</v>
      </c>
      <c r="L3238" s="20">
        <v>0</v>
      </c>
      <c r="M3238" s="20">
        <v>0</v>
      </c>
      <c r="N3238" s="20">
        <v>0</v>
      </c>
      <c r="O3238" s="75">
        <v>0</v>
      </c>
      <c r="P3238" s="76">
        <f>(K3238*95904)/1000000</f>
        <v>5.7542400000000002</v>
      </c>
      <c r="Q3238" s="27" t="s">
        <v>154</v>
      </c>
    </row>
    <row r="3239" spans="1:17" ht="48" x14ac:dyDescent="0.25">
      <c r="A3239" s="23">
        <v>39896</v>
      </c>
      <c r="B3239" s="23">
        <v>39896</v>
      </c>
      <c r="C3239" s="27">
        <v>2009</v>
      </c>
      <c r="D3239" s="35" t="s">
        <v>28</v>
      </c>
      <c r="E3239" s="30" t="s">
        <v>149</v>
      </c>
      <c r="F3239" s="7" t="s">
        <v>53</v>
      </c>
      <c r="G3239" s="25" t="s">
        <v>847</v>
      </c>
      <c r="H3239" s="25" t="s">
        <v>4830</v>
      </c>
      <c r="I3239" s="20">
        <v>1</v>
      </c>
      <c r="J3239" s="20">
        <v>5</v>
      </c>
      <c r="K3239" s="20">
        <v>1</v>
      </c>
      <c r="L3239" s="20">
        <v>0</v>
      </c>
      <c r="M3239" s="20">
        <v>0</v>
      </c>
      <c r="N3239" s="20">
        <v>0</v>
      </c>
      <c r="O3239" s="75">
        <v>0</v>
      </c>
      <c r="P3239" s="76">
        <v>0.95904</v>
      </c>
      <c r="Q3239" s="27" t="s">
        <v>154</v>
      </c>
    </row>
    <row r="3240" spans="1:17" ht="48" x14ac:dyDescent="0.25">
      <c r="A3240" s="23">
        <v>39900</v>
      </c>
      <c r="B3240" s="23">
        <v>39900</v>
      </c>
      <c r="C3240" s="27">
        <v>2009</v>
      </c>
      <c r="D3240" s="35" t="s">
        <v>28</v>
      </c>
      <c r="E3240" s="30" t="s">
        <v>149</v>
      </c>
      <c r="F3240" s="25" t="s">
        <v>781</v>
      </c>
      <c r="G3240" s="25" t="s">
        <v>1995</v>
      </c>
      <c r="H3240" s="25" t="s">
        <v>4831</v>
      </c>
      <c r="I3240" s="20">
        <v>0</v>
      </c>
      <c r="J3240" s="20">
        <v>10</v>
      </c>
      <c r="K3240" s="20">
        <v>2</v>
      </c>
      <c r="L3240" s="20">
        <v>0</v>
      </c>
      <c r="M3240" s="20">
        <v>0</v>
      </c>
      <c r="N3240" s="20">
        <v>0</v>
      </c>
      <c r="O3240" s="75">
        <v>0</v>
      </c>
      <c r="P3240" s="76">
        <f>(K3240*95904)/1000000</f>
        <v>0.19180800000000001</v>
      </c>
      <c r="Q3240" s="27" t="s">
        <v>154</v>
      </c>
    </row>
    <row r="3241" spans="1:17" ht="96" x14ac:dyDescent="0.25">
      <c r="A3241" s="23">
        <v>39907</v>
      </c>
      <c r="B3241" s="23">
        <v>39907</v>
      </c>
      <c r="C3241" s="27">
        <v>2009</v>
      </c>
      <c r="D3241" s="35" t="s">
        <v>28</v>
      </c>
      <c r="E3241" s="30" t="s">
        <v>149</v>
      </c>
      <c r="F3241" s="28" t="s">
        <v>157</v>
      </c>
      <c r="G3241" s="25" t="s">
        <v>1062</v>
      </c>
      <c r="H3241" s="25" t="s">
        <v>4832</v>
      </c>
      <c r="I3241" s="20">
        <v>0</v>
      </c>
      <c r="J3241" s="20">
        <v>10</v>
      </c>
      <c r="K3241" s="20">
        <v>2</v>
      </c>
      <c r="L3241" s="20">
        <v>0</v>
      </c>
      <c r="M3241" s="20">
        <v>0</v>
      </c>
      <c r="N3241" s="20">
        <v>0</v>
      </c>
      <c r="O3241" s="75">
        <v>0</v>
      </c>
      <c r="P3241" s="76">
        <f>(K3241*95904)/1000000</f>
        <v>0.19180800000000001</v>
      </c>
      <c r="Q3241" s="27" t="s">
        <v>154</v>
      </c>
    </row>
    <row r="3242" spans="1:17" ht="36" x14ac:dyDescent="0.25">
      <c r="A3242" s="23">
        <v>39907</v>
      </c>
      <c r="B3242" s="23">
        <v>39907</v>
      </c>
      <c r="C3242" s="27">
        <v>2009</v>
      </c>
      <c r="D3242" s="35" t="s">
        <v>28</v>
      </c>
      <c r="E3242" s="30" t="s">
        <v>149</v>
      </c>
      <c r="F3242" s="7" t="s">
        <v>53</v>
      </c>
      <c r="G3242" s="25" t="s">
        <v>353</v>
      </c>
      <c r="H3242" s="25" t="s">
        <v>4833</v>
      </c>
      <c r="I3242" s="20">
        <v>0</v>
      </c>
      <c r="J3242" s="20">
        <v>0</v>
      </c>
      <c r="K3242" s="20">
        <v>0</v>
      </c>
      <c r="L3242" s="20">
        <v>0</v>
      </c>
      <c r="M3242" s="20">
        <v>0</v>
      </c>
      <c r="N3242" s="20">
        <v>0</v>
      </c>
      <c r="O3242" s="75">
        <v>0</v>
      </c>
      <c r="P3242" s="76">
        <v>0</v>
      </c>
      <c r="Q3242" s="27" t="s">
        <v>154</v>
      </c>
    </row>
    <row r="3243" spans="1:17" ht="180" x14ac:dyDescent="0.25">
      <c r="A3243" s="23">
        <v>39913</v>
      </c>
      <c r="B3243" s="23">
        <v>39913</v>
      </c>
      <c r="C3243" s="27">
        <v>2009</v>
      </c>
      <c r="D3243" s="35" t="s">
        <v>28</v>
      </c>
      <c r="E3243" s="30" t="s">
        <v>149</v>
      </c>
      <c r="F3243" s="7" t="s">
        <v>60</v>
      </c>
      <c r="G3243" s="25" t="s">
        <v>4834</v>
      </c>
      <c r="H3243" s="25" t="s">
        <v>4835</v>
      </c>
      <c r="I3243" s="20">
        <v>0</v>
      </c>
      <c r="J3243" s="20">
        <v>1</v>
      </c>
      <c r="K3243" s="20">
        <v>0</v>
      </c>
      <c r="L3243" s="20">
        <v>0</v>
      </c>
      <c r="M3243" s="20">
        <v>0</v>
      </c>
      <c r="N3243" s="20">
        <v>0</v>
      </c>
      <c r="O3243" s="75">
        <v>0</v>
      </c>
      <c r="P3243" s="76">
        <v>0</v>
      </c>
      <c r="Q3243" s="27" t="s">
        <v>154</v>
      </c>
    </row>
    <row r="3244" spans="1:17" ht="120" x14ac:dyDescent="0.25">
      <c r="A3244" s="23">
        <v>39915</v>
      </c>
      <c r="B3244" s="23">
        <v>39915</v>
      </c>
      <c r="C3244" s="27">
        <v>2009</v>
      </c>
      <c r="D3244" s="35" t="s">
        <v>28</v>
      </c>
      <c r="E3244" s="30" t="s">
        <v>149</v>
      </c>
      <c r="F3244" s="28" t="s">
        <v>157</v>
      </c>
      <c r="G3244" s="25" t="s">
        <v>1089</v>
      </c>
      <c r="H3244" s="25" t="s">
        <v>4836</v>
      </c>
      <c r="I3244" s="20">
        <v>0</v>
      </c>
      <c r="J3244" s="20">
        <v>0</v>
      </c>
      <c r="K3244" s="20">
        <v>0</v>
      </c>
      <c r="L3244" s="20">
        <v>0</v>
      </c>
      <c r="M3244" s="20">
        <v>0</v>
      </c>
      <c r="N3244" s="20">
        <v>0</v>
      </c>
      <c r="O3244" s="75">
        <v>0</v>
      </c>
      <c r="P3244" s="76">
        <v>0</v>
      </c>
      <c r="Q3244" s="27" t="s">
        <v>154</v>
      </c>
    </row>
    <row r="3245" spans="1:17" ht="108" x14ac:dyDescent="0.25">
      <c r="A3245" s="23">
        <v>39921</v>
      </c>
      <c r="B3245" s="23">
        <v>39921</v>
      </c>
      <c r="C3245" s="27">
        <v>2009</v>
      </c>
      <c r="D3245" s="35" t="s">
        <v>28</v>
      </c>
      <c r="E3245" s="30" t="s">
        <v>149</v>
      </c>
      <c r="F3245" s="7" t="s">
        <v>65</v>
      </c>
      <c r="G3245" s="25" t="s">
        <v>1632</v>
      </c>
      <c r="H3245" s="25" t="s">
        <v>4837</v>
      </c>
      <c r="I3245" s="20">
        <v>3</v>
      </c>
      <c r="J3245" s="20">
        <v>6</v>
      </c>
      <c r="K3245" s="20">
        <v>1</v>
      </c>
      <c r="L3245" s="20">
        <v>0</v>
      </c>
      <c r="M3245" s="20">
        <v>0</v>
      </c>
      <c r="N3245" s="20">
        <v>0</v>
      </c>
      <c r="O3245" s="75">
        <v>0</v>
      </c>
      <c r="P3245" s="130" t="s">
        <v>4558</v>
      </c>
      <c r="Q3245" s="27" t="s">
        <v>154</v>
      </c>
    </row>
    <row r="3246" spans="1:17" ht="144" x14ac:dyDescent="0.25">
      <c r="A3246" s="23">
        <v>39921</v>
      </c>
      <c r="B3246" s="23">
        <v>39921</v>
      </c>
      <c r="C3246" s="27">
        <v>2009</v>
      </c>
      <c r="D3246" s="35" t="s">
        <v>28</v>
      </c>
      <c r="E3246" s="30" t="s">
        <v>149</v>
      </c>
      <c r="F3246" s="28" t="s">
        <v>157</v>
      </c>
      <c r="G3246" s="25" t="s">
        <v>206</v>
      </c>
      <c r="H3246" s="25" t="s">
        <v>4838</v>
      </c>
      <c r="I3246" s="20">
        <v>0</v>
      </c>
      <c r="J3246" s="20">
        <v>5</v>
      </c>
      <c r="K3246" s="20">
        <v>0</v>
      </c>
      <c r="L3246" s="20">
        <v>0</v>
      </c>
      <c r="M3246" s="20">
        <v>0</v>
      </c>
      <c r="N3246" s="20">
        <v>0</v>
      </c>
      <c r="O3246" s="75">
        <v>0</v>
      </c>
      <c r="P3246" s="76">
        <v>0</v>
      </c>
      <c r="Q3246" s="27" t="s">
        <v>154</v>
      </c>
    </row>
    <row r="3247" spans="1:17" ht="120" x14ac:dyDescent="0.25">
      <c r="A3247" s="23">
        <v>39925</v>
      </c>
      <c r="B3247" s="23">
        <v>39925</v>
      </c>
      <c r="C3247" s="27">
        <v>2009</v>
      </c>
      <c r="D3247" s="35" t="s">
        <v>28</v>
      </c>
      <c r="E3247" s="30" t="s">
        <v>149</v>
      </c>
      <c r="F3247" s="28" t="s">
        <v>157</v>
      </c>
      <c r="G3247" s="25" t="s">
        <v>4820</v>
      </c>
      <c r="H3247" s="25" t="s">
        <v>4839</v>
      </c>
      <c r="I3247" s="20">
        <v>0</v>
      </c>
      <c r="J3247" s="20">
        <v>5</v>
      </c>
      <c r="K3247" s="20">
        <v>1</v>
      </c>
      <c r="L3247" s="20">
        <v>0</v>
      </c>
      <c r="M3247" s="20">
        <v>0</v>
      </c>
      <c r="N3247" s="20">
        <v>0</v>
      </c>
      <c r="O3247" s="75">
        <v>0</v>
      </c>
      <c r="P3247" s="76">
        <v>0.95904</v>
      </c>
      <c r="Q3247" s="27" t="s">
        <v>154</v>
      </c>
    </row>
    <row r="3248" spans="1:17" ht="120" x14ac:dyDescent="0.25">
      <c r="A3248" s="23">
        <v>39925</v>
      </c>
      <c r="B3248" s="23">
        <v>39925</v>
      </c>
      <c r="C3248" s="27">
        <v>2009</v>
      </c>
      <c r="D3248" s="35" t="s">
        <v>28</v>
      </c>
      <c r="E3248" s="30" t="s">
        <v>149</v>
      </c>
      <c r="F3248" s="7" t="s">
        <v>45</v>
      </c>
      <c r="G3248" s="25" t="s">
        <v>577</v>
      </c>
      <c r="H3248" s="25" t="s">
        <v>4840</v>
      </c>
      <c r="I3248" s="20">
        <v>0</v>
      </c>
      <c r="J3248" s="20">
        <v>0</v>
      </c>
      <c r="K3248" s="20">
        <v>0</v>
      </c>
      <c r="L3248" s="20">
        <v>0</v>
      </c>
      <c r="M3248" s="20">
        <v>0</v>
      </c>
      <c r="N3248" s="20">
        <v>0</v>
      </c>
      <c r="O3248" s="75" t="s">
        <v>110</v>
      </c>
      <c r="P3248" s="76">
        <v>0</v>
      </c>
      <c r="Q3248" s="27" t="s">
        <v>154</v>
      </c>
    </row>
    <row r="3249" spans="1:17" ht="36" x14ac:dyDescent="0.25">
      <c r="A3249" s="23">
        <v>39926</v>
      </c>
      <c r="B3249" s="23">
        <v>39926</v>
      </c>
      <c r="C3249" s="27">
        <v>2009</v>
      </c>
      <c r="D3249" s="35" t="s">
        <v>28</v>
      </c>
      <c r="E3249" s="30" t="s">
        <v>149</v>
      </c>
      <c r="F3249" s="7" t="s">
        <v>30</v>
      </c>
      <c r="G3249" s="25" t="s">
        <v>1078</v>
      </c>
      <c r="H3249" s="25" t="s">
        <v>4841</v>
      </c>
      <c r="I3249" s="20">
        <v>0</v>
      </c>
      <c r="J3249" s="20">
        <v>150</v>
      </c>
      <c r="K3249" s="20">
        <v>0</v>
      </c>
      <c r="L3249" s="20">
        <v>0</v>
      </c>
      <c r="M3249" s="20">
        <v>0</v>
      </c>
      <c r="N3249" s="20">
        <v>0</v>
      </c>
      <c r="O3249" s="75">
        <v>0</v>
      </c>
      <c r="P3249" s="76">
        <v>0</v>
      </c>
      <c r="Q3249" s="27" t="s">
        <v>154</v>
      </c>
    </row>
    <row r="3250" spans="1:17" ht="120" x14ac:dyDescent="0.25">
      <c r="A3250" s="23">
        <v>39942</v>
      </c>
      <c r="B3250" s="23">
        <v>39942</v>
      </c>
      <c r="C3250" s="27">
        <v>2009</v>
      </c>
      <c r="D3250" s="35" t="s">
        <v>28</v>
      </c>
      <c r="E3250" s="30" t="s">
        <v>149</v>
      </c>
      <c r="F3250" s="7" t="s">
        <v>45</v>
      </c>
      <c r="G3250" s="25" t="s">
        <v>259</v>
      </c>
      <c r="H3250" s="25" t="s">
        <v>4842</v>
      </c>
      <c r="I3250" s="20">
        <v>0</v>
      </c>
      <c r="J3250" s="20" t="s">
        <v>4558</v>
      </c>
      <c r="K3250" s="20" t="s">
        <v>4558</v>
      </c>
      <c r="L3250" s="20">
        <v>0</v>
      </c>
      <c r="M3250" s="20">
        <v>0</v>
      </c>
      <c r="N3250" s="20">
        <v>0</v>
      </c>
      <c r="O3250" s="75" t="s">
        <v>4558</v>
      </c>
      <c r="P3250" s="130" t="s">
        <v>4558</v>
      </c>
      <c r="Q3250" s="27" t="s">
        <v>154</v>
      </c>
    </row>
    <row r="3251" spans="1:17" ht="120" x14ac:dyDescent="0.25">
      <c r="A3251" s="23">
        <v>39957</v>
      </c>
      <c r="B3251" s="23">
        <v>39957</v>
      </c>
      <c r="C3251" s="27">
        <v>2009</v>
      </c>
      <c r="D3251" s="35" t="s">
        <v>28</v>
      </c>
      <c r="E3251" s="30" t="s">
        <v>149</v>
      </c>
      <c r="F3251" s="7" t="s">
        <v>53</v>
      </c>
      <c r="G3251" s="25" t="s">
        <v>4843</v>
      </c>
      <c r="H3251" s="25" t="s">
        <v>4844</v>
      </c>
      <c r="I3251" s="20">
        <v>0</v>
      </c>
      <c r="J3251" s="20">
        <v>0</v>
      </c>
      <c r="K3251" s="20">
        <v>0</v>
      </c>
      <c r="L3251" s="20">
        <v>0</v>
      </c>
      <c r="M3251" s="20">
        <v>0</v>
      </c>
      <c r="N3251" s="20">
        <v>0</v>
      </c>
      <c r="O3251" s="75">
        <v>0</v>
      </c>
      <c r="P3251" s="76">
        <v>0</v>
      </c>
      <c r="Q3251" s="27" t="s">
        <v>154</v>
      </c>
    </row>
    <row r="3252" spans="1:17" ht="48" x14ac:dyDescent="0.25">
      <c r="A3252" s="23">
        <v>39975</v>
      </c>
      <c r="B3252" s="23">
        <v>39975</v>
      </c>
      <c r="C3252" s="27">
        <v>2009</v>
      </c>
      <c r="D3252" s="35" t="s">
        <v>28</v>
      </c>
      <c r="E3252" s="30" t="s">
        <v>149</v>
      </c>
      <c r="F3252" s="7" t="s">
        <v>80</v>
      </c>
      <c r="G3252" s="25" t="s">
        <v>1089</v>
      </c>
      <c r="H3252" s="25" t="s">
        <v>4845</v>
      </c>
      <c r="I3252" s="20">
        <v>0</v>
      </c>
      <c r="J3252" s="20">
        <v>286</v>
      </c>
      <c r="K3252" s="20">
        <v>0</v>
      </c>
      <c r="L3252" s="20">
        <v>0</v>
      </c>
      <c r="M3252" s="20">
        <v>0</v>
      </c>
      <c r="N3252" s="20">
        <v>0</v>
      </c>
      <c r="O3252" s="75">
        <v>0</v>
      </c>
      <c r="P3252" s="76">
        <v>0</v>
      </c>
      <c r="Q3252" s="27" t="s">
        <v>154</v>
      </c>
    </row>
    <row r="3253" spans="1:17" ht="84" x14ac:dyDescent="0.25">
      <c r="A3253" s="23">
        <v>39977</v>
      </c>
      <c r="B3253" s="23">
        <v>39977</v>
      </c>
      <c r="C3253" s="27">
        <v>2009</v>
      </c>
      <c r="D3253" s="35" t="s">
        <v>28</v>
      </c>
      <c r="E3253" s="30" t="s">
        <v>149</v>
      </c>
      <c r="F3253" s="7" t="s">
        <v>68</v>
      </c>
      <c r="G3253" s="25" t="s">
        <v>4846</v>
      </c>
      <c r="H3253" s="25" t="s">
        <v>4847</v>
      </c>
      <c r="I3253" s="20">
        <v>0</v>
      </c>
      <c r="J3253" s="20">
        <v>40</v>
      </c>
      <c r="K3253" s="20">
        <v>8</v>
      </c>
      <c r="L3253" s="20">
        <v>0</v>
      </c>
      <c r="M3253" s="20">
        <v>0</v>
      </c>
      <c r="N3253" s="20">
        <v>0</v>
      </c>
      <c r="O3253" s="75">
        <v>0</v>
      </c>
      <c r="P3253" s="76">
        <f>(K3253*27687)/1000000</f>
        <v>0.221496</v>
      </c>
      <c r="Q3253" s="27" t="s">
        <v>154</v>
      </c>
    </row>
    <row r="3254" spans="1:17" ht="96.75" x14ac:dyDescent="0.25">
      <c r="A3254" s="23">
        <v>39983</v>
      </c>
      <c r="B3254" s="23">
        <v>39983</v>
      </c>
      <c r="C3254" s="27">
        <v>2009</v>
      </c>
      <c r="D3254" s="35" t="s">
        <v>28</v>
      </c>
      <c r="E3254" s="30" t="s">
        <v>149</v>
      </c>
      <c r="F3254" s="7" t="s">
        <v>68</v>
      </c>
      <c r="G3254" s="25" t="s">
        <v>2071</v>
      </c>
      <c r="H3254" s="55" t="s">
        <v>4848</v>
      </c>
      <c r="I3254" s="20">
        <v>0</v>
      </c>
      <c r="J3254" s="20">
        <v>1500</v>
      </c>
      <c r="K3254" s="20">
        <v>0</v>
      </c>
      <c r="L3254" s="20">
        <v>0</v>
      </c>
      <c r="M3254" s="20">
        <v>0</v>
      </c>
      <c r="N3254" s="20">
        <v>0</v>
      </c>
      <c r="O3254" s="75">
        <v>0</v>
      </c>
      <c r="P3254" s="76" t="s">
        <v>4849</v>
      </c>
      <c r="Q3254" s="27" t="s">
        <v>154</v>
      </c>
    </row>
    <row r="3255" spans="1:17" ht="144.75" x14ac:dyDescent="0.25">
      <c r="A3255" s="23">
        <v>39983</v>
      </c>
      <c r="B3255" s="23">
        <v>39983</v>
      </c>
      <c r="C3255" s="27">
        <v>2009</v>
      </c>
      <c r="D3255" s="35" t="s">
        <v>28</v>
      </c>
      <c r="E3255" s="30" t="s">
        <v>149</v>
      </c>
      <c r="F3255" s="7" t="s">
        <v>72</v>
      </c>
      <c r="G3255" s="25" t="s">
        <v>72</v>
      </c>
      <c r="H3255" s="132" t="s">
        <v>4850</v>
      </c>
      <c r="I3255" s="20">
        <v>0</v>
      </c>
      <c r="J3255" s="20">
        <v>1</v>
      </c>
      <c r="K3255" s="20">
        <v>0</v>
      </c>
      <c r="L3255" s="20">
        <v>0</v>
      </c>
      <c r="M3255" s="20">
        <v>0</v>
      </c>
      <c r="N3255" s="20">
        <v>0</v>
      </c>
      <c r="O3255" s="75">
        <v>0</v>
      </c>
      <c r="P3255" s="76" t="s">
        <v>4851</v>
      </c>
      <c r="Q3255" s="27" t="s">
        <v>154</v>
      </c>
    </row>
    <row r="3256" spans="1:17" ht="108" x14ac:dyDescent="0.25">
      <c r="A3256" s="23">
        <v>39988</v>
      </c>
      <c r="B3256" s="23">
        <v>39988</v>
      </c>
      <c r="C3256" s="27">
        <v>2009</v>
      </c>
      <c r="D3256" s="35" t="s">
        <v>28</v>
      </c>
      <c r="E3256" s="30" t="s">
        <v>149</v>
      </c>
      <c r="F3256" s="7" t="s">
        <v>62</v>
      </c>
      <c r="G3256" s="25" t="s">
        <v>1011</v>
      </c>
      <c r="H3256" s="25" t="s">
        <v>4852</v>
      </c>
      <c r="I3256" s="20">
        <v>0</v>
      </c>
      <c r="J3256" s="20">
        <v>0</v>
      </c>
      <c r="K3256" s="20">
        <v>0</v>
      </c>
      <c r="L3256" s="20">
        <v>0</v>
      </c>
      <c r="M3256" s="20">
        <v>0</v>
      </c>
      <c r="N3256" s="20">
        <v>0</v>
      </c>
      <c r="O3256" s="75">
        <v>0</v>
      </c>
      <c r="P3256" s="76" t="s">
        <v>4558</v>
      </c>
      <c r="Q3256" s="27" t="s">
        <v>154</v>
      </c>
    </row>
    <row r="3257" spans="1:17" ht="120" x14ac:dyDescent="0.25">
      <c r="A3257" s="21">
        <v>39997</v>
      </c>
      <c r="B3257" s="21">
        <v>39997</v>
      </c>
      <c r="C3257" s="45">
        <v>2009</v>
      </c>
      <c r="D3257" s="35" t="s">
        <v>28</v>
      </c>
      <c r="E3257" s="30" t="s">
        <v>4853</v>
      </c>
      <c r="F3257" s="7" t="s">
        <v>67</v>
      </c>
      <c r="G3257" s="25" t="s">
        <v>4854</v>
      </c>
      <c r="H3257" s="25" t="s">
        <v>4855</v>
      </c>
      <c r="I3257" s="46">
        <v>0</v>
      </c>
      <c r="J3257" s="46">
        <v>0</v>
      </c>
      <c r="K3257" s="46">
        <v>0</v>
      </c>
      <c r="L3257" s="46">
        <v>0</v>
      </c>
      <c r="M3257" s="46">
        <v>0</v>
      </c>
      <c r="N3257" s="46">
        <v>0</v>
      </c>
      <c r="O3257" s="124">
        <v>0</v>
      </c>
      <c r="P3257" s="128" t="s">
        <v>4558</v>
      </c>
      <c r="Q3257" s="45" t="s">
        <v>4856</v>
      </c>
    </row>
    <row r="3258" spans="1:17" ht="180" x14ac:dyDescent="0.25">
      <c r="A3258" s="23">
        <v>40000</v>
      </c>
      <c r="B3258" s="23">
        <v>40000</v>
      </c>
      <c r="C3258" s="27">
        <v>2009</v>
      </c>
      <c r="D3258" s="35" t="s">
        <v>28</v>
      </c>
      <c r="E3258" s="30" t="s">
        <v>149</v>
      </c>
      <c r="F3258" s="7" t="s">
        <v>30</v>
      </c>
      <c r="G3258" s="25" t="s">
        <v>1078</v>
      </c>
      <c r="H3258" s="29" t="s">
        <v>4857</v>
      </c>
      <c r="I3258" s="20">
        <v>0</v>
      </c>
      <c r="J3258" s="20">
        <v>18</v>
      </c>
      <c r="K3258" s="20">
        <v>0</v>
      </c>
      <c r="L3258" s="20">
        <v>0</v>
      </c>
      <c r="M3258" s="20">
        <v>0</v>
      </c>
      <c r="N3258" s="20">
        <v>0</v>
      </c>
      <c r="O3258" s="75">
        <v>0</v>
      </c>
      <c r="P3258" s="76">
        <v>0</v>
      </c>
      <c r="Q3258" s="27" t="s">
        <v>154</v>
      </c>
    </row>
    <row r="3259" spans="1:17" ht="48" x14ac:dyDescent="0.25">
      <c r="A3259" s="23">
        <v>40014</v>
      </c>
      <c r="B3259" s="23">
        <v>40014</v>
      </c>
      <c r="C3259" s="27">
        <v>2009</v>
      </c>
      <c r="D3259" s="35" t="s">
        <v>28</v>
      </c>
      <c r="E3259" s="30" t="s">
        <v>149</v>
      </c>
      <c r="F3259" s="25" t="s">
        <v>781</v>
      </c>
      <c r="G3259" s="25" t="s">
        <v>3061</v>
      </c>
      <c r="H3259" s="25" t="s">
        <v>4858</v>
      </c>
      <c r="I3259" s="20">
        <v>0</v>
      </c>
      <c r="J3259" s="20">
        <v>5</v>
      </c>
      <c r="K3259" s="20">
        <v>1</v>
      </c>
      <c r="L3259" s="20">
        <v>0</v>
      </c>
      <c r="M3259" s="20">
        <v>0</v>
      </c>
      <c r="N3259" s="20">
        <v>0</v>
      </c>
      <c r="O3259" s="75">
        <v>0</v>
      </c>
      <c r="P3259" s="76">
        <v>0.95904</v>
      </c>
      <c r="Q3259" s="27" t="s">
        <v>154</v>
      </c>
    </row>
    <row r="3260" spans="1:17" ht="36" x14ac:dyDescent="0.25">
      <c r="A3260" s="23">
        <v>40037</v>
      </c>
      <c r="B3260" s="23">
        <v>40037</v>
      </c>
      <c r="C3260" s="27">
        <v>2009</v>
      </c>
      <c r="D3260" s="35" t="s">
        <v>28</v>
      </c>
      <c r="E3260" s="30" t="s">
        <v>149</v>
      </c>
      <c r="F3260" s="28" t="s">
        <v>157</v>
      </c>
      <c r="G3260" s="25" t="s">
        <v>526</v>
      </c>
      <c r="H3260" s="25" t="s">
        <v>4859</v>
      </c>
      <c r="I3260" s="20">
        <v>0</v>
      </c>
      <c r="J3260" s="20">
        <v>15</v>
      </c>
      <c r="K3260" s="20">
        <v>3</v>
      </c>
      <c r="L3260" s="20">
        <v>0</v>
      </c>
      <c r="M3260" s="20">
        <v>0</v>
      </c>
      <c r="N3260" s="20">
        <v>0</v>
      </c>
      <c r="O3260" s="75">
        <v>0</v>
      </c>
      <c r="P3260" s="76">
        <f>(K3260*95904)/1000000</f>
        <v>0.28771200000000002</v>
      </c>
      <c r="Q3260" s="27" t="s">
        <v>154</v>
      </c>
    </row>
    <row r="3261" spans="1:17" ht="24" x14ac:dyDescent="0.25">
      <c r="A3261" s="23">
        <v>40049</v>
      </c>
      <c r="B3261" s="23">
        <v>40049</v>
      </c>
      <c r="C3261" s="27">
        <v>2009</v>
      </c>
      <c r="D3261" s="35" t="s">
        <v>28</v>
      </c>
      <c r="E3261" s="30" t="s">
        <v>149</v>
      </c>
      <c r="F3261" s="7" t="s">
        <v>60</v>
      </c>
      <c r="G3261" s="25" t="s">
        <v>4860</v>
      </c>
      <c r="H3261" s="25" t="s">
        <v>4861</v>
      </c>
      <c r="I3261" s="20">
        <v>0</v>
      </c>
      <c r="J3261" s="20">
        <v>2</v>
      </c>
      <c r="K3261" s="20">
        <v>0</v>
      </c>
      <c r="L3261" s="20">
        <v>0</v>
      </c>
      <c r="M3261" s="20">
        <v>0</v>
      </c>
      <c r="N3261" s="20">
        <v>0</v>
      </c>
      <c r="O3261" s="75">
        <v>0</v>
      </c>
      <c r="P3261" s="76">
        <v>0</v>
      </c>
      <c r="Q3261" s="27" t="s">
        <v>154</v>
      </c>
    </row>
    <row r="3262" spans="1:17" ht="36" x14ac:dyDescent="0.25">
      <c r="A3262" s="23">
        <v>40069</v>
      </c>
      <c r="B3262" s="23">
        <v>40069</v>
      </c>
      <c r="C3262" s="27">
        <v>2009</v>
      </c>
      <c r="D3262" s="35" t="s">
        <v>28</v>
      </c>
      <c r="E3262" s="30" t="s">
        <v>149</v>
      </c>
      <c r="F3262" s="28" t="s">
        <v>157</v>
      </c>
      <c r="G3262" s="25" t="s">
        <v>1062</v>
      </c>
      <c r="H3262" s="25" t="s">
        <v>4862</v>
      </c>
      <c r="I3262" s="20">
        <v>0</v>
      </c>
      <c r="J3262" s="20">
        <v>60</v>
      </c>
      <c r="K3262" s="20">
        <v>0</v>
      </c>
      <c r="L3262" s="20">
        <v>0</v>
      </c>
      <c r="M3262" s="20">
        <v>0</v>
      </c>
      <c r="N3262" s="20">
        <v>0</v>
      </c>
      <c r="O3262" s="75">
        <v>0</v>
      </c>
      <c r="P3262" s="76">
        <v>0</v>
      </c>
      <c r="Q3262" s="27" t="s">
        <v>154</v>
      </c>
    </row>
    <row r="3263" spans="1:17" ht="48" x14ac:dyDescent="0.25">
      <c r="A3263" s="23">
        <v>40072</v>
      </c>
      <c r="B3263" s="23">
        <v>40072</v>
      </c>
      <c r="C3263" s="27">
        <v>2009</v>
      </c>
      <c r="D3263" s="35" t="s">
        <v>28</v>
      </c>
      <c r="E3263" s="30" t="s">
        <v>149</v>
      </c>
      <c r="F3263" s="7" t="s">
        <v>60</v>
      </c>
      <c r="G3263" s="25" t="s">
        <v>1605</v>
      </c>
      <c r="H3263" s="25" t="s">
        <v>4863</v>
      </c>
      <c r="I3263" s="20">
        <v>9</v>
      </c>
      <c r="J3263" s="20">
        <v>11</v>
      </c>
      <c r="K3263" s="20">
        <v>0</v>
      </c>
      <c r="L3263" s="20">
        <v>0</v>
      </c>
      <c r="M3263" s="20">
        <v>0</v>
      </c>
      <c r="N3263" s="20">
        <v>0</v>
      </c>
      <c r="O3263" s="75">
        <v>0</v>
      </c>
      <c r="P3263" s="76">
        <v>0</v>
      </c>
      <c r="Q3263" s="27" t="s">
        <v>154</v>
      </c>
    </row>
    <row r="3264" spans="1:17" ht="48" x14ac:dyDescent="0.25">
      <c r="A3264" s="23">
        <v>40091</v>
      </c>
      <c r="B3264" s="23">
        <v>40091</v>
      </c>
      <c r="C3264" s="27">
        <v>2009</v>
      </c>
      <c r="D3264" s="35" t="s">
        <v>28</v>
      </c>
      <c r="E3264" s="30" t="s">
        <v>149</v>
      </c>
      <c r="F3264" s="7" t="s">
        <v>56</v>
      </c>
      <c r="G3264" s="25" t="s">
        <v>1160</v>
      </c>
      <c r="H3264" s="25" t="s">
        <v>4864</v>
      </c>
      <c r="I3264" s="20">
        <v>0</v>
      </c>
      <c r="J3264" s="20">
        <v>1032</v>
      </c>
      <c r="K3264" s="20">
        <v>0</v>
      </c>
      <c r="L3264" s="20">
        <v>0</v>
      </c>
      <c r="M3264" s="20">
        <v>0</v>
      </c>
      <c r="N3264" s="20">
        <v>0</v>
      </c>
      <c r="O3264" s="75">
        <v>0</v>
      </c>
      <c r="P3264" s="76">
        <v>0</v>
      </c>
      <c r="Q3264" s="27" t="s">
        <v>154</v>
      </c>
    </row>
    <row r="3265" spans="1:17" ht="60" x14ac:dyDescent="0.25">
      <c r="A3265" s="23">
        <v>40093</v>
      </c>
      <c r="B3265" s="23">
        <v>40093</v>
      </c>
      <c r="C3265" s="27">
        <v>2009</v>
      </c>
      <c r="D3265" s="35" t="s">
        <v>28</v>
      </c>
      <c r="E3265" s="30" t="s">
        <v>149</v>
      </c>
      <c r="F3265" s="7" t="s">
        <v>62</v>
      </c>
      <c r="G3265" s="25" t="s">
        <v>165</v>
      </c>
      <c r="H3265" s="25" t="s">
        <v>4865</v>
      </c>
      <c r="I3265" s="20">
        <v>2</v>
      </c>
      <c r="J3265" s="20">
        <v>182</v>
      </c>
      <c r="K3265" s="20">
        <v>36</v>
      </c>
      <c r="L3265" s="20">
        <v>0</v>
      </c>
      <c r="M3265" s="20">
        <v>0</v>
      </c>
      <c r="N3265" s="20">
        <v>0</v>
      </c>
      <c r="O3265" s="75">
        <v>0</v>
      </c>
      <c r="P3265" s="76">
        <f>(K3265*95904)/1000000</f>
        <v>3.4525440000000001</v>
      </c>
      <c r="Q3265" s="27" t="s">
        <v>154</v>
      </c>
    </row>
    <row r="3266" spans="1:17" ht="48" x14ac:dyDescent="0.25">
      <c r="A3266" s="23">
        <v>40101</v>
      </c>
      <c r="B3266" s="23">
        <v>40101</v>
      </c>
      <c r="C3266" s="27">
        <v>2009</v>
      </c>
      <c r="D3266" s="35" t="s">
        <v>28</v>
      </c>
      <c r="E3266" s="30" t="s">
        <v>149</v>
      </c>
      <c r="F3266" s="28" t="s">
        <v>210</v>
      </c>
      <c r="G3266" s="25" t="s">
        <v>2303</v>
      </c>
      <c r="H3266" s="25" t="s">
        <v>4866</v>
      </c>
      <c r="I3266" s="20">
        <v>0</v>
      </c>
      <c r="J3266" s="20">
        <v>0</v>
      </c>
      <c r="K3266" s="20">
        <v>0</v>
      </c>
      <c r="L3266" s="20">
        <v>0</v>
      </c>
      <c r="M3266" s="20">
        <v>0</v>
      </c>
      <c r="N3266" s="20">
        <v>0</v>
      </c>
      <c r="O3266" s="75">
        <v>0</v>
      </c>
      <c r="P3266" s="76">
        <v>0</v>
      </c>
      <c r="Q3266" s="27" t="s">
        <v>154</v>
      </c>
    </row>
    <row r="3267" spans="1:17" ht="36" x14ac:dyDescent="0.25">
      <c r="A3267" s="23">
        <v>40102</v>
      </c>
      <c r="B3267" s="23">
        <v>40102</v>
      </c>
      <c r="C3267" s="27">
        <v>2009</v>
      </c>
      <c r="D3267" s="35" t="s">
        <v>28</v>
      </c>
      <c r="E3267" s="30" t="s">
        <v>149</v>
      </c>
      <c r="F3267" s="7" t="s">
        <v>62</v>
      </c>
      <c r="G3267" s="25" t="s">
        <v>165</v>
      </c>
      <c r="H3267" s="25" t="s">
        <v>4867</v>
      </c>
      <c r="I3267" s="20">
        <v>0</v>
      </c>
      <c r="J3267" s="20">
        <v>3</v>
      </c>
      <c r="K3267" s="20">
        <v>0</v>
      </c>
      <c r="L3267" s="20">
        <v>0</v>
      </c>
      <c r="M3267" s="20">
        <v>0</v>
      </c>
      <c r="N3267" s="20">
        <v>0</v>
      </c>
      <c r="O3267" s="75">
        <v>0</v>
      </c>
      <c r="P3267" s="76">
        <v>0</v>
      </c>
      <c r="Q3267" s="27" t="s">
        <v>154</v>
      </c>
    </row>
    <row r="3268" spans="1:17" ht="24" x14ac:dyDescent="0.25">
      <c r="A3268" s="23">
        <v>40103</v>
      </c>
      <c r="B3268" s="23">
        <v>40103</v>
      </c>
      <c r="C3268" s="27">
        <v>2009</v>
      </c>
      <c r="D3268" s="35" t="s">
        <v>28</v>
      </c>
      <c r="E3268" s="30" t="s">
        <v>149</v>
      </c>
      <c r="F3268" s="28" t="s">
        <v>157</v>
      </c>
      <c r="G3268" s="25" t="s">
        <v>1062</v>
      </c>
      <c r="H3268" s="25" t="s">
        <v>4868</v>
      </c>
      <c r="I3268" s="20">
        <v>0</v>
      </c>
      <c r="J3268" s="20">
        <v>2</v>
      </c>
      <c r="K3268" s="20">
        <v>0</v>
      </c>
      <c r="L3268" s="20">
        <v>0</v>
      </c>
      <c r="M3268" s="20">
        <v>0</v>
      </c>
      <c r="N3268" s="20">
        <v>0</v>
      </c>
      <c r="O3268" s="75">
        <v>0</v>
      </c>
      <c r="P3268" s="76">
        <v>0</v>
      </c>
      <c r="Q3268" s="27" t="s">
        <v>154</v>
      </c>
    </row>
    <row r="3269" spans="1:17" ht="48" x14ac:dyDescent="0.25">
      <c r="A3269" s="23">
        <v>40118</v>
      </c>
      <c r="B3269" s="23">
        <v>40118</v>
      </c>
      <c r="C3269" s="27">
        <v>2009</v>
      </c>
      <c r="D3269" s="35" t="s">
        <v>28</v>
      </c>
      <c r="E3269" s="30" t="s">
        <v>149</v>
      </c>
      <c r="F3269" s="7" t="s">
        <v>87</v>
      </c>
      <c r="G3269" s="25" t="s">
        <v>2608</v>
      </c>
      <c r="H3269" s="25" t="s">
        <v>4869</v>
      </c>
      <c r="I3269" s="20">
        <v>0</v>
      </c>
      <c r="J3269" s="20">
        <v>2</v>
      </c>
      <c r="K3269" s="20">
        <v>0</v>
      </c>
      <c r="L3269" s="20">
        <v>0</v>
      </c>
      <c r="M3269" s="20">
        <v>0</v>
      </c>
      <c r="N3269" s="20">
        <v>0</v>
      </c>
      <c r="O3269" s="75">
        <v>0</v>
      </c>
      <c r="P3269" s="76">
        <v>0</v>
      </c>
      <c r="Q3269" s="27" t="s">
        <v>154</v>
      </c>
    </row>
    <row r="3270" spans="1:17" ht="36" x14ac:dyDescent="0.25">
      <c r="A3270" s="23">
        <v>40123</v>
      </c>
      <c r="B3270" s="23">
        <v>40123</v>
      </c>
      <c r="C3270" s="27">
        <v>2009</v>
      </c>
      <c r="D3270" s="35" t="s">
        <v>28</v>
      </c>
      <c r="E3270" s="30" t="s">
        <v>149</v>
      </c>
      <c r="F3270" s="7" t="s">
        <v>45</v>
      </c>
      <c r="G3270" s="25" t="s">
        <v>259</v>
      </c>
      <c r="H3270" s="25" t="s">
        <v>4870</v>
      </c>
      <c r="I3270" s="20">
        <v>0</v>
      </c>
      <c r="J3270" s="20">
        <v>2</v>
      </c>
      <c r="K3270" s="20">
        <v>0</v>
      </c>
      <c r="L3270" s="20">
        <v>0</v>
      </c>
      <c r="M3270" s="20">
        <v>0</v>
      </c>
      <c r="N3270" s="20">
        <v>0</v>
      </c>
      <c r="O3270" s="75">
        <v>0</v>
      </c>
      <c r="P3270" s="76">
        <v>0</v>
      </c>
      <c r="Q3270" s="27" t="s">
        <v>154</v>
      </c>
    </row>
    <row r="3271" spans="1:17" ht="36" x14ac:dyDescent="0.25">
      <c r="A3271" s="23">
        <v>40130</v>
      </c>
      <c r="B3271" s="23">
        <v>40130</v>
      </c>
      <c r="C3271" s="27">
        <v>2009</v>
      </c>
      <c r="D3271" s="35" t="s">
        <v>28</v>
      </c>
      <c r="E3271" s="30" t="s">
        <v>149</v>
      </c>
      <c r="F3271" s="7" t="s">
        <v>36</v>
      </c>
      <c r="G3271" s="25" t="s">
        <v>3747</v>
      </c>
      <c r="H3271" s="25" t="s">
        <v>4871</v>
      </c>
      <c r="I3271" s="20">
        <v>0</v>
      </c>
      <c r="J3271" s="20">
        <v>0</v>
      </c>
      <c r="K3271" s="20">
        <v>0</v>
      </c>
      <c r="L3271" s="20">
        <v>0</v>
      </c>
      <c r="M3271" s="20">
        <v>0</v>
      </c>
      <c r="N3271" s="20">
        <v>0</v>
      </c>
      <c r="O3271" s="75">
        <v>0</v>
      </c>
      <c r="P3271" s="76">
        <v>0</v>
      </c>
      <c r="Q3271" s="27" t="s">
        <v>154</v>
      </c>
    </row>
    <row r="3272" spans="1:17" ht="144" x14ac:dyDescent="0.25">
      <c r="A3272" s="21">
        <v>39818</v>
      </c>
      <c r="B3272" s="21">
        <v>39818</v>
      </c>
      <c r="C3272" s="45">
        <v>2009</v>
      </c>
      <c r="D3272" s="35" t="s">
        <v>28</v>
      </c>
      <c r="E3272" s="22" t="s">
        <v>2933</v>
      </c>
      <c r="F3272" s="7" t="s">
        <v>72</v>
      </c>
      <c r="G3272" s="25" t="s">
        <v>4872</v>
      </c>
      <c r="H3272" s="25" t="s">
        <v>4873</v>
      </c>
      <c r="I3272" s="46">
        <v>2</v>
      </c>
      <c r="J3272" s="46">
        <v>3</v>
      </c>
      <c r="K3272" s="46">
        <v>0</v>
      </c>
      <c r="L3272" s="46">
        <v>0</v>
      </c>
      <c r="M3272" s="46">
        <v>0</v>
      </c>
      <c r="N3272" s="46">
        <v>0</v>
      </c>
      <c r="O3272" s="124">
        <v>0</v>
      </c>
      <c r="P3272" s="102">
        <f t="shared" ref="P3272:P3317" si="13">(K3272*27687)/1000000</f>
        <v>0</v>
      </c>
      <c r="Q3272" s="45" t="s">
        <v>154</v>
      </c>
    </row>
    <row r="3273" spans="1:17" ht="72" x14ac:dyDescent="0.25">
      <c r="A3273" s="21">
        <v>39820</v>
      </c>
      <c r="B3273" s="21">
        <v>39820</v>
      </c>
      <c r="C3273" s="45">
        <v>2009</v>
      </c>
      <c r="D3273" s="35" t="s">
        <v>28</v>
      </c>
      <c r="E3273" s="22" t="s">
        <v>2933</v>
      </c>
      <c r="F3273" s="28" t="s">
        <v>157</v>
      </c>
      <c r="G3273" s="25" t="s">
        <v>1062</v>
      </c>
      <c r="H3273" s="25" t="s">
        <v>4874</v>
      </c>
      <c r="I3273" s="46">
        <v>0</v>
      </c>
      <c r="J3273" s="46">
        <v>1</v>
      </c>
      <c r="K3273" s="46">
        <v>0</v>
      </c>
      <c r="L3273" s="46">
        <v>0</v>
      </c>
      <c r="M3273" s="46">
        <v>0</v>
      </c>
      <c r="N3273" s="46">
        <v>0</v>
      </c>
      <c r="O3273" s="124">
        <v>0</v>
      </c>
      <c r="P3273" s="102">
        <f t="shared" si="13"/>
        <v>0</v>
      </c>
      <c r="Q3273" s="45" t="s">
        <v>154</v>
      </c>
    </row>
    <row r="3274" spans="1:17" ht="156" x14ac:dyDescent="0.25">
      <c r="A3274" s="21">
        <v>39832</v>
      </c>
      <c r="B3274" s="21">
        <v>39832</v>
      </c>
      <c r="C3274" s="45">
        <v>2009</v>
      </c>
      <c r="D3274" s="35" t="s">
        <v>28</v>
      </c>
      <c r="E3274" s="22" t="s">
        <v>2933</v>
      </c>
      <c r="F3274" s="7" t="s">
        <v>45</v>
      </c>
      <c r="G3274" s="25" t="s">
        <v>1920</v>
      </c>
      <c r="H3274" s="25" t="s">
        <v>4875</v>
      </c>
      <c r="I3274" s="46">
        <v>0</v>
      </c>
      <c r="J3274" s="46">
        <v>0</v>
      </c>
      <c r="K3274" s="46">
        <v>0</v>
      </c>
      <c r="L3274" s="46">
        <v>0</v>
      </c>
      <c r="M3274" s="46">
        <v>0</v>
      </c>
      <c r="N3274" s="46">
        <v>0</v>
      </c>
      <c r="O3274" s="124">
        <v>0</v>
      </c>
      <c r="P3274" s="102">
        <f t="shared" si="13"/>
        <v>0</v>
      </c>
      <c r="Q3274" s="45" t="s">
        <v>154</v>
      </c>
    </row>
    <row r="3275" spans="1:17" ht="48" x14ac:dyDescent="0.25">
      <c r="A3275" s="21">
        <v>39833</v>
      </c>
      <c r="B3275" s="21">
        <v>39833</v>
      </c>
      <c r="C3275" s="45">
        <v>2009</v>
      </c>
      <c r="D3275" s="35" t="s">
        <v>28</v>
      </c>
      <c r="E3275" s="22" t="s">
        <v>2933</v>
      </c>
      <c r="F3275" s="25" t="s">
        <v>781</v>
      </c>
      <c r="G3275" s="25" t="s">
        <v>4876</v>
      </c>
      <c r="H3275" s="25" t="s">
        <v>4877</v>
      </c>
      <c r="I3275" s="46">
        <v>0</v>
      </c>
      <c r="J3275" s="46">
        <v>2</v>
      </c>
      <c r="K3275" s="46">
        <v>0</v>
      </c>
      <c r="L3275" s="46">
        <v>0</v>
      </c>
      <c r="M3275" s="46">
        <v>0</v>
      </c>
      <c r="N3275" s="46">
        <v>0</v>
      </c>
      <c r="O3275" s="124">
        <v>0</v>
      </c>
      <c r="P3275" s="102">
        <f t="shared" si="13"/>
        <v>0</v>
      </c>
      <c r="Q3275" s="45" t="s">
        <v>154</v>
      </c>
    </row>
    <row r="3276" spans="1:17" ht="36" x14ac:dyDescent="0.25">
      <c r="A3276" s="21">
        <v>39837</v>
      </c>
      <c r="B3276" s="21">
        <v>39837</v>
      </c>
      <c r="C3276" s="45">
        <v>2009</v>
      </c>
      <c r="D3276" s="35" t="s">
        <v>28</v>
      </c>
      <c r="E3276" s="22" t="s">
        <v>2933</v>
      </c>
      <c r="F3276" s="7" t="s">
        <v>82</v>
      </c>
      <c r="G3276" s="25" t="s">
        <v>4878</v>
      </c>
      <c r="H3276" s="25" t="s">
        <v>4879</v>
      </c>
      <c r="I3276" s="46">
        <v>0</v>
      </c>
      <c r="J3276" s="46">
        <v>1</v>
      </c>
      <c r="K3276" s="46">
        <v>0</v>
      </c>
      <c r="L3276" s="46">
        <v>0</v>
      </c>
      <c r="M3276" s="46">
        <v>0</v>
      </c>
      <c r="N3276" s="46">
        <v>0</v>
      </c>
      <c r="O3276" s="124">
        <v>0</v>
      </c>
      <c r="P3276" s="102">
        <f t="shared" si="13"/>
        <v>0</v>
      </c>
      <c r="Q3276" s="45" t="s">
        <v>154</v>
      </c>
    </row>
    <row r="3277" spans="1:17" ht="180" x14ac:dyDescent="0.25">
      <c r="A3277" s="21">
        <v>39838</v>
      </c>
      <c r="B3277" s="21">
        <v>39838</v>
      </c>
      <c r="C3277" s="45">
        <v>2009</v>
      </c>
      <c r="D3277" s="35" t="s">
        <v>28</v>
      </c>
      <c r="E3277" s="22" t="s">
        <v>2933</v>
      </c>
      <c r="F3277" s="7" t="s">
        <v>58</v>
      </c>
      <c r="G3277" s="25" t="s">
        <v>4880</v>
      </c>
      <c r="H3277" s="25" t="s">
        <v>4881</v>
      </c>
      <c r="I3277" s="46">
        <v>1</v>
      </c>
      <c r="J3277" s="46">
        <v>21</v>
      </c>
      <c r="K3277" s="46">
        <v>4</v>
      </c>
      <c r="L3277" s="46">
        <v>0</v>
      </c>
      <c r="M3277" s="46">
        <v>0</v>
      </c>
      <c r="N3277" s="46">
        <v>0</v>
      </c>
      <c r="O3277" s="124">
        <v>0</v>
      </c>
      <c r="P3277" s="102">
        <f t="shared" si="13"/>
        <v>0.110748</v>
      </c>
      <c r="Q3277" s="45" t="s">
        <v>154</v>
      </c>
    </row>
    <row r="3278" spans="1:17" ht="108" x14ac:dyDescent="0.25">
      <c r="A3278" s="21">
        <v>39846</v>
      </c>
      <c r="B3278" s="21">
        <v>39846</v>
      </c>
      <c r="C3278" s="45">
        <v>2009</v>
      </c>
      <c r="D3278" s="35" t="s">
        <v>28</v>
      </c>
      <c r="E3278" s="22" t="s">
        <v>2933</v>
      </c>
      <c r="F3278" s="28" t="s">
        <v>157</v>
      </c>
      <c r="G3278" s="25" t="s">
        <v>4882</v>
      </c>
      <c r="H3278" s="52" t="s">
        <v>4883</v>
      </c>
      <c r="I3278" s="46">
        <v>0</v>
      </c>
      <c r="J3278" s="46">
        <v>17</v>
      </c>
      <c r="K3278" s="46">
        <v>0</v>
      </c>
      <c r="L3278" s="46">
        <v>0</v>
      </c>
      <c r="M3278" s="46">
        <v>0</v>
      </c>
      <c r="N3278" s="46">
        <v>0</v>
      </c>
      <c r="O3278" s="124">
        <v>0</v>
      </c>
      <c r="P3278" s="102">
        <f t="shared" si="13"/>
        <v>0</v>
      </c>
      <c r="Q3278" s="45" t="s">
        <v>154</v>
      </c>
    </row>
    <row r="3279" spans="1:17" ht="60" x14ac:dyDescent="0.25">
      <c r="A3279" s="21">
        <v>39850</v>
      </c>
      <c r="B3279" s="21">
        <v>39850</v>
      </c>
      <c r="C3279" s="45">
        <v>2009</v>
      </c>
      <c r="D3279" s="35" t="s">
        <v>28</v>
      </c>
      <c r="E3279" s="22" t="s">
        <v>2933</v>
      </c>
      <c r="F3279" s="28" t="s">
        <v>210</v>
      </c>
      <c r="G3279" s="25" t="s">
        <v>4884</v>
      </c>
      <c r="H3279" s="52" t="s">
        <v>4885</v>
      </c>
      <c r="I3279" s="46">
        <v>0</v>
      </c>
      <c r="J3279" s="46">
        <v>3</v>
      </c>
      <c r="K3279" s="46">
        <v>0</v>
      </c>
      <c r="L3279" s="46">
        <v>1</v>
      </c>
      <c r="M3279" s="46">
        <v>0</v>
      </c>
      <c r="N3279" s="46">
        <v>0</v>
      </c>
      <c r="O3279" s="124">
        <v>0</v>
      </c>
      <c r="P3279" s="102">
        <f t="shared" si="13"/>
        <v>0</v>
      </c>
      <c r="Q3279" s="45" t="s">
        <v>154</v>
      </c>
    </row>
    <row r="3280" spans="1:17" ht="36" x14ac:dyDescent="0.25">
      <c r="A3280" s="21">
        <v>39858</v>
      </c>
      <c r="B3280" s="21">
        <v>39858</v>
      </c>
      <c r="C3280" s="45">
        <v>2009</v>
      </c>
      <c r="D3280" s="35" t="s">
        <v>28</v>
      </c>
      <c r="E3280" s="22" t="s">
        <v>2933</v>
      </c>
      <c r="F3280" s="28" t="s">
        <v>157</v>
      </c>
      <c r="G3280" s="25" t="s">
        <v>2476</v>
      </c>
      <c r="H3280" s="52" t="s">
        <v>4886</v>
      </c>
      <c r="I3280" s="46">
        <v>0</v>
      </c>
      <c r="J3280" s="46">
        <v>13</v>
      </c>
      <c r="K3280" s="46">
        <v>0</v>
      </c>
      <c r="L3280" s="46">
        <v>0</v>
      </c>
      <c r="M3280" s="46">
        <v>0</v>
      </c>
      <c r="N3280" s="46">
        <v>0</v>
      </c>
      <c r="O3280" s="124">
        <v>0</v>
      </c>
      <c r="P3280" s="102">
        <f t="shared" si="13"/>
        <v>0</v>
      </c>
      <c r="Q3280" s="45" t="s">
        <v>154</v>
      </c>
    </row>
    <row r="3281" spans="1:17" ht="96" x14ac:dyDescent="0.25">
      <c r="A3281" s="21">
        <v>39864</v>
      </c>
      <c r="B3281" s="21">
        <v>39864</v>
      </c>
      <c r="C3281" s="45">
        <v>2009</v>
      </c>
      <c r="D3281" s="35" t="s">
        <v>28</v>
      </c>
      <c r="E3281" s="22" t="s">
        <v>2933</v>
      </c>
      <c r="F3281" s="7" t="s">
        <v>62</v>
      </c>
      <c r="G3281" s="25" t="s">
        <v>165</v>
      </c>
      <c r="H3281" s="52" t="s">
        <v>4887</v>
      </c>
      <c r="I3281" s="46">
        <v>0</v>
      </c>
      <c r="J3281" s="46">
        <v>6</v>
      </c>
      <c r="K3281" s="46">
        <v>0</v>
      </c>
      <c r="L3281" s="46">
        <v>0</v>
      </c>
      <c r="M3281" s="46">
        <v>0</v>
      </c>
      <c r="N3281" s="46">
        <v>0</v>
      </c>
      <c r="O3281" s="124">
        <v>0</v>
      </c>
      <c r="P3281" s="102">
        <f t="shared" si="13"/>
        <v>0</v>
      </c>
      <c r="Q3281" s="45" t="s">
        <v>154</v>
      </c>
    </row>
    <row r="3282" spans="1:17" ht="36" x14ac:dyDescent="0.25">
      <c r="A3282" s="21">
        <v>39864</v>
      </c>
      <c r="B3282" s="21">
        <v>39864</v>
      </c>
      <c r="C3282" s="45">
        <v>2009</v>
      </c>
      <c r="D3282" s="35" t="s">
        <v>28</v>
      </c>
      <c r="E3282" s="22" t="s">
        <v>2933</v>
      </c>
      <c r="F3282" s="28" t="s">
        <v>210</v>
      </c>
      <c r="G3282" s="25" t="s">
        <v>4888</v>
      </c>
      <c r="H3282" s="52" t="s">
        <v>4889</v>
      </c>
      <c r="I3282" s="46">
        <v>1</v>
      </c>
      <c r="J3282" s="46">
        <v>5</v>
      </c>
      <c r="K3282" s="46">
        <v>1</v>
      </c>
      <c r="L3282" s="46">
        <v>0</v>
      </c>
      <c r="M3282" s="46">
        <v>0</v>
      </c>
      <c r="N3282" s="46">
        <v>0</v>
      </c>
      <c r="O3282" s="124">
        <v>0</v>
      </c>
      <c r="P3282" s="102">
        <f t="shared" si="13"/>
        <v>2.7687E-2</v>
      </c>
      <c r="Q3282" s="45" t="s">
        <v>154</v>
      </c>
    </row>
    <row r="3283" spans="1:17" ht="36" x14ac:dyDescent="0.25">
      <c r="A3283" s="21">
        <v>39876</v>
      </c>
      <c r="B3283" s="21">
        <v>39876</v>
      </c>
      <c r="C3283" s="45">
        <v>2009</v>
      </c>
      <c r="D3283" s="35" t="s">
        <v>28</v>
      </c>
      <c r="E3283" s="22" t="s">
        <v>2933</v>
      </c>
      <c r="F3283" s="7" t="s">
        <v>53</v>
      </c>
      <c r="G3283" s="25" t="s">
        <v>926</v>
      </c>
      <c r="H3283" s="52" t="s">
        <v>4890</v>
      </c>
      <c r="I3283" s="46">
        <v>0</v>
      </c>
      <c r="J3283" s="46">
        <v>2</v>
      </c>
      <c r="K3283" s="46">
        <v>0</v>
      </c>
      <c r="L3283" s="46">
        <v>0</v>
      </c>
      <c r="M3283" s="46">
        <v>0</v>
      </c>
      <c r="N3283" s="46">
        <v>0</v>
      </c>
      <c r="O3283" s="124">
        <v>0</v>
      </c>
      <c r="P3283" s="102">
        <f t="shared" si="13"/>
        <v>0</v>
      </c>
      <c r="Q3283" s="45" t="s">
        <v>154</v>
      </c>
    </row>
    <row r="3284" spans="1:17" ht="24" x14ac:dyDescent="0.25">
      <c r="A3284" s="21">
        <v>39894</v>
      </c>
      <c r="B3284" s="21">
        <v>39894</v>
      </c>
      <c r="C3284" s="45">
        <v>2009</v>
      </c>
      <c r="D3284" s="35" t="s">
        <v>28</v>
      </c>
      <c r="E3284" s="22" t="s">
        <v>2933</v>
      </c>
      <c r="F3284" s="7" t="s">
        <v>97</v>
      </c>
      <c r="G3284" s="25" t="s">
        <v>3637</v>
      </c>
      <c r="H3284" s="52" t="s">
        <v>4891</v>
      </c>
      <c r="I3284" s="46">
        <v>0</v>
      </c>
      <c r="J3284" s="46">
        <v>3</v>
      </c>
      <c r="K3284" s="46">
        <v>0</v>
      </c>
      <c r="L3284" s="46">
        <v>0</v>
      </c>
      <c r="M3284" s="46">
        <v>0</v>
      </c>
      <c r="N3284" s="46">
        <v>0</v>
      </c>
      <c r="O3284" s="124">
        <v>0</v>
      </c>
      <c r="P3284" s="102">
        <f t="shared" si="13"/>
        <v>0</v>
      </c>
      <c r="Q3284" s="45" t="s">
        <v>154</v>
      </c>
    </row>
    <row r="3285" spans="1:17" ht="72" x14ac:dyDescent="0.25">
      <c r="A3285" s="21">
        <v>39898</v>
      </c>
      <c r="B3285" s="21">
        <v>39898</v>
      </c>
      <c r="C3285" s="45">
        <v>2009</v>
      </c>
      <c r="D3285" s="35" t="s">
        <v>28</v>
      </c>
      <c r="E3285" s="22" t="s">
        <v>2933</v>
      </c>
      <c r="F3285" s="7" t="s">
        <v>75</v>
      </c>
      <c r="G3285" s="25" t="s">
        <v>4892</v>
      </c>
      <c r="H3285" s="25" t="s">
        <v>4893</v>
      </c>
      <c r="I3285" s="46">
        <v>0</v>
      </c>
      <c r="J3285" s="46">
        <v>58</v>
      </c>
      <c r="K3285" s="46">
        <v>0</v>
      </c>
      <c r="L3285" s="46">
        <v>0</v>
      </c>
      <c r="M3285" s="46">
        <v>0</v>
      </c>
      <c r="N3285" s="46">
        <v>0</v>
      </c>
      <c r="O3285" s="124">
        <v>0</v>
      </c>
      <c r="P3285" s="102">
        <f t="shared" si="13"/>
        <v>0</v>
      </c>
      <c r="Q3285" s="45" t="s">
        <v>154</v>
      </c>
    </row>
    <row r="3286" spans="1:17" ht="96" x14ac:dyDescent="0.25">
      <c r="A3286" s="21">
        <v>39924</v>
      </c>
      <c r="B3286" s="21">
        <v>39924</v>
      </c>
      <c r="C3286" s="45">
        <v>2009</v>
      </c>
      <c r="D3286" s="35" t="s">
        <v>28</v>
      </c>
      <c r="E3286" s="22" t="s">
        <v>2933</v>
      </c>
      <c r="F3286" s="7" t="s">
        <v>53</v>
      </c>
      <c r="G3286" s="25" t="s">
        <v>451</v>
      </c>
      <c r="H3286" s="25" t="s">
        <v>4894</v>
      </c>
      <c r="I3286" s="46">
        <v>0</v>
      </c>
      <c r="J3286" s="46">
        <v>2</v>
      </c>
      <c r="K3286" s="46">
        <v>0</v>
      </c>
      <c r="L3286" s="46">
        <v>0</v>
      </c>
      <c r="M3286" s="46">
        <v>0</v>
      </c>
      <c r="N3286" s="46">
        <v>0</v>
      </c>
      <c r="O3286" s="124">
        <v>0</v>
      </c>
      <c r="P3286" s="102">
        <f t="shared" si="13"/>
        <v>0</v>
      </c>
      <c r="Q3286" s="45" t="s">
        <v>154</v>
      </c>
    </row>
    <row r="3287" spans="1:17" ht="132" x14ac:dyDescent="0.25">
      <c r="A3287" s="21">
        <v>39935</v>
      </c>
      <c r="B3287" s="21">
        <v>39935</v>
      </c>
      <c r="C3287" s="45">
        <v>2009</v>
      </c>
      <c r="D3287" s="35" t="s">
        <v>28</v>
      </c>
      <c r="E3287" s="22" t="s">
        <v>2933</v>
      </c>
      <c r="F3287" s="7" t="s">
        <v>53</v>
      </c>
      <c r="G3287" s="25" t="s">
        <v>451</v>
      </c>
      <c r="H3287" s="25" t="s">
        <v>4895</v>
      </c>
      <c r="I3287" s="46">
        <v>0</v>
      </c>
      <c r="J3287" s="46">
        <v>4</v>
      </c>
      <c r="K3287" s="46">
        <v>0</v>
      </c>
      <c r="L3287" s="46">
        <v>0</v>
      </c>
      <c r="M3287" s="46">
        <v>0</v>
      </c>
      <c r="N3287" s="46">
        <v>0</v>
      </c>
      <c r="O3287" s="124">
        <v>0</v>
      </c>
      <c r="P3287" s="102">
        <f t="shared" si="13"/>
        <v>0</v>
      </c>
      <c r="Q3287" s="45" t="s">
        <v>154</v>
      </c>
    </row>
    <row r="3288" spans="1:17" ht="120" x14ac:dyDescent="0.25">
      <c r="A3288" s="21">
        <v>39949</v>
      </c>
      <c r="B3288" s="21">
        <v>39949</v>
      </c>
      <c r="C3288" s="45">
        <v>2009</v>
      </c>
      <c r="D3288" s="35" t="s">
        <v>28</v>
      </c>
      <c r="E3288" s="22" t="s">
        <v>2933</v>
      </c>
      <c r="F3288" s="7" t="s">
        <v>53</v>
      </c>
      <c r="G3288" s="25" t="s">
        <v>4896</v>
      </c>
      <c r="H3288" s="25" t="s">
        <v>4897</v>
      </c>
      <c r="I3288" s="46">
        <v>0</v>
      </c>
      <c r="J3288" s="46">
        <v>2</v>
      </c>
      <c r="K3288" s="46">
        <v>0</v>
      </c>
      <c r="L3288" s="46">
        <v>0</v>
      </c>
      <c r="M3288" s="46">
        <v>0</v>
      </c>
      <c r="N3288" s="46">
        <v>0</v>
      </c>
      <c r="O3288" s="124">
        <v>0</v>
      </c>
      <c r="P3288" s="102">
        <f t="shared" si="13"/>
        <v>0</v>
      </c>
      <c r="Q3288" s="45" t="s">
        <v>154</v>
      </c>
    </row>
    <row r="3289" spans="1:17" ht="36" x14ac:dyDescent="0.25">
      <c r="A3289" s="21">
        <v>39959</v>
      </c>
      <c r="B3289" s="21">
        <v>39959</v>
      </c>
      <c r="C3289" s="45">
        <v>2009</v>
      </c>
      <c r="D3289" s="35" t="s">
        <v>28</v>
      </c>
      <c r="E3289" s="22" t="s">
        <v>2933</v>
      </c>
      <c r="F3289" s="7" t="s">
        <v>30</v>
      </c>
      <c r="G3289" s="25" t="s">
        <v>901</v>
      </c>
      <c r="H3289" s="25" t="s">
        <v>4898</v>
      </c>
      <c r="I3289" s="46">
        <v>0</v>
      </c>
      <c r="J3289" s="46">
        <v>10</v>
      </c>
      <c r="K3289" s="46">
        <v>0</v>
      </c>
      <c r="L3289" s="46">
        <v>0</v>
      </c>
      <c r="M3289" s="46">
        <v>0</v>
      </c>
      <c r="N3289" s="46">
        <v>0</v>
      </c>
      <c r="O3289" s="124">
        <v>0</v>
      </c>
      <c r="P3289" s="102">
        <f t="shared" si="13"/>
        <v>0</v>
      </c>
      <c r="Q3289" s="45" t="s">
        <v>154</v>
      </c>
    </row>
    <row r="3290" spans="1:17" ht="60" x14ac:dyDescent="0.25">
      <c r="A3290" s="21">
        <v>39965</v>
      </c>
      <c r="B3290" s="21">
        <v>39965</v>
      </c>
      <c r="C3290" s="45">
        <v>2009</v>
      </c>
      <c r="D3290" s="35" t="s">
        <v>28</v>
      </c>
      <c r="E3290" s="22" t="s">
        <v>2933</v>
      </c>
      <c r="F3290" s="7" t="s">
        <v>60</v>
      </c>
      <c r="G3290" s="25" t="s">
        <v>908</v>
      </c>
      <c r="H3290" s="25" t="s">
        <v>4899</v>
      </c>
      <c r="I3290" s="46">
        <v>2</v>
      </c>
      <c r="J3290" s="46">
        <v>3</v>
      </c>
      <c r="K3290" s="46">
        <v>0</v>
      </c>
      <c r="L3290" s="46">
        <v>0</v>
      </c>
      <c r="M3290" s="46">
        <v>0</v>
      </c>
      <c r="N3290" s="46">
        <v>0</v>
      </c>
      <c r="O3290" s="124">
        <v>0</v>
      </c>
      <c r="P3290" s="102">
        <f t="shared" si="13"/>
        <v>0</v>
      </c>
      <c r="Q3290" s="45" t="s">
        <v>154</v>
      </c>
    </row>
    <row r="3291" spans="1:17" ht="84" x14ac:dyDescent="0.25">
      <c r="A3291" s="21">
        <v>39975</v>
      </c>
      <c r="B3291" s="21">
        <v>39975</v>
      </c>
      <c r="C3291" s="45">
        <v>2009</v>
      </c>
      <c r="D3291" s="35" t="s">
        <v>28</v>
      </c>
      <c r="E3291" s="22" t="s">
        <v>2933</v>
      </c>
      <c r="F3291" s="7" t="s">
        <v>68</v>
      </c>
      <c r="G3291" s="25" t="s">
        <v>4900</v>
      </c>
      <c r="H3291" s="25" t="s">
        <v>4901</v>
      </c>
      <c r="I3291" s="46">
        <v>0</v>
      </c>
      <c r="J3291" s="46">
        <v>0</v>
      </c>
      <c r="K3291" s="46">
        <v>0</v>
      </c>
      <c r="L3291" s="46">
        <v>0</v>
      </c>
      <c r="M3291" s="46">
        <v>0</v>
      </c>
      <c r="N3291" s="46">
        <v>0</v>
      </c>
      <c r="O3291" s="124">
        <v>0</v>
      </c>
      <c r="P3291" s="102">
        <f t="shared" si="13"/>
        <v>0</v>
      </c>
      <c r="Q3291" s="45" t="s">
        <v>154</v>
      </c>
    </row>
    <row r="3292" spans="1:17" ht="36" x14ac:dyDescent="0.25">
      <c r="A3292" s="21">
        <v>39977</v>
      </c>
      <c r="B3292" s="21">
        <v>39977</v>
      </c>
      <c r="C3292" s="45">
        <v>2009</v>
      </c>
      <c r="D3292" s="35" t="s">
        <v>28</v>
      </c>
      <c r="E3292" s="22" t="s">
        <v>2933</v>
      </c>
      <c r="F3292" s="7" t="s">
        <v>101</v>
      </c>
      <c r="G3292" s="25" t="s">
        <v>4902</v>
      </c>
      <c r="H3292" s="25" t="s">
        <v>4903</v>
      </c>
      <c r="I3292" s="46">
        <v>0</v>
      </c>
      <c r="J3292" s="46">
        <v>3</v>
      </c>
      <c r="K3292" s="46">
        <v>0</v>
      </c>
      <c r="L3292" s="46">
        <v>0</v>
      </c>
      <c r="M3292" s="46">
        <v>0</v>
      </c>
      <c r="N3292" s="46">
        <v>0</v>
      </c>
      <c r="O3292" s="124">
        <v>0</v>
      </c>
      <c r="P3292" s="102">
        <f t="shared" si="13"/>
        <v>0</v>
      </c>
      <c r="Q3292" s="45" t="s">
        <v>154</v>
      </c>
    </row>
    <row r="3293" spans="1:17" ht="48" x14ac:dyDescent="0.25">
      <c r="A3293" s="21">
        <v>39978</v>
      </c>
      <c r="B3293" s="21">
        <v>39978</v>
      </c>
      <c r="C3293" s="45">
        <v>2009</v>
      </c>
      <c r="D3293" s="35" t="s">
        <v>28</v>
      </c>
      <c r="E3293" s="22" t="s">
        <v>2933</v>
      </c>
      <c r="F3293" s="7" t="s">
        <v>72</v>
      </c>
      <c r="G3293" s="25" t="s">
        <v>72</v>
      </c>
      <c r="H3293" s="25" t="s">
        <v>4904</v>
      </c>
      <c r="I3293" s="46">
        <v>1</v>
      </c>
      <c r="J3293" s="46">
        <v>9</v>
      </c>
      <c r="K3293" s="46">
        <v>0</v>
      </c>
      <c r="L3293" s="46">
        <v>0</v>
      </c>
      <c r="M3293" s="46">
        <v>0</v>
      </c>
      <c r="N3293" s="46">
        <v>0</v>
      </c>
      <c r="O3293" s="124">
        <v>0</v>
      </c>
      <c r="P3293" s="102">
        <f t="shared" si="13"/>
        <v>0</v>
      </c>
      <c r="Q3293" s="45" t="s">
        <v>154</v>
      </c>
    </row>
    <row r="3294" spans="1:17" ht="36" x14ac:dyDescent="0.25">
      <c r="A3294" s="21">
        <v>39989</v>
      </c>
      <c r="B3294" s="21">
        <v>39989</v>
      </c>
      <c r="C3294" s="45">
        <v>2009</v>
      </c>
      <c r="D3294" s="35" t="s">
        <v>28</v>
      </c>
      <c r="E3294" s="22" t="s">
        <v>2933</v>
      </c>
      <c r="F3294" s="28" t="s">
        <v>163</v>
      </c>
      <c r="G3294" s="25" t="s">
        <v>4905</v>
      </c>
      <c r="H3294" s="25" t="s">
        <v>4906</v>
      </c>
      <c r="I3294" s="46">
        <v>0</v>
      </c>
      <c r="J3294" s="46">
        <v>2</v>
      </c>
      <c r="K3294" s="46">
        <v>0</v>
      </c>
      <c r="L3294" s="46">
        <v>0</v>
      </c>
      <c r="M3294" s="46">
        <v>0</v>
      </c>
      <c r="N3294" s="46">
        <v>0</v>
      </c>
      <c r="O3294" s="124">
        <v>0</v>
      </c>
      <c r="P3294" s="102">
        <f t="shared" si="13"/>
        <v>0</v>
      </c>
      <c r="Q3294" s="45" t="s">
        <v>154</v>
      </c>
    </row>
    <row r="3295" spans="1:17" ht="84" x14ac:dyDescent="0.25">
      <c r="A3295" s="21">
        <v>39989</v>
      </c>
      <c r="B3295" s="21">
        <v>39989</v>
      </c>
      <c r="C3295" s="45">
        <v>2009</v>
      </c>
      <c r="D3295" s="35" t="s">
        <v>28</v>
      </c>
      <c r="E3295" s="22" t="s">
        <v>2933</v>
      </c>
      <c r="F3295" s="7" t="s">
        <v>56</v>
      </c>
      <c r="G3295" s="25" t="s">
        <v>4907</v>
      </c>
      <c r="H3295" s="25" t="s">
        <v>4908</v>
      </c>
      <c r="I3295" s="46">
        <v>0</v>
      </c>
      <c r="J3295" s="46">
        <v>6</v>
      </c>
      <c r="K3295" s="46">
        <v>0</v>
      </c>
      <c r="L3295" s="46">
        <v>0</v>
      </c>
      <c r="M3295" s="46">
        <v>0</v>
      </c>
      <c r="N3295" s="46">
        <v>0</v>
      </c>
      <c r="O3295" s="124">
        <v>0</v>
      </c>
      <c r="P3295" s="102">
        <f t="shared" si="13"/>
        <v>0</v>
      </c>
      <c r="Q3295" s="45" t="s">
        <v>154</v>
      </c>
    </row>
    <row r="3296" spans="1:17" ht="36" x14ac:dyDescent="0.25">
      <c r="A3296" s="21">
        <v>39995</v>
      </c>
      <c r="B3296" s="21">
        <v>39995</v>
      </c>
      <c r="C3296" s="45">
        <v>2009</v>
      </c>
      <c r="D3296" s="35" t="s">
        <v>28</v>
      </c>
      <c r="E3296" s="22" t="s">
        <v>2933</v>
      </c>
      <c r="F3296" s="7" t="s">
        <v>60</v>
      </c>
      <c r="G3296" s="25" t="s">
        <v>3754</v>
      </c>
      <c r="H3296" s="25" t="s">
        <v>4909</v>
      </c>
      <c r="I3296" s="46">
        <v>1</v>
      </c>
      <c r="J3296" s="46">
        <v>1</v>
      </c>
      <c r="K3296" s="46">
        <v>0</v>
      </c>
      <c r="L3296" s="46">
        <v>0</v>
      </c>
      <c r="M3296" s="46">
        <v>0</v>
      </c>
      <c r="N3296" s="46">
        <v>0</v>
      </c>
      <c r="O3296" s="124">
        <v>0</v>
      </c>
      <c r="P3296" s="102">
        <f t="shared" si="13"/>
        <v>0</v>
      </c>
      <c r="Q3296" s="45" t="s">
        <v>154</v>
      </c>
    </row>
    <row r="3297" spans="1:17" ht="96" x14ac:dyDescent="0.25">
      <c r="A3297" s="21">
        <v>39995</v>
      </c>
      <c r="B3297" s="21">
        <v>39995</v>
      </c>
      <c r="C3297" s="45">
        <v>2009</v>
      </c>
      <c r="D3297" s="35" t="s">
        <v>28</v>
      </c>
      <c r="E3297" s="22" t="s">
        <v>2933</v>
      </c>
      <c r="F3297" s="28" t="s">
        <v>157</v>
      </c>
      <c r="G3297" s="25" t="s">
        <v>1062</v>
      </c>
      <c r="H3297" s="25" t="s">
        <v>4910</v>
      </c>
      <c r="I3297" s="46">
        <v>0</v>
      </c>
      <c r="J3297" s="46">
        <v>1</v>
      </c>
      <c r="K3297" s="46">
        <v>0</v>
      </c>
      <c r="L3297" s="46">
        <v>0</v>
      </c>
      <c r="M3297" s="46">
        <v>0</v>
      </c>
      <c r="N3297" s="46">
        <v>0</v>
      </c>
      <c r="O3297" s="124">
        <v>0</v>
      </c>
      <c r="P3297" s="102">
        <f t="shared" si="13"/>
        <v>0</v>
      </c>
      <c r="Q3297" s="45" t="s">
        <v>154</v>
      </c>
    </row>
    <row r="3298" spans="1:17" ht="108" x14ac:dyDescent="0.25">
      <c r="A3298" s="21">
        <v>39999</v>
      </c>
      <c r="B3298" s="21">
        <v>39999</v>
      </c>
      <c r="C3298" s="45">
        <v>2009</v>
      </c>
      <c r="D3298" s="35" t="s">
        <v>28</v>
      </c>
      <c r="E3298" s="22" t="s">
        <v>2933</v>
      </c>
      <c r="F3298" s="28" t="s">
        <v>157</v>
      </c>
      <c r="G3298" s="25" t="s">
        <v>1062</v>
      </c>
      <c r="H3298" s="25" t="s">
        <v>4911</v>
      </c>
      <c r="I3298" s="46">
        <v>0</v>
      </c>
      <c r="J3298" s="46">
        <v>0</v>
      </c>
      <c r="K3298" s="46">
        <v>0</v>
      </c>
      <c r="L3298" s="46">
        <v>0</v>
      </c>
      <c r="M3298" s="46">
        <v>0</v>
      </c>
      <c r="N3298" s="46">
        <v>0</v>
      </c>
      <c r="O3298" s="124">
        <v>0</v>
      </c>
      <c r="P3298" s="102">
        <f t="shared" si="13"/>
        <v>0</v>
      </c>
      <c r="Q3298" s="45" t="s">
        <v>154</v>
      </c>
    </row>
    <row r="3299" spans="1:17" ht="36" x14ac:dyDescent="0.25">
      <c r="A3299" s="21">
        <v>40008</v>
      </c>
      <c r="B3299" s="21">
        <v>40008</v>
      </c>
      <c r="C3299" s="45">
        <v>2009</v>
      </c>
      <c r="D3299" s="35" t="s">
        <v>28</v>
      </c>
      <c r="E3299" s="22" t="s">
        <v>2933</v>
      </c>
      <c r="F3299" s="7" t="s">
        <v>75</v>
      </c>
      <c r="G3299" s="25" t="s">
        <v>4912</v>
      </c>
      <c r="H3299" s="25" t="s">
        <v>4913</v>
      </c>
      <c r="I3299" s="46">
        <v>4</v>
      </c>
      <c r="J3299" s="46">
        <v>6</v>
      </c>
      <c r="K3299" s="46">
        <v>0</v>
      </c>
      <c r="L3299" s="46">
        <v>0</v>
      </c>
      <c r="M3299" s="46">
        <v>0</v>
      </c>
      <c r="N3299" s="46">
        <v>0</v>
      </c>
      <c r="O3299" s="124">
        <v>0</v>
      </c>
      <c r="P3299" s="102">
        <f t="shared" si="13"/>
        <v>0</v>
      </c>
      <c r="Q3299" s="45" t="s">
        <v>154</v>
      </c>
    </row>
    <row r="3300" spans="1:17" ht="132" x14ac:dyDescent="0.25">
      <c r="A3300" s="21">
        <v>40008</v>
      </c>
      <c r="B3300" s="21">
        <v>40008</v>
      </c>
      <c r="C3300" s="45">
        <v>2009</v>
      </c>
      <c r="D3300" s="35" t="s">
        <v>28</v>
      </c>
      <c r="E3300" s="22" t="s">
        <v>2933</v>
      </c>
      <c r="F3300" s="7" t="s">
        <v>72</v>
      </c>
      <c r="G3300" s="25" t="s">
        <v>72</v>
      </c>
      <c r="H3300" s="25" t="s">
        <v>4914</v>
      </c>
      <c r="I3300" s="46">
        <v>1</v>
      </c>
      <c r="J3300" s="46">
        <v>9</v>
      </c>
      <c r="K3300" s="46">
        <v>0</v>
      </c>
      <c r="L3300" s="46">
        <v>0</v>
      </c>
      <c r="M3300" s="46">
        <v>0</v>
      </c>
      <c r="N3300" s="46">
        <v>0</v>
      </c>
      <c r="O3300" s="124">
        <v>0</v>
      </c>
      <c r="P3300" s="102">
        <f t="shared" si="13"/>
        <v>0</v>
      </c>
      <c r="Q3300" s="45" t="s">
        <v>154</v>
      </c>
    </row>
    <row r="3301" spans="1:17" ht="36" x14ac:dyDescent="0.25">
      <c r="A3301" s="21">
        <v>40010</v>
      </c>
      <c r="B3301" s="21">
        <v>40010</v>
      </c>
      <c r="C3301" s="45">
        <v>2009</v>
      </c>
      <c r="D3301" s="35" t="s">
        <v>28</v>
      </c>
      <c r="E3301" s="22" t="s">
        <v>2933</v>
      </c>
      <c r="F3301" s="7" t="s">
        <v>53</v>
      </c>
      <c r="G3301" s="25" t="s">
        <v>451</v>
      </c>
      <c r="H3301" s="25" t="s">
        <v>4915</v>
      </c>
      <c r="I3301" s="46">
        <v>0</v>
      </c>
      <c r="J3301" s="46">
        <v>7</v>
      </c>
      <c r="K3301" s="46">
        <v>1</v>
      </c>
      <c r="L3301" s="46">
        <v>0</v>
      </c>
      <c r="M3301" s="46">
        <v>0</v>
      </c>
      <c r="N3301" s="46">
        <v>0</v>
      </c>
      <c r="O3301" s="124">
        <v>0</v>
      </c>
      <c r="P3301" s="102">
        <f t="shared" si="13"/>
        <v>2.7687E-2</v>
      </c>
      <c r="Q3301" s="45" t="s">
        <v>154</v>
      </c>
    </row>
    <row r="3302" spans="1:17" ht="36" x14ac:dyDescent="0.25">
      <c r="A3302" s="21">
        <v>40010</v>
      </c>
      <c r="B3302" s="21">
        <v>40010</v>
      </c>
      <c r="C3302" s="45">
        <v>2009</v>
      </c>
      <c r="D3302" s="35" t="s">
        <v>28</v>
      </c>
      <c r="E3302" s="22" t="s">
        <v>2933</v>
      </c>
      <c r="F3302" s="7" t="s">
        <v>65</v>
      </c>
      <c r="G3302" s="25" t="s">
        <v>1632</v>
      </c>
      <c r="H3302" s="25" t="s">
        <v>4916</v>
      </c>
      <c r="I3302" s="46">
        <v>0</v>
      </c>
      <c r="J3302" s="46">
        <v>6</v>
      </c>
      <c r="K3302" s="46">
        <v>1</v>
      </c>
      <c r="L3302" s="46">
        <v>0</v>
      </c>
      <c r="M3302" s="46">
        <v>0</v>
      </c>
      <c r="N3302" s="46">
        <v>0</v>
      </c>
      <c r="O3302" s="124">
        <v>0</v>
      </c>
      <c r="P3302" s="102">
        <f t="shared" si="13"/>
        <v>2.7687E-2</v>
      </c>
      <c r="Q3302" s="45" t="s">
        <v>154</v>
      </c>
    </row>
    <row r="3303" spans="1:17" ht="36" x14ac:dyDescent="0.25">
      <c r="A3303" s="21">
        <v>40011</v>
      </c>
      <c r="B3303" s="21">
        <v>40011</v>
      </c>
      <c r="C3303" s="45">
        <v>2009</v>
      </c>
      <c r="D3303" s="35" t="s">
        <v>28</v>
      </c>
      <c r="E3303" s="22" t="s">
        <v>2933</v>
      </c>
      <c r="F3303" s="7" t="s">
        <v>60</v>
      </c>
      <c r="G3303" s="25" t="s">
        <v>4917</v>
      </c>
      <c r="H3303" s="25" t="s">
        <v>4918</v>
      </c>
      <c r="I3303" s="46">
        <v>0</v>
      </c>
      <c r="J3303" s="46">
        <v>7</v>
      </c>
      <c r="K3303" s="46">
        <v>0</v>
      </c>
      <c r="L3303" s="46">
        <v>0</v>
      </c>
      <c r="M3303" s="46">
        <v>0</v>
      </c>
      <c r="N3303" s="46">
        <v>0</v>
      </c>
      <c r="O3303" s="124">
        <v>0</v>
      </c>
      <c r="P3303" s="102">
        <f t="shared" si="13"/>
        <v>0</v>
      </c>
      <c r="Q3303" s="45" t="s">
        <v>154</v>
      </c>
    </row>
    <row r="3304" spans="1:17" ht="36" x14ac:dyDescent="0.25">
      <c r="A3304" s="21">
        <v>40026</v>
      </c>
      <c r="B3304" s="21">
        <v>40026</v>
      </c>
      <c r="C3304" s="45">
        <v>2009</v>
      </c>
      <c r="D3304" s="35" t="s">
        <v>28</v>
      </c>
      <c r="E3304" s="22" t="s">
        <v>2933</v>
      </c>
      <c r="F3304" s="28" t="s">
        <v>157</v>
      </c>
      <c r="G3304" s="25" t="s">
        <v>1062</v>
      </c>
      <c r="H3304" s="25" t="s">
        <v>4919</v>
      </c>
      <c r="I3304" s="46">
        <v>0</v>
      </c>
      <c r="J3304" s="46">
        <v>10</v>
      </c>
      <c r="K3304" s="46">
        <v>0</v>
      </c>
      <c r="L3304" s="46">
        <v>0</v>
      </c>
      <c r="M3304" s="46">
        <v>0</v>
      </c>
      <c r="N3304" s="46">
        <v>0</v>
      </c>
      <c r="O3304" s="124">
        <v>0</v>
      </c>
      <c r="P3304" s="102">
        <f t="shared" si="13"/>
        <v>0</v>
      </c>
      <c r="Q3304" s="45" t="s">
        <v>154</v>
      </c>
    </row>
    <row r="3305" spans="1:17" ht="48" x14ac:dyDescent="0.25">
      <c r="A3305" s="21">
        <v>40032</v>
      </c>
      <c r="B3305" s="21">
        <v>40032</v>
      </c>
      <c r="C3305" s="45">
        <v>2009</v>
      </c>
      <c r="D3305" s="35" t="s">
        <v>28</v>
      </c>
      <c r="E3305" s="22" t="s">
        <v>2933</v>
      </c>
      <c r="F3305" s="28" t="s">
        <v>210</v>
      </c>
      <c r="G3305" s="25" t="s">
        <v>4920</v>
      </c>
      <c r="H3305" s="25" t="s">
        <v>4921</v>
      </c>
      <c r="I3305" s="46">
        <v>0</v>
      </c>
      <c r="J3305" s="46">
        <v>1</v>
      </c>
      <c r="K3305" s="46">
        <v>0</v>
      </c>
      <c r="L3305" s="46">
        <v>0</v>
      </c>
      <c r="M3305" s="46">
        <v>0</v>
      </c>
      <c r="N3305" s="46">
        <v>0</v>
      </c>
      <c r="O3305" s="124">
        <v>0</v>
      </c>
      <c r="P3305" s="102">
        <f t="shared" si="13"/>
        <v>0</v>
      </c>
      <c r="Q3305" s="45" t="s">
        <v>154</v>
      </c>
    </row>
    <row r="3306" spans="1:17" ht="36" x14ac:dyDescent="0.25">
      <c r="A3306" s="21">
        <v>40035</v>
      </c>
      <c r="B3306" s="21">
        <v>40035</v>
      </c>
      <c r="C3306" s="45">
        <v>2009</v>
      </c>
      <c r="D3306" s="35" t="s">
        <v>28</v>
      </c>
      <c r="E3306" s="22" t="s">
        <v>2933</v>
      </c>
      <c r="F3306" s="28" t="s">
        <v>157</v>
      </c>
      <c r="G3306" s="25" t="s">
        <v>401</v>
      </c>
      <c r="H3306" s="25" t="s">
        <v>4922</v>
      </c>
      <c r="I3306" s="46">
        <v>0</v>
      </c>
      <c r="J3306" s="46">
        <v>5</v>
      </c>
      <c r="K3306" s="46">
        <v>0</v>
      </c>
      <c r="L3306" s="46">
        <v>0</v>
      </c>
      <c r="M3306" s="46">
        <v>0</v>
      </c>
      <c r="N3306" s="46">
        <v>0</v>
      </c>
      <c r="O3306" s="124">
        <v>0</v>
      </c>
      <c r="P3306" s="102">
        <f t="shared" si="13"/>
        <v>0</v>
      </c>
      <c r="Q3306" s="45" t="s">
        <v>154</v>
      </c>
    </row>
    <row r="3307" spans="1:17" ht="36" x14ac:dyDescent="0.25">
      <c r="A3307" s="21">
        <v>40038</v>
      </c>
      <c r="B3307" s="21">
        <v>40038</v>
      </c>
      <c r="C3307" s="45">
        <v>2009</v>
      </c>
      <c r="D3307" s="35" t="s">
        <v>28</v>
      </c>
      <c r="E3307" s="22" t="s">
        <v>2933</v>
      </c>
      <c r="F3307" s="7" t="s">
        <v>75</v>
      </c>
      <c r="G3307" s="25" t="s">
        <v>4923</v>
      </c>
      <c r="H3307" s="25" t="s">
        <v>4924</v>
      </c>
      <c r="I3307" s="46">
        <v>0</v>
      </c>
      <c r="J3307" s="46">
        <v>5</v>
      </c>
      <c r="K3307" s="46">
        <v>1</v>
      </c>
      <c r="L3307" s="46">
        <v>0</v>
      </c>
      <c r="M3307" s="46">
        <v>0</v>
      </c>
      <c r="N3307" s="46">
        <v>0</v>
      </c>
      <c r="O3307" s="124">
        <v>0</v>
      </c>
      <c r="P3307" s="102">
        <f t="shared" si="13"/>
        <v>2.7687E-2</v>
      </c>
      <c r="Q3307" s="45" t="s">
        <v>154</v>
      </c>
    </row>
    <row r="3308" spans="1:17" ht="36" x14ac:dyDescent="0.25">
      <c r="A3308" s="21">
        <v>40050</v>
      </c>
      <c r="B3308" s="21">
        <v>40050</v>
      </c>
      <c r="C3308" s="45">
        <v>2009</v>
      </c>
      <c r="D3308" s="35" t="s">
        <v>28</v>
      </c>
      <c r="E3308" s="22" t="s">
        <v>2933</v>
      </c>
      <c r="F3308" s="7" t="s">
        <v>65</v>
      </c>
      <c r="G3308" s="25" t="s">
        <v>4925</v>
      </c>
      <c r="H3308" s="25" t="s">
        <v>4926</v>
      </c>
      <c r="I3308" s="46">
        <v>1</v>
      </c>
      <c r="J3308" s="46">
        <v>5</v>
      </c>
      <c r="K3308" s="46">
        <v>0</v>
      </c>
      <c r="L3308" s="46">
        <v>0</v>
      </c>
      <c r="M3308" s="46">
        <v>0</v>
      </c>
      <c r="N3308" s="46">
        <v>0</v>
      </c>
      <c r="O3308" s="124">
        <v>0</v>
      </c>
      <c r="P3308" s="102">
        <f t="shared" si="13"/>
        <v>0</v>
      </c>
      <c r="Q3308" s="45" t="s">
        <v>154</v>
      </c>
    </row>
    <row r="3309" spans="1:17" ht="24" x14ac:dyDescent="0.25">
      <c r="A3309" s="21">
        <v>40064</v>
      </c>
      <c r="B3309" s="21">
        <v>40064</v>
      </c>
      <c r="C3309" s="45">
        <v>2009</v>
      </c>
      <c r="D3309" s="35" t="s">
        <v>28</v>
      </c>
      <c r="E3309" s="22" t="s">
        <v>2933</v>
      </c>
      <c r="F3309" s="7" t="s">
        <v>45</v>
      </c>
      <c r="G3309" s="25" t="s">
        <v>259</v>
      </c>
      <c r="H3309" s="25" t="s">
        <v>4927</v>
      </c>
      <c r="I3309" s="46">
        <v>0</v>
      </c>
      <c r="J3309" s="46">
        <v>1</v>
      </c>
      <c r="K3309" s="46">
        <v>0</v>
      </c>
      <c r="L3309" s="46">
        <v>0</v>
      </c>
      <c r="M3309" s="46">
        <v>0</v>
      </c>
      <c r="N3309" s="46">
        <v>0</v>
      </c>
      <c r="O3309" s="124">
        <v>0</v>
      </c>
      <c r="P3309" s="102">
        <f t="shared" si="13"/>
        <v>0</v>
      </c>
      <c r="Q3309" s="45" t="s">
        <v>154</v>
      </c>
    </row>
    <row r="3310" spans="1:17" ht="24" x14ac:dyDescent="0.25">
      <c r="A3310" s="21">
        <v>40064</v>
      </c>
      <c r="B3310" s="21">
        <v>40064</v>
      </c>
      <c r="C3310" s="45">
        <v>2009</v>
      </c>
      <c r="D3310" s="35" t="s">
        <v>28</v>
      </c>
      <c r="E3310" s="22" t="s">
        <v>2933</v>
      </c>
      <c r="F3310" s="28" t="s">
        <v>157</v>
      </c>
      <c r="G3310" s="25" t="s">
        <v>1062</v>
      </c>
      <c r="H3310" s="25" t="s">
        <v>4928</v>
      </c>
      <c r="I3310" s="46">
        <v>0</v>
      </c>
      <c r="J3310" s="46">
        <v>1</v>
      </c>
      <c r="K3310" s="46">
        <v>0</v>
      </c>
      <c r="L3310" s="46">
        <v>0</v>
      </c>
      <c r="M3310" s="46">
        <v>0</v>
      </c>
      <c r="N3310" s="46">
        <v>0</v>
      </c>
      <c r="O3310" s="124">
        <v>0</v>
      </c>
      <c r="P3310" s="102">
        <f t="shared" si="13"/>
        <v>0</v>
      </c>
      <c r="Q3310" s="45" t="s">
        <v>154</v>
      </c>
    </row>
    <row r="3311" spans="1:17" ht="36" x14ac:dyDescent="0.25">
      <c r="A3311" s="21">
        <v>40085</v>
      </c>
      <c r="B3311" s="21">
        <v>40085</v>
      </c>
      <c r="C3311" s="45">
        <v>2009</v>
      </c>
      <c r="D3311" s="35" t="s">
        <v>28</v>
      </c>
      <c r="E3311" s="22" t="s">
        <v>2933</v>
      </c>
      <c r="F3311" s="7" t="s">
        <v>58</v>
      </c>
      <c r="G3311" s="25" t="s">
        <v>4239</v>
      </c>
      <c r="H3311" s="25" t="s">
        <v>4929</v>
      </c>
      <c r="I3311" s="46">
        <v>1</v>
      </c>
      <c r="J3311" s="46">
        <v>6</v>
      </c>
      <c r="K3311" s="46">
        <v>0</v>
      </c>
      <c r="L3311" s="46">
        <v>0</v>
      </c>
      <c r="M3311" s="46">
        <v>0</v>
      </c>
      <c r="N3311" s="46">
        <v>0</v>
      </c>
      <c r="O3311" s="124">
        <v>0</v>
      </c>
      <c r="P3311" s="102">
        <f t="shared" si="13"/>
        <v>0</v>
      </c>
      <c r="Q3311" s="45" t="s">
        <v>154</v>
      </c>
    </row>
    <row r="3312" spans="1:17" ht="36" x14ac:dyDescent="0.25">
      <c r="A3312" s="21">
        <v>40090</v>
      </c>
      <c r="B3312" s="21">
        <v>40090</v>
      </c>
      <c r="C3312" s="45">
        <v>2009</v>
      </c>
      <c r="D3312" s="35" t="s">
        <v>28</v>
      </c>
      <c r="E3312" s="22" t="s">
        <v>2933</v>
      </c>
      <c r="F3312" s="28" t="s">
        <v>157</v>
      </c>
      <c r="G3312" s="25" t="s">
        <v>1062</v>
      </c>
      <c r="H3312" s="25" t="s">
        <v>4930</v>
      </c>
      <c r="I3312" s="46">
        <v>0</v>
      </c>
      <c r="J3312" s="46">
        <v>3</v>
      </c>
      <c r="K3312" s="46">
        <v>0</v>
      </c>
      <c r="L3312" s="46">
        <v>0</v>
      </c>
      <c r="M3312" s="46">
        <v>0</v>
      </c>
      <c r="N3312" s="46">
        <v>0</v>
      </c>
      <c r="O3312" s="124">
        <v>0</v>
      </c>
      <c r="P3312" s="102">
        <f t="shared" si="13"/>
        <v>0</v>
      </c>
      <c r="Q3312" s="45" t="s">
        <v>154</v>
      </c>
    </row>
    <row r="3313" spans="1:17" ht="24" x14ac:dyDescent="0.25">
      <c r="A3313" s="21">
        <v>40106</v>
      </c>
      <c r="B3313" s="21">
        <v>40106</v>
      </c>
      <c r="C3313" s="45">
        <v>2009</v>
      </c>
      <c r="D3313" s="35" t="s">
        <v>28</v>
      </c>
      <c r="E3313" s="22" t="s">
        <v>2933</v>
      </c>
      <c r="F3313" s="7" t="s">
        <v>97</v>
      </c>
      <c r="G3313" s="25" t="s">
        <v>4931</v>
      </c>
      <c r="H3313" s="25" t="s">
        <v>4932</v>
      </c>
      <c r="I3313" s="46">
        <v>1</v>
      </c>
      <c r="J3313" s="46">
        <v>1</v>
      </c>
      <c r="K3313" s="46">
        <v>0</v>
      </c>
      <c r="L3313" s="46">
        <v>0</v>
      </c>
      <c r="M3313" s="46">
        <v>0</v>
      </c>
      <c r="N3313" s="46">
        <v>0</v>
      </c>
      <c r="O3313" s="124">
        <v>0</v>
      </c>
      <c r="P3313" s="102">
        <f t="shared" si="13"/>
        <v>0</v>
      </c>
      <c r="Q3313" s="45" t="s">
        <v>154</v>
      </c>
    </row>
    <row r="3314" spans="1:17" ht="48" x14ac:dyDescent="0.25">
      <c r="A3314" s="21">
        <v>40128</v>
      </c>
      <c r="B3314" s="21">
        <v>40128</v>
      </c>
      <c r="C3314" s="45">
        <v>2009</v>
      </c>
      <c r="D3314" s="35" t="s">
        <v>28</v>
      </c>
      <c r="E3314" s="22" t="s">
        <v>2933</v>
      </c>
      <c r="F3314" s="7" t="s">
        <v>101</v>
      </c>
      <c r="G3314" s="25" t="s">
        <v>174</v>
      </c>
      <c r="H3314" s="25" t="s">
        <v>4933</v>
      </c>
      <c r="I3314" s="46">
        <v>0</v>
      </c>
      <c r="J3314" s="46">
        <v>109</v>
      </c>
      <c r="K3314" s="46">
        <v>21</v>
      </c>
      <c r="L3314" s="46">
        <v>0</v>
      </c>
      <c r="M3314" s="46">
        <v>0</v>
      </c>
      <c r="N3314" s="46">
        <v>0</v>
      </c>
      <c r="O3314" s="124">
        <v>0</v>
      </c>
      <c r="P3314" s="102">
        <f t="shared" si="13"/>
        <v>0.58142700000000003</v>
      </c>
      <c r="Q3314" s="45" t="s">
        <v>154</v>
      </c>
    </row>
    <row r="3315" spans="1:17" ht="36" x14ac:dyDescent="0.25">
      <c r="A3315" s="21">
        <v>40136</v>
      </c>
      <c r="B3315" s="21">
        <v>40136</v>
      </c>
      <c r="C3315" s="45">
        <v>2009</v>
      </c>
      <c r="D3315" s="35" t="s">
        <v>28</v>
      </c>
      <c r="E3315" s="22" t="s">
        <v>2933</v>
      </c>
      <c r="F3315" s="7" t="s">
        <v>30</v>
      </c>
      <c r="G3315" s="25" t="s">
        <v>901</v>
      </c>
      <c r="H3315" s="25" t="s">
        <v>4934</v>
      </c>
      <c r="I3315" s="46">
        <v>0</v>
      </c>
      <c r="J3315" s="46">
        <v>4</v>
      </c>
      <c r="K3315" s="46">
        <v>1</v>
      </c>
      <c r="L3315" s="46">
        <v>0</v>
      </c>
      <c r="M3315" s="46">
        <v>0</v>
      </c>
      <c r="N3315" s="46">
        <v>0</v>
      </c>
      <c r="O3315" s="124">
        <v>0</v>
      </c>
      <c r="P3315" s="102">
        <f t="shared" si="13"/>
        <v>2.7687E-2</v>
      </c>
      <c r="Q3315" s="45" t="s">
        <v>154</v>
      </c>
    </row>
    <row r="3316" spans="1:17" ht="48" x14ac:dyDescent="0.25">
      <c r="A3316" s="21">
        <v>40138</v>
      </c>
      <c r="B3316" s="21">
        <v>40138</v>
      </c>
      <c r="C3316" s="45">
        <v>2009</v>
      </c>
      <c r="D3316" s="35" t="s">
        <v>28</v>
      </c>
      <c r="E3316" s="22" t="s">
        <v>2933</v>
      </c>
      <c r="F3316" s="7" t="s">
        <v>30</v>
      </c>
      <c r="G3316" s="25" t="s">
        <v>1078</v>
      </c>
      <c r="H3316" s="25" t="s">
        <v>4935</v>
      </c>
      <c r="I3316" s="46">
        <v>0</v>
      </c>
      <c r="J3316" s="46">
        <v>20</v>
      </c>
      <c r="K3316" s="46">
        <v>5</v>
      </c>
      <c r="L3316" s="46">
        <v>0</v>
      </c>
      <c r="M3316" s="46">
        <v>0</v>
      </c>
      <c r="N3316" s="46">
        <v>0</v>
      </c>
      <c r="O3316" s="124">
        <v>0</v>
      </c>
      <c r="P3316" s="102">
        <f t="shared" si="13"/>
        <v>0.138435</v>
      </c>
      <c r="Q3316" s="45" t="s">
        <v>154</v>
      </c>
    </row>
    <row r="3317" spans="1:17" ht="72" x14ac:dyDescent="0.25">
      <c r="A3317" s="21">
        <v>40145</v>
      </c>
      <c r="B3317" s="21">
        <v>40145</v>
      </c>
      <c r="C3317" s="45">
        <v>2009</v>
      </c>
      <c r="D3317" s="35" t="s">
        <v>28</v>
      </c>
      <c r="E3317" s="22" t="s">
        <v>2933</v>
      </c>
      <c r="F3317" s="7" t="s">
        <v>75</v>
      </c>
      <c r="G3317" s="25" t="s">
        <v>4936</v>
      </c>
      <c r="H3317" s="25" t="s">
        <v>4937</v>
      </c>
      <c r="I3317" s="46">
        <v>8</v>
      </c>
      <c r="J3317" s="46">
        <v>14</v>
      </c>
      <c r="K3317" s="46">
        <v>0</v>
      </c>
      <c r="L3317" s="46">
        <v>0</v>
      </c>
      <c r="M3317" s="46">
        <v>0</v>
      </c>
      <c r="N3317" s="46">
        <v>0</v>
      </c>
      <c r="O3317" s="124">
        <v>0</v>
      </c>
      <c r="P3317" s="102">
        <f t="shared" si="13"/>
        <v>0</v>
      </c>
      <c r="Q3317" s="45" t="s">
        <v>154</v>
      </c>
    </row>
    <row r="3318" spans="1:17" ht="144" x14ac:dyDescent="0.25">
      <c r="A3318" s="21">
        <v>39834</v>
      </c>
      <c r="B3318" s="21">
        <v>39834</v>
      </c>
      <c r="C3318" s="45">
        <v>2009</v>
      </c>
      <c r="D3318" s="35" t="s">
        <v>28</v>
      </c>
      <c r="E3318" s="30" t="s">
        <v>369</v>
      </c>
      <c r="F3318" s="28" t="s">
        <v>157</v>
      </c>
      <c r="G3318" s="25" t="s">
        <v>4237</v>
      </c>
      <c r="H3318" s="25" t="s">
        <v>4938</v>
      </c>
      <c r="I3318" s="46">
        <v>0</v>
      </c>
      <c r="J3318" s="46">
        <v>0</v>
      </c>
      <c r="K3318" s="46">
        <v>0</v>
      </c>
      <c r="L3318" s="46">
        <v>0</v>
      </c>
      <c r="M3318" s="46">
        <v>0</v>
      </c>
      <c r="N3318" s="46">
        <v>0</v>
      </c>
      <c r="O3318" s="124">
        <v>0</v>
      </c>
      <c r="P3318" s="102">
        <f>(300*25)/1000000</f>
        <v>7.4999999999999997E-3</v>
      </c>
      <c r="Q3318" s="45" t="s">
        <v>154</v>
      </c>
    </row>
    <row r="3319" spans="1:17" ht="48" x14ac:dyDescent="0.25">
      <c r="A3319" s="21">
        <v>39877</v>
      </c>
      <c r="B3319" s="21">
        <v>39877</v>
      </c>
      <c r="C3319" s="45">
        <v>2009</v>
      </c>
      <c r="D3319" s="35" t="s">
        <v>28</v>
      </c>
      <c r="E3319" s="30" t="s">
        <v>369</v>
      </c>
      <c r="F3319" s="7" t="s">
        <v>87</v>
      </c>
      <c r="G3319" s="25" t="s">
        <v>2141</v>
      </c>
      <c r="H3319" s="25" t="s">
        <v>4939</v>
      </c>
      <c r="I3319" s="46">
        <v>0</v>
      </c>
      <c r="J3319" s="46">
        <v>0</v>
      </c>
      <c r="K3319" s="46">
        <v>0</v>
      </c>
      <c r="L3319" s="46">
        <v>0</v>
      </c>
      <c r="M3319" s="46">
        <v>0</v>
      </c>
      <c r="N3319" s="46">
        <v>0</v>
      </c>
      <c r="O3319" s="124">
        <v>0</v>
      </c>
      <c r="P3319" s="102">
        <f>(40*122)/1000000</f>
        <v>4.8799999999999998E-3</v>
      </c>
      <c r="Q3319" s="45" t="s">
        <v>154</v>
      </c>
    </row>
    <row r="3320" spans="1:17" ht="144" x14ac:dyDescent="0.25">
      <c r="A3320" s="21">
        <v>39889</v>
      </c>
      <c r="B3320" s="21">
        <v>39889</v>
      </c>
      <c r="C3320" s="45">
        <v>2009</v>
      </c>
      <c r="D3320" s="35" t="s">
        <v>28</v>
      </c>
      <c r="E3320" s="30" t="s">
        <v>369</v>
      </c>
      <c r="F3320" s="7" t="s">
        <v>45</v>
      </c>
      <c r="G3320" s="25" t="s">
        <v>2903</v>
      </c>
      <c r="H3320" s="25" t="s">
        <v>4940</v>
      </c>
      <c r="I3320" s="46">
        <v>0</v>
      </c>
      <c r="J3320" s="46">
        <v>0</v>
      </c>
      <c r="K3320" s="46">
        <v>0</v>
      </c>
      <c r="L3320" s="46">
        <v>0</v>
      </c>
      <c r="M3320" s="46">
        <v>0</v>
      </c>
      <c r="N3320" s="46">
        <v>0</v>
      </c>
      <c r="O3320" s="124">
        <v>0</v>
      </c>
      <c r="P3320" s="102">
        <v>0</v>
      </c>
      <c r="Q3320" s="45" t="s">
        <v>154</v>
      </c>
    </row>
    <row r="3321" spans="1:17" ht="168" x14ac:dyDescent="0.25">
      <c r="A3321" s="21">
        <v>39995</v>
      </c>
      <c r="B3321" s="21">
        <v>39995</v>
      </c>
      <c r="C3321" s="45">
        <v>2009</v>
      </c>
      <c r="D3321" s="35" t="s">
        <v>28</v>
      </c>
      <c r="E3321" s="30" t="s">
        <v>369</v>
      </c>
      <c r="F3321" s="7" t="s">
        <v>45</v>
      </c>
      <c r="G3321" s="25" t="s">
        <v>2789</v>
      </c>
      <c r="H3321" s="25" t="s">
        <v>4941</v>
      </c>
      <c r="I3321" s="46">
        <v>0</v>
      </c>
      <c r="J3321" s="46">
        <v>0</v>
      </c>
      <c r="K3321" s="46">
        <v>0</v>
      </c>
      <c r="L3321" s="46">
        <v>0</v>
      </c>
      <c r="M3321" s="46">
        <v>0</v>
      </c>
      <c r="N3321" s="46">
        <v>0</v>
      </c>
      <c r="O3321" s="124">
        <v>0</v>
      </c>
      <c r="P3321" s="102">
        <f>(40000*7.72)/1000000</f>
        <v>0.30880000000000002</v>
      </c>
      <c r="Q3321" s="45" t="s">
        <v>154</v>
      </c>
    </row>
    <row r="3322" spans="1:17" ht="24" x14ac:dyDescent="0.25">
      <c r="A3322" s="21">
        <v>40040</v>
      </c>
      <c r="B3322" s="21">
        <v>40040</v>
      </c>
      <c r="C3322" s="45">
        <v>2009</v>
      </c>
      <c r="D3322" s="35" t="s">
        <v>28</v>
      </c>
      <c r="E3322" s="30" t="s">
        <v>369</v>
      </c>
      <c r="F3322" s="28" t="s">
        <v>210</v>
      </c>
      <c r="G3322" s="25" t="s">
        <v>3623</v>
      </c>
      <c r="H3322" s="25" t="s">
        <v>4942</v>
      </c>
      <c r="I3322" s="46">
        <v>0</v>
      </c>
      <c r="J3322" s="46">
        <v>0</v>
      </c>
      <c r="K3322" s="46">
        <v>0</v>
      </c>
      <c r="L3322" s="46">
        <v>0</v>
      </c>
      <c r="M3322" s="46">
        <v>0</v>
      </c>
      <c r="N3322" s="46">
        <v>0</v>
      </c>
      <c r="O3322" s="124">
        <v>0</v>
      </c>
      <c r="P3322" s="102">
        <v>2.1999999999999999E-2</v>
      </c>
      <c r="Q3322" s="45" t="s">
        <v>4943</v>
      </c>
    </row>
    <row r="3323" spans="1:17" ht="60" x14ac:dyDescent="0.25">
      <c r="A3323" s="21">
        <v>40132</v>
      </c>
      <c r="B3323" s="21">
        <v>40132</v>
      </c>
      <c r="C3323" s="45">
        <v>2009</v>
      </c>
      <c r="D3323" s="35" t="s">
        <v>28</v>
      </c>
      <c r="E3323" s="30" t="s">
        <v>369</v>
      </c>
      <c r="F3323" s="7" t="s">
        <v>36</v>
      </c>
      <c r="G3323" s="25" t="s">
        <v>2924</v>
      </c>
      <c r="H3323" s="25" t="s">
        <v>4944</v>
      </c>
      <c r="I3323" s="46">
        <v>0</v>
      </c>
      <c r="J3323" s="46">
        <v>0</v>
      </c>
      <c r="K3323" s="46">
        <v>0</v>
      </c>
      <c r="L3323" s="46">
        <v>0</v>
      </c>
      <c r="M3323" s="46">
        <v>0</v>
      </c>
      <c r="N3323" s="46">
        <v>0</v>
      </c>
      <c r="O3323" s="124">
        <v>0</v>
      </c>
      <c r="P3323" s="102">
        <f>(7.29*30000)/1000000</f>
        <v>0.21870000000000001</v>
      </c>
      <c r="Q3323" s="45" t="s">
        <v>154</v>
      </c>
    </row>
    <row r="3324" spans="1:17" ht="24" x14ac:dyDescent="0.25">
      <c r="A3324" s="21">
        <v>40138</v>
      </c>
      <c r="B3324" s="21">
        <v>40138</v>
      </c>
      <c r="C3324" s="45">
        <v>2009</v>
      </c>
      <c r="D3324" s="35" t="s">
        <v>28</v>
      </c>
      <c r="E3324" s="30" t="s">
        <v>369</v>
      </c>
      <c r="F3324" s="28" t="s">
        <v>210</v>
      </c>
      <c r="G3324" s="25" t="s">
        <v>2303</v>
      </c>
      <c r="H3324" s="25" t="s">
        <v>4945</v>
      </c>
      <c r="I3324" s="46">
        <v>0</v>
      </c>
      <c r="J3324" s="46">
        <v>5</v>
      </c>
      <c r="K3324" s="46">
        <v>1</v>
      </c>
      <c r="L3324" s="46">
        <v>0</v>
      </c>
      <c r="M3324" s="46">
        <v>0</v>
      </c>
      <c r="N3324" s="46">
        <v>0</v>
      </c>
      <c r="O3324" s="124">
        <v>0</v>
      </c>
      <c r="P3324" s="102">
        <v>5.1200000000000004E-3</v>
      </c>
      <c r="Q3324" s="45" t="s">
        <v>154</v>
      </c>
    </row>
    <row r="3325" spans="1:17" ht="144" x14ac:dyDescent="0.25">
      <c r="A3325" s="21">
        <v>39816</v>
      </c>
      <c r="B3325" s="21">
        <v>39816</v>
      </c>
      <c r="C3325" s="45">
        <v>2009</v>
      </c>
      <c r="D3325" s="35" t="s">
        <v>28</v>
      </c>
      <c r="E3325" s="30" t="s">
        <v>125</v>
      </c>
      <c r="F3325" s="28" t="s">
        <v>157</v>
      </c>
      <c r="G3325" s="25" t="s">
        <v>1062</v>
      </c>
      <c r="H3325" s="25" t="s">
        <v>4946</v>
      </c>
      <c r="I3325" s="46">
        <v>0</v>
      </c>
      <c r="J3325" s="46">
        <v>0</v>
      </c>
      <c r="K3325" s="46">
        <v>0</v>
      </c>
      <c r="L3325" s="46">
        <v>0</v>
      </c>
      <c r="M3325" s="46">
        <v>0</v>
      </c>
      <c r="N3325" s="46">
        <v>0</v>
      </c>
      <c r="O3325" s="124">
        <v>0</v>
      </c>
      <c r="P3325" s="102">
        <v>0</v>
      </c>
      <c r="Q3325" s="45" t="s">
        <v>154</v>
      </c>
    </row>
    <row r="3326" spans="1:17" ht="84" x14ac:dyDescent="0.25">
      <c r="A3326" s="21">
        <v>39821</v>
      </c>
      <c r="B3326" s="21">
        <v>39821</v>
      </c>
      <c r="C3326" s="45">
        <v>2009</v>
      </c>
      <c r="D3326" s="35" t="s">
        <v>28</v>
      </c>
      <c r="E3326" s="30" t="s">
        <v>125</v>
      </c>
      <c r="F3326" s="28" t="s">
        <v>157</v>
      </c>
      <c r="G3326" s="25" t="s">
        <v>716</v>
      </c>
      <c r="H3326" s="25" t="s">
        <v>4947</v>
      </c>
      <c r="I3326" s="46">
        <v>1</v>
      </c>
      <c r="J3326" s="46">
        <v>6</v>
      </c>
      <c r="K3326" s="46">
        <v>0</v>
      </c>
      <c r="L3326" s="46">
        <v>0</v>
      </c>
      <c r="M3326" s="46">
        <v>0</v>
      </c>
      <c r="N3326" s="46">
        <v>0</v>
      </c>
      <c r="O3326" s="124">
        <v>0</v>
      </c>
      <c r="P3326" s="102">
        <v>0</v>
      </c>
      <c r="Q3326" s="45" t="s">
        <v>154</v>
      </c>
    </row>
    <row r="3327" spans="1:17" ht="144" x14ac:dyDescent="0.25">
      <c r="A3327" s="21">
        <v>39821</v>
      </c>
      <c r="B3327" s="21">
        <v>39821</v>
      </c>
      <c r="C3327" s="45">
        <v>2009</v>
      </c>
      <c r="D3327" s="35" t="s">
        <v>28</v>
      </c>
      <c r="E3327" s="30" t="s">
        <v>125</v>
      </c>
      <c r="F3327" s="7" t="s">
        <v>45</v>
      </c>
      <c r="G3327" s="25" t="s">
        <v>1259</v>
      </c>
      <c r="H3327" s="25" t="s">
        <v>4948</v>
      </c>
      <c r="I3327" s="46">
        <v>1</v>
      </c>
      <c r="J3327" s="46">
        <v>0</v>
      </c>
      <c r="K3327" s="46">
        <v>0</v>
      </c>
      <c r="L3327" s="46">
        <v>0</v>
      </c>
      <c r="M3327" s="46">
        <v>0</v>
      </c>
      <c r="N3327" s="46">
        <v>0</v>
      </c>
      <c r="O3327" s="124">
        <v>0</v>
      </c>
      <c r="P3327" s="102">
        <v>0</v>
      </c>
      <c r="Q3327" s="45" t="s">
        <v>154</v>
      </c>
    </row>
    <row r="3328" spans="1:17" ht="132" x14ac:dyDescent="0.25">
      <c r="A3328" s="21">
        <v>39839</v>
      </c>
      <c r="B3328" s="21">
        <v>39839</v>
      </c>
      <c r="C3328" s="45">
        <v>2009</v>
      </c>
      <c r="D3328" s="35" t="s">
        <v>28</v>
      </c>
      <c r="E3328" s="30" t="s">
        <v>125</v>
      </c>
      <c r="F3328" s="7" t="s">
        <v>68</v>
      </c>
      <c r="G3328" s="25" t="s">
        <v>1121</v>
      </c>
      <c r="H3328" s="25" t="s">
        <v>4949</v>
      </c>
      <c r="I3328" s="46">
        <v>0</v>
      </c>
      <c r="J3328" s="46">
        <v>33</v>
      </c>
      <c r="K3328" s="46">
        <v>0</v>
      </c>
      <c r="L3328" s="46">
        <v>0</v>
      </c>
      <c r="M3328" s="46">
        <v>0</v>
      </c>
      <c r="N3328" s="46">
        <v>0</v>
      </c>
      <c r="O3328" s="124">
        <v>0</v>
      </c>
      <c r="P3328" s="102">
        <v>0</v>
      </c>
      <c r="Q3328" s="45" t="s">
        <v>154</v>
      </c>
    </row>
    <row r="3329" spans="1:17" ht="96" x14ac:dyDescent="0.25">
      <c r="A3329" s="21">
        <v>39862</v>
      </c>
      <c r="B3329" s="21">
        <v>39862</v>
      </c>
      <c r="C3329" s="45">
        <v>2009</v>
      </c>
      <c r="D3329" s="35" t="s">
        <v>28</v>
      </c>
      <c r="E3329" s="30" t="s">
        <v>125</v>
      </c>
      <c r="F3329" s="7" t="s">
        <v>58</v>
      </c>
      <c r="G3329" s="25" t="s">
        <v>4950</v>
      </c>
      <c r="H3329" s="25" t="s">
        <v>4951</v>
      </c>
      <c r="I3329" s="46">
        <v>0</v>
      </c>
      <c r="J3329" s="46">
        <v>7</v>
      </c>
      <c r="K3329" s="46">
        <v>0</v>
      </c>
      <c r="L3329" s="46">
        <v>0</v>
      </c>
      <c r="M3329" s="46">
        <v>0</v>
      </c>
      <c r="N3329" s="46">
        <v>0</v>
      </c>
      <c r="O3329" s="124">
        <v>0</v>
      </c>
      <c r="P3329" s="102">
        <v>0</v>
      </c>
      <c r="Q3329" s="45" t="s">
        <v>154</v>
      </c>
    </row>
    <row r="3330" spans="1:17" ht="36" x14ac:dyDescent="0.25">
      <c r="A3330" s="21">
        <v>39885</v>
      </c>
      <c r="B3330" s="21">
        <v>39885</v>
      </c>
      <c r="C3330" s="45">
        <v>2009</v>
      </c>
      <c r="D3330" s="35" t="s">
        <v>28</v>
      </c>
      <c r="E3330" s="30" t="s">
        <v>125</v>
      </c>
      <c r="F3330" s="7" t="s">
        <v>30</v>
      </c>
      <c r="G3330" s="25" t="s">
        <v>1078</v>
      </c>
      <c r="H3330" s="25" t="s">
        <v>4952</v>
      </c>
      <c r="I3330" s="46">
        <v>0</v>
      </c>
      <c r="J3330" s="46">
        <v>6</v>
      </c>
      <c r="K3330" s="46">
        <v>0</v>
      </c>
      <c r="L3330" s="46">
        <v>0</v>
      </c>
      <c r="M3330" s="46">
        <v>0</v>
      </c>
      <c r="N3330" s="46">
        <v>0</v>
      </c>
      <c r="O3330" s="124">
        <v>0</v>
      </c>
      <c r="P3330" s="102">
        <v>0</v>
      </c>
      <c r="Q3330" s="45" t="s">
        <v>154</v>
      </c>
    </row>
    <row r="3331" spans="1:17" ht="132" x14ac:dyDescent="0.25">
      <c r="A3331" s="21">
        <v>39893</v>
      </c>
      <c r="B3331" s="21">
        <v>39893</v>
      </c>
      <c r="C3331" s="45">
        <v>2009</v>
      </c>
      <c r="D3331" s="35" t="s">
        <v>28</v>
      </c>
      <c r="E3331" s="30" t="s">
        <v>125</v>
      </c>
      <c r="F3331" s="7" t="s">
        <v>56</v>
      </c>
      <c r="G3331" s="25" t="s">
        <v>351</v>
      </c>
      <c r="H3331" s="25" t="s">
        <v>4953</v>
      </c>
      <c r="I3331" s="46">
        <v>0</v>
      </c>
      <c r="J3331" s="46">
        <v>0</v>
      </c>
      <c r="K3331" s="46">
        <v>0</v>
      </c>
      <c r="L3331" s="46">
        <v>0</v>
      </c>
      <c r="M3331" s="46">
        <v>0</v>
      </c>
      <c r="N3331" s="46">
        <v>0</v>
      </c>
      <c r="O3331" s="124">
        <v>0</v>
      </c>
      <c r="P3331" s="102">
        <v>0</v>
      </c>
      <c r="Q3331" s="45" t="s">
        <v>154</v>
      </c>
    </row>
    <row r="3332" spans="1:17" ht="96" x14ac:dyDescent="0.25">
      <c r="A3332" s="21">
        <v>39914</v>
      </c>
      <c r="B3332" s="21">
        <v>39914</v>
      </c>
      <c r="C3332" s="45">
        <v>2009</v>
      </c>
      <c r="D3332" s="35" t="s">
        <v>28</v>
      </c>
      <c r="E3332" s="30" t="s">
        <v>125</v>
      </c>
      <c r="F3332" s="28" t="s">
        <v>157</v>
      </c>
      <c r="G3332" s="25"/>
      <c r="H3332" s="25" t="s">
        <v>4954</v>
      </c>
      <c r="I3332" s="46">
        <v>0</v>
      </c>
      <c r="J3332" s="46">
        <v>4</v>
      </c>
      <c r="K3332" s="46">
        <v>0</v>
      </c>
      <c r="L3332" s="46">
        <v>0</v>
      </c>
      <c r="M3332" s="46">
        <v>0</v>
      </c>
      <c r="N3332" s="46">
        <v>0</v>
      </c>
      <c r="O3332" s="124">
        <v>0</v>
      </c>
      <c r="P3332" s="102">
        <v>0</v>
      </c>
      <c r="Q3332" s="45" t="s">
        <v>154</v>
      </c>
    </row>
    <row r="3333" spans="1:17" ht="132" x14ac:dyDescent="0.25">
      <c r="A3333" s="21">
        <v>39959</v>
      </c>
      <c r="B3333" s="21">
        <v>39959</v>
      </c>
      <c r="C3333" s="45">
        <v>2009</v>
      </c>
      <c r="D3333" s="35" t="s">
        <v>28</v>
      </c>
      <c r="E3333" s="30" t="s">
        <v>125</v>
      </c>
      <c r="F3333" s="7" t="s">
        <v>45</v>
      </c>
      <c r="G3333" s="25" t="s">
        <v>259</v>
      </c>
      <c r="H3333" s="25" t="s">
        <v>4955</v>
      </c>
      <c r="I3333" s="46">
        <v>0</v>
      </c>
      <c r="J3333" s="46">
        <v>3</v>
      </c>
      <c r="K3333" s="46">
        <v>0</v>
      </c>
      <c r="L3333" s="46">
        <v>0</v>
      </c>
      <c r="M3333" s="46">
        <v>0</v>
      </c>
      <c r="N3333" s="46">
        <v>0</v>
      </c>
      <c r="O3333" s="124">
        <v>0</v>
      </c>
      <c r="P3333" s="102">
        <v>0</v>
      </c>
      <c r="Q3333" s="45" t="s">
        <v>154</v>
      </c>
    </row>
    <row r="3334" spans="1:17" ht="24" x14ac:dyDescent="0.25">
      <c r="A3334" s="21">
        <v>39963</v>
      </c>
      <c r="B3334" s="21">
        <v>39963</v>
      </c>
      <c r="C3334" s="45">
        <v>2009</v>
      </c>
      <c r="D3334" s="35" t="s">
        <v>28</v>
      </c>
      <c r="E3334" s="30" t="s">
        <v>125</v>
      </c>
      <c r="F3334" s="7" t="s">
        <v>97</v>
      </c>
      <c r="G3334" s="25" t="s">
        <v>2977</v>
      </c>
      <c r="H3334" s="25" t="s">
        <v>4956</v>
      </c>
      <c r="I3334" s="46">
        <v>0</v>
      </c>
      <c r="J3334" s="46">
        <v>0</v>
      </c>
      <c r="K3334" s="46">
        <v>0</v>
      </c>
      <c r="L3334" s="46">
        <v>0</v>
      </c>
      <c r="M3334" s="46">
        <v>0</v>
      </c>
      <c r="N3334" s="46">
        <v>0</v>
      </c>
      <c r="O3334" s="124">
        <v>0</v>
      </c>
      <c r="P3334" s="102">
        <v>0</v>
      </c>
      <c r="Q3334" s="45" t="s">
        <v>154</v>
      </c>
    </row>
    <row r="3335" spans="1:17" ht="24" x14ac:dyDescent="0.25">
      <c r="A3335" s="21">
        <v>39975</v>
      </c>
      <c r="B3335" s="21">
        <v>39975</v>
      </c>
      <c r="C3335" s="45">
        <v>2009</v>
      </c>
      <c r="D3335" s="35" t="s">
        <v>28</v>
      </c>
      <c r="E3335" s="30" t="s">
        <v>125</v>
      </c>
      <c r="F3335" s="28" t="s">
        <v>157</v>
      </c>
      <c r="G3335" s="25" t="s">
        <v>4820</v>
      </c>
      <c r="H3335" s="25" t="s">
        <v>4957</v>
      </c>
      <c r="I3335" s="46">
        <v>0</v>
      </c>
      <c r="J3335" s="46">
        <v>4</v>
      </c>
      <c r="K3335" s="46">
        <v>0</v>
      </c>
      <c r="L3335" s="46">
        <v>0</v>
      </c>
      <c r="M3335" s="46">
        <v>0</v>
      </c>
      <c r="N3335" s="46">
        <v>0</v>
      </c>
      <c r="O3335" s="124">
        <v>0</v>
      </c>
      <c r="P3335" s="102"/>
      <c r="Q3335" s="45" t="s">
        <v>154</v>
      </c>
    </row>
    <row r="3336" spans="1:17" ht="36" x14ac:dyDescent="0.25">
      <c r="A3336" s="21">
        <v>40029</v>
      </c>
      <c r="B3336" s="21">
        <v>40029</v>
      </c>
      <c r="C3336" s="45">
        <v>2009</v>
      </c>
      <c r="D3336" s="35" t="s">
        <v>28</v>
      </c>
      <c r="E3336" s="30" t="s">
        <v>125</v>
      </c>
      <c r="F3336" s="28" t="s">
        <v>157</v>
      </c>
      <c r="G3336" s="25" t="s">
        <v>1190</v>
      </c>
      <c r="H3336" s="25" t="s">
        <v>4958</v>
      </c>
      <c r="I3336" s="46">
        <v>0</v>
      </c>
      <c r="J3336" s="46">
        <v>600</v>
      </c>
      <c r="K3336" s="46">
        <v>0</v>
      </c>
      <c r="L3336" s="46">
        <v>0</v>
      </c>
      <c r="M3336" s="46">
        <v>0</v>
      </c>
      <c r="N3336" s="46">
        <v>0</v>
      </c>
      <c r="O3336" s="124">
        <v>0</v>
      </c>
      <c r="P3336" s="102">
        <v>0</v>
      </c>
      <c r="Q3336" s="45" t="s">
        <v>154</v>
      </c>
    </row>
    <row r="3337" spans="1:17" ht="48" x14ac:dyDescent="0.25">
      <c r="A3337" s="21">
        <v>40047</v>
      </c>
      <c r="B3337" s="21">
        <v>40047</v>
      </c>
      <c r="C3337" s="45">
        <v>2009</v>
      </c>
      <c r="D3337" s="35" t="s">
        <v>28</v>
      </c>
      <c r="E3337" s="30" t="s">
        <v>125</v>
      </c>
      <c r="F3337" s="7" t="s">
        <v>56</v>
      </c>
      <c r="G3337" s="25" t="s">
        <v>646</v>
      </c>
      <c r="H3337" s="25" t="s">
        <v>4959</v>
      </c>
      <c r="I3337" s="46">
        <v>0</v>
      </c>
      <c r="J3337" s="46">
        <v>3</v>
      </c>
      <c r="K3337" s="46">
        <v>0</v>
      </c>
      <c r="L3337" s="46">
        <v>0</v>
      </c>
      <c r="M3337" s="46">
        <v>0</v>
      </c>
      <c r="N3337" s="46">
        <v>0</v>
      </c>
      <c r="O3337" s="124">
        <v>0</v>
      </c>
      <c r="P3337" s="102"/>
      <c r="Q3337" s="45" t="s">
        <v>154</v>
      </c>
    </row>
    <row r="3338" spans="1:17" ht="36" x14ac:dyDescent="0.25">
      <c r="A3338" s="21">
        <v>40052</v>
      </c>
      <c r="B3338" s="21">
        <v>40052</v>
      </c>
      <c r="C3338" s="45">
        <v>2009</v>
      </c>
      <c r="D3338" s="35" t="s">
        <v>28</v>
      </c>
      <c r="E3338" s="30" t="s">
        <v>125</v>
      </c>
      <c r="F3338" s="28" t="s">
        <v>157</v>
      </c>
      <c r="G3338" s="25" t="s">
        <v>1190</v>
      </c>
      <c r="H3338" s="25" t="s">
        <v>4960</v>
      </c>
      <c r="I3338" s="46">
        <v>0</v>
      </c>
      <c r="J3338" s="46">
        <v>450</v>
      </c>
      <c r="K3338" s="46">
        <v>0</v>
      </c>
      <c r="L3338" s="46">
        <v>0</v>
      </c>
      <c r="M3338" s="46">
        <v>0</v>
      </c>
      <c r="N3338" s="46">
        <v>0</v>
      </c>
      <c r="O3338" s="124">
        <v>0</v>
      </c>
      <c r="P3338" s="102">
        <v>0</v>
      </c>
      <c r="Q3338" s="45" t="s">
        <v>154</v>
      </c>
    </row>
    <row r="3339" spans="1:17" ht="24" x14ac:dyDescent="0.25">
      <c r="A3339" s="21">
        <v>40063</v>
      </c>
      <c r="B3339" s="21">
        <v>40063</v>
      </c>
      <c r="C3339" s="45">
        <v>2009</v>
      </c>
      <c r="D3339" s="35" t="s">
        <v>28</v>
      </c>
      <c r="E3339" s="30" t="s">
        <v>125</v>
      </c>
      <c r="F3339" s="7" t="s">
        <v>53</v>
      </c>
      <c r="G3339" s="25" t="s">
        <v>1236</v>
      </c>
      <c r="H3339" s="25" t="s">
        <v>4961</v>
      </c>
      <c r="I3339" s="46">
        <v>0</v>
      </c>
      <c r="J3339" s="46">
        <v>0</v>
      </c>
      <c r="K3339" s="46">
        <v>0</v>
      </c>
      <c r="L3339" s="46">
        <v>0</v>
      </c>
      <c r="M3339" s="46">
        <v>0</v>
      </c>
      <c r="N3339" s="46">
        <v>0</v>
      </c>
      <c r="O3339" s="124">
        <v>0</v>
      </c>
      <c r="P3339" s="102">
        <v>0</v>
      </c>
      <c r="Q3339" s="45" t="s">
        <v>154</v>
      </c>
    </row>
    <row r="3340" spans="1:17" ht="36" x14ac:dyDescent="0.25">
      <c r="A3340" s="21">
        <v>40071</v>
      </c>
      <c r="B3340" s="21">
        <v>40071</v>
      </c>
      <c r="C3340" s="45">
        <v>2009</v>
      </c>
      <c r="D3340" s="35" t="s">
        <v>28</v>
      </c>
      <c r="E3340" s="30" t="s">
        <v>125</v>
      </c>
      <c r="F3340" s="28" t="s">
        <v>157</v>
      </c>
      <c r="G3340" s="25" t="s">
        <v>1190</v>
      </c>
      <c r="H3340" s="25" t="s">
        <v>4962</v>
      </c>
      <c r="I3340" s="46">
        <v>0</v>
      </c>
      <c r="J3340" s="46">
        <v>200</v>
      </c>
      <c r="K3340" s="46">
        <v>0</v>
      </c>
      <c r="L3340" s="46">
        <v>0</v>
      </c>
      <c r="M3340" s="46">
        <v>0</v>
      </c>
      <c r="N3340" s="46">
        <v>0</v>
      </c>
      <c r="O3340" s="124">
        <v>0</v>
      </c>
      <c r="P3340" s="102">
        <v>0</v>
      </c>
      <c r="Q3340" s="45" t="s">
        <v>154</v>
      </c>
    </row>
    <row r="3341" spans="1:17" ht="36" x14ac:dyDescent="0.25">
      <c r="A3341" s="21">
        <v>40083</v>
      </c>
      <c r="B3341" s="21">
        <v>40083</v>
      </c>
      <c r="C3341" s="45">
        <v>2009</v>
      </c>
      <c r="D3341" s="35" t="s">
        <v>28</v>
      </c>
      <c r="E3341" s="30" t="s">
        <v>125</v>
      </c>
      <c r="F3341" s="28" t="s">
        <v>157</v>
      </c>
      <c r="G3341" s="25" t="s">
        <v>4963</v>
      </c>
      <c r="H3341" s="25" t="s">
        <v>4964</v>
      </c>
      <c r="I3341" s="46">
        <v>1</v>
      </c>
      <c r="J3341" s="46">
        <v>4</v>
      </c>
      <c r="K3341" s="46">
        <v>0</v>
      </c>
      <c r="L3341" s="46">
        <v>0</v>
      </c>
      <c r="M3341" s="46">
        <v>0</v>
      </c>
      <c r="N3341" s="46">
        <v>0</v>
      </c>
      <c r="O3341" s="124">
        <v>0</v>
      </c>
      <c r="P3341" s="102">
        <v>0</v>
      </c>
      <c r="Q3341" s="45" t="s">
        <v>154</v>
      </c>
    </row>
    <row r="3342" spans="1:17" ht="48" x14ac:dyDescent="0.25">
      <c r="A3342" s="21">
        <v>40106</v>
      </c>
      <c r="B3342" s="21">
        <v>40106</v>
      </c>
      <c r="C3342" s="45">
        <v>2009</v>
      </c>
      <c r="D3342" s="35" t="s">
        <v>28</v>
      </c>
      <c r="E3342" s="30" t="s">
        <v>125</v>
      </c>
      <c r="F3342" s="28" t="s">
        <v>210</v>
      </c>
      <c r="G3342" s="25" t="s">
        <v>210</v>
      </c>
      <c r="H3342" s="25" t="s">
        <v>4965</v>
      </c>
      <c r="I3342" s="46">
        <v>0</v>
      </c>
      <c r="J3342" s="46">
        <v>18</v>
      </c>
      <c r="K3342" s="46">
        <v>0</v>
      </c>
      <c r="L3342" s="46">
        <v>0</v>
      </c>
      <c r="M3342" s="46">
        <v>0</v>
      </c>
      <c r="N3342" s="46">
        <v>0</v>
      </c>
      <c r="O3342" s="124">
        <v>0</v>
      </c>
      <c r="P3342" s="102">
        <v>0</v>
      </c>
      <c r="Q3342" s="45" t="s">
        <v>154</v>
      </c>
    </row>
    <row r="3343" spans="1:17" ht="84" x14ac:dyDescent="0.25">
      <c r="A3343" s="21">
        <v>39817</v>
      </c>
      <c r="B3343" s="21">
        <v>39817</v>
      </c>
      <c r="C3343" s="45">
        <v>2009</v>
      </c>
      <c r="D3343" s="24" t="s">
        <v>141</v>
      </c>
      <c r="E3343" s="30" t="s">
        <v>142</v>
      </c>
      <c r="F3343" s="7" t="s">
        <v>36</v>
      </c>
      <c r="G3343" s="126" t="s">
        <v>4966</v>
      </c>
      <c r="H3343" s="29" t="s">
        <v>4967</v>
      </c>
      <c r="I3343" s="46">
        <v>0</v>
      </c>
      <c r="J3343" s="46">
        <v>12</v>
      </c>
      <c r="K3343" s="46">
        <v>0</v>
      </c>
      <c r="L3343" s="46">
        <v>0</v>
      </c>
      <c r="M3343" s="46">
        <v>0</v>
      </c>
      <c r="N3343" s="46">
        <v>0</v>
      </c>
      <c r="O3343" s="46">
        <v>0</v>
      </c>
      <c r="P3343" s="102">
        <f>(300000*2)/1000000</f>
        <v>0.6</v>
      </c>
      <c r="Q3343" s="45" t="s">
        <v>154</v>
      </c>
    </row>
    <row r="3344" spans="1:17" ht="48" x14ac:dyDescent="0.25">
      <c r="A3344" s="21">
        <v>39817</v>
      </c>
      <c r="B3344" s="21">
        <v>39817</v>
      </c>
      <c r="C3344" s="45">
        <v>2009</v>
      </c>
      <c r="D3344" s="24" t="s">
        <v>141</v>
      </c>
      <c r="E3344" s="30" t="s">
        <v>142</v>
      </c>
      <c r="F3344" s="28" t="s">
        <v>163</v>
      </c>
      <c r="G3344" s="126" t="s">
        <v>1696</v>
      </c>
      <c r="H3344" s="25" t="s">
        <v>4968</v>
      </c>
      <c r="I3344" s="46">
        <v>0</v>
      </c>
      <c r="J3344" s="46">
        <v>30</v>
      </c>
      <c r="K3344" s="46">
        <v>0</v>
      </c>
      <c r="L3344" s="46">
        <v>0</v>
      </c>
      <c r="M3344" s="46">
        <v>0</v>
      </c>
      <c r="N3344" s="46">
        <v>0</v>
      </c>
      <c r="O3344" s="46">
        <v>0</v>
      </c>
      <c r="P3344" s="102">
        <f>(850000)*2/1000000</f>
        <v>1.7</v>
      </c>
      <c r="Q3344" s="45" t="s">
        <v>154</v>
      </c>
    </row>
    <row r="3345" spans="1:17" ht="36" x14ac:dyDescent="0.25">
      <c r="A3345" s="21">
        <v>39822</v>
      </c>
      <c r="B3345" s="21">
        <v>39822</v>
      </c>
      <c r="C3345" s="45">
        <v>2009</v>
      </c>
      <c r="D3345" s="24" t="s">
        <v>141</v>
      </c>
      <c r="E3345" s="30" t="s">
        <v>142</v>
      </c>
      <c r="F3345" s="7" t="s">
        <v>91</v>
      </c>
      <c r="G3345" s="126" t="s">
        <v>2321</v>
      </c>
      <c r="H3345" s="25" t="s">
        <v>4969</v>
      </c>
      <c r="I3345" s="46">
        <v>0</v>
      </c>
      <c r="J3345" s="46">
        <v>1</v>
      </c>
      <c r="K3345" s="46">
        <v>0</v>
      </c>
      <c r="L3345" s="46">
        <v>0</v>
      </c>
      <c r="M3345" s="46">
        <v>0</v>
      </c>
      <c r="N3345" s="46">
        <v>0</v>
      </c>
      <c r="O3345" s="46">
        <v>0</v>
      </c>
      <c r="P3345" s="102">
        <f>(450000+208.8*27000)/1000000</f>
        <v>6.0876000000000001</v>
      </c>
      <c r="Q3345" s="45" t="s">
        <v>154</v>
      </c>
    </row>
    <row r="3346" spans="1:17" ht="60" x14ac:dyDescent="0.25">
      <c r="A3346" s="21">
        <v>39822</v>
      </c>
      <c r="B3346" s="21">
        <v>39822</v>
      </c>
      <c r="C3346" s="45">
        <v>2009</v>
      </c>
      <c r="D3346" s="24" t="s">
        <v>141</v>
      </c>
      <c r="E3346" s="30" t="s">
        <v>142</v>
      </c>
      <c r="F3346" s="7" t="s">
        <v>91</v>
      </c>
      <c r="G3346" s="126" t="s">
        <v>58</v>
      </c>
      <c r="H3346" s="25" t="s">
        <v>4970</v>
      </c>
      <c r="I3346" s="46">
        <v>0</v>
      </c>
      <c r="J3346" s="46">
        <v>0</v>
      </c>
      <c r="K3346" s="46">
        <v>0</v>
      </c>
      <c r="L3346" s="46">
        <v>0</v>
      </c>
      <c r="M3346" s="46">
        <v>0</v>
      </c>
      <c r="N3346" s="46">
        <v>0</v>
      </c>
      <c r="O3346" s="46">
        <v>0</v>
      </c>
      <c r="P3346" s="102">
        <f>(450000+10000*9)/1000000</f>
        <v>0.54</v>
      </c>
      <c r="Q3346" s="45" t="s">
        <v>154</v>
      </c>
    </row>
    <row r="3347" spans="1:17" ht="204" x14ac:dyDescent="0.25">
      <c r="A3347" s="21">
        <v>39824</v>
      </c>
      <c r="B3347" s="21">
        <v>39824</v>
      </c>
      <c r="C3347" s="45">
        <v>2009</v>
      </c>
      <c r="D3347" s="24" t="s">
        <v>141</v>
      </c>
      <c r="E3347" s="30" t="s">
        <v>142</v>
      </c>
      <c r="F3347" s="7" t="s">
        <v>75</v>
      </c>
      <c r="G3347" s="126" t="s">
        <v>4971</v>
      </c>
      <c r="H3347" s="29" t="s">
        <v>4972</v>
      </c>
      <c r="I3347" s="46">
        <v>7</v>
      </c>
      <c r="J3347" s="46">
        <v>7</v>
      </c>
      <c r="K3347" s="46">
        <v>0</v>
      </c>
      <c r="L3347" s="46">
        <v>0</v>
      </c>
      <c r="M3347" s="46">
        <v>0</v>
      </c>
      <c r="N3347" s="46">
        <v>0</v>
      </c>
      <c r="O3347" s="46">
        <v>0</v>
      </c>
      <c r="P3347" s="102">
        <f>(450000+43500*8.32)/1000000</f>
        <v>0.81191999999999998</v>
      </c>
      <c r="Q3347" s="45" t="s">
        <v>154</v>
      </c>
    </row>
    <row r="3348" spans="1:17" ht="48" x14ac:dyDescent="0.25">
      <c r="A3348" s="21">
        <v>39824</v>
      </c>
      <c r="B3348" s="21">
        <v>39824</v>
      </c>
      <c r="C3348" s="45">
        <v>2009</v>
      </c>
      <c r="D3348" s="24" t="s">
        <v>141</v>
      </c>
      <c r="E3348" s="30" t="s">
        <v>142</v>
      </c>
      <c r="F3348" s="7" t="s">
        <v>87</v>
      </c>
      <c r="G3348" s="126" t="s">
        <v>936</v>
      </c>
      <c r="H3348" s="25" t="s">
        <v>4973</v>
      </c>
      <c r="I3348" s="46">
        <v>5</v>
      </c>
      <c r="J3348" s="46">
        <v>23</v>
      </c>
      <c r="K3348" s="46">
        <v>0</v>
      </c>
      <c r="L3348" s="46">
        <v>0</v>
      </c>
      <c r="M3348" s="46">
        <v>0</v>
      </c>
      <c r="N3348" s="46">
        <v>0</v>
      </c>
      <c r="O3348" s="46">
        <v>0</v>
      </c>
      <c r="P3348" s="102">
        <f>600000/1000000</f>
        <v>0.6</v>
      </c>
      <c r="Q3348" s="45" t="s">
        <v>154</v>
      </c>
    </row>
    <row r="3349" spans="1:17" ht="48" x14ac:dyDescent="0.25">
      <c r="A3349" s="21">
        <v>39825</v>
      </c>
      <c r="B3349" s="21">
        <v>39825</v>
      </c>
      <c r="C3349" s="45">
        <v>2009</v>
      </c>
      <c r="D3349" s="24" t="s">
        <v>141</v>
      </c>
      <c r="E3349" s="30" t="s">
        <v>142</v>
      </c>
      <c r="F3349" s="28" t="s">
        <v>163</v>
      </c>
      <c r="G3349" s="126" t="s">
        <v>4202</v>
      </c>
      <c r="H3349" s="25" t="s">
        <v>4974</v>
      </c>
      <c r="I3349" s="46">
        <v>0</v>
      </c>
      <c r="J3349" s="46">
        <v>0</v>
      </c>
      <c r="K3349" s="46">
        <v>0</v>
      </c>
      <c r="L3349" s="46">
        <v>0</v>
      </c>
      <c r="M3349" s="46">
        <v>0</v>
      </c>
      <c r="N3349" s="46">
        <v>0</v>
      </c>
      <c r="O3349" s="46">
        <v>0</v>
      </c>
      <c r="P3349" s="102">
        <v>0</v>
      </c>
      <c r="Q3349" s="45" t="s">
        <v>154</v>
      </c>
    </row>
    <row r="3350" spans="1:17" ht="132" x14ac:dyDescent="0.25">
      <c r="A3350" s="21">
        <v>39828</v>
      </c>
      <c r="B3350" s="21">
        <v>39828</v>
      </c>
      <c r="C3350" s="45">
        <v>2009</v>
      </c>
      <c r="D3350" s="24" t="s">
        <v>141</v>
      </c>
      <c r="E3350" s="42" t="s">
        <v>447</v>
      </c>
      <c r="F3350" s="28" t="s">
        <v>157</v>
      </c>
      <c r="G3350" s="126" t="s">
        <v>1062</v>
      </c>
      <c r="H3350" s="29" t="s">
        <v>4975</v>
      </c>
      <c r="I3350" s="46">
        <v>0</v>
      </c>
      <c r="J3350" s="46">
        <v>0</v>
      </c>
      <c r="K3350" s="46">
        <v>0</v>
      </c>
      <c r="L3350" s="46">
        <v>0</v>
      </c>
      <c r="M3350" s="46">
        <v>0</v>
      </c>
      <c r="N3350" s="46">
        <v>0</v>
      </c>
      <c r="O3350" s="46">
        <v>0</v>
      </c>
      <c r="P3350" s="102">
        <v>0</v>
      </c>
      <c r="Q3350" s="45" t="s">
        <v>154</v>
      </c>
    </row>
    <row r="3351" spans="1:17" ht="48" x14ac:dyDescent="0.25">
      <c r="A3351" s="21">
        <v>39829</v>
      </c>
      <c r="B3351" s="21">
        <v>39829</v>
      </c>
      <c r="C3351" s="45">
        <v>2009</v>
      </c>
      <c r="D3351" s="24" t="s">
        <v>141</v>
      </c>
      <c r="E3351" s="30" t="s">
        <v>142</v>
      </c>
      <c r="F3351" s="7" t="s">
        <v>82</v>
      </c>
      <c r="G3351" s="126" t="s">
        <v>4878</v>
      </c>
      <c r="H3351" s="25" t="s">
        <v>4976</v>
      </c>
      <c r="I3351" s="46">
        <v>0</v>
      </c>
      <c r="J3351" s="46">
        <v>1</v>
      </c>
      <c r="K3351" s="46">
        <v>0</v>
      </c>
      <c r="L3351" s="46">
        <v>0</v>
      </c>
      <c r="M3351" s="46">
        <v>0</v>
      </c>
      <c r="N3351" s="46">
        <v>0</v>
      </c>
      <c r="O3351" s="46">
        <v>0</v>
      </c>
      <c r="P3351" s="102">
        <f>450000/1000000</f>
        <v>0.45</v>
      </c>
      <c r="Q3351" s="45" t="s">
        <v>154</v>
      </c>
    </row>
    <row r="3352" spans="1:17" ht="36" x14ac:dyDescent="0.25">
      <c r="A3352" s="21">
        <v>39830</v>
      </c>
      <c r="B3352" s="21">
        <v>39830</v>
      </c>
      <c r="C3352" s="45">
        <v>2009</v>
      </c>
      <c r="D3352" s="24" t="s">
        <v>141</v>
      </c>
      <c r="E3352" s="30" t="s">
        <v>142</v>
      </c>
      <c r="F3352" s="7" t="s">
        <v>82</v>
      </c>
      <c r="G3352" s="126" t="s">
        <v>4210</v>
      </c>
      <c r="H3352" s="25" t="s">
        <v>4977</v>
      </c>
      <c r="I3352" s="46">
        <v>0</v>
      </c>
      <c r="J3352" s="46">
        <v>0</v>
      </c>
      <c r="K3352" s="46">
        <v>0</v>
      </c>
      <c r="L3352" s="46">
        <v>0</v>
      </c>
      <c r="M3352" s="46">
        <v>0</v>
      </c>
      <c r="N3352" s="46">
        <v>0</v>
      </c>
      <c r="O3352" s="46">
        <v>0</v>
      </c>
      <c r="P3352" s="102">
        <f>(45000+45000*4.95+400000)/1000000</f>
        <v>0.66774999999999995</v>
      </c>
      <c r="Q3352" s="45" t="s">
        <v>154</v>
      </c>
    </row>
    <row r="3353" spans="1:17" ht="60" x14ac:dyDescent="0.25">
      <c r="A3353" s="21">
        <v>39837</v>
      </c>
      <c r="B3353" s="21">
        <v>39837</v>
      </c>
      <c r="C3353" s="45">
        <v>2009</v>
      </c>
      <c r="D3353" s="24" t="s">
        <v>141</v>
      </c>
      <c r="E3353" s="30" t="s">
        <v>4978</v>
      </c>
      <c r="F3353" s="7" t="s">
        <v>91</v>
      </c>
      <c r="G3353" s="126" t="s">
        <v>1682</v>
      </c>
      <c r="H3353" s="25" t="s">
        <v>4979</v>
      </c>
      <c r="I3353" s="46">
        <v>0</v>
      </c>
      <c r="J3353" s="46">
        <v>0</v>
      </c>
      <c r="K3353" s="46">
        <v>0</v>
      </c>
      <c r="L3353" s="46">
        <v>0</v>
      </c>
      <c r="M3353" s="46">
        <v>0</v>
      </c>
      <c r="N3353" s="46">
        <v>0</v>
      </c>
      <c r="O3353" s="46">
        <v>0</v>
      </c>
      <c r="P3353" s="102">
        <v>0</v>
      </c>
      <c r="Q3353" s="45" t="s">
        <v>154</v>
      </c>
    </row>
    <row r="3354" spans="1:17" ht="36" x14ac:dyDescent="0.25">
      <c r="A3354" s="21">
        <v>39837</v>
      </c>
      <c r="B3354" s="21">
        <v>39837</v>
      </c>
      <c r="C3354" s="45">
        <v>2009</v>
      </c>
      <c r="D3354" s="24" t="s">
        <v>141</v>
      </c>
      <c r="E3354" s="30" t="s">
        <v>1600</v>
      </c>
      <c r="F3354" s="7" t="s">
        <v>87</v>
      </c>
      <c r="G3354" s="126" t="s">
        <v>4980</v>
      </c>
      <c r="H3354" s="25" t="s">
        <v>4981</v>
      </c>
      <c r="I3354" s="46">
        <v>1</v>
      </c>
      <c r="J3354" s="46">
        <v>2</v>
      </c>
      <c r="K3354" s="46">
        <v>0</v>
      </c>
      <c r="L3354" s="46">
        <v>0</v>
      </c>
      <c r="M3354" s="46">
        <v>0</v>
      </c>
      <c r="N3354" s="46">
        <v>0</v>
      </c>
      <c r="O3354" s="46">
        <v>0</v>
      </c>
      <c r="P3354" s="102">
        <v>0</v>
      </c>
      <c r="Q3354" s="45" t="s">
        <v>154</v>
      </c>
    </row>
    <row r="3355" spans="1:17" ht="84" x14ac:dyDescent="0.25">
      <c r="A3355" s="21">
        <v>39838</v>
      </c>
      <c r="B3355" s="21">
        <v>39838</v>
      </c>
      <c r="C3355" s="45">
        <v>2009</v>
      </c>
      <c r="D3355" s="24" t="s">
        <v>141</v>
      </c>
      <c r="E3355" s="30" t="s">
        <v>142</v>
      </c>
      <c r="F3355" s="7" t="s">
        <v>65</v>
      </c>
      <c r="G3355" s="126" t="s">
        <v>1632</v>
      </c>
      <c r="H3355" s="29" t="s">
        <v>4982</v>
      </c>
      <c r="I3355" s="46">
        <v>0</v>
      </c>
      <c r="J3355" s="46">
        <v>10</v>
      </c>
      <c r="K3355" s="46">
        <v>0</v>
      </c>
      <c r="L3355" s="46">
        <v>0</v>
      </c>
      <c r="M3355" s="46">
        <v>0</v>
      </c>
      <c r="N3355" s="46">
        <v>0</v>
      </c>
      <c r="O3355" s="46">
        <v>0</v>
      </c>
      <c r="P3355" s="102">
        <f>(450000+250000)/1000000</f>
        <v>0.7</v>
      </c>
      <c r="Q3355" s="45" t="s">
        <v>154</v>
      </c>
    </row>
    <row r="3356" spans="1:17" ht="180" x14ac:dyDescent="0.25">
      <c r="A3356" s="21">
        <v>39839</v>
      </c>
      <c r="B3356" s="21">
        <v>39839</v>
      </c>
      <c r="C3356" s="45">
        <v>2009</v>
      </c>
      <c r="D3356" s="24" t="s">
        <v>141</v>
      </c>
      <c r="E3356" s="30" t="s">
        <v>4983</v>
      </c>
      <c r="F3356" s="7" t="s">
        <v>62</v>
      </c>
      <c r="G3356" s="126" t="s">
        <v>4984</v>
      </c>
      <c r="H3356" s="29" t="s">
        <v>4985</v>
      </c>
      <c r="I3356" s="46">
        <v>0</v>
      </c>
      <c r="J3356" s="46">
        <v>125</v>
      </c>
      <c r="K3356" s="46">
        <v>0</v>
      </c>
      <c r="L3356" s="46">
        <v>0</v>
      </c>
      <c r="M3356" s="46">
        <v>0</v>
      </c>
      <c r="N3356" s="46">
        <v>0</v>
      </c>
      <c r="O3356" s="46">
        <v>0</v>
      </c>
      <c r="P3356" s="102">
        <f>(69200*6.63)/1000000</f>
        <v>0.45879599999999998</v>
      </c>
      <c r="Q3356" s="45" t="s">
        <v>154</v>
      </c>
    </row>
    <row r="3357" spans="1:17" ht="48" x14ac:dyDescent="0.25">
      <c r="A3357" s="21">
        <v>39840</v>
      </c>
      <c r="B3357" s="21">
        <v>39840</v>
      </c>
      <c r="C3357" s="45">
        <v>2009</v>
      </c>
      <c r="D3357" s="24" t="s">
        <v>141</v>
      </c>
      <c r="E3357" s="30" t="s">
        <v>142</v>
      </c>
      <c r="F3357" s="28" t="s">
        <v>210</v>
      </c>
      <c r="G3357" s="126" t="s">
        <v>4986</v>
      </c>
      <c r="H3357" s="25" t="s">
        <v>4987</v>
      </c>
      <c r="I3357" s="46">
        <v>0</v>
      </c>
      <c r="J3357" s="46">
        <v>0</v>
      </c>
      <c r="K3357" s="46">
        <v>0</v>
      </c>
      <c r="L3357" s="46">
        <v>0</v>
      </c>
      <c r="M3357" s="46">
        <v>0</v>
      </c>
      <c r="N3357" s="46">
        <v>0</v>
      </c>
      <c r="O3357" s="46">
        <v>0</v>
      </c>
      <c r="P3357" s="102">
        <f>(450000+22000*8.32)/1000000</f>
        <v>0.63304000000000005</v>
      </c>
      <c r="Q3357" s="45" t="s">
        <v>154</v>
      </c>
    </row>
    <row r="3358" spans="1:17" ht="36" x14ac:dyDescent="0.25">
      <c r="A3358" s="21">
        <v>39841</v>
      </c>
      <c r="B3358" s="21">
        <v>39841</v>
      </c>
      <c r="C3358" s="45">
        <v>2009</v>
      </c>
      <c r="D3358" s="24" t="s">
        <v>141</v>
      </c>
      <c r="E3358" s="30" t="s">
        <v>142</v>
      </c>
      <c r="F3358" s="7" t="s">
        <v>84</v>
      </c>
      <c r="G3358" s="126" t="s">
        <v>4988</v>
      </c>
      <c r="H3358" s="25" t="s">
        <v>4989</v>
      </c>
      <c r="I3358" s="46">
        <v>1</v>
      </c>
      <c r="J3358" s="46">
        <v>2</v>
      </c>
      <c r="K3358" s="46">
        <v>0</v>
      </c>
      <c r="L3358" s="46">
        <v>0</v>
      </c>
      <c r="M3358" s="46">
        <v>0</v>
      </c>
      <c r="N3358" s="46">
        <v>0</v>
      </c>
      <c r="O3358" s="46">
        <v>0</v>
      </c>
      <c r="P3358" s="102">
        <f>(450000+200000)/1000000</f>
        <v>0.65</v>
      </c>
      <c r="Q3358" s="45" t="s">
        <v>154</v>
      </c>
    </row>
    <row r="3359" spans="1:17" ht="108" x14ac:dyDescent="0.25">
      <c r="A3359" s="21">
        <v>39841</v>
      </c>
      <c r="B3359" s="21">
        <v>39841</v>
      </c>
      <c r="C3359" s="45">
        <v>2009</v>
      </c>
      <c r="D3359" s="24" t="s">
        <v>141</v>
      </c>
      <c r="E3359" s="30" t="s">
        <v>142</v>
      </c>
      <c r="F3359" s="7" t="s">
        <v>53</v>
      </c>
      <c r="G3359" s="126" t="s">
        <v>2805</v>
      </c>
      <c r="H3359" s="29" t="s">
        <v>4990</v>
      </c>
      <c r="I3359" s="46">
        <v>0</v>
      </c>
      <c r="J3359" s="46">
        <v>22</v>
      </c>
      <c r="K3359" s="46">
        <v>0</v>
      </c>
      <c r="L3359" s="46">
        <v>0</v>
      </c>
      <c r="M3359" s="46">
        <v>0</v>
      </c>
      <c r="N3359" s="46">
        <v>0</v>
      </c>
      <c r="O3359" s="46">
        <v>0</v>
      </c>
      <c r="P3359" s="102">
        <f>(150000*2)/1000000</f>
        <v>0.3</v>
      </c>
      <c r="Q3359" s="45" t="s">
        <v>154</v>
      </c>
    </row>
    <row r="3360" spans="1:17" ht="60" x14ac:dyDescent="0.25">
      <c r="A3360" s="21">
        <v>39842</v>
      </c>
      <c r="B3360" s="21">
        <v>39842</v>
      </c>
      <c r="C3360" s="45">
        <v>2009</v>
      </c>
      <c r="D3360" s="24" t="s">
        <v>141</v>
      </c>
      <c r="E3360" s="30" t="s">
        <v>142</v>
      </c>
      <c r="F3360" s="7" t="s">
        <v>87</v>
      </c>
      <c r="G3360" s="126" t="s">
        <v>2758</v>
      </c>
      <c r="H3360" s="25" t="s">
        <v>4991</v>
      </c>
      <c r="I3360" s="46">
        <v>0</v>
      </c>
      <c r="J3360" s="46">
        <v>1</v>
      </c>
      <c r="K3360" s="46">
        <v>0</v>
      </c>
      <c r="L3360" s="46">
        <v>0</v>
      </c>
      <c r="M3360" s="46">
        <v>0</v>
      </c>
      <c r="N3360" s="46">
        <v>0</v>
      </c>
      <c r="O3360" s="46">
        <v>0</v>
      </c>
      <c r="P3360" s="102">
        <f>(450000)/1000000</f>
        <v>0.45</v>
      </c>
      <c r="Q3360" s="45" t="s">
        <v>154</v>
      </c>
    </row>
    <row r="3361" spans="1:17" ht="84" x14ac:dyDescent="0.25">
      <c r="A3361" s="21">
        <v>39844</v>
      </c>
      <c r="B3361" s="21">
        <v>39844</v>
      </c>
      <c r="C3361" s="45">
        <v>2009</v>
      </c>
      <c r="D3361" s="24" t="s">
        <v>141</v>
      </c>
      <c r="E3361" s="30" t="s">
        <v>142</v>
      </c>
      <c r="F3361" s="28" t="s">
        <v>151</v>
      </c>
      <c r="G3361" s="25" t="s">
        <v>4992</v>
      </c>
      <c r="H3361" s="29" t="s">
        <v>4993</v>
      </c>
      <c r="I3361" s="46">
        <v>6</v>
      </c>
      <c r="J3361" s="46">
        <v>9</v>
      </c>
      <c r="K3361" s="46">
        <v>0</v>
      </c>
      <c r="L3361" s="46">
        <v>0</v>
      </c>
      <c r="M3361" s="46">
        <v>0</v>
      </c>
      <c r="N3361" s="46">
        <v>0</v>
      </c>
      <c r="O3361" s="124">
        <v>0</v>
      </c>
      <c r="P3361" s="102">
        <f>(150000+500000)/1000000</f>
        <v>0.65</v>
      </c>
      <c r="Q3361" s="45" t="s">
        <v>154</v>
      </c>
    </row>
    <row r="3362" spans="1:17" ht="132" x14ac:dyDescent="0.25">
      <c r="A3362" s="21">
        <v>39844</v>
      </c>
      <c r="B3362" s="21">
        <v>39844</v>
      </c>
      <c r="C3362" s="45">
        <v>2009</v>
      </c>
      <c r="D3362" s="24" t="s">
        <v>141</v>
      </c>
      <c r="E3362" s="30" t="s">
        <v>142</v>
      </c>
      <c r="F3362" s="7" t="s">
        <v>45</v>
      </c>
      <c r="G3362" s="126" t="s">
        <v>1874</v>
      </c>
      <c r="H3362" s="29" t="s">
        <v>4994</v>
      </c>
      <c r="I3362" s="43">
        <v>0</v>
      </c>
      <c r="J3362" s="46">
        <v>33</v>
      </c>
      <c r="K3362" s="46">
        <v>0</v>
      </c>
      <c r="L3362" s="46">
        <v>0</v>
      </c>
      <c r="M3362" s="46">
        <v>0</v>
      </c>
      <c r="N3362" s="46">
        <v>0</v>
      </c>
      <c r="O3362" s="124">
        <v>0</v>
      </c>
      <c r="P3362" s="102">
        <f>850000/1000000</f>
        <v>0.85</v>
      </c>
      <c r="Q3362" s="45" t="s">
        <v>154</v>
      </c>
    </row>
    <row r="3363" spans="1:17" ht="168" x14ac:dyDescent="0.25">
      <c r="A3363" s="21">
        <v>39845</v>
      </c>
      <c r="B3363" s="21">
        <v>39845</v>
      </c>
      <c r="C3363" s="45">
        <v>2009</v>
      </c>
      <c r="D3363" s="24" t="s">
        <v>141</v>
      </c>
      <c r="E3363" s="30" t="s">
        <v>4995</v>
      </c>
      <c r="F3363" s="7" t="s">
        <v>47</v>
      </c>
      <c r="G3363" s="126" t="s">
        <v>4996</v>
      </c>
      <c r="H3363" s="29" t="s">
        <v>4997</v>
      </c>
      <c r="I3363" s="43">
        <v>0</v>
      </c>
      <c r="J3363" s="46">
        <v>1</v>
      </c>
      <c r="K3363" s="46">
        <v>0</v>
      </c>
      <c r="L3363" s="46">
        <v>0</v>
      </c>
      <c r="M3363" s="46">
        <v>0</v>
      </c>
      <c r="N3363" s="46">
        <v>0</v>
      </c>
      <c r="O3363" s="124">
        <v>0</v>
      </c>
      <c r="P3363" s="102">
        <f>1000000/1000000</f>
        <v>1</v>
      </c>
      <c r="Q3363" s="45" t="s">
        <v>154</v>
      </c>
    </row>
    <row r="3364" spans="1:17" ht="60" x14ac:dyDescent="0.25">
      <c r="A3364" s="21">
        <v>39846</v>
      </c>
      <c r="B3364" s="21">
        <v>39846</v>
      </c>
      <c r="C3364" s="45">
        <v>2009</v>
      </c>
      <c r="D3364" s="24" t="s">
        <v>141</v>
      </c>
      <c r="E3364" s="30" t="s">
        <v>142</v>
      </c>
      <c r="F3364" s="7" t="s">
        <v>82</v>
      </c>
      <c r="G3364" s="126" t="s">
        <v>4878</v>
      </c>
      <c r="H3364" s="25" t="s">
        <v>4998</v>
      </c>
      <c r="I3364" s="43">
        <v>0</v>
      </c>
      <c r="J3364" s="46">
        <v>0</v>
      </c>
      <c r="K3364" s="46">
        <v>0</v>
      </c>
      <c r="L3364" s="46">
        <v>0</v>
      </c>
      <c r="M3364" s="46">
        <v>0</v>
      </c>
      <c r="N3364" s="46">
        <v>0</v>
      </c>
      <c r="O3364" s="124">
        <v>0</v>
      </c>
      <c r="P3364" s="102">
        <f>(500000+60000*200)/1000000</f>
        <v>12.5</v>
      </c>
      <c r="Q3364" s="45" t="s">
        <v>154</v>
      </c>
    </row>
    <row r="3365" spans="1:17" ht="84" x14ac:dyDescent="0.25">
      <c r="A3365" s="21">
        <v>39847</v>
      </c>
      <c r="B3365" s="21">
        <v>39847</v>
      </c>
      <c r="C3365" s="45">
        <v>2009</v>
      </c>
      <c r="D3365" s="24" t="s">
        <v>141</v>
      </c>
      <c r="E3365" s="30" t="s">
        <v>142</v>
      </c>
      <c r="F3365" s="7" t="s">
        <v>60</v>
      </c>
      <c r="G3365" s="126" t="s">
        <v>1412</v>
      </c>
      <c r="H3365" s="29" t="s">
        <v>4999</v>
      </c>
      <c r="I3365" s="43">
        <v>0</v>
      </c>
      <c r="J3365" s="46">
        <v>5</v>
      </c>
      <c r="K3365" s="46">
        <v>0</v>
      </c>
      <c r="L3365" s="46">
        <v>0</v>
      </c>
      <c r="M3365" s="46">
        <v>0</v>
      </c>
      <c r="N3365" s="46">
        <v>0</v>
      </c>
      <c r="O3365" s="124">
        <v>0</v>
      </c>
      <c r="P3365" s="102">
        <f>(300000*2)/1000000</f>
        <v>0.6</v>
      </c>
      <c r="Q3365" s="45" t="s">
        <v>154</v>
      </c>
    </row>
    <row r="3366" spans="1:17" ht="96" x14ac:dyDescent="0.25">
      <c r="A3366" s="21">
        <v>39848</v>
      </c>
      <c r="B3366" s="21">
        <v>39848</v>
      </c>
      <c r="C3366" s="45">
        <v>2009</v>
      </c>
      <c r="D3366" s="24" t="s">
        <v>141</v>
      </c>
      <c r="E3366" s="41" t="s">
        <v>1965</v>
      </c>
      <c r="F3366" s="7" t="s">
        <v>68</v>
      </c>
      <c r="G3366" s="25" t="s">
        <v>2071</v>
      </c>
      <c r="H3366" s="25" t="s">
        <v>5000</v>
      </c>
      <c r="I3366" s="46">
        <v>2</v>
      </c>
      <c r="J3366" s="46">
        <v>3</v>
      </c>
      <c r="K3366" s="46">
        <v>0</v>
      </c>
      <c r="L3366" s="46">
        <v>0</v>
      </c>
      <c r="M3366" s="46">
        <v>0</v>
      </c>
      <c r="N3366" s="46">
        <v>0</v>
      </c>
      <c r="O3366" s="124">
        <v>0</v>
      </c>
      <c r="P3366" s="102">
        <v>0</v>
      </c>
      <c r="Q3366" s="45" t="s">
        <v>154</v>
      </c>
    </row>
    <row r="3367" spans="1:17" ht="48" x14ac:dyDescent="0.25">
      <c r="A3367" s="21">
        <v>39848</v>
      </c>
      <c r="B3367" s="21">
        <v>39848</v>
      </c>
      <c r="C3367" s="45">
        <v>2009</v>
      </c>
      <c r="D3367" s="24" t="s">
        <v>141</v>
      </c>
      <c r="E3367" s="30" t="s">
        <v>142</v>
      </c>
      <c r="F3367" s="7" t="s">
        <v>30</v>
      </c>
      <c r="G3367" s="126" t="s">
        <v>901</v>
      </c>
      <c r="H3367" s="25" t="s">
        <v>5001</v>
      </c>
      <c r="I3367" s="43">
        <v>0</v>
      </c>
      <c r="J3367" s="46">
        <v>1</v>
      </c>
      <c r="K3367" s="46">
        <v>0</v>
      </c>
      <c r="L3367" s="46">
        <v>0</v>
      </c>
      <c r="M3367" s="46">
        <v>0</v>
      </c>
      <c r="N3367" s="46">
        <v>0</v>
      </c>
      <c r="O3367" s="124">
        <v>0</v>
      </c>
      <c r="P3367" s="102">
        <f>(450000+62000*9.5)/1000000</f>
        <v>1.0389999999999999</v>
      </c>
      <c r="Q3367" s="45" t="s">
        <v>154</v>
      </c>
    </row>
    <row r="3368" spans="1:17" ht="36" x14ac:dyDescent="0.25">
      <c r="A3368" s="21">
        <v>39848</v>
      </c>
      <c r="B3368" s="21">
        <v>39848</v>
      </c>
      <c r="C3368" s="45">
        <v>2009</v>
      </c>
      <c r="D3368" s="24" t="s">
        <v>141</v>
      </c>
      <c r="E3368" s="30" t="s">
        <v>142</v>
      </c>
      <c r="F3368" s="7" t="s">
        <v>82</v>
      </c>
      <c r="G3368" s="126" t="s">
        <v>5002</v>
      </c>
      <c r="H3368" s="25" t="s">
        <v>5003</v>
      </c>
      <c r="I3368" s="43">
        <v>0</v>
      </c>
      <c r="J3368" s="46">
        <v>0</v>
      </c>
      <c r="K3368" s="46">
        <v>0</v>
      </c>
      <c r="L3368" s="46">
        <v>0</v>
      </c>
      <c r="M3368" s="46">
        <v>0</v>
      </c>
      <c r="N3368" s="46">
        <v>0</v>
      </c>
      <c r="O3368" s="124">
        <v>0</v>
      </c>
      <c r="P3368" s="102">
        <f>(450000+40000*45)/1000000</f>
        <v>2.25</v>
      </c>
      <c r="Q3368" s="45" t="s">
        <v>154</v>
      </c>
    </row>
    <row r="3369" spans="1:17" ht="84" x14ac:dyDescent="0.25">
      <c r="A3369" s="21">
        <v>39848</v>
      </c>
      <c r="B3369" s="21">
        <v>39848</v>
      </c>
      <c r="C3369" s="45">
        <v>2009</v>
      </c>
      <c r="D3369" s="24" t="s">
        <v>141</v>
      </c>
      <c r="E3369" s="30" t="s">
        <v>142</v>
      </c>
      <c r="F3369" s="7" t="s">
        <v>68</v>
      </c>
      <c r="G3369" s="126" t="s">
        <v>752</v>
      </c>
      <c r="H3369" s="29" t="s">
        <v>5004</v>
      </c>
      <c r="I3369" s="43">
        <v>0</v>
      </c>
      <c r="J3369" s="46">
        <v>20</v>
      </c>
      <c r="K3369" s="46">
        <v>0</v>
      </c>
      <c r="L3369" s="46">
        <v>0</v>
      </c>
      <c r="M3369" s="46">
        <v>0</v>
      </c>
      <c r="N3369" s="46">
        <v>0</v>
      </c>
      <c r="O3369" s="124">
        <v>0</v>
      </c>
      <c r="P3369" s="102">
        <f>(450000*2)/1000000</f>
        <v>0.9</v>
      </c>
      <c r="Q3369" s="45" t="s">
        <v>154</v>
      </c>
    </row>
    <row r="3370" spans="1:17" ht="84" x14ac:dyDescent="0.25">
      <c r="A3370" s="21">
        <v>39850</v>
      </c>
      <c r="B3370" s="21">
        <v>39850</v>
      </c>
      <c r="C3370" s="45">
        <v>2009</v>
      </c>
      <c r="D3370" s="24" t="s">
        <v>141</v>
      </c>
      <c r="E3370" s="30" t="s">
        <v>142</v>
      </c>
      <c r="F3370" s="7" t="s">
        <v>53</v>
      </c>
      <c r="G3370" s="126" t="s">
        <v>1840</v>
      </c>
      <c r="H3370" s="29" t="s">
        <v>5005</v>
      </c>
      <c r="I3370" s="43">
        <v>0</v>
      </c>
      <c r="J3370" s="46">
        <v>12</v>
      </c>
      <c r="K3370" s="46">
        <v>0</v>
      </c>
      <c r="L3370" s="46">
        <v>0</v>
      </c>
      <c r="M3370" s="46">
        <v>0</v>
      </c>
      <c r="N3370" s="46">
        <v>0</v>
      </c>
      <c r="O3370" s="124">
        <v>0</v>
      </c>
      <c r="P3370" s="102">
        <v>0</v>
      </c>
      <c r="Q3370" s="45" t="s">
        <v>154</v>
      </c>
    </row>
    <row r="3371" spans="1:17" ht="36" x14ac:dyDescent="0.25">
      <c r="A3371" s="21">
        <v>39850</v>
      </c>
      <c r="B3371" s="21">
        <v>39850</v>
      </c>
      <c r="C3371" s="45">
        <v>2009</v>
      </c>
      <c r="D3371" s="24" t="s">
        <v>141</v>
      </c>
      <c r="E3371" s="41" t="s">
        <v>1965</v>
      </c>
      <c r="F3371" s="7" t="s">
        <v>101</v>
      </c>
      <c r="G3371" s="126" t="s">
        <v>752</v>
      </c>
      <c r="H3371" s="25" t="s">
        <v>5006</v>
      </c>
      <c r="I3371" s="43">
        <v>5</v>
      </c>
      <c r="J3371" s="46">
        <v>16</v>
      </c>
      <c r="K3371" s="46">
        <v>0</v>
      </c>
      <c r="L3371" s="46">
        <v>0</v>
      </c>
      <c r="M3371" s="46">
        <v>0</v>
      </c>
      <c r="N3371" s="46">
        <v>0</v>
      </c>
      <c r="O3371" s="124">
        <v>0</v>
      </c>
      <c r="P3371" s="102">
        <v>0</v>
      </c>
      <c r="Q3371" s="45" t="s">
        <v>154</v>
      </c>
    </row>
    <row r="3372" spans="1:17" ht="36" x14ac:dyDescent="0.25">
      <c r="A3372" s="21">
        <v>39851</v>
      </c>
      <c r="B3372" s="21">
        <v>39851</v>
      </c>
      <c r="C3372" s="45">
        <v>2009</v>
      </c>
      <c r="D3372" s="24" t="s">
        <v>141</v>
      </c>
      <c r="E3372" s="30" t="s">
        <v>4995</v>
      </c>
      <c r="F3372" s="25" t="s">
        <v>781</v>
      </c>
      <c r="G3372" s="126" t="s">
        <v>5007</v>
      </c>
      <c r="H3372" s="25" t="s">
        <v>5008</v>
      </c>
      <c r="I3372" s="43">
        <v>0</v>
      </c>
      <c r="J3372" s="46">
        <v>3</v>
      </c>
      <c r="K3372" s="46">
        <v>0</v>
      </c>
      <c r="L3372" s="46">
        <v>0</v>
      </c>
      <c r="M3372" s="46">
        <v>0</v>
      </c>
      <c r="N3372" s="46">
        <v>0</v>
      </c>
      <c r="O3372" s="124">
        <v>0</v>
      </c>
      <c r="P3372" s="102">
        <f>1000000/1000000</f>
        <v>1</v>
      </c>
      <c r="Q3372" s="45" t="s">
        <v>154</v>
      </c>
    </row>
    <row r="3373" spans="1:17" ht="48" x14ac:dyDescent="0.25">
      <c r="A3373" s="21">
        <v>39855</v>
      </c>
      <c r="B3373" s="21">
        <v>39855</v>
      </c>
      <c r="C3373" s="45">
        <v>2009</v>
      </c>
      <c r="D3373" s="24" t="s">
        <v>141</v>
      </c>
      <c r="E3373" s="30" t="s">
        <v>142</v>
      </c>
      <c r="F3373" s="7" t="s">
        <v>56</v>
      </c>
      <c r="G3373" s="126" t="s">
        <v>1160</v>
      </c>
      <c r="H3373" s="25" t="s">
        <v>5009</v>
      </c>
      <c r="I3373" s="43">
        <v>0</v>
      </c>
      <c r="J3373" s="46">
        <v>1</v>
      </c>
      <c r="K3373" s="46">
        <v>0</v>
      </c>
      <c r="L3373" s="46">
        <v>0</v>
      </c>
      <c r="M3373" s="46">
        <v>0</v>
      </c>
      <c r="N3373" s="46">
        <v>0</v>
      </c>
      <c r="O3373" s="124">
        <v>0</v>
      </c>
      <c r="P3373" s="102">
        <f>(450000+15000*1.95)/1000000</f>
        <v>0.47925000000000001</v>
      </c>
      <c r="Q3373" s="45" t="s">
        <v>154</v>
      </c>
    </row>
    <row r="3374" spans="1:17" ht="156" x14ac:dyDescent="0.25">
      <c r="A3374" s="21">
        <v>39856</v>
      </c>
      <c r="B3374" s="21">
        <v>39856</v>
      </c>
      <c r="C3374" s="45">
        <v>2009</v>
      </c>
      <c r="D3374" s="24" t="s">
        <v>141</v>
      </c>
      <c r="E3374" s="30" t="s">
        <v>142</v>
      </c>
      <c r="F3374" s="7" t="s">
        <v>56</v>
      </c>
      <c r="G3374" s="126" t="s">
        <v>1160</v>
      </c>
      <c r="H3374" s="29" t="s">
        <v>5010</v>
      </c>
      <c r="I3374" s="43">
        <v>0</v>
      </c>
      <c r="J3374" s="46">
        <v>1</v>
      </c>
      <c r="K3374" s="46">
        <v>0</v>
      </c>
      <c r="L3374" s="46">
        <v>0</v>
      </c>
      <c r="M3374" s="46">
        <v>0</v>
      </c>
      <c r="N3374" s="46">
        <v>0</v>
      </c>
      <c r="O3374" s="124">
        <v>0</v>
      </c>
      <c r="P3374" s="102">
        <f>(450000+15000*1.95)/1000000</f>
        <v>0.47925000000000001</v>
      </c>
      <c r="Q3374" s="45" t="s">
        <v>154</v>
      </c>
    </row>
    <row r="3375" spans="1:17" ht="168" x14ac:dyDescent="0.25">
      <c r="A3375" s="21">
        <v>39859</v>
      </c>
      <c r="B3375" s="21">
        <v>39859</v>
      </c>
      <c r="C3375" s="45">
        <v>2009</v>
      </c>
      <c r="D3375" s="24" t="s">
        <v>141</v>
      </c>
      <c r="E3375" s="30" t="s">
        <v>142</v>
      </c>
      <c r="F3375" s="7" t="s">
        <v>30</v>
      </c>
      <c r="G3375" s="25" t="s">
        <v>901</v>
      </c>
      <c r="H3375" s="29" t="s">
        <v>5011</v>
      </c>
      <c r="I3375" s="46">
        <v>10</v>
      </c>
      <c r="J3375" s="46">
        <v>28</v>
      </c>
      <c r="K3375" s="46">
        <v>0</v>
      </c>
      <c r="L3375" s="46">
        <v>0</v>
      </c>
      <c r="M3375" s="46">
        <v>0</v>
      </c>
      <c r="N3375" s="46">
        <v>0</v>
      </c>
      <c r="O3375" s="124">
        <v>0</v>
      </c>
      <c r="P3375" s="102">
        <f>(850000+500000)/1000000</f>
        <v>1.35</v>
      </c>
      <c r="Q3375" s="45" t="s">
        <v>154</v>
      </c>
    </row>
    <row r="3376" spans="1:17" ht="168" x14ac:dyDescent="0.25">
      <c r="A3376" s="21">
        <v>39862</v>
      </c>
      <c r="B3376" s="21">
        <v>39862</v>
      </c>
      <c r="C3376" s="45">
        <v>2009</v>
      </c>
      <c r="D3376" s="24" t="s">
        <v>141</v>
      </c>
      <c r="E3376" s="42" t="s">
        <v>447</v>
      </c>
      <c r="F3376" s="28" t="s">
        <v>157</v>
      </c>
      <c r="G3376" s="25" t="s">
        <v>526</v>
      </c>
      <c r="H3376" s="29" t="s">
        <v>5012</v>
      </c>
      <c r="I3376" s="46">
        <v>0</v>
      </c>
      <c r="J3376" s="46">
        <v>2578</v>
      </c>
      <c r="K3376" s="46">
        <v>0</v>
      </c>
      <c r="L3376" s="46">
        <v>0</v>
      </c>
      <c r="M3376" s="46">
        <v>0</v>
      </c>
      <c r="N3376" s="46">
        <v>0</v>
      </c>
      <c r="O3376" s="124">
        <v>0</v>
      </c>
      <c r="P3376" s="102">
        <v>0</v>
      </c>
      <c r="Q3376" s="45" t="s">
        <v>154</v>
      </c>
    </row>
    <row r="3377" spans="1:17" ht="144" x14ac:dyDescent="0.25">
      <c r="A3377" s="21">
        <v>39863</v>
      </c>
      <c r="B3377" s="21">
        <v>39863</v>
      </c>
      <c r="C3377" s="45">
        <v>2009</v>
      </c>
      <c r="D3377" s="24" t="s">
        <v>141</v>
      </c>
      <c r="E3377" s="30" t="s">
        <v>142</v>
      </c>
      <c r="F3377" s="7" t="s">
        <v>62</v>
      </c>
      <c r="G3377" s="25" t="s">
        <v>3407</v>
      </c>
      <c r="H3377" s="29" t="s">
        <v>5013</v>
      </c>
      <c r="I3377" s="46">
        <v>0</v>
      </c>
      <c r="J3377" s="46">
        <v>0</v>
      </c>
      <c r="K3377" s="46">
        <v>0</v>
      </c>
      <c r="L3377" s="46">
        <v>0</v>
      </c>
      <c r="M3377" s="46">
        <v>0</v>
      </c>
      <c r="N3377" s="46">
        <v>0</v>
      </c>
      <c r="O3377" s="124">
        <v>0</v>
      </c>
      <c r="P3377" s="102">
        <f>(450000+32000*6.63)/1000000</f>
        <v>0.66215999999999997</v>
      </c>
      <c r="Q3377" s="45" t="s">
        <v>154</v>
      </c>
    </row>
    <row r="3378" spans="1:17" ht="84" x14ac:dyDescent="0.25">
      <c r="A3378" s="21">
        <v>39863</v>
      </c>
      <c r="B3378" s="21">
        <v>39863</v>
      </c>
      <c r="C3378" s="45">
        <v>2009</v>
      </c>
      <c r="D3378" s="24" t="s">
        <v>141</v>
      </c>
      <c r="E3378" s="30" t="s">
        <v>4995</v>
      </c>
      <c r="F3378" s="7" t="s">
        <v>49</v>
      </c>
      <c r="G3378" s="25" t="s">
        <v>5014</v>
      </c>
      <c r="H3378" s="29" t="s">
        <v>5015</v>
      </c>
      <c r="I3378" s="46">
        <v>4</v>
      </c>
      <c r="J3378" s="46">
        <v>4</v>
      </c>
      <c r="K3378" s="46">
        <v>0</v>
      </c>
      <c r="L3378" s="46">
        <v>0</v>
      </c>
      <c r="M3378" s="46">
        <v>0</v>
      </c>
      <c r="N3378" s="46">
        <v>0</v>
      </c>
      <c r="O3378" s="124">
        <v>0</v>
      </c>
      <c r="P3378" s="102">
        <f>1000000/1000000</f>
        <v>1</v>
      </c>
      <c r="Q3378" s="46" t="s">
        <v>154</v>
      </c>
    </row>
    <row r="3379" spans="1:17" ht="36" x14ac:dyDescent="0.25">
      <c r="A3379" s="21">
        <v>39864</v>
      </c>
      <c r="B3379" s="21">
        <v>39864</v>
      </c>
      <c r="C3379" s="45">
        <v>2009</v>
      </c>
      <c r="D3379" s="24" t="s">
        <v>141</v>
      </c>
      <c r="E3379" s="30" t="s">
        <v>142</v>
      </c>
      <c r="F3379" s="7" t="s">
        <v>87</v>
      </c>
      <c r="G3379" s="25" t="s">
        <v>3420</v>
      </c>
      <c r="H3379" s="25" t="s">
        <v>5016</v>
      </c>
      <c r="I3379" s="46">
        <v>0</v>
      </c>
      <c r="J3379" s="46">
        <v>21</v>
      </c>
      <c r="K3379" s="46">
        <v>0</v>
      </c>
      <c r="L3379" s="46">
        <v>0</v>
      </c>
      <c r="M3379" s="46">
        <v>0</v>
      </c>
      <c r="N3379" s="46">
        <v>0</v>
      </c>
      <c r="O3379" s="124">
        <v>0</v>
      </c>
      <c r="P3379" s="102">
        <f>850000/1000000</f>
        <v>0.85</v>
      </c>
      <c r="Q3379" s="46" t="s">
        <v>154</v>
      </c>
    </row>
    <row r="3380" spans="1:17" ht="120" x14ac:dyDescent="0.25">
      <c r="A3380" s="21">
        <v>39868</v>
      </c>
      <c r="B3380" s="21">
        <v>39868</v>
      </c>
      <c r="C3380" s="45">
        <v>2009</v>
      </c>
      <c r="D3380" s="24" t="s">
        <v>141</v>
      </c>
      <c r="E3380" s="30" t="s">
        <v>142</v>
      </c>
      <c r="F3380" s="28" t="s">
        <v>157</v>
      </c>
      <c r="G3380" s="25" t="s">
        <v>158</v>
      </c>
      <c r="H3380" s="29" t="s">
        <v>5017</v>
      </c>
      <c r="I3380" s="46">
        <v>0</v>
      </c>
      <c r="J3380" s="46">
        <v>0</v>
      </c>
      <c r="K3380" s="46">
        <v>0</v>
      </c>
      <c r="L3380" s="46">
        <v>0</v>
      </c>
      <c r="M3380" s="46">
        <v>0</v>
      </c>
      <c r="N3380" s="46">
        <v>0</v>
      </c>
      <c r="O3380" s="124">
        <v>0</v>
      </c>
      <c r="P3380" s="102">
        <f>(450000+30000*5.2)/1000000</f>
        <v>0.60599999999999998</v>
      </c>
      <c r="Q3380" s="45" t="s">
        <v>154</v>
      </c>
    </row>
    <row r="3381" spans="1:17" ht="108" x14ac:dyDescent="0.25">
      <c r="A3381" s="23">
        <v>39869</v>
      </c>
      <c r="B3381" s="23">
        <v>39869</v>
      </c>
      <c r="C3381" s="27">
        <v>2009</v>
      </c>
      <c r="D3381" s="24" t="s">
        <v>141</v>
      </c>
      <c r="E3381" s="30" t="s">
        <v>149</v>
      </c>
      <c r="F3381" s="7" t="s">
        <v>30</v>
      </c>
      <c r="G3381" s="25" t="s">
        <v>1078</v>
      </c>
      <c r="H3381" s="25" t="s">
        <v>5018</v>
      </c>
      <c r="I3381" s="20">
        <v>6</v>
      </c>
      <c r="J3381" s="20">
        <v>32</v>
      </c>
      <c r="K3381" s="20">
        <v>0</v>
      </c>
      <c r="L3381" s="20">
        <v>0</v>
      </c>
      <c r="M3381" s="20">
        <v>0</v>
      </c>
      <c r="N3381" s="20">
        <v>0</v>
      </c>
      <c r="O3381" s="75">
        <v>0</v>
      </c>
      <c r="P3381" s="76">
        <v>0</v>
      </c>
      <c r="Q3381" s="27" t="s">
        <v>154</v>
      </c>
    </row>
    <row r="3382" spans="1:17" ht="84" x14ac:dyDescent="0.25">
      <c r="A3382" s="21">
        <v>39872</v>
      </c>
      <c r="B3382" s="21">
        <v>39872</v>
      </c>
      <c r="C3382" s="45">
        <v>2009</v>
      </c>
      <c r="D3382" s="24" t="s">
        <v>141</v>
      </c>
      <c r="E3382" s="30" t="s">
        <v>4995</v>
      </c>
      <c r="F3382" s="7" t="s">
        <v>25</v>
      </c>
      <c r="G3382" s="25" t="s">
        <v>5019</v>
      </c>
      <c r="H3382" s="29" t="s">
        <v>5020</v>
      </c>
      <c r="I3382" s="46">
        <v>0</v>
      </c>
      <c r="J3382" s="46">
        <v>10</v>
      </c>
      <c r="K3382" s="46">
        <v>0</v>
      </c>
      <c r="L3382" s="46">
        <v>0</v>
      </c>
      <c r="M3382" s="46">
        <v>0</v>
      </c>
      <c r="N3382" s="46">
        <v>0</v>
      </c>
      <c r="O3382" s="124">
        <v>0</v>
      </c>
      <c r="P3382" s="102">
        <f>1000000/1000000</f>
        <v>1</v>
      </c>
      <c r="Q3382" s="45" t="s">
        <v>154</v>
      </c>
    </row>
    <row r="3383" spans="1:17" ht="204" x14ac:dyDescent="0.25">
      <c r="A3383" s="21">
        <v>39872</v>
      </c>
      <c r="B3383" s="21">
        <v>39872</v>
      </c>
      <c r="C3383" s="45">
        <v>2009</v>
      </c>
      <c r="D3383" s="24" t="s">
        <v>141</v>
      </c>
      <c r="E3383" s="30" t="s">
        <v>142</v>
      </c>
      <c r="F3383" s="7" t="s">
        <v>30</v>
      </c>
      <c r="G3383" s="25" t="s">
        <v>901</v>
      </c>
      <c r="H3383" s="29" t="s">
        <v>5021</v>
      </c>
      <c r="I3383" s="46">
        <v>0</v>
      </c>
      <c r="J3383" s="46">
        <v>1</v>
      </c>
      <c r="K3383" s="46">
        <v>0</v>
      </c>
      <c r="L3383" s="46">
        <v>0</v>
      </c>
      <c r="M3383" s="46">
        <v>0</v>
      </c>
      <c r="N3383" s="46">
        <v>0</v>
      </c>
      <c r="O3383" s="124">
        <v>0</v>
      </c>
      <c r="P3383" s="102">
        <f>(450000+62000*9.85)/1000000</f>
        <v>1.0607</v>
      </c>
      <c r="Q3383" s="45" t="s">
        <v>154</v>
      </c>
    </row>
    <row r="3384" spans="1:17" ht="144" x14ac:dyDescent="0.25">
      <c r="A3384" s="21">
        <v>39872</v>
      </c>
      <c r="B3384" s="21">
        <v>39872</v>
      </c>
      <c r="C3384" s="45">
        <v>2009</v>
      </c>
      <c r="D3384" s="24" t="s">
        <v>141</v>
      </c>
      <c r="E3384" s="30" t="s">
        <v>142</v>
      </c>
      <c r="F3384" s="7" t="s">
        <v>60</v>
      </c>
      <c r="G3384" s="25" t="s">
        <v>2797</v>
      </c>
      <c r="H3384" s="29" t="s">
        <v>5022</v>
      </c>
      <c r="I3384" s="46">
        <v>0</v>
      </c>
      <c r="J3384" s="46">
        <v>1</v>
      </c>
      <c r="K3384" s="46">
        <v>0</v>
      </c>
      <c r="L3384" s="46">
        <v>0</v>
      </c>
      <c r="M3384" s="46">
        <v>0</v>
      </c>
      <c r="N3384" s="46">
        <v>0</v>
      </c>
      <c r="O3384" s="124">
        <v>0</v>
      </c>
      <c r="P3384" s="102">
        <f>450000/1000000</f>
        <v>0.45</v>
      </c>
      <c r="Q3384" s="45" t="s">
        <v>154</v>
      </c>
    </row>
    <row r="3385" spans="1:17" ht="168" x14ac:dyDescent="0.25">
      <c r="A3385" s="21">
        <v>39874</v>
      </c>
      <c r="B3385" s="21">
        <v>39874</v>
      </c>
      <c r="C3385" s="45">
        <v>2009</v>
      </c>
      <c r="D3385" s="24" t="s">
        <v>141</v>
      </c>
      <c r="E3385" s="41" t="s">
        <v>1965</v>
      </c>
      <c r="F3385" s="7" t="s">
        <v>53</v>
      </c>
      <c r="G3385" s="25" t="s">
        <v>5023</v>
      </c>
      <c r="H3385" s="29" t="s">
        <v>5024</v>
      </c>
      <c r="I3385" s="46">
        <v>6</v>
      </c>
      <c r="J3385" s="46">
        <v>6</v>
      </c>
      <c r="K3385" s="46">
        <v>0</v>
      </c>
      <c r="L3385" s="46">
        <v>0</v>
      </c>
      <c r="M3385" s="46">
        <v>0</v>
      </c>
      <c r="N3385" s="46">
        <v>0</v>
      </c>
      <c r="O3385" s="124">
        <v>0</v>
      </c>
      <c r="P3385" s="102">
        <v>0</v>
      </c>
      <c r="Q3385" s="45" t="s">
        <v>154</v>
      </c>
    </row>
    <row r="3386" spans="1:17" ht="48" x14ac:dyDescent="0.25">
      <c r="A3386" s="21">
        <v>39876</v>
      </c>
      <c r="B3386" s="21">
        <v>39876</v>
      </c>
      <c r="C3386" s="45">
        <v>2009</v>
      </c>
      <c r="D3386" s="24" t="s">
        <v>141</v>
      </c>
      <c r="E3386" s="30" t="s">
        <v>142</v>
      </c>
      <c r="F3386" s="28" t="s">
        <v>210</v>
      </c>
      <c r="G3386" s="25" t="s">
        <v>5025</v>
      </c>
      <c r="H3386" s="25" t="s">
        <v>5026</v>
      </c>
      <c r="I3386" s="46">
        <v>0</v>
      </c>
      <c r="J3386" s="46">
        <v>0</v>
      </c>
      <c r="K3386" s="46">
        <v>0</v>
      </c>
      <c r="L3386" s="46">
        <v>0</v>
      </c>
      <c r="M3386" s="46">
        <v>0</v>
      </c>
      <c r="N3386" s="46">
        <v>0</v>
      </c>
      <c r="O3386" s="124">
        <v>0</v>
      </c>
      <c r="P3386" s="102">
        <f>(450000+3000*8.5)/1000000</f>
        <v>0.47549999999999998</v>
      </c>
      <c r="Q3386" s="45" t="s">
        <v>154</v>
      </c>
    </row>
    <row r="3387" spans="1:17" ht="72" x14ac:dyDescent="0.25">
      <c r="A3387" s="21">
        <v>39877</v>
      </c>
      <c r="B3387" s="21">
        <v>39877</v>
      </c>
      <c r="C3387" s="45">
        <v>2009</v>
      </c>
      <c r="D3387" s="24" t="s">
        <v>141</v>
      </c>
      <c r="E3387" s="30" t="s">
        <v>142</v>
      </c>
      <c r="F3387" s="7" t="s">
        <v>36</v>
      </c>
      <c r="G3387" s="25" t="s">
        <v>2924</v>
      </c>
      <c r="H3387" s="25" t="s">
        <v>5027</v>
      </c>
      <c r="I3387" s="46">
        <v>5</v>
      </c>
      <c r="J3387" s="46">
        <v>30</v>
      </c>
      <c r="K3387" s="46">
        <v>0</v>
      </c>
      <c r="L3387" s="46">
        <v>0</v>
      </c>
      <c r="M3387" s="46">
        <v>0</v>
      </c>
      <c r="N3387" s="46">
        <v>0</v>
      </c>
      <c r="O3387" s="124">
        <v>0</v>
      </c>
      <c r="P3387" s="102">
        <f>600000/1000000</f>
        <v>0.6</v>
      </c>
      <c r="Q3387" s="45" t="s">
        <v>154</v>
      </c>
    </row>
    <row r="3388" spans="1:17" ht="48" x14ac:dyDescent="0.25">
      <c r="A3388" s="21">
        <v>39877</v>
      </c>
      <c r="B3388" s="21">
        <v>39877</v>
      </c>
      <c r="C3388" s="45">
        <v>2009</v>
      </c>
      <c r="D3388" s="24" t="s">
        <v>141</v>
      </c>
      <c r="E3388" s="41" t="s">
        <v>1965</v>
      </c>
      <c r="F3388" s="7" t="s">
        <v>82</v>
      </c>
      <c r="G3388" s="25" t="s">
        <v>5002</v>
      </c>
      <c r="H3388" s="25" t="s">
        <v>5028</v>
      </c>
      <c r="I3388" s="46">
        <v>5</v>
      </c>
      <c r="J3388" s="46">
        <v>5</v>
      </c>
      <c r="K3388" s="46">
        <v>0</v>
      </c>
      <c r="L3388" s="46">
        <v>0</v>
      </c>
      <c r="M3388" s="46">
        <v>0</v>
      </c>
      <c r="N3388" s="46">
        <v>0</v>
      </c>
      <c r="O3388" s="124">
        <v>0</v>
      </c>
      <c r="P3388" s="102">
        <v>0</v>
      </c>
      <c r="Q3388" s="45" t="s">
        <v>154</v>
      </c>
    </row>
    <row r="3389" spans="1:17" ht="84" x14ac:dyDescent="0.25">
      <c r="A3389" s="21">
        <v>39879</v>
      </c>
      <c r="B3389" s="21">
        <v>39879</v>
      </c>
      <c r="C3389" s="45">
        <v>2009</v>
      </c>
      <c r="D3389" s="24" t="s">
        <v>141</v>
      </c>
      <c r="E3389" s="30" t="s">
        <v>142</v>
      </c>
      <c r="F3389" s="7" t="s">
        <v>45</v>
      </c>
      <c r="G3389" s="25" t="s">
        <v>3292</v>
      </c>
      <c r="H3389" s="29" t="s">
        <v>5029</v>
      </c>
      <c r="I3389" s="46">
        <v>0</v>
      </c>
      <c r="J3389" s="46">
        <v>0</v>
      </c>
      <c r="K3389" s="46">
        <v>0</v>
      </c>
      <c r="L3389" s="46">
        <v>0</v>
      </c>
      <c r="M3389" s="46">
        <v>0</v>
      </c>
      <c r="N3389" s="46">
        <v>0</v>
      </c>
      <c r="O3389" s="46">
        <v>0</v>
      </c>
      <c r="P3389" s="102">
        <f>(450000+2500*6.63)/1000000</f>
        <v>0.46657500000000002</v>
      </c>
      <c r="Q3389" s="45" t="s">
        <v>154</v>
      </c>
    </row>
    <row r="3390" spans="1:17" ht="108" x14ac:dyDescent="0.25">
      <c r="A3390" s="21">
        <v>39883</v>
      </c>
      <c r="B3390" s="21">
        <v>39883</v>
      </c>
      <c r="C3390" s="45">
        <v>2009</v>
      </c>
      <c r="D3390" s="24" t="s">
        <v>141</v>
      </c>
      <c r="E3390" s="30" t="s">
        <v>142</v>
      </c>
      <c r="F3390" s="7" t="s">
        <v>60</v>
      </c>
      <c r="G3390" s="25" t="s">
        <v>5030</v>
      </c>
      <c r="H3390" s="25" t="s">
        <v>5031</v>
      </c>
      <c r="I3390" s="46">
        <v>0</v>
      </c>
      <c r="J3390" s="46">
        <v>11</v>
      </c>
      <c r="K3390" s="46">
        <v>0</v>
      </c>
      <c r="L3390" s="46">
        <v>0</v>
      </c>
      <c r="M3390" s="46">
        <v>0</v>
      </c>
      <c r="N3390" s="46">
        <v>0</v>
      </c>
      <c r="O3390" s="46">
        <v>0</v>
      </c>
      <c r="P3390" s="102">
        <f>600000/1000000</f>
        <v>0.6</v>
      </c>
      <c r="Q3390" s="45" t="s">
        <v>154</v>
      </c>
    </row>
    <row r="3391" spans="1:17" ht="120" x14ac:dyDescent="0.25">
      <c r="A3391" s="21">
        <v>39885</v>
      </c>
      <c r="B3391" s="21">
        <v>39885</v>
      </c>
      <c r="C3391" s="45">
        <v>2009</v>
      </c>
      <c r="D3391" s="24" t="s">
        <v>141</v>
      </c>
      <c r="E3391" s="30" t="s">
        <v>4995</v>
      </c>
      <c r="F3391" s="7" t="s">
        <v>40</v>
      </c>
      <c r="G3391" s="25" t="s">
        <v>4132</v>
      </c>
      <c r="H3391" s="29" t="s">
        <v>5032</v>
      </c>
      <c r="I3391" s="46">
        <v>0</v>
      </c>
      <c r="J3391" s="46">
        <v>5</v>
      </c>
      <c r="K3391" s="46">
        <v>0</v>
      </c>
      <c r="L3391" s="46">
        <v>0</v>
      </c>
      <c r="M3391" s="46">
        <v>0</v>
      </c>
      <c r="N3391" s="46">
        <v>0</v>
      </c>
      <c r="O3391" s="46">
        <v>0</v>
      </c>
      <c r="P3391" s="102">
        <f>1000000/1000000</f>
        <v>1</v>
      </c>
      <c r="Q3391" s="45" t="s">
        <v>154</v>
      </c>
    </row>
    <row r="3392" spans="1:17" ht="228" x14ac:dyDescent="0.25">
      <c r="A3392" s="21">
        <v>39888</v>
      </c>
      <c r="B3392" s="21">
        <v>39888</v>
      </c>
      <c r="C3392" s="45">
        <v>2009</v>
      </c>
      <c r="D3392" s="24" t="s">
        <v>141</v>
      </c>
      <c r="E3392" s="30" t="s">
        <v>142</v>
      </c>
      <c r="F3392" s="7" t="s">
        <v>45</v>
      </c>
      <c r="G3392" s="25" t="s">
        <v>259</v>
      </c>
      <c r="H3392" s="29" t="s">
        <v>5033</v>
      </c>
      <c r="I3392" s="46">
        <v>11</v>
      </c>
      <c r="J3392" s="46">
        <v>26</v>
      </c>
      <c r="K3392" s="46">
        <v>0</v>
      </c>
      <c r="L3392" s="46">
        <v>0</v>
      </c>
      <c r="M3392" s="46">
        <v>0</v>
      </c>
      <c r="N3392" s="46">
        <v>0</v>
      </c>
      <c r="O3392" s="124">
        <v>0</v>
      </c>
      <c r="P3392" s="102">
        <f>(850000+350000)/1000000</f>
        <v>1.2</v>
      </c>
      <c r="Q3392" s="45" t="s">
        <v>154</v>
      </c>
    </row>
    <row r="3393" spans="1:17" ht="180" x14ac:dyDescent="0.25">
      <c r="A3393" s="21">
        <v>39889</v>
      </c>
      <c r="B3393" s="21">
        <v>39889</v>
      </c>
      <c r="C3393" s="45">
        <v>2009</v>
      </c>
      <c r="D3393" s="24" t="s">
        <v>141</v>
      </c>
      <c r="E3393" s="30" t="s">
        <v>142</v>
      </c>
      <c r="F3393" s="28" t="s">
        <v>160</v>
      </c>
      <c r="G3393" s="25" t="s">
        <v>5034</v>
      </c>
      <c r="H3393" s="29" t="s">
        <v>5035</v>
      </c>
      <c r="I3393" s="46">
        <v>7</v>
      </c>
      <c r="J3393" s="46">
        <v>7</v>
      </c>
      <c r="K3393" s="46">
        <v>1</v>
      </c>
      <c r="L3393" s="46">
        <v>0</v>
      </c>
      <c r="M3393" s="46">
        <v>0</v>
      </c>
      <c r="N3393" s="46">
        <v>0</v>
      </c>
      <c r="O3393" s="124">
        <v>0</v>
      </c>
      <c r="P3393" s="102">
        <f>500000/1000000</f>
        <v>0.5</v>
      </c>
      <c r="Q3393" s="45" t="s">
        <v>154</v>
      </c>
    </row>
    <row r="3394" spans="1:17" ht="96" x14ac:dyDescent="0.25">
      <c r="A3394" s="21">
        <v>39890</v>
      </c>
      <c r="B3394" s="21">
        <v>39890</v>
      </c>
      <c r="C3394" s="45">
        <v>2009</v>
      </c>
      <c r="D3394" s="24" t="s">
        <v>141</v>
      </c>
      <c r="E3394" s="30" t="s">
        <v>142</v>
      </c>
      <c r="F3394" s="7" t="s">
        <v>60</v>
      </c>
      <c r="G3394" s="25" t="s">
        <v>5036</v>
      </c>
      <c r="H3394" s="29" t="s">
        <v>5037</v>
      </c>
      <c r="I3394" s="46">
        <v>1</v>
      </c>
      <c r="J3394" s="46">
        <v>2</v>
      </c>
      <c r="K3394" s="46">
        <v>0</v>
      </c>
      <c r="L3394" s="46">
        <v>0</v>
      </c>
      <c r="M3394" s="46">
        <v>0</v>
      </c>
      <c r="N3394" s="46">
        <v>0</v>
      </c>
      <c r="O3394" s="124">
        <v>0</v>
      </c>
      <c r="P3394" s="102">
        <f>(450000+32000*5.78)/1000000</f>
        <v>0.63495999999999997</v>
      </c>
      <c r="Q3394" s="45" t="s">
        <v>154</v>
      </c>
    </row>
    <row r="3395" spans="1:17" ht="120" x14ac:dyDescent="0.25">
      <c r="A3395" s="21">
        <v>39891</v>
      </c>
      <c r="B3395" s="21">
        <v>39891</v>
      </c>
      <c r="C3395" s="45">
        <v>2009</v>
      </c>
      <c r="D3395" s="24" t="s">
        <v>141</v>
      </c>
      <c r="E3395" s="30" t="s">
        <v>142</v>
      </c>
      <c r="F3395" s="7" t="s">
        <v>36</v>
      </c>
      <c r="G3395" s="25" t="s">
        <v>582</v>
      </c>
      <c r="H3395" s="29" t="s">
        <v>5038</v>
      </c>
      <c r="I3395" s="46">
        <v>0</v>
      </c>
      <c r="J3395" s="46">
        <v>0</v>
      </c>
      <c r="K3395" s="46">
        <v>0</v>
      </c>
      <c r="L3395" s="46">
        <v>0</v>
      </c>
      <c r="M3395" s="46">
        <v>0</v>
      </c>
      <c r="N3395" s="46">
        <v>0</v>
      </c>
      <c r="O3395" s="124">
        <v>0</v>
      </c>
      <c r="P3395" s="102">
        <f>(450000+1000*4.61)/1000000</f>
        <v>0.45461000000000001</v>
      </c>
      <c r="Q3395" s="45" t="s">
        <v>154</v>
      </c>
    </row>
    <row r="3396" spans="1:17" ht="120" x14ac:dyDescent="0.25">
      <c r="A3396" s="21">
        <v>39892</v>
      </c>
      <c r="B3396" s="21">
        <v>39892</v>
      </c>
      <c r="C3396" s="45">
        <v>2009</v>
      </c>
      <c r="D3396" s="24" t="s">
        <v>141</v>
      </c>
      <c r="E3396" s="30" t="s">
        <v>142</v>
      </c>
      <c r="F3396" s="7" t="s">
        <v>56</v>
      </c>
      <c r="G3396" s="25" t="s">
        <v>351</v>
      </c>
      <c r="H3396" s="29" t="s">
        <v>5039</v>
      </c>
      <c r="I3396" s="46">
        <v>1</v>
      </c>
      <c r="J3396" s="46">
        <v>4</v>
      </c>
      <c r="K3396" s="46">
        <v>0</v>
      </c>
      <c r="L3396" s="46">
        <v>0</v>
      </c>
      <c r="M3396" s="46">
        <v>0</v>
      </c>
      <c r="N3396" s="46">
        <v>0</v>
      </c>
      <c r="O3396" s="124">
        <v>0</v>
      </c>
      <c r="P3396" s="102">
        <f>(850000+140000)/1000000</f>
        <v>0.99</v>
      </c>
      <c r="Q3396" s="45" t="s">
        <v>154</v>
      </c>
    </row>
    <row r="3397" spans="1:17" ht="108" x14ac:dyDescent="0.25">
      <c r="A3397" s="21">
        <v>39893</v>
      </c>
      <c r="B3397" s="21">
        <v>39893</v>
      </c>
      <c r="C3397" s="45">
        <v>2009</v>
      </c>
      <c r="D3397" s="24" t="s">
        <v>141</v>
      </c>
      <c r="E3397" s="30" t="s">
        <v>4995</v>
      </c>
      <c r="F3397" s="7" t="s">
        <v>60</v>
      </c>
      <c r="G3397" s="25" t="s">
        <v>3754</v>
      </c>
      <c r="H3397" s="29" t="s">
        <v>5040</v>
      </c>
      <c r="I3397" s="46">
        <v>1</v>
      </c>
      <c r="J3397" s="46">
        <v>2</v>
      </c>
      <c r="K3397" s="46">
        <v>0</v>
      </c>
      <c r="L3397" s="46">
        <v>0</v>
      </c>
      <c r="M3397" s="46">
        <v>0</v>
      </c>
      <c r="N3397" s="46">
        <v>0</v>
      </c>
      <c r="O3397" s="46">
        <v>0</v>
      </c>
      <c r="P3397" s="102">
        <f>1000000/1000000</f>
        <v>1</v>
      </c>
      <c r="Q3397" s="45" t="s">
        <v>154</v>
      </c>
    </row>
    <row r="3398" spans="1:17" ht="48" x14ac:dyDescent="0.25">
      <c r="A3398" s="21">
        <v>39893</v>
      </c>
      <c r="B3398" s="21">
        <v>39893</v>
      </c>
      <c r="C3398" s="45">
        <v>2009</v>
      </c>
      <c r="D3398" s="24" t="s">
        <v>141</v>
      </c>
      <c r="E3398" s="41" t="s">
        <v>1965</v>
      </c>
      <c r="F3398" s="28" t="s">
        <v>160</v>
      </c>
      <c r="G3398" s="25" t="s">
        <v>5041</v>
      </c>
      <c r="H3398" s="25" t="s">
        <v>5042</v>
      </c>
      <c r="I3398" s="46">
        <v>10</v>
      </c>
      <c r="J3398" s="46">
        <v>11</v>
      </c>
      <c r="K3398" s="46">
        <v>0</v>
      </c>
      <c r="L3398" s="46">
        <v>0</v>
      </c>
      <c r="M3398" s="46">
        <v>0</v>
      </c>
      <c r="N3398" s="46">
        <v>0</v>
      </c>
      <c r="O3398" s="46">
        <v>0</v>
      </c>
      <c r="P3398" s="102">
        <v>0</v>
      </c>
      <c r="Q3398" s="45" t="s">
        <v>154</v>
      </c>
    </row>
    <row r="3399" spans="1:17" ht="120" x14ac:dyDescent="0.25">
      <c r="A3399" s="21">
        <v>39893</v>
      </c>
      <c r="B3399" s="21">
        <v>39893</v>
      </c>
      <c r="C3399" s="45">
        <v>2009</v>
      </c>
      <c r="D3399" s="24" t="s">
        <v>141</v>
      </c>
      <c r="E3399" s="30" t="s">
        <v>142</v>
      </c>
      <c r="F3399" s="7" t="s">
        <v>56</v>
      </c>
      <c r="G3399" s="25" t="s">
        <v>711</v>
      </c>
      <c r="H3399" s="29" t="s">
        <v>5043</v>
      </c>
      <c r="I3399" s="46">
        <v>0</v>
      </c>
      <c r="J3399" s="46">
        <v>18</v>
      </c>
      <c r="K3399" s="46">
        <v>0</v>
      </c>
      <c r="L3399" s="46">
        <v>0</v>
      </c>
      <c r="M3399" s="46">
        <v>0</v>
      </c>
      <c r="N3399" s="46">
        <v>0</v>
      </c>
      <c r="O3399" s="124">
        <v>0</v>
      </c>
      <c r="P3399" s="102">
        <f>(7*200000)/1000000</f>
        <v>1.4</v>
      </c>
      <c r="Q3399" s="45" t="s">
        <v>154</v>
      </c>
    </row>
    <row r="3400" spans="1:17" ht="36" x14ac:dyDescent="0.25">
      <c r="A3400" s="21">
        <v>39893</v>
      </c>
      <c r="B3400" s="21">
        <v>39893</v>
      </c>
      <c r="C3400" s="45">
        <v>2009</v>
      </c>
      <c r="D3400" s="24" t="s">
        <v>141</v>
      </c>
      <c r="E3400" s="30" t="s">
        <v>142</v>
      </c>
      <c r="F3400" s="28" t="s">
        <v>210</v>
      </c>
      <c r="G3400" s="25" t="s">
        <v>5044</v>
      </c>
      <c r="H3400" s="25" t="s">
        <v>5045</v>
      </c>
      <c r="I3400" s="46">
        <v>5</v>
      </c>
      <c r="J3400" s="46">
        <v>6</v>
      </c>
      <c r="K3400" s="46">
        <v>0</v>
      </c>
      <c r="L3400" s="46">
        <v>0</v>
      </c>
      <c r="M3400" s="46">
        <v>0</v>
      </c>
      <c r="N3400" s="46">
        <v>0</v>
      </c>
      <c r="O3400" s="124">
        <v>0</v>
      </c>
      <c r="P3400" s="102">
        <v>0</v>
      </c>
      <c r="Q3400" s="45" t="s">
        <v>154</v>
      </c>
    </row>
    <row r="3401" spans="1:17" ht="84" x14ac:dyDescent="0.25">
      <c r="A3401" s="21">
        <v>39894</v>
      </c>
      <c r="B3401" s="21">
        <v>39894</v>
      </c>
      <c r="C3401" s="45">
        <v>2009</v>
      </c>
      <c r="D3401" s="24" t="s">
        <v>141</v>
      </c>
      <c r="E3401" s="30" t="s">
        <v>142</v>
      </c>
      <c r="F3401" s="7" t="s">
        <v>75</v>
      </c>
      <c r="G3401" s="25" t="s">
        <v>5046</v>
      </c>
      <c r="H3401" s="29" t="s">
        <v>5047</v>
      </c>
      <c r="I3401" s="46">
        <v>0</v>
      </c>
      <c r="J3401" s="46">
        <v>36</v>
      </c>
      <c r="K3401" s="46">
        <v>0</v>
      </c>
      <c r="L3401" s="46">
        <v>0</v>
      </c>
      <c r="M3401" s="46">
        <v>0</v>
      </c>
      <c r="N3401" s="46">
        <v>0</v>
      </c>
      <c r="O3401" s="124">
        <v>0</v>
      </c>
      <c r="P3401" s="102">
        <f>850000/1000000</f>
        <v>0.85</v>
      </c>
      <c r="Q3401" s="45" t="s">
        <v>154</v>
      </c>
    </row>
    <row r="3402" spans="1:17" ht="144" x14ac:dyDescent="0.25">
      <c r="A3402" s="21">
        <v>39895</v>
      </c>
      <c r="B3402" s="21">
        <v>39895</v>
      </c>
      <c r="C3402" s="45">
        <v>2009</v>
      </c>
      <c r="D3402" s="24" t="s">
        <v>141</v>
      </c>
      <c r="E3402" s="30" t="s">
        <v>142</v>
      </c>
      <c r="F3402" s="7" t="s">
        <v>56</v>
      </c>
      <c r="G3402" s="25" t="s">
        <v>56</v>
      </c>
      <c r="H3402" s="29" t="s">
        <v>5048</v>
      </c>
      <c r="I3402" s="46">
        <v>0</v>
      </c>
      <c r="J3402" s="46">
        <v>17</v>
      </c>
      <c r="K3402" s="46">
        <v>0</v>
      </c>
      <c r="L3402" s="46">
        <v>0</v>
      </c>
      <c r="M3402" s="46">
        <v>0</v>
      </c>
      <c r="N3402" s="46">
        <v>0</v>
      </c>
      <c r="O3402" s="124">
        <v>0</v>
      </c>
      <c r="P3402" s="102">
        <f>(500000+850000+100000)/1000000</f>
        <v>1.45</v>
      </c>
      <c r="Q3402" s="45" t="s">
        <v>154</v>
      </c>
    </row>
    <row r="3403" spans="1:17" ht="24" x14ac:dyDescent="0.25">
      <c r="A3403" s="21">
        <v>39902</v>
      </c>
      <c r="B3403" s="21">
        <v>39902</v>
      </c>
      <c r="C3403" s="45">
        <v>2009</v>
      </c>
      <c r="D3403" s="24" t="s">
        <v>141</v>
      </c>
      <c r="E3403" s="30" t="s">
        <v>4995</v>
      </c>
      <c r="F3403" s="7" t="s">
        <v>87</v>
      </c>
      <c r="G3403" s="25" t="s">
        <v>3647</v>
      </c>
      <c r="H3403" s="25" t="s">
        <v>5049</v>
      </c>
      <c r="I3403" s="46">
        <v>1</v>
      </c>
      <c r="J3403" s="46">
        <v>3</v>
      </c>
      <c r="K3403" s="46">
        <v>0</v>
      </c>
      <c r="L3403" s="46">
        <v>0</v>
      </c>
      <c r="M3403" s="46">
        <v>0</v>
      </c>
      <c r="N3403" s="46">
        <v>0</v>
      </c>
      <c r="O3403" s="124">
        <v>0</v>
      </c>
      <c r="P3403" s="102">
        <f>1000000/1000000</f>
        <v>1</v>
      </c>
      <c r="Q3403" s="45" t="s">
        <v>154</v>
      </c>
    </row>
    <row r="3404" spans="1:17" ht="72" x14ac:dyDescent="0.25">
      <c r="A3404" s="21">
        <v>39905</v>
      </c>
      <c r="B3404" s="21">
        <v>39905</v>
      </c>
      <c r="C3404" s="45">
        <v>2009</v>
      </c>
      <c r="D3404" s="24" t="s">
        <v>141</v>
      </c>
      <c r="E3404" s="30" t="s">
        <v>142</v>
      </c>
      <c r="F3404" s="28" t="s">
        <v>210</v>
      </c>
      <c r="G3404" s="25" t="s">
        <v>5050</v>
      </c>
      <c r="H3404" s="25" t="s">
        <v>5051</v>
      </c>
      <c r="I3404" s="46">
        <v>1</v>
      </c>
      <c r="J3404" s="46">
        <v>1</v>
      </c>
      <c r="K3404" s="46">
        <v>0</v>
      </c>
      <c r="L3404" s="46">
        <v>0</v>
      </c>
      <c r="M3404" s="46">
        <v>0</v>
      </c>
      <c r="N3404" s="46">
        <v>0</v>
      </c>
      <c r="O3404" s="124">
        <v>0</v>
      </c>
      <c r="P3404" s="102">
        <f>(500000+450000)/1000000</f>
        <v>0.95</v>
      </c>
      <c r="Q3404" s="45" t="s">
        <v>154</v>
      </c>
    </row>
    <row r="3405" spans="1:17" ht="96" x14ac:dyDescent="0.25">
      <c r="A3405" s="21">
        <v>39906</v>
      </c>
      <c r="B3405" s="21">
        <v>39906</v>
      </c>
      <c r="C3405" s="45">
        <v>2009</v>
      </c>
      <c r="D3405" s="24" t="s">
        <v>141</v>
      </c>
      <c r="E3405" s="30" t="s">
        <v>142</v>
      </c>
      <c r="F3405" s="7" t="s">
        <v>60</v>
      </c>
      <c r="G3405" s="25" t="s">
        <v>2896</v>
      </c>
      <c r="H3405" s="25" t="s">
        <v>5052</v>
      </c>
      <c r="I3405" s="46">
        <v>0</v>
      </c>
      <c r="J3405" s="46">
        <v>1</v>
      </c>
      <c r="K3405" s="46">
        <v>0</v>
      </c>
      <c r="L3405" s="46">
        <v>0</v>
      </c>
      <c r="M3405" s="46">
        <v>0</v>
      </c>
      <c r="N3405" s="46">
        <v>0</v>
      </c>
      <c r="O3405" s="124">
        <v>0</v>
      </c>
      <c r="P3405" s="102">
        <f>500000/1000000</f>
        <v>0.5</v>
      </c>
      <c r="Q3405" s="45" t="s">
        <v>154</v>
      </c>
    </row>
    <row r="3406" spans="1:17" ht="48" x14ac:dyDescent="0.25">
      <c r="A3406" s="21">
        <v>39907</v>
      </c>
      <c r="B3406" s="21">
        <v>39907</v>
      </c>
      <c r="C3406" s="45">
        <v>2009</v>
      </c>
      <c r="D3406" s="24" t="s">
        <v>141</v>
      </c>
      <c r="E3406" s="30" t="s">
        <v>142</v>
      </c>
      <c r="F3406" s="7" t="s">
        <v>68</v>
      </c>
      <c r="G3406" s="25" t="s">
        <v>752</v>
      </c>
      <c r="H3406" s="25" t="s">
        <v>5053</v>
      </c>
      <c r="I3406" s="46">
        <v>0</v>
      </c>
      <c r="J3406" s="46">
        <v>15</v>
      </c>
      <c r="K3406" s="46">
        <v>0</v>
      </c>
      <c r="L3406" s="46">
        <v>0</v>
      </c>
      <c r="M3406" s="46">
        <v>0</v>
      </c>
      <c r="N3406" s="46">
        <v>0</v>
      </c>
      <c r="O3406" s="124">
        <v>0</v>
      </c>
      <c r="P3406" s="102">
        <f>(3*600000/1000000)</f>
        <v>1.8</v>
      </c>
      <c r="Q3406" s="45" t="s">
        <v>154</v>
      </c>
    </row>
    <row r="3407" spans="1:17" ht="84" x14ac:dyDescent="0.25">
      <c r="A3407" s="21">
        <v>39909</v>
      </c>
      <c r="B3407" s="21">
        <v>39909</v>
      </c>
      <c r="C3407" s="45">
        <v>2009</v>
      </c>
      <c r="D3407" s="24" t="s">
        <v>141</v>
      </c>
      <c r="E3407" s="30" t="s">
        <v>142</v>
      </c>
      <c r="F3407" s="7" t="s">
        <v>60</v>
      </c>
      <c r="G3407" s="25" t="s">
        <v>1491</v>
      </c>
      <c r="H3407" s="25" t="s">
        <v>5054</v>
      </c>
      <c r="I3407" s="46">
        <v>1</v>
      </c>
      <c r="J3407" s="46">
        <v>5</v>
      </c>
      <c r="K3407" s="46">
        <v>0</v>
      </c>
      <c r="L3407" s="46">
        <v>0</v>
      </c>
      <c r="M3407" s="46">
        <v>0</v>
      </c>
      <c r="N3407" s="46">
        <v>0</v>
      </c>
      <c r="O3407" s="124">
        <v>0</v>
      </c>
      <c r="P3407" s="102">
        <f>350000/1000000</f>
        <v>0.35</v>
      </c>
      <c r="Q3407" s="45" t="s">
        <v>154</v>
      </c>
    </row>
    <row r="3408" spans="1:17" ht="108" x14ac:dyDescent="0.25">
      <c r="A3408" s="21">
        <v>39909</v>
      </c>
      <c r="B3408" s="21">
        <v>39909</v>
      </c>
      <c r="C3408" s="45">
        <v>2009</v>
      </c>
      <c r="D3408" s="24" t="s">
        <v>141</v>
      </c>
      <c r="E3408" s="30" t="s">
        <v>5055</v>
      </c>
      <c r="F3408" s="7" t="s">
        <v>68</v>
      </c>
      <c r="G3408" s="25" t="s">
        <v>1121</v>
      </c>
      <c r="H3408" s="25" t="s">
        <v>5056</v>
      </c>
      <c r="I3408" s="46">
        <v>0</v>
      </c>
      <c r="J3408" s="46">
        <v>25</v>
      </c>
      <c r="K3408" s="46">
        <v>0</v>
      </c>
      <c r="L3408" s="46">
        <v>0</v>
      </c>
      <c r="M3408" s="46">
        <v>0</v>
      </c>
      <c r="N3408" s="46">
        <v>0</v>
      </c>
      <c r="O3408" s="124">
        <v>0</v>
      </c>
      <c r="P3408" s="102">
        <f>(2*600000)/1000000</f>
        <v>1.2</v>
      </c>
      <c r="Q3408" s="45" t="s">
        <v>154</v>
      </c>
    </row>
    <row r="3409" spans="1:17" ht="108" x14ac:dyDescent="0.25">
      <c r="A3409" s="21">
        <v>39909</v>
      </c>
      <c r="B3409" s="21">
        <v>39909</v>
      </c>
      <c r="C3409" s="45">
        <v>2009</v>
      </c>
      <c r="D3409" s="24" t="s">
        <v>141</v>
      </c>
      <c r="E3409" s="30" t="s">
        <v>142</v>
      </c>
      <c r="F3409" s="7" t="s">
        <v>36</v>
      </c>
      <c r="G3409" s="25" t="s">
        <v>582</v>
      </c>
      <c r="H3409" s="29" t="s">
        <v>5057</v>
      </c>
      <c r="I3409" s="46">
        <v>7</v>
      </c>
      <c r="J3409" s="46">
        <v>15</v>
      </c>
      <c r="K3409" s="46">
        <v>0</v>
      </c>
      <c r="L3409" s="46">
        <v>0</v>
      </c>
      <c r="M3409" s="46">
        <v>0</v>
      </c>
      <c r="N3409" s="46">
        <v>0</v>
      </c>
      <c r="O3409" s="46">
        <v>0</v>
      </c>
      <c r="P3409" s="102">
        <f>300000/1000000</f>
        <v>0.3</v>
      </c>
      <c r="Q3409" s="45" t="s">
        <v>154</v>
      </c>
    </row>
    <row r="3410" spans="1:17" ht="48" x14ac:dyDescent="0.25">
      <c r="A3410" s="21">
        <v>39911</v>
      </c>
      <c r="B3410" s="21">
        <v>39911</v>
      </c>
      <c r="C3410" s="45">
        <v>2009</v>
      </c>
      <c r="D3410" s="24" t="s">
        <v>141</v>
      </c>
      <c r="E3410" s="30" t="s">
        <v>142</v>
      </c>
      <c r="F3410" s="7" t="s">
        <v>87</v>
      </c>
      <c r="G3410" s="25" t="s">
        <v>2608</v>
      </c>
      <c r="H3410" s="25" t="s">
        <v>5058</v>
      </c>
      <c r="I3410" s="46">
        <v>0</v>
      </c>
      <c r="J3410" s="46">
        <v>1</v>
      </c>
      <c r="K3410" s="46">
        <v>0</v>
      </c>
      <c r="L3410" s="46">
        <v>0</v>
      </c>
      <c r="M3410" s="46">
        <v>0</v>
      </c>
      <c r="N3410" s="46">
        <v>0</v>
      </c>
      <c r="O3410" s="46">
        <v>0</v>
      </c>
      <c r="P3410" s="102">
        <f>450000/1000000</f>
        <v>0.45</v>
      </c>
      <c r="Q3410" s="45" t="s">
        <v>154</v>
      </c>
    </row>
    <row r="3411" spans="1:17" ht="168" x14ac:dyDescent="0.25">
      <c r="A3411" s="21">
        <v>39911</v>
      </c>
      <c r="B3411" s="21">
        <v>39911</v>
      </c>
      <c r="C3411" s="45">
        <v>2009</v>
      </c>
      <c r="D3411" s="24" t="s">
        <v>141</v>
      </c>
      <c r="E3411" s="30" t="s">
        <v>142</v>
      </c>
      <c r="F3411" s="7" t="s">
        <v>62</v>
      </c>
      <c r="G3411" s="25" t="s">
        <v>622</v>
      </c>
      <c r="H3411" s="29" t="s">
        <v>5059</v>
      </c>
      <c r="I3411" s="46">
        <v>1</v>
      </c>
      <c r="J3411" s="46">
        <v>2</v>
      </c>
      <c r="K3411" s="46">
        <v>0</v>
      </c>
      <c r="L3411" s="46">
        <v>0</v>
      </c>
      <c r="M3411" s="46">
        <v>0</v>
      </c>
      <c r="N3411" s="46">
        <v>0</v>
      </c>
      <c r="O3411" s="46">
        <v>0</v>
      </c>
      <c r="P3411" s="102">
        <f>(500000+450000)/1000000</f>
        <v>0.95</v>
      </c>
      <c r="Q3411" s="45" t="s">
        <v>154</v>
      </c>
    </row>
    <row r="3412" spans="1:17" ht="36" x14ac:dyDescent="0.25">
      <c r="A3412" s="21">
        <v>39911</v>
      </c>
      <c r="B3412" s="21">
        <v>39911</v>
      </c>
      <c r="C3412" s="45">
        <v>2009</v>
      </c>
      <c r="D3412" s="24" t="s">
        <v>141</v>
      </c>
      <c r="E3412" s="30" t="s">
        <v>4995</v>
      </c>
      <c r="F3412" s="7" t="s">
        <v>84</v>
      </c>
      <c r="G3412" s="25" t="s">
        <v>3740</v>
      </c>
      <c r="H3412" s="25" t="s">
        <v>5060</v>
      </c>
      <c r="I3412" s="46">
        <v>3</v>
      </c>
      <c r="J3412" s="46">
        <v>3</v>
      </c>
      <c r="K3412" s="46">
        <v>0</v>
      </c>
      <c r="L3412" s="46">
        <v>0</v>
      </c>
      <c r="M3412" s="46">
        <v>0</v>
      </c>
      <c r="N3412" s="46">
        <v>0</v>
      </c>
      <c r="O3412" s="46">
        <v>0</v>
      </c>
      <c r="P3412" s="102">
        <f>1000000/1000000</f>
        <v>1</v>
      </c>
      <c r="Q3412" s="45" t="s">
        <v>154</v>
      </c>
    </row>
    <row r="3413" spans="1:17" ht="48" x14ac:dyDescent="0.25">
      <c r="A3413" s="21">
        <v>39912</v>
      </c>
      <c r="B3413" s="21">
        <v>39912</v>
      </c>
      <c r="C3413" s="45">
        <v>2009</v>
      </c>
      <c r="D3413" s="24" t="s">
        <v>141</v>
      </c>
      <c r="E3413" s="41" t="s">
        <v>1965</v>
      </c>
      <c r="F3413" s="28" t="s">
        <v>210</v>
      </c>
      <c r="G3413" s="25" t="s">
        <v>4920</v>
      </c>
      <c r="H3413" s="25" t="s">
        <v>5061</v>
      </c>
      <c r="I3413" s="46">
        <v>3</v>
      </c>
      <c r="J3413" s="46">
        <v>3</v>
      </c>
      <c r="K3413" s="46">
        <v>0</v>
      </c>
      <c r="L3413" s="46">
        <v>0</v>
      </c>
      <c r="M3413" s="46">
        <v>0</v>
      </c>
      <c r="N3413" s="46">
        <v>0</v>
      </c>
      <c r="O3413" s="46">
        <v>0</v>
      </c>
      <c r="P3413" s="102">
        <v>0</v>
      </c>
      <c r="Q3413" s="45" t="s">
        <v>154</v>
      </c>
    </row>
    <row r="3414" spans="1:17" ht="144" x14ac:dyDescent="0.25">
      <c r="A3414" s="21">
        <v>39912</v>
      </c>
      <c r="B3414" s="21">
        <v>39912</v>
      </c>
      <c r="C3414" s="45">
        <v>2009</v>
      </c>
      <c r="D3414" s="24" t="s">
        <v>141</v>
      </c>
      <c r="E3414" s="42" t="s">
        <v>447</v>
      </c>
      <c r="F3414" s="28" t="s">
        <v>157</v>
      </c>
      <c r="G3414" s="25" t="s">
        <v>206</v>
      </c>
      <c r="H3414" s="29" t="s">
        <v>5062</v>
      </c>
      <c r="I3414" s="46">
        <v>0</v>
      </c>
      <c r="J3414" s="46">
        <v>351</v>
      </c>
      <c r="K3414" s="46">
        <v>0</v>
      </c>
      <c r="L3414" s="46">
        <v>0</v>
      </c>
      <c r="M3414" s="46">
        <v>0</v>
      </c>
      <c r="N3414" s="46">
        <v>0</v>
      </c>
      <c r="O3414" s="46">
        <v>0</v>
      </c>
      <c r="P3414" s="102">
        <v>0</v>
      </c>
      <c r="Q3414" s="45" t="s">
        <v>154</v>
      </c>
    </row>
    <row r="3415" spans="1:17" ht="36" x14ac:dyDescent="0.25">
      <c r="A3415" s="21">
        <v>39913</v>
      </c>
      <c r="B3415" s="21">
        <v>39913</v>
      </c>
      <c r="C3415" s="45">
        <v>2009</v>
      </c>
      <c r="D3415" s="24" t="s">
        <v>141</v>
      </c>
      <c r="E3415" s="30" t="s">
        <v>142</v>
      </c>
      <c r="F3415" s="28" t="s">
        <v>210</v>
      </c>
      <c r="G3415" s="25" t="s">
        <v>5063</v>
      </c>
      <c r="H3415" s="25" t="s">
        <v>5064</v>
      </c>
      <c r="I3415" s="46">
        <v>0</v>
      </c>
      <c r="J3415" s="46">
        <v>14</v>
      </c>
      <c r="K3415" s="46">
        <v>0</v>
      </c>
      <c r="L3415" s="46">
        <v>0</v>
      </c>
      <c r="M3415" s="46">
        <v>0</v>
      </c>
      <c r="N3415" s="46">
        <v>0</v>
      </c>
      <c r="O3415" s="46">
        <v>0</v>
      </c>
      <c r="P3415" s="102">
        <f>300000/1000000</f>
        <v>0.3</v>
      </c>
      <c r="Q3415" s="45" t="s">
        <v>154</v>
      </c>
    </row>
    <row r="3416" spans="1:17" ht="48" x14ac:dyDescent="0.25">
      <c r="A3416" s="21">
        <v>39915</v>
      </c>
      <c r="B3416" s="21">
        <v>39915</v>
      </c>
      <c r="C3416" s="45">
        <v>2009</v>
      </c>
      <c r="D3416" s="24" t="s">
        <v>141</v>
      </c>
      <c r="E3416" s="30" t="s">
        <v>142</v>
      </c>
      <c r="F3416" s="28" t="s">
        <v>210</v>
      </c>
      <c r="G3416" s="25" t="s">
        <v>5025</v>
      </c>
      <c r="H3416" s="25" t="s">
        <v>5065</v>
      </c>
      <c r="I3416" s="46">
        <v>3</v>
      </c>
      <c r="J3416" s="46">
        <v>35</v>
      </c>
      <c r="K3416" s="46">
        <v>0</v>
      </c>
      <c r="L3416" s="46">
        <v>0</v>
      </c>
      <c r="M3416" s="46">
        <v>0</v>
      </c>
      <c r="N3416" s="46">
        <v>0</v>
      </c>
      <c r="O3416" s="46">
        <v>0</v>
      </c>
      <c r="P3416" s="102">
        <f>(850000+500000)/1000000</f>
        <v>1.35</v>
      </c>
      <c r="Q3416" s="45" t="s">
        <v>154</v>
      </c>
    </row>
    <row r="3417" spans="1:17" ht="132" x14ac:dyDescent="0.25">
      <c r="A3417" s="21">
        <v>39916</v>
      </c>
      <c r="B3417" s="21">
        <v>39916</v>
      </c>
      <c r="C3417" s="45">
        <v>2009</v>
      </c>
      <c r="D3417" s="24" t="s">
        <v>141</v>
      </c>
      <c r="E3417" s="30" t="s">
        <v>142</v>
      </c>
      <c r="F3417" s="28" t="s">
        <v>160</v>
      </c>
      <c r="G3417" s="25" t="s">
        <v>4224</v>
      </c>
      <c r="H3417" s="29" t="s">
        <v>5066</v>
      </c>
      <c r="I3417" s="46">
        <v>10</v>
      </c>
      <c r="J3417" s="46">
        <v>40</v>
      </c>
      <c r="K3417" s="46">
        <v>0</v>
      </c>
      <c r="L3417" s="46">
        <v>0</v>
      </c>
      <c r="M3417" s="46">
        <v>0</v>
      </c>
      <c r="N3417" s="46">
        <v>0</v>
      </c>
      <c r="O3417" s="46">
        <v>0</v>
      </c>
      <c r="P3417" s="102">
        <f>(350000+14*200000+2*500000+250000+850000)/1000000</f>
        <v>5.25</v>
      </c>
      <c r="Q3417" s="45" t="s">
        <v>154</v>
      </c>
    </row>
    <row r="3418" spans="1:17" ht="36" x14ac:dyDescent="0.25">
      <c r="A3418" s="21">
        <v>39918</v>
      </c>
      <c r="B3418" s="21">
        <v>39918</v>
      </c>
      <c r="C3418" s="45">
        <v>2009</v>
      </c>
      <c r="D3418" s="24" t="s">
        <v>141</v>
      </c>
      <c r="E3418" s="30" t="s">
        <v>142</v>
      </c>
      <c r="F3418" s="28" t="s">
        <v>210</v>
      </c>
      <c r="G3418" s="25" t="s">
        <v>4313</v>
      </c>
      <c r="H3418" s="25" t="s">
        <v>5067</v>
      </c>
      <c r="I3418" s="46">
        <v>0</v>
      </c>
      <c r="J3418" s="46">
        <v>0</v>
      </c>
      <c r="K3418" s="46">
        <v>0</v>
      </c>
      <c r="L3418" s="46">
        <v>0</v>
      </c>
      <c r="M3418" s="46">
        <v>0</v>
      </c>
      <c r="N3418" s="46">
        <v>0</v>
      </c>
      <c r="O3418" s="46">
        <v>0</v>
      </c>
      <c r="P3418" s="102">
        <f>450000/1000000</f>
        <v>0.45</v>
      </c>
      <c r="Q3418" s="45" t="s">
        <v>154</v>
      </c>
    </row>
    <row r="3419" spans="1:17" ht="156" x14ac:dyDescent="0.25">
      <c r="A3419" s="21">
        <v>39919</v>
      </c>
      <c r="B3419" s="21">
        <v>39919</v>
      </c>
      <c r="C3419" s="45">
        <v>2009</v>
      </c>
      <c r="D3419" s="24" t="s">
        <v>141</v>
      </c>
      <c r="E3419" s="30" t="s">
        <v>142</v>
      </c>
      <c r="F3419" s="7" t="s">
        <v>36</v>
      </c>
      <c r="G3419" s="25" t="s">
        <v>582</v>
      </c>
      <c r="H3419" s="29" t="s">
        <v>5068</v>
      </c>
      <c r="I3419" s="46">
        <v>17</v>
      </c>
      <c r="J3419" s="46">
        <v>81</v>
      </c>
      <c r="K3419" s="46">
        <v>0</v>
      </c>
      <c r="L3419" s="46">
        <v>0</v>
      </c>
      <c r="M3419" s="46">
        <v>0</v>
      </c>
      <c r="N3419" s="46">
        <v>0</v>
      </c>
      <c r="O3419" s="124">
        <v>0</v>
      </c>
      <c r="P3419" s="102">
        <f>(850000*2)/1000000</f>
        <v>1.7</v>
      </c>
      <c r="Q3419" s="45" t="s">
        <v>154</v>
      </c>
    </row>
    <row r="3420" spans="1:17" ht="216" x14ac:dyDescent="0.25">
      <c r="A3420" s="21">
        <v>39919</v>
      </c>
      <c r="B3420" s="21">
        <v>39919</v>
      </c>
      <c r="C3420" s="45">
        <v>2009</v>
      </c>
      <c r="D3420" s="24" t="s">
        <v>141</v>
      </c>
      <c r="E3420" s="30" t="s">
        <v>142</v>
      </c>
      <c r="F3420" s="7" t="s">
        <v>53</v>
      </c>
      <c r="G3420" s="25" t="s">
        <v>5069</v>
      </c>
      <c r="H3420" s="29" t="s">
        <v>5070</v>
      </c>
      <c r="I3420" s="46">
        <v>7</v>
      </c>
      <c r="J3420" s="46">
        <v>9</v>
      </c>
      <c r="K3420" s="46">
        <v>0</v>
      </c>
      <c r="L3420" s="46">
        <v>0</v>
      </c>
      <c r="M3420" s="46">
        <v>0</v>
      </c>
      <c r="N3420" s="46">
        <v>0</v>
      </c>
      <c r="O3420" s="124">
        <v>0</v>
      </c>
      <c r="P3420" s="102">
        <f>(850000+600000+6*200000)/1000000</f>
        <v>2.65</v>
      </c>
      <c r="Q3420" s="45" t="s">
        <v>154</v>
      </c>
    </row>
    <row r="3421" spans="1:17" ht="36" x14ac:dyDescent="0.25">
      <c r="A3421" s="21">
        <v>39920</v>
      </c>
      <c r="B3421" s="21">
        <v>39920</v>
      </c>
      <c r="C3421" s="45">
        <v>2009</v>
      </c>
      <c r="D3421" s="24" t="s">
        <v>141</v>
      </c>
      <c r="E3421" s="30" t="s">
        <v>142</v>
      </c>
      <c r="F3421" s="7" t="s">
        <v>91</v>
      </c>
      <c r="G3421" s="25" t="s">
        <v>1220</v>
      </c>
      <c r="H3421" s="25" t="s">
        <v>5071</v>
      </c>
      <c r="I3421" s="46">
        <v>1</v>
      </c>
      <c r="J3421" s="46">
        <v>1</v>
      </c>
      <c r="K3421" s="46">
        <v>0</v>
      </c>
      <c r="L3421" s="46">
        <v>0</v>
      </c>
      <c r="M3421" s="46">
        <v>0</v>
      </c>
      <c r="N3421" s="46">
        <v>0</v>
      </c>
      <c r="O3421" s="124">
        <v>0</v>
      </c>
      <c r="P3421" s="102">
        <f>(450000+45000*8.32)/1000000</f>
        <v>0.82440000000000002</v>
      </c>
      <c r="Q3421" s="45" t="s">
        <v>154</v>
      </c>
    </row>
    <row r="3422" spans="1:17" ht="72" x14ac:dyDescent="0.25">
      <c r="A3422" s="21">
        <v>39921</v>
      </c>
      <c r="B3422" s="21">
        <v>39921</v>
      </c>
      <c r="C3422" s="45">
        <v>2009</v>
      </c>
      <c r="D3422" s="24" t="s">
        <v>141</v>
      </c>
      <c r="E3422" s="30" t="s">
        <v>4983</v>
      </c>
      <c r="F3422" s="7" t="s">
        <v>53</v>
      </c>
      <c r="G3422" s="25" t="s">
        <v>2516</v>
      </c>
      <c r="H3422" s="29" t="s">
        <v>5072</v>
      </c>
      <c r="I3422" s="46">
        <v>0</v>
      </c>
      <c r="J3422" s="46">
        <v>128</v>
      </c>
      <c r="K3422" s="46">
        <v>0</v>
      </c>
      <c r="L3422" s="46">
        <v>0</v>
      </c>
      <c r="M3422" s="46">
        <v>0</v>
      </c>
      <c r="N3422" s="46">
        <v>0</v>
      </c>
      <c r="O3422" s="124">
        <v>0</v>
      </c>
      <c r="P3422" s="102" t="s">
        <v>4558</v>
      </c>
      <c r="Q3422" s="45" t="s">
        <v>154</v>
      </c>
    </row>
    <row r="3423" spans="1:17" ht="108" x14ac:dyDescent="0.25">
      <c r="A3423" s="21">
        <v>39923</v>
      </c>
      <c r="B3423" s="21">
        <v>39923</v>
      </c>
      <c r="C3423" s="45">
        <v>2009</v>
      </c>
      <c r="D3423" s="24" t="s">
        <v>141</v>
      </c>
      <c r="E3423" s="30" t="s">
        <v>142</v>
      </c>
      <c r="F3423" s="7" t="s">
        <v>56</v>
      </c>
      <c r="G3423" s="25" t="s">
        <v>218</v>
      </c>
      <c r="H3423" s="29" t="s">
        <v>5073</v>
      </c>
      <c r="I3423" s="46">
        <v>0</v>
      </c>
      <c r="J3423" s="46">
        <v>21</v>
      </c>
      <c r="K3423" s="46">
        <v>0</v>
      </c>
      <c r="L3423" s="46">
        <v>0</v>
      </c>
      <c r="M3423" s="46">
        <v>0</v>
      </c>
      <c r="N3423" s="46">
        <v>0</v>
      </c>
      <c r="O3423" s="124">
        <v>0</v>
      </c>
      <c r="P3423" s="102">
        <f>350000/1000000</f>
        <v>0.35</v>
      </c>
      <c r="Q3423" s="45" t="s">
        <v>154</v>
      </c>
    </row>
    <row r="3424" spans="1:17" ht="24" x14ac:dyDescent="0.25">
      <c r="A3424" s="21">
        <v>39926</v>
      </c>
      <c r="B3424" s="21">
        <v>39926</v>
      </c>
      <c r="C3424" s="45">
        <v>2009</v>
      </c>
      <c r="D3424" s="24" t="s">
        <v>141</v>
      </c>
      <c r="E3424" s="30" t="s">
        <v>1600</v>
      </c>
      <c r="F3424" s="28" t="s">
        <v>157</v>
      </c>
      <c r="G3424" s="25" t="s">
        <v>1062</v>
      </c>
      <c r="H3424" s="25" t="s">
        <v>5074</v>
      </c>
      <c r="I3424" s="46">
        <v>0</v>
      </c>
      <c r="J3424" s="46">
        <v>19</v>
      </c>
      <c r="K3424" s="46">
        <v>0</v>
      </c>
      <c r="L3424" s="46">
        <v>0</v>
      </c>
      <c r="M3424" s="46">
        <v>0</v>
      </c>
      <c r="N3424" s="46">
        <v>0</v>
      </c>
      <c r="O3424" s="124">
        <v>0</v>
      </c>
      <c r="P3424" s="102">
        <v>0</v>
      </c>
      <c r="Q3424" s="45" t="s">
        <v>154</v>
      </c>
    </row>
    <row r="3425" spans="1:17" ht="36" x14ac:dyDescent="0.25">
      <c r="A3425" s="21">
        <v>39928</v>
      </c>
      <c r="B3425" s="21">
        <v>39928</v>
      </c>
      <c r="C3425" s="45">
        <v>2009</v>
      </c>
      <c r="D3425" s="24" t="s">
        <v>141</v>
      </c>
      <c r="E3425" s="30" t="s">
        <v>4978</v>
      </c>
      <c r="F3425" s="28" t="s">
        <v>210</v>
      </c>
      <c r="G3425" s="25" t="s">
        <v>5075</v>
      </c>
      <c r="H3425" s="25" t="s">
        <v>5076</v>
      </c>
      <c r="I3425" s="46">
        <v>0</v>
      </c>
      <c r="J3425" s="46">
        <v>581</v>
      </c>
      <c r="K3425" s="46">
        <v>0</v>
      </c>
      <c r="L3425" s="46">
        <v>0</v>
      </c>
      <c r="M3425" s="46">
        <v>0</v>
      </c>
      <c r="N3425" s="46">
        <v>0</v>
      </c>
      <c r="O3425" s="124">
        <v>0</v>
      </c>
      <c r="P3425" s="102"/>
      <c r="Q3425" s="45" t="s">
        <v>154</v>
      </c>
    </row>
    <row r="3426" spans="1:17" ht="108" x14ac:dyDescent="0.25">
      <c r="A3426" s="21">
        <v>39934</v>
      </c>
      <c r="B3426" s="21">
        <v>39934</v>
      </c>
      <c r="C3426" s="45">
        <v>2009</v>
      </c>
      <c r="D3426" s="24" t="s">
        <v>141</v>
      </c>
      <c r="E3426" s="30" t="s">
        <v>142</v>
      </c>
      <c r="F3426" s="28" t="s">
        <v>160</v>
      </c>
      <c r="G3426" s="25" t="s">
        <v>428</v>
      </c>
      <c r="H3426" s="29" t="s">
        <v>5077</v>
      </c>
      <c r="I3426" s="46">
        <v>0</v>
      </c>
      <c r="J3426" s="46">
        <v>0</v>
      </c>
      <c r="K3426" s="46">
        <v>0</v>
      </c>
      <c r="L3426" s="46">
        <v>0</v>
      </c>
      <c r="M3426" s="46">
        <v>0</v>
      </c>
      <c r="N3426" s="46">
        <v>0</v>
      </c>
      <c r="O3426" s="124">
        <v>0</v>
      </c>
      <c r="P3426" s="102">
        <f>(450000+60000*8.5)/1000000</f>
        <v>0.96</v>
      </c>
      <c r="Q3426" s="45" t="s">
        <v>154</v>
      </c>
    </row>
    <row r="3427" spans="1:17" ht="36" x14ac:dyDescent="0.25">
      <c r="A3427" s="21">
        <v>39940</v>
      </c>
      <c r="B3427" s="21">
        <v>39940</v>
      </c>
      <c r="C3427" s="45">
        <v>2009</v>
      </c>
      <c r="D3427" s="24" t="s">
        <v>141</v>
      </c>
      <c r="E3427" s="30" t="s">
        <v>4995</v>
      </c>
      <c r="F3427" s="28" t="s">
        <v>210</v>
      </c>
      <c r="G3427" s="25" t="s">
        <v>210</v>
      </c>
      <c r="H3427" s="25" t="s">
        <v>5078</v>
      </c>
      <c r="I3427" s="46">
        <v>3</v>
      </c>
      <c r="J3427" s="46">
        <v>4</v>
      </c>
      <c r="K3427" s="46">
        <v>0</v>
      </c>
      <c r="L3427" s="46">
        <v>0</v>
      </c>
      <c r="M3427" s="46">
        <v>0</v>
      </c>
      <c r="N3427" s="46">
        <v>0</v>
      </c>
      <c r="O3427" s="124">
        <v>0</v>
      </c>
      <c r="P3427" s="102">
        <f>1000000/1000000</f>
        <v>1</v>
      </c>
      <c r="Q3427" s="45" t="s">
        <v>154</v>
      </c>
    </row>
    <row r="3428" spans="1:17" ht="180" x14ac:dyDescent="0.25">
      <c r="A3428" s="21">
        <v>39940</v>
      </c>
      <c r="B3428" s="21">
        <v>39940</v>
      </c>
      <c r="C3428" s="45">
        <v>2009</v>
      </c>
      <c r="D3428" s="24" t="s">
        <v>141</v>
      </c>
      <c r="E3428" s="41" t="s">
        <v>1965</v>
      </c>
      <c r="F3428" s="7" t="s">
        <v>53</v>
      </c>
      <c r="G3428" s="25" t="s">
        <v>1236</v>
      </c>
      <c r="H3428" s="29" t="s">
        <v>5079</v>
      </c>
      <c r="I3428" s="46">
        <v>5</v>
      </c>
      <c r="J3428" s="46">
        <v>6</v>
      </c>
      <c r="K3428" s="46">
        <v>0</v>
      </c>
      <c r="L3428" s="46">
        <v>0</v>
      </c>
      <c r="M3428" s="46">
        <v>0</v>
      </c>
      <c r="N3428" s="46">
        <v>0</v>
      </c>
      <c r="O3428" s="124">
        <v>0</v>
      </c>
      <c r="P3428" s="102" t="s">
        <v>4558</v>
      </c>
      <c r="Q3428" s="45" t="s">
        <v>154</v>
      </c>
    </row>
    <row r="3429" spans="1:17" ht="132" x14ac:dyDescent="0.25">
      <c r="A3429" s="21">
        <v>39945</v>
      </c>
      <c r="B3429" s="21">
        <v>39945</v>
      </c>
      <c r="C3429" s="45">
        <v>2009</v>
      </c>
      <c r="D3429" s="24" t="s">
        <v>141</v>
      </c>
      <c r="E3429" s="30" t="s">
        <v>5055</v>
      </c>
      <c r="F3429" s="28" t="s">
        <v>157</v>
      </c>
      <c r="G3429" s="25" t="s">
        <v>206</v>
      </c>
      <c r="H3429" s="29" t="s">
        <v>5080</v>
      </c>
      <c r="I3429" s="46">
        <v>0</v>
      </c>
      <c r="J3429" s="46">
        <v>12</v>
      </c>
      <c r="K3429" s="46">
        <v>0</v>
      </c>
      <c r="L3429" s="46">
        <v>0</v>
      </c>
      <c r="M3429" s="46">
        <v>0</v>
      </c>
      <c r="N3429" s="46">
        <v>0</v>
      </c>
      <c r="O3429" s="124">
        <v>0</v>
      </c>
      <c r="P3429" s="102">
        <f>300000/1000000</f>
        <v>0.3</v>
      </c>
      <c r="Q3429" s="45" t="s">
        <v>154</v>
      </c>
    </row>
    <row r="3430" spans="1:17" ht="36" x14ac:dyDescent="0.25">
      <c r="A3430" s="21">
        <v>39957</v>
      </c>
      <c r="B3430" s="21">
        <v>39957</v>
      </c>
      <c r="C3430" s="45">
        <v>2009</v>
      </c>
      <c r="D3430" s="24" t="s">
        <v>141</v>
      </c>
      <c r="E3430" s="30" t="s">
        <v>4995</v>
      </c>
      <c r="F3430" s="7" t="s">
        <v>84</v>
      </c>
      <c r="G3430" s="25" t="s">
        <v>3740</v>
      </c>
      <c r="H3430" s="25" t="s">
        <v>5081</v>
      </c>
      <c r="I3430" s="46">
        <v>2</v>
      </c>
      <c r="J3430" s="46">
        <v>2</v>
      </c>
      <c r="K3430" s="46">
        <v>0</v>
      </c>
      <c r="L3430" s="46">
        <v>0</v>
      </c>
      <c r="M3430" s="46">
        <v>0</v>
      </c>
      <c r="N3430" s="46">
        <v>0</v>
      </c>
      <c r="O3430" s="124">
        <v>0</v>
      </c>
      <c r="P3430" s="102">
        <v>0</v>
      </c>
      <c r="Q3430" s="45" t="s">
        <v>154</v>
      </c>
    </row>
    <row r="3431" spans="1:17" ht="108" x14ac:dyDescent="0.25">
      <c r="A3431" s="21">
        <v>39960</v>
      </c>
      <c r="B3431" s="21">
        <v>39960</v>
      </c>
      <c r="C3431" s="45">
        <v>2009</v>
      </c>
      <c r="D3431" s="24" t="s">
        <v>141</v>
      </c>
      <c r="E3431" s="6" t="s">
        <v>1597</v>
      </c>
      <c r="F3431" s="7" t="s">
        <v>53</v>
      </c>
      <c r="G3431" s="25" t="s">
        <v>5082</v>
      </c>
      <c r="H3431" s="25" t="s">
        <v>5083</v>
      </c>
      <c r="I3431" s="46">
        <v>5</v>
      </c>
      <c r="J3431" s="46">
        <v>5</v>
      </c>
      <c r="K3431" s="46">
        <v>0</v>
      </c>
      <c r="L3431" s="46">
        <v>0</v>
      </c>
      <c r="M3431" s="46">
        <v>0</v>
      </c>
      <c r="N3431" s="46">
        <v>0</v>
      </c>
      <c r="O3431" s="124">
        <v>0</v>
      </c>
      <c r="P3431" s="102">
        <v>0</v>
      </c>
      <c r="Q3431" s="45" t="s">
        <v>154</v>
      </c>
    </row>
    <row r="3432" spans="1:17" ht="144" x14ac:dyDescent="0.25">
      <c r="A3432" s="21">
        <v>39960</v>
      </c>
      <c r="B3432" s="21">
        <v>39960</v>
      </c>
      <c r="C3432" s="45">
        <v>2009</v>
      </c>
      <c r="D3432" s="24" t="s">
        <v>141</v>
      </c>
      <c r="E3432" s="30" t="s">
        <v>142</v>
      </c>
      <c r="F3432" s="7" t="s">
        <v>36</v>
      </c>
      <c r="G3432" s="25" t="s">
        <v>4280</v>
      </c>
      <c r="H3432" s="29" t="s">
        <v>5084</v>
      </c>
      <c r="I3432" s="46">
        <v>0</v>
      </c>
      <c r="J3432" s="46">
        <v>1</v>
      </c>
      <c r="K3432" s="46">
        <v>0</v>
      </c>
      <c r="L3432" s="46">
        <v>0</v>
      </c>
      <c r="M3432" s="46">
        <v>0</v>
      </c>
      <c r="N3432" s="46">
        <v>0</v>
      </c>
      <c r="O3432" s="124">
        <v>0</v>
      </c>
      <c r="P3432" s="102">
        <f>500000/1000000</f>
        <v>0.5</v>
      </c>
      <c r="Q3432" s="45" t="s">
        <v>154</v>
      </c>
    </row>
    <row r="3433" spans="1:17" ht="132" x14ac:dyDescent="0.25">
      <c r="A3433" s="21">
        <v>39963</v>
      </c>
      <c r="B3433" s="21">
        <v>39963</v>
      </c>
      <c r="C3433" s="45">
        <v>2009</v>
      </c>
      <c r="D3433" s="24" t="s">
        <v>141</v>
      </c>
      <c r="E3433" s="30" t="s">
        <v>142</v>
      </c>
      <c r="F3433" s="7" t="s">
        <v>56</v>
      </c>
      <c r="G3433" s="25" t="s">
        <v>5085</v>
      </c>
      <c r="H3433" s="29" t="s">
        <v>5086</v>
      </c>
      <c r="I3433" s="46">
        <v>2</v>
      </c>
      <c r="J3433" s="46">
        <v>43</v>
      </c>
      <c r="K3433" s="46">
        <v>0</v>
      </c>
      <c r="L3433" s="46">
        <v>0</v>
      </c>
      <c r="M3433" s="46">
        <v>0</v>
      </c>
      <c r="N3433" s="46">
        <v>0</v>
      </c>
      <c r="O3433" s="124">
        <v>0</v>
      </c>
      <c r="P3433" s="102">
        <f>(850000*2)/1000000</f>
        <v>1.7</v>
      </c>
      <c r="Q3433" s="45" t="s">
        <v>154</v>
      </c>
    </row>
    <row r="3434" spans="1:17" ht="156" x14ac:dyDescent="0.25">
      <c r="A3434" s="21">
        <v>39963</v>
      </c>
      <c r="B3434" s="21">
        <v>39963</v>
      </c>
      <c r="C3434" s="45">
        <v>2009</v>
      </c>
      <c r="D3434" s="24" t="s">
        <v>141</v>
      </c>
      <c r="E3434" s="30" t="s">
        <v>142</v>
      </c>
      <c r="F3434" s="7" t="s">
        <v>60</v>
      </c>
      <c r="G3434" s="25" t="s">
        <v>2797</v>
      </c>
      <c r="H3434" s="29" t="s">
        <v>5087</v>
      </c>
      <c r="I3434" s="46">
        <v>0</v>
      </c>
      <c r="J3434" s="46">
        <v>0</v>
      </c>
      <c r="K3434" s="46">
        <v>0</v>
      </c>
      <c r="L3434" s="46">
        <v>0</v>
      </c>
      <c r="M3434" s="46">
        <v>0</v>
      </c>
      <c r="N3434" s="46">
        <v>0</v>
      </c>
      <c r="O3434" s="124">
        <v>0</v>
      </c>
      <c r="P3434" s="102">
        <f>450000/1000000</f>
        <v>0.45</v>
      </c>
      <c r="Q3434" s="45" t="s">
        <v>154</v>
      </c>
    </row>
    <row r="3435" spans="1:17" ht="228" x14ac:dyDescent="0.25">
      <c r="A3435" s="21">
        <v>39963</v>
      </c>
      <c r="B3435" s="21">
        <v>39963</v>
      </c>
      <c r="C3435" s="45">
        <v>2009</v>
      </c>
      <c r="D3435" s="24" t="s">
        <v>141</v>
      </c>
      <c r="E3435" s="30" t="s">
        <v>142</v>
      </c>
      <c r="F3435" s="7" t="s">
        <v>45</v>
      </c>
      <c r="G3435" s="25" t="s">
        <v>2866</v>
      </c>
      <c r="H3435" s="29" t="s">
        <v>5088</v>
      </c>
      <c r="I3435" s="46">
        <v>4</v>
      </c>
      <c r="J3435" s="46">
        <v>254</v>
      </c>
      <c r="K3435" s="46">
        <v>7</v>
      </c>
      <c r="L3435" s="46">
        <v>0</v>
      </c>
      <c r="M3435" s="46">
        <v>0</v>
      </c>
      <c r="N3435" s="46">
        <v>0</v>
      </c>
      <c r="O3435" s="124">
        <v>0</v>
      </c>
      <c r="P3435" s="102">
        <v>0</v>
      </c>
      <c r="Q3435" s="45" t="s">
        <v>154</v>
      </c>
    </row>
    <row r="3436" spans="1:17" ht="168" x14ac:dyDescent="0.25">
      <c r="A3436" s="21">
        <v>39967</v>
      </c>
      <c r="B3436" s="21">
        <v>39967</v>
      </c>
      <c r="C3436" s="45">
        <v>2009</v>
      </c>
      <c r="D3436" s="24" t="s">
        <v>141</v>
      </c>
      <c r="E3436" s="30" t="s">
        <v>142</v>
      </c>
      <c r="F3436" s="28" t="s">
        <v>157</v>
      </c>
      <c r="G3436" s="25" t="s">
        <v>1062</v>
      </c>
      <c r="H3436" s="29" t="s">
        <v>5089</v>
      </c>
      <c r="I3436" s="46">
        <v>0</v>
      </c>
      <c r="J3436" s="46">
        <v>7</v>
      </c>
      <c r="K3436" s="46">
        <v>0</v>
      </c>
      <c r="L3436" s="46">
        <v>0</v>
      </c>
      <c r="M3436" s="46">
        <v>0</v>
      </c>
      <c r="N3436" s="46">
        <v>0</v>
      </c>
      <c r="O3436" s="124">
        <v>0</v>
      </c>
      <c r="P3436" s="102">
        <f>(450000+450000+200000)/1000000</f>
        <v>1.1000000000000001</v>
      </c>
      <c r="Q3436" s="45" t="s">
        <v>154</v>
      </c>
    </row>
    <row r="3437" spans="1:17" ht="60" x14ac:dyDescent="0.25">
      <c r="A3437" s="21">
        <v>39967</v>
      </c>
      <c r="B3437" s="21">
        <v>39967</v>
      </c>
      <c r="C3437" s="45">
        <v>2009</v>
      </c>
      <c r="D3437" s="24" t="s">
        <v>141</v>
      </c>
      <c r="E3437" s="30" t="s">
        <v>142</v>
      </c>
      <c r="F3437" s="7" t="s">
        <v>82</v>
      </c>
      <c r="G3437" s="25" t="s">
        <v>4878</v>
      </c>
      <c r="H3437" s="25" t="s">
        <v>5090</v>
      </c>
      <c r="I3437" s="46">
        <v>16</v>
      </c>
      <c r="J3437" s="46">
        <v>20</v>
      </c>
      <c r="K3437" s="46">
        <v>0</v>
      </c>
      <c r="L3437" s="46">
        <v>0</v>
      </c>
      <c r="M3437" s="46">
        <v>0</v>
      </c>
      <c r="N3437" s="46">
        <v>0</v>
      </c>
      <c r="O3437" s="124">
        <v>0</v>
      </c>
      <c r="P3437" s="102">
        <f>850000/1000000</f>
        <v>0.85</v>
      </c>
      <c r="Q3437" s="45" t="s">
        <v>154</v>
      </c>
    </row>
    <row r="3438" spans="1:17" ht="120" x14ac:dyDescent="0.25">
      <c r="A3438" s="21">
        <v>39968</v>
      </c>
      <c r="B3438" s="21">
        <v>39968</v>
      </c>
      <c r="C3438" s="45">
        <v>2009</v>
      </c>
      <c r="D3438" s="24" t="s">
        <v>141</v>
      </c>
      <c r="E3438" s="30" t="s">
        <v>142</v>
      </c>
      <c r="F3438" s="7" t="s">
        <v>53</v>
      </c>
      <c r="G3438" s="25" t="s">
        <v>2268</v>
      </c>
      <c r="H3438" s="29" t="s">
        <v>5091</v>
      </c>
      <c r="I3438" s="46">
        <v>1</v>
      </c>
      <c r="J3438" s="46">
        <v>2</v>
      </c>
      <c r="K3438" s="46">
        <v>0</v>
      </c>
      <c r="L3438" s="46">
        <v>0</v>
      </c>
      <c r="M3438" s="46">
        <v>0</v>
      </c>
      <c r="N3438" s="46">
        <v>0</v>
      </c>
      <c r="O3438" s="124">
        <v>0</v>
      </c>
      <c r="P3438" s="102">
        <f>(450000+500000+200000)/1000000</f>
        <v>1.1499999999999999</v>
      </c>
      <c r="Q3438" s="45" t="s">
        <v>154</v>
      </c>
    </row>
    <row r="3439" spans="1:17" ht="84" x14ac:dyDescent="0.25">
      <c r="A3439" s="23">
        <v>39969</v>
      </c>
      <c r="B3439" s="23">
        <v>39969</v>
      </c>
      <c r="C3439" s="27">
        <v>2009</v>
      </c>
      <c r="D3439" s="24" t="s">
        <v>141</v>
      </c>
      <c r="E3439" s="30" t="s">
        <v>149</v>
      </c>
      <c r="F3439" s="7" t="s">
        <v>87</v>
      </c>
      <c r="G3439" s="25" t="s">
        <v>2608</v>
      </c>
      <c r="H3439" s="25" t="s">
        <v>5092</v>
      </c>
      <c r="I3439" s="20">
        <v>49</v>
      </c>
      <c r="J3439" s="20">
        <v>128</v>
      </c>
      <c r="K3439" s="20">
        <v>0</v>
      </c>
      <c r="L3439" s="20">
        <v>1</v>
      </c>
      <c r="M3439" s="20">
        <v>0</v>
      </c>
      <c r="N3439" s="46">
        <v>0</v>
      </c>
      <c r="O3439" s="75">
        <v>0</v>
      </c>
      <c r="P3439" s="76">
        <v>0</v>
      </c>
      <c r="Q3439" s="45" t="s">
        <v>154</v>
      </c>
    </row>
    <row r="3440" spans="1:17" ht="84" x14ac:dyDescent="0.25">
      <c r="A3440" s="21">
        <v>39970</v>
      </c>
      <c r="B3440" s="21">
        <v>39970</v>
      </c>
      <c r="C3440" s="45">
        <v>2009</v>
      </c>
      <c r="D3440" s="24" t="s">
        <v>141</v>
      </c>
      <c r="E3440" s="30" t="s">
        <v>142</v>
      </c>
      <c r="F3440" s="7" t="s">
        <v>65</v>
      </c>
      <c r="G3440" s="25" t="s">
        <v>4925</v>
      </c>
      <c r="H3440" s="29" t="s">
        <v>5093</v>
      </c>
      <c r="I3440" s="46">
        <v>0</v>
      </c>
      <c r="J3440" s="46">
        <v>0</v>
      </c>
      <c r="K3440" s="46">
        <v>0</v>
      </c>
      <c r="L3440" s="46">
        <v>0</v>
      </c>
      <c r="M3440" s="46">
        <v>0</v>
      </c>
      <c r="N3440" s="46">
        <v>0</v>
      </c>
      <c r="O3440" s="124">
        <v>0</v>
      </c>
      <c r="P3440" s="102">
        <f>(450000+30000*8.5)/1000000</f>
        <v>0.70499999999999996</v>
      </c>
      <c r="Q3440" s="45" t="s">
        <v>154</v>
      </c>
    </row>
    <row r="3441" spans="1:17" ht="168" x14ac:dyDescent="0.25">
      <c r="A3441" s="21">
        <v>39970</v>
      </c>
      <c r="B3441" s="21">
        <v>39970</v>
      </c>
      <c r="C3441" s="45">
        <v>2009</v>
      </c>
      <c r="D3441" s="24" t="s">
        <v>141</v>
      </c>
      <c r="E3441" s="30" t="s">
        <v>142</v>
      </c>
      <c r="F3441" s="7" t="s">
        <v>62</v>
      </c>
      <c r="G3441" s="25" t="s">
        <v>2163</v>
      </c>
      <c r="H3441" s="29" t="s">
        <v>5094</v>
      </c>
      <c r="I3441" s="46">
        <v>0</v>
      </c>
      <c r="J3441" s="46">
        <v>0</v>
      </c>
      <c r="K3441" s="46">
        <v>0</v>
      </c>
      <c r="L3441" s="46">
        <v>0</v>
      </c>
      <c r="M3441" s="46">
        <v>0</v>
      </c>
      <c r="N3441" s="46">
        <v>0</v>
      </c>
      <c r="O3441" s="124">
        <v>0</v>
      </c>
      <c r="P3441" s="102">
        <f>(450000+45000*6.63)/1000000</f>
        <v>0.74834999999999996</v>
      </c>
      <c r="Q3441" s="45" t="s">
        <v>154</v>
      </c>
    </row>
    <row r="3442" spans="1:17" ht="276" x14ac:dyDescent="0.25">
      <c r="A3442" s="21">
        <v>39973</v>
      </c>
      <c r="B3442" s="21">
        <v>39973</v>
      </c>
      <c r="C3442" s="45">
        <v>2009</v>
      </c>
      <c r="D3442" s="24" t="s">
        <v>141</v>
      </c>
      <c r="E3442" s="30" t="s">
        <v>142</v>
      </c>
      <c r="F3442" s="7" t="s">
        <v>30</v>
      </c>
      <c r="G3442" s="25" t="s">
        <v>1070</v>
      </c>
      <c r="H3442" s="29" t="s">
        <v>5095</v>
      </c>
      <c r="I3442" s="46">
        <v>0</v>
      </c>
      <c r="J3442" s="46">
        <v>0</v>
      </c>
      <c r="K3442" s="46">
        <v>1</v>
      </c>
      <c r="L3442" s="46">
        <v>0</v>
      </c>
      <c r="M3442" s="46">
        <v>0</v>
      </c>
      <c r="N3442" s="46">
        <v>0</v>
      </c>
      <c r="O3442" s="124">
        <v>0</v>
      </c>
      <c r="P3442" s="102">
        <f>(450000+27000*9.85+200000*4+95904)/1000000</f>
        <v>1.6118539999999999</v>
      </c>
      <c r="Q3442" s="45" t="s">
        <v>154</v>
      </c>
    </row>
    <row r="3443" spans="1:17" ht="132" x14ac:dyDescent="0.25">
      <c r="A3443" s="21">
        <v>39974</v>
      </c>
      <c r="B3443" s="21">
        <v>39974</v>
      </c>
      <c r="C3443" s="45">
        <v>2009</v>
      </c>
      <c r="D3443" s="24" t="s">
        <v>141</v>
      </c>
      <c r="E3443" s="30" t="s">
        <v>4983</v>
      </c>
      <c r="F3443" s="7" t="s">
        <v>68</v>
      </c>
      <c r="G3443" s="25" t="s">
        <v>5096</v>
      </c>
      <c r="H3443" s="29" t="s">
        <v>5097</v>
      </c>
      <c r="I3443" s="46">
        <v>0</v>
      </c>
      <c r="J3443" s="46">
        <v>250</v>
      </c>
      <c r="K3443" s="46">
        <v>0</v>
      </c>
      <c r="L3443" s="46">
        <v>0</v>
      </c>
      <c r="M3443" s="46">
        <v>0</v>
      </c>
      <c r="N3443" s="46">
        <v>0</v>
      </c>
      <c r="O3443" s="124">
        <v>0</v>
      </c>
      <c r="P3443" s="102" t="s">
        <v>4558</v>
      </c>
      <c r="Q3443" s="45" t="s">
        <v>154</v>
      </c>
    </row>
    <row r="3444" spans="1:17" ht="48" x14ac:dyDescent="0.25">
      <c r="A3444" s="21">
        <v>39975</v>
      </c>
      <c r="B3444" s="21">
        <v>39975</v>
      </c>
      <c r="C3444" s="45">
        <v>2009</v>
      </c>
      <c r="D3444" s="24" t="s">
        <v>141</v>
      </c>
      <c r="E3444" s="30" t="s">
        <v>5098</v>
      </c>
      <c r="F3444" s="7" t="s">
        <v>45</v>
      </c>
      <c r="G3444" s="25" t="s">
        <v>2097</v>
      </c>
      <c r="H3444" s="25" t="s">
        <v>5099</v>
      </c>
      <c r="I3444" s="46">
        <v>0</v>
      </c>
      <c r="J3444" s="46">
        <v>1</v>
      </c>
      <c r="K3444" s="46">
        <v>0</v>
      </c>
      <c r="L3444" s="46">
        <v>0</v>
      </c>
      <c r="M3444" s="46">
        <v>0</v>
      </c>
      <c r="N3444" s="46">
        <v>0</v>
      </c>
      <c r="O3444" s="124">
        <v>0</v>
      </c>
      <c r="P3444" s="102">
        <v>0</v>
      </c>
      <c r="Q3444" s="45" t="s">
        <v>154</v>
      </c>
    </row>
    <row r="3445" spans="1:17" ht="132" x14ac:dyDescent="0.25">
      <c r="A3445" s="21">
        <v>39977</v>
      </c>
      <c r="B3445" s="21">
        <v>39977</v>
      </c>
      <c r="C3445" s="45">
        <v>2009</v>
      </c>
      <c r="D3445" s="24" t="s">
        <v>141</v>
      </c>
      <c r="E3445" s="30" t="s">
        <v>142</v>
      </c>
      <c r="F3445" s="7" t="s">
        <v>45</v>
      </c>
      <c r="G3445" s="25" t="s">
        <v>1920</v>
      </c>
      <c r="H3445" s="25" t="s">
        <v>5100</v>
      </c>
      <c r="I3445" s="46">
        <v>0</v>
      </c>
      <c r="J3445" s="46">
        <v>0</v>
      </c>
      <c r="K3445" s="46">
        <v>0</v>
      </c>
      <c r="L3445" s="46">
        <v>0</v>
      </c>
      <c r="M3445" s="46">
        <v>0</v>
      </c>
      <c r="N3445" s="46">
        <v>0</v>
      </c>
      <c r="O3445" s="124">
        <v>0</v>
      </c>
      <c r="P3445" s="102">
        <f>450000/1000000</f>
        <v>0.45</v>
      </c>
      <c r="Q3445" s="45" t="s">
        <v>154</v>
      </c>
    </row>
    <row r="3446" spans="1:17" ht="108" x14ac:dyDescent="0.25">
      <c r="A3446" s="21">
        <v>39983</v>
      </c>
      <c r="B3446" s="21">
        <v>39983</v>
      </c>
      <c r="C3446" s="45">
        <v>2009</v>
      </c>
      <c r="D3446" s="24" t="s">
        <v>141</v>
      </c>
      <c r="E3446" s="30" t="s">
        <v>5055</v>
      </c>
      <c r="F3446" s="7" t="s">
        <v>53</v>
      </c>
      <c r="G3446" s="25" t="s">
        <v>2516</v>
      </c>
      <c r="H3446" s="25" t="s">
        <v>5101</v>
      </c>
      <c r="I3446" s="46">
        <v>0</v>
      </c>
      <c r="J3446" s="46">
        <v>25</v>
      </c>
      <c r="K3446" s="46">
        <v>0</v>
      </c>
      <c r="L3446" s="46">
        <v>0</v>
      </c>
      <c r="M3446" s="46">
        <v>0</v>
      </c>
      <c r="N3446" s="46">
        <v>0</v>
      </c>
      <c r="O3446" s="124">
        <v>0</v>
      </c>
      <c r="P3446" s="102" t="s">
        <v>4558</v>
      </c>
      <c r="Q3446" s="45" t="s">
        <v>154</v>
      </c>
    </row>
    <row r="3447" spans="1:17" ht="96" x14ac:dyDescent="0.25">
      <c r="A3447" s="21">
        <v>39984</v>
      </c>
      <c r="B3447" s="21">
        <v>39984</v>
      </c>
      <c r="C3447" s="45">
        <v>2009</v>
      </c>
      <c r="D3447" s="24" t="s">
        <v>141</v>
      </c>
      <c r="E3447" s="30" t="s">
        <v>142</v>
      </c>
      <c r="F3447" s="7" t="s">
        <v>36</v>
      </c>
      <c r="G3447" s="25" t="s">
        <v>2924</v>
      </c>
      <c r="H3447" s="25" t="s">
        <v>5102</v>
      </c>
      <c r="I3447" s="46">
        <v>0</v>
      </c>
      <c r="J3447" s="46">
        <v>46</v>
      </c>
      <c r="K3447" s="46">
        <v>0</v>
      </c>
      <c r="L3447" s="46">
        <v>0</v>
      </c>
      <c r="M3447" s="46">
        <v>0</v>
      </c>
      <c r="N3447" s="46">
        <v>0</v>
      </c>
      <c r="O3447" s="124">
        <v>0</v>
      </c>
      <c r="P3447" s="102">
        <f>(850000+350000)/1000000</f>
        <v>1.2</v>
      </c>
      <c r="Q3447" s="45" t="s">
        <v>154</v>
      </c>
    </row>
    <row r="3448" spans="1:17" ht="36" x14ac:dyDescent="0.25">
      <c r="A3448" s="21">
        <v>39986</v>
      </c>
      <c r="B3448" s="21">
        <v>39986</v>
      </c>
      <c r="C3448" s="45">
        <v>2009</v>
      </c>
      <c r="D3448" s="24" t="s">
        <v>141</v>
      </c>
      <c r="E3448" s="30" t="s">
        <v>142</v>
      </c>
      <c r="F3448" s="7" t="s">
        <v>87</v>
      </c>
      <c r="G3448" s="25" t="s">
        <v>1714</v>
      </c>
      <c r="H3448" s="25" t="s">
        <v>5103</v>
      </c>
      <c r="I3448" s="46">
        <v>6</v>
      </c>
      <c r="J3448" s="46">
        <v>36</v>
      </c>
      <c r="K3448" s="46">
        <v>0</v>
      </c>
      <c r="L3448" s="46">
        <v>0</v>
      </c>
      <c r="M3448" s="46">
        <v>0</v>
      </c>
      <c r="N3448" s="46">
        <v>0</v>
      </c>
      <c r="O3448" s="124">
        <v>0</v>
      </c>
      <c r="P3448" s="102">
        <f>850000/1000000</f>
        <v>0.85</v>
      </c>
      <c r="Q3448" s="45" t="s">
        <v>154</v>
      </c>
    </row>
    <row r="3449" spans="1:17" ht="24" x14ac:dyDescent="0.25">
      <c r="A3449" s="21">
        <v>39988</v>
      </c>
      <c r="B3449" s="21">
        <v>39988</v>
      </c>
      <c r="C3449" s="45">
        <v>2009</v>
      </c>
      <c r="D3449" s="24" t="s">
        <v>141</v>
      </c>
      <c r="E3449" s="30" t="s">
        <v>4995</v>
      </c>
      <c r="F3449" s="7" t="s">
        <v>87</v>
      </c>
      <c r="G3449" s="25" t="s">
        <v>1457</v>
      </c>
      <c r="H3449" s="25" t="s">
        <v>5104</v>
      </c>
      <c r="I3449" s="46">
        <v>0</v>
      </c>
      <c r="J3449" s="46">
        <v>2</v>
      </c>
      <c r="K3449" s="46">
        <v>0</v>
      </c>
      <c r="L3449" s="46">
        <v>0</v>
      </c>
      <c r="M3449" s="46">
        <v>0</v>
      </c>
      <c r="N3449" s="46">
        <v>0</v>
      </c>
      <c r="O3449" s="124">
        <v>0</v>
      </c>
      <c r="P3449" s="102">
        <f>1000000/1000000</f>
        <v>1</v>
      </c>
      <c r="Q3449" s="45" t="s">
        <v>154</v>
      </c>
    </row>
    <row r="3450" spans="1:17" ht="48" x14ac:dyDescent="0.25">
      <c r="A3450" s="21">
        <v>39989</v>
      </c>
      <c r="B3450" s="21">
        <v>39989</v>
      </c>
      <c r="C3450" s="45">
        <v>2009</v>
      </c>
      <c r="D3450" s="24" t="s">
        <v>141</v>
      </c>
      <c r="E3450" s="30" t="s">
        <v>142</v>
      </c>
      <c r="F3450" s="28" t="s">
        <v>210</v>
      </c>
      <c r="G3450" s="25" t="s">
        <v>4328</v>
      </c>
      <c r="H3450" s="25" t="s">
        <v>5105</v>
      </c>
      <c r="I3450" s="46">
        <v>0</v>
      </c>
      <c r="J3450" s="46">
        <v>0</v>
      </c>
      <c r="K3450" s="46">
        <v>0</v>
      </c>
      <c r="L3450" s="46">
        <v>0</v>
      </c>
      <c r="M3450" s="46">
        <v>0</v>
      </c>
      <c r="N3450" s="46">
        <v>0</v>
      </c>
      <c r="O3450" s="124">
        <v>0</v>
      </c>
      <c r="P3450" s="102">
        <f>(450000+42000*41)/1000000</f>
        <v>2.1720000000000002</v>
      </c>
      <c r="Q3450" s="45" t="s">
        <v>154</v>
      </c>
    </row>
    <row r="3451" spans="1:17" ht="36" x14ac:dyDescent="0.25">
      <c r="A3451" s="21">
        <v>39990</v>
      </c>
      <c r="B3451" s="21">
        <v>39990</v>
      </c>
      <c r="C3451" s="45">
        <v>2009</v>
      </c>
      <c r="D3451" s="24" t="s">
        <v>141</v>
      </c>
      <c r="E3451" s="30" t="s">
        <v>142</v>
      </c>
      <c r="F3451" s="7" t="s">
        <v>87</v>
      </c>
      <c r="G3451" s="25" t="s">
        <v>2168</v>
      </c>
      <c r="H3451" s="25" t="s">
        <v>5106</v>
      </c>
      <c r="I3451" s="46">
        <v>1</v>
      </c>
      <c r="J3451" s="46">
        <v>11</v>
      </c>
      <c r="K3451" s="46">
        <v>0</v>
      </c>
      <c r="L3451" s="46">
        <v>0</v>
      </c>
      <c r="M3451" s="46">
        <v>0</v>
      </c>
      <c r="N3451" s="46">
        <v>0</v>
      </c>
      <c r="O3451" s="124">
        <v>0</v>
      </c>
      <c r="P3451" s="102">
        <f>(850000+500000)/1000000</f>
        <v>1.35</v>
      </c>
      <c r="Q3451" s="45" t="s">
        <v>154</v>
      </c>
    </row>
    <row r="3452" spans="1:17" ht="156" x14ac:dyDescent="0.25">
      <c r="A3452" s="21">
        <v>39991</v>
      </c>
      <c r="B3452" s="21">
        <v>39991</v>
      </c>
      <c r="C3452" s="45">
        <v>2009</v>
      </c>
      <c r="D3452" s="24" t="s">
        <v>141</v>
      </c>
      <c r="E3452" s="30" t="s">
        <v>142</v>
      </c>
      <c r="F3452" s="7" t="s">
        <v>45</v>
      </c>
      <c r="G3452" s="25" t="s">
        <v>4305</v>
      </c>
      <c r="H3452" s="25" t="s">
        <v>5107</v>
      </c>
      <c r="I3452" s="46">
        <v>5</v>
      </c>
      <c r="J3452" s="46">
        <v>15</v>
      </c>
      <c r="K3452" s="46">
        <v>0</v>
      </c>
      <c r="L3452" s="46">
        <v>0</v>
      </c>
      <c r="M3452" s="46">
        <v>0</v>
      </c>
      <c r="N3452" s="46">
        <v>0</v>
      </c>
      <c r="O3452" s="124">
        <v>0</v>
      </c>
      <c r="P3452" s="102">
        <f>(850000+500000)/1000000</f>
        <v>1.35</v>
      </c>
      <c r="Q3452" s="45" t="s">
        <v>154</v>
      </c>
    </row>
    <row r="3453" spans="1:17" ht="132" x14ac:dyDescent="0.25">
      <c r="A3453" s="21">
        <v>39991</v>
      </c>
      <c r="B3453" s="21">
        <v>39991</v>
      </c>
      <c r="C3453" s="45">
        <v>2009</v>
      </c>
      <c r="D3453" s="24" t="s">
        <v>141</v>
      </c>
      <c r="E3453" s="30" t="s">
        <v>142</v>
      </c>
      <c r="F3453" s="7" t="s">
        <v>62</v>
      </c>
      <c r="G3453" s="25" t="s">
        <v>474</v>
      </c>
      <c r="H3453" s="25" t="s">
        <v>5108</v>
      </c>
      <c r="I3453" s="46">
        <v>1</v>
      </c>
      <c r="J3453" s="46">
        <v>15</v>
      </c>
      <c r="K3453" s="46">
        <v>0</v>
      </c>
      <c r="L3453" s="46">
        <v>0</v>
      </c>
      <c r="M3453" s="46">
        <v>0</v>
      </c>
      <c r="N3453" s="46">
        <v>0</v>
      </c>
      <c r="O3453" s="124">
        <v>0</v>
      </c>
      <c r="P3453" s="102">
        <f>850000/1000000</f>
        <v>0.85</v>
      </c>
      <c r="Q3453" s="45" t="s">
        <v>154</v>
      </c>
    </row>
    <row r="3454" spans="1:17" ht="144" x14ac:dyDescent="0.25">
      <c r="A3454" s="21">
        <v>39999</v>
      </c>
      <c r="B3454" s="21">
        <v>39999</v>
      </c>
      <c r="C3454" s="45">
        <v>2009</v>
      </c>
      <c r="D3454" s="24" t="s">
        <v>141</v>
      </c>
      <c r="E3454" s="30" t="s">
        <v>142</v>
      </c>
      <c r="F3454" s="7" t="s">
        <v>47</v>
      </c>
      <c r="G3454" s="25" t="s">
        <v>47</v>
      </c>
      <c r="H3454" s="25" t="s">
        <v>5109</v>
      </c>
      <c r="I3454" s="46">
        <v>0</v>
      </c>
      <c r="J3454" s="46">
        <v>1</v>
      </c>
      <c r="K3454" s="46">
        <v>0</v>
      </c>
      <c r="L3454" s="46">
        <v>0</v>
      </c>
      <c r="M3454" s="46">
        <v>0</v>
      </c>
      <c r="N3454" s="46">
        <v>0</v>
      </c>
      <c r="O3454" s="124">
        <v>0</v>
      </c>
      <c r="P3454" s="102">
        <f>500000/1000000</f>
        <v>0.5</v>
      </c>
      <c r="Q3454" s="45" t="s">
        <v>154</v>
      </c>
    </row>
    <row r="3455" spans="1:17" ht="132" x14ac:dyDescent="0.25">
      <c r="A3455" s="21">
        <v>40000</v>
      </c>
      <c r="B3455" s="21">
        <v>40000</v>
      </c>
      <c r="C3455" s="45">
        <v>2009</v>
      </c>
      <c r="D3455" s="24" t="s">
        <v>141</v>
      </c>
      <c r="E3455" s="30" t="s">
        <v>142</v>
      </c>
      <c r="F3455" s="7" t="s">
        <v>36</v>
      </c>
      <c r="G3455" s="25" t="s">
        <v>267</v>
      </c>
      <c r="H3455" s="25" t="s">
        <v>5110</v>
      </c>
      <c r="I3455" s="46">
        <v>7</v>
      </c>
      <c r="J3455" s="46">
        <v>27</v>
      </c>
      <c r="K3455" s="46">
        <v>0</v>
      </c>
      <c r="L3455" s="46">
        <v>0</v>
      </c>
      <c r="M3455" s="46">
        <v>0</v>
      </c>
      <c r="N3455" s="46">
        <v>0</v>
      </c>
      <c r="O3455" s="124">
        <v>0</v>
      </c>
      <c r="P3455" s="102">
        <f>300000/1000000</f>
        <v>0.3</v>
      </c>
      <c r="Q3455" s="45" t="s">
        <v>154</v>
      </c>
    </row>
    <row r="3456" spans="1:17" ht="36" x14ac:dyDescent="0.25">
      <c r="A3456" s="21">
        <v>40000</v>
      </c>
      <c r="B3456" s="21">
        <v>40000</v>
      </c>
      <c r="C3456" s="45">
        <v>2009</v>
      </c>
      <c r="D3456" s="24" t="s">
        <v>141</v>
      </c>
      <c r="E3456" s="30" t="s">
        <v>1600</v>
      </c>
      <c r="F3456" s="7" t="s">
        <v>45</v>
      </c>
      <c r="G3456" s="25" t="s">
        <v>2071</v>
      </c>
      <c r="H3456" s="25" t="s">
        <v>5111</v>
      </c>
      <c r="I3456" s="46">
        <v>2</v>
      </c>
      <c r="J3456" s="46">
        <v>2</v>
      </c>
      <c r="K3456" s="46">
        <v>0</v>
      </c>
      <c r="L3456" s="46">
        <v>0</v>
      </c>
      <c r="M3456" s="46">
        <v>0</v>
      </c>
      <c r="N3456" s="46">
        <v>0</v>
      </c>
      <c r="O3456" s="124">
        <v>0</v>
      </c>
      <c r="P3456" s="102"/>
      <c r="Q3456" s="45" t="s">
        <v>154</v>
      </c>
    </row>
    <row r="3457" spans="1:17" ht="24" x14ac:dyDescent="0.25">
      <c r="A3457" s="21">
        <v>40004</v>
      </c>
      <c r="B3457" s="21">
        <v>40004</v>
      </c>
      <c r="C3457" s="45">
        <v>2009</v>
      </c>
      <c r="D3457" s="24" t="s">
        <v>141</v>
      </c>
      <c r="E3457" s="30" t="s">
        <v>142</v>
      </c>
      <c r="F3457" s="28" t="s">
        <v>210</v>
      </c>
      <c r="G3457" s="25" t="s">
        <v>893</v>
      </c>
      <c r="H3457" s="25" t="s">
        <v>5112</v>
      </c>
      <c r="I3457" s="46">
        <v>0</v>
      </c>
      <c r="J3457" s="46">
        <v>25</v>
      </c>
      <c r="K3457" s="46">
        <v>0</v>
      </c>
      <c r="L3457" s="46">
        <v>0</v>
      </c>
      <c r="M3457" s="46">
        <v>0</v>
      </c>
      <c r="N3457" s="46">
        <v>0</v>
      </c>
      <c r="O3457" s="124">
        <v>0</v>
      </c>
      <c r="P3457" s="102">
        <f>600000/1000000</f>
        <v>0.6</v>
      </c>
      <c r="Q3457" s="45" t="s">
        <v>154</v>
      </c>
    </row>
    <row r="3458" spans="1:17" ht="36" x14ac:dyDescent="0.25">
      <c r="A3458" s="21">
        <v>40005</v>
      </c>
      <c r="B3458" s="21">
        <v>40005</v>
      </c>
      <c r="C3458" s="45">
        <v>2009</v>
      </c>
      <c r="D3458" s="24" t="s">
        <v>141</v>
      </c>
      <c r="E3458" s="30" t="s">
        <v>142</v>
      </c>
      <c r="F3458" s="7" t="s">
        <v>75</v>
      </c>
      <c r="G3458" s="25" t="s">
        <v>4282</v>
      </c>
      <c r="H3458" s="25" t="s">
        <v>5113</v>
      </c>
      <c r="I3458" s="46">
        <v>0</v>
      </c>
      <c r="J3458" s="46">
        <v>0</v>
      </c>
      <c r="K3458" s="46">
        <v>0</v>
      </c>
      <c r="L3458" s="46">
        <v>0</v>
      </c>
      <c r="M3458" s="46">
        <v>0</v>
      </c>
      <c r="N3458" s="46">
        <v>0</v>
      </c>
      <c r="O3458" s="124">
        <v>0</v>
      </c>
      <c r="P3458" s="102">
        <f>(450000+30000*8.5)/1000000</f>
        <v>0.70499999999999996</v>
      </c>
      <c r="Q3458" s="45" t="s">
        <v>154</v>
      </c>
    </row>
    <row r="3459" spans="1:17" ht="24" x14ac:dyDescent="0.25">
      <c r="A3459" s="21">
        <v>40006</v>
      </c>
      <c r="B3459" s="21">
        <v>40006</v>
      </c>
      <c r="C3459" s="45">
        <v>2009</v>
      </c>
      <c r="D3459" s="24" t="s">
        <v>141</v>
      </c>
      <c r="E3459" s="30" t="s">
        <v>142</v>
      </c>
      <c r="F3459" s="7" t="s">
        <v>60</v>
      </c>
      <c r="G3459" s="126" t="s">
        <v>1993</v>
      </c>
      <c r="H3459" s="25" t="s">
        <v>5114</v>
      </c>
      <c r="I3459" s="43">
        <v>0</v>
      </c>
      <c r="J3459" s="46">
        <v>20</v>
      </c>
      <c r="K3459" s="46">
        <v>0</v>
      </c>
      <c r="L3459" s="46">
        <v>0</v>
      </c>
      <c r="M3459" s="46">
        <v>0</v>
      </c>
      <c r="N3459" s="46">
        <v>0</v>
      </c>
      <c r="O3459" s="124">
        <v>0</v>
      </c>
      <c r="P3459" s="102">
        <f>(850000*2)/1000000</f>
        <v>1.7</v>
      </c>
      <c r="Q3459" s="45" t="s">
        <v>154</v>
      </c>
    </row>
    <row r="3460" spans="1:17" ht="36" x14ac:dyDescent="0.25">
      <c r="A3460" s="21">
        <v>40006</v>
      </c>
      <c r="B3460" s="21">
        <v>40006</v>
      </c>
      <c r="C3460" s="45">
        <v>2009</v>
      </c>
      <c r="D3460" s="24" t="s">
        <v>141</v>
      </c>
      <c r="E3460" s="30" t="s">
        <v>142</v>
      </c>
      <c r="F3460" s="28" t="s">
        <v>210</v>
      </c>
      <c r="G3460" s="25" t="s">
        <v>567</v>
      </c>
      <c r="H3460" s="25" t="s">
        <v>5115</v>
      </c>
      <c r="I3460" s="46">
        <v>2</v>
      </c>
      <c r="J3460" s="46">
        <v>27</v>
      </c>
      <c r="K3460" s="46">
        <v>0</v>
      </c>
      <c r="L3460" s="46">
        <v>0</v>
      </c>
      <c r="M3460" s="46">
        <v>0</v>
      </c>
      <c r="N3460" s="46">
        <v>0</v>
      </c>
      <c r="O3460" s="124">
        <v>0</v>
      </c>
      <c r="P3460" s="102">
        <f>(850000+500000)/1000000</f>
        <v>1.35</v>
      </c>
      <c r="Q3460" s="45" t="s">
        <v>154</v>
      </c>
    </row>
    <row r="3461" spans="1:17" ht="36" x14ac:dyDescent="0.25">
      <c r="A3461" s="21">
        <v>40011</v>
      </c>
      <c r="B3461" s="21">
        <v>40011</v>
      </c>
      <c r="C3461" s="45">
        <v>2009</v>
      </c>
      <c r="D3461" s="24" t="s">
        <v>141</v>
      </c>
      <c r="E3461" s="6" t="s">
        <v>333</v>
      </c>
      <c r="F3461" s="25" t="s">
        <v>5116</v>
      </c>
      <c r="G3461" s="25" t="s">
        <v>5117</v>
      </c>
      <c r="H3461" s="25" t="s">
        <v>5118</v>
      </c>
      <c r="I3461" s="46">
        <v>7</v>
      </c>
      <c r="J3461" s="46">
        <v>7</v>
      </c>
      <c r="K3461" s="46">
        <v>0</v>
      </c>
      <c r="L3461" s="46">
        <v>0</v>
      </c>
      <c r="M3461" s="46">
        <v>0</v>
      </c>
      <c r="N3461" s="46">
        <v>0</v>
      </c>
      <c r="O3461" s="124">
        <v>0</v>
      </c>
      <c r="P3461" s="102">
        <f>1817455/1000000</f>
        <v>1.817455</v>
      </c>
      <c r="Q3461" s="45" t="s">
        <v>154</v>
      </c>
    </row>
    <row r="3462" spans="1:17" ht="36" x14ac:dyDescent="0.25">
      <c r="A3462" s="21">
        <v>40013</v>
      </c>
      <c r="B3462" s="21">
        <v>40013</v>
      </c>
      <c r="C3462" s="45">
        <v>2009</v>
      </c>
      <c r="D3462" s="24" t="s">
        <v>141</v>
      </c>
      <c r="E3462" s="30" t="s">
        <v>142</v>
      </c>
      <c r="F3462" s="28" t="s">
        <v>157</v>
      </c>
      <c r="G3462" s="25" t="s">
        <v>1609</v>
      </c>
      <c r="H3462" s="25" t="s">
        <v>5119</v>
      </c>
      <c r="I3462" s="46">
        <v>0</v>
      </c>
      <c r="J3462" s="46">
        <v>10</v>
      </c>
      <c r="K3462" s="46">
        <v>0</v>
      </c>
      <c r="L3462" s="46">
        <v>0</v>
      </c>
      <c r="M3462" s="46">
        <v>0</v>
      </c>
      <c r="N3462" s="46">
        <v>0</v>
      </c>
      <c r="O3462" s="124">
        <v>0</v>
      </c>
      <c r="P3462" s="102">
        <f>850000/1000000</f>
        <v>0.85</v>
      </c>
      <c r="Q3462" s="45" t="s">
        <v>154</v>
      </c>
    </row>
    <row r="3463" spans="1:17" ht="24" x14ac:dyDescent="0.25">
      <c r="A3463" s="21">
        <v>40013</v>
      </c>
      <c r="B3463" s="21">
        <v>40013</v>
      </c>
      <c r="C3463" s="45">
        <v>2009</v>
      </c>
      <c r="D3463" s="24" t="s">
        <v>141</v>
      </c>
      <c r="E3463" s="30" t="s">
        <v>142</v>
      </c>
      <c r="F3463" s="7" t="s">
        <v>56</v>
      </c>
      <c r="G3463" s="25" t="s">
        <v>640</v>
      </c>
      <c r="H3463" s="25" t="s">
        <v>5120</v>
      </c>
      <c r="I3463" s="46">
        <v>0</v>
      </c>
      <c r="J3463" s="46">
        <v>44</v>
      </c>
      <c r="K3463" s="46">
        <v>0</v>
      </c>
      <c r="L3463" s="46">
        <v>0</v>
      </c>
      <c r="M3463" s="46">
        <v>0</v>
      </c>
      <c r="N3463" s="46">
        <v>0</v>
      </c>
      <c r="O3463" s="124">
        <v>0</v>
      </c>
      <c r="P3463" s="102">
        <f>850000/1000000</f>
        <v>0.85</v>
      </c>
      <c r="Q3463" s="45" t="s">
        <v>154</v>
      </c>
    </row>
    <row r="3464" spans="1:17" ht="36" x14ac:dyDescent="0.25">
      <c r="A3464" s="21">
        <v>40014</v>
      </c>
      <c r="B3464" s="21">
        <v>40014</v>
      </c>
      <c r="C3464" s="45">
        <v>2009</v>
      </c>
      <c r="D3464" s="24" t="s">
        <v>141</v>
      </c>
      <c r="E3464" s="30" t="s">
        <v>142</v>
      </c>
      <c r="F3464" s="7" t="s">
        <v>53</v>
      </c>
      <c r="G3464" s="25" t="s">
        <v>5121</v>
      </c>
      <c r="H3464" s="25" t="s">
        <v>5122</v>
      </c>
      <c r="I3464" s="46">
        <v>1</v>
      </c>
      <c r="J3464" s="46">
        <v>11</v>
      </c>
      <c r="K3464" s="46">
        <v>0</v>
      </c>
      <c r="L3464" s="46">
        <v>0</v>
      </c>
      <c r="M3464" s="46">
        <v>0</v>
      </c>
      <c r="N3464" s="46">
        <v>0</v>
      </c>
      <c r="O3464" s="124">
        <v>0</v>
      </c>
      <c r="P3464" s="102">
        <f>(850000+500000)/1000000</f>
        <v>1.35</v>
      </c>
      <c r="Q3464" s="45" t="s">
        <v>154</v>
      </c>
    </row>
    <row r="3465" spans="1:17" ht="36" x14ac:dyDescent="0.25">
      <c r="A3465" s="21">
        <v>40014</v>
      </c>
      <c r="B3465" s="21">
        <v>40014</v>
      </c>
      <c r="C3465" s="45">
        <v>2009</v>
      </c>
      <c r="D3465" s="24" t="s">
        <v>141</v>
      </c>
      <c r="E3465" s="30" t="s">
        <v>142</v>
      </c>
      <c r="F3465" s="28" t="s">
        <v>210</v>
      </c>
      <c r="G3465" s="25" t="s">
        <v>5123</v>
      </c>
      <c r="H3465" s="25" t="s">
        <v>5124</v>
      </c>
      <c r="I3465" s="46">
        <v>0</v>
      </c>
      <c r="J3465" s="46">
        <v>2</v>
      </c>
      <c r="K3465" s="46">
        <v>0</v>
      </c>
      <c r="L3465" s="46">
        <v>0</v>
      </c>
      <c r="M3465" s="46">
        <v>0</v>
      </c>
      <c r="N3465" s="46">
        <v>0</v>
      </c>
      <c r="O3465" s="124">
        <v>0</v>
      </c>
      <c r="P3465" s="102">
        <f>(500000+200000)/1000000</f>
        <v>0.7</v>
      </c>
      <c r="Q3465" s="45" t="s">
        <v>154</v>
      </c>
    </row>
    <row r="3466" spans="1:17" ht="48" x14ac:dyDescent="0.25">
      <c r="A3466" s="21">
        <v>40015</v>
      </c>
      <c r="B3466" s="21">
        <v>40015</v>
      </c>
      <c r="C3466" s="45">
        <v>2009</v>
      </c>
      <c r="D3466" s="24" t="s">
        <v>141</v>
      </c>
      <c r="E3466" s="30" t="s">
        <v>142</v>
      </c>
      <c r="F3466" s="7" t="s">
        <v>101</v>
      </c>
      <c r="G3466" s="25" t="s">
        <v>752</v>
      </c>
      <c r="H3466" s="25" t="s">
        <v>5125</v>
      </c>
      <c r="I3466" s="46">
        <v>1</v>
      </c>
      <c r="J3466" s="46">
        <v>35</v>
      </c>
      <c r="K3466" s="46">
        <v>0</v>
      </c>
      <c r="L3466" s="46">
        <v>0</v>
      </c>
      <c r="M3466" s="46">
        <v>0</v>
      </c>
      <c r="N3466" s="46">
        <v>0</v>
      </c>
      <c r="O3466" s="124">
        <v>0</v>
      </c>
      <c r="P3466" s="102">
        <f>850000/1000000</f>
        <v>0.85</v>
      </c>
      <c r="Q3466" s="45" t="s">
        <v>154</v>
      </c>
    </row>
    <row r="3467" spans="1:17" ht="36" x14ac:dyDescent="0.25">
      <c r="A3467" s="21">
        <v>40018</v>
      </c>
      <c r="B3467" s="21">
        <v>40018</v>
      </c>
      <c r="C3467" s="45">
        <v>2009</v>
      </c>
      <c r="D3467" s="24" t="s">
        <v>141</v>
      </c>
      <c r="E3467" s="30" t="s">
        <v>142</v>
      </c>
      <c r="F3467" s="7" t="s">
        <v>60</v>
      </c>
      <c r="G3467" s="25" t="s">
        <v>2667</v>
      </c>
      <c r="H3467" s="25" t="s">
        <v>5126</v>
      </c>
      <c r="I3467" s="46">
        <v>0</v>
      </c>
      <c r="J3467" s="46">
        <v>5</v>
      </c>
      <c r="K3467" s="46">
        <v>0</v>
      </c>
      <c r="L3467" s="46">
        <v>0</v>
      </c>
      <c r="M3467" s="46">
        <v>0</v>
      </c>
      <c r="N3467" s="46">
        <v>0</v>
      </c>
      <c r="O3467" s="124">
        <v>0</v>
      </c>
      <c r="P3467" s="102">
        <f>(500000+3*200000)/1000000</f>
        <v>1.1000000000000001</v>
      </c>
      <c r="Q3467" s="45" t="s">
        <v>154</v>
      </c>
    </row>
    <row r="3468" spans="1:17" ht="48" x14ac:dyDescent="0.25">
      <c r="A3468" s="21">
        <v>40019</v>
      </c>
      <c r="B3468" s="21">
        <v>40019</v>
      </c>
      <c r="C3468" s="45">
        <v>2009</v>
      </c>
      <c r="D3468" s="24" t="s">
        <v>141</v>
      </c>
      <c r="E3468" s="30" t="s">
        <v>142</v>
      </c>
      <c r="F3468" s="7" t="s">
        <v>91</v>
      </c>
      <c r="G3468" s="25" t="s">
        <v>5127</v>
      </c>
      <c r="H3468" s="25" t="s">
        <v>5128</v>
      </c>
      <c r="I3468" s="46">
        <v>0</v>
      </c>
      <c r="J3468" s="46">
        <v>1</v>
      </c>
      <c r="K3468" s="46">
        <v>0</v>
      </c>
      <c r="L3468" s="46">
        <v>0</v>
      </c>
      <c r="M3468" s="46">
        <v>0</v>
      </c>
      <c r="N3468" s="46">
        <v>0</v>
      </c>
      <c r="O3468" s="124">
        <v>0</v>
      </c>
      <c r="P3468" s="102">
        <f>(450000+23000*6.63)/1000000</f>
        <v>0.60248999999999997</v>
      </c>
      <c r="Q3468" s="45" t="s">
        <v>154</v>
      </c>
    </row>
    <row r="3469" spans="1:17" ht="36" x14ac:dyDescent="0.25">
      <c r="A3469" s="21">
        <v>40021</v>
      </c>
      <c r="B3469" s="21">
        <v>40021</v>
      </c>
      <c r="C3469" s="45">
        <v>2009</v>
      </c>
      <c r="D3469" s="24" t="s">
        <v>141</v>
      </c>
      <c r="E3469" s="30" t="s">
        <v>142</v>
      </c>
      <c r="F3469" s="7" t="s">
        <v>65</v>
      </c>
      <c r="G3469" s="25" t="s">
        <v>418</v>
      </c>
      <c r="H3469" s="25" t="s">
        <v>5129</v>
      </c>
      <c r="I3469" s="46">
        <v>1</v>
      </c>
      <c r="J3469" s="46">
        <v>1</v>
      </c>
      <c r="K3469" s="46">
        <v>0</v>
      </c>
      <c r="L3469" s="46">
        <v>0</v>
      </c>
      <c r="M3469" s="46">
        <v>0</v>
      </c>
      <c r="N3469" s="46">
        <v>0</v>
      </c>
      <c r="O3469" s="124">
        <v>0</v>
      </c>
      <c r="P3469" s="102">
        <f>(600000+300000)/1000000</f>
        <v>0.9</v>
      </c>
      <c r="Q3469" s="45" t="s">
        <v>154</v>
      </c>
    </row>
    <row r="3470" spans="1:17" ht="36" x14ac:dyDescent="0.25">
      <c r="A3470" s="21">
        <v>40021</v>
      </c>
      <c r="B3470" s="21">
        <v>40021</v>
      </c>
      <c r="C3470" s="45">
        <v>2009</v>
      </c>
      <c r="D3470" s="24" t="s">
        <v>141</v>
      </c>
      <c r="E3470" s="30" t="s">
        <v>142</v>
      </c>
      <c r="F3470" s="7" t="s">
        <v>80</v>
      </c>
      <c r="G3470" s="25" t="s">
        <v>4963</v>
      </c>
      <c r="H3470" s="25" t="s">
        <v>5130</v>
      </c>
      <c r="I3470" s="46">
        <v>0</v>
      </c>
      <c r="J3470" s="46">
        <v>17</v>
      </c>
      <c r="K3470" s="46">
        <v>0</v>
      </c>
      <c r="L3470" s="46">
        <v>0</v>
      </c>
      <c r="M3470" s="46">
        <v>0</v>
      </c>
      <c r="N3470" s="46">
        <v>0</v>
      </c>
      <c r="O3470" s="124">
        <v>0</v>
      </c>
      <c r="P3470" s="102">
        <f>(850000+500000)/1000000</f>
        <v>1.35</v>
      </c>
      <c r="Q3470" s="45" t="s">
        <v>154</v>
      </c>
    </row>
    <row r="3471" spans="1:17" ht="48" x14ac:dyDescent="0.25">
      <c r="A3471" s="21">
        <v>40021</v>
      </c>
      <c r="B3471" s="21">
        <v>40021</v>
      </c>
      <c r="C3471" s="45">
        <v>2009</v>
      </c>
      <c r="D3471" s="24" t="s">
        <v>141</v>
      </c>
      <c r="E3471" s="30" t="s">
        <v>142</v>
      </c>
      <c r="F3471" s="7" t="s">
        <v>60</v>
      </c>
      <c r="G3471" s="25" t="s">
        <v>1256</v>
      </c>
      <c r="H3471" s="25" t="s">
        <v>5131</v>
      </c>
      <c r="I3471" s="46">
        <v>0</v>
      </c>
      <c r="J3471" s="46">
        <v>7</v>
      </c>
      <c r="K3471" s="46">
        <v>0</v>
      </c>
      <c r="L3471" s="46">
        <v>0</v>
      </c>
      <c r="M3471" s="46">
        <v>0</v>
      </c>
      <c r="N3471" s="46">
        <v>0</v>
      </c>
      <c r="O3471" s="124">
        <v>0</v>
      </c>
      <c r="P3471" s="102">
        <f>(2*500000+2*200000+300000)/1000000</f>
        <v>1.7</v>
      </c>
      <c r="Q3471" s="45" t="s">
        <v>154</v>
      </c>
    </row>
    <row r="3472" spans="1:17" ht="48" x14ac:dyDescent="0.25">
      <c r="A3472" s="21">
        <v>40025</v>
      </c>
      <c r="B3472" s="21">
        <v>40025</v>
      </c>
      <c r="C3472" s="45">
        <v>2009</v>
      </c>
      <c r="D3472" s="24" t="s">
        <v>141</v>
      </c>
      <c r="E3472" s="30" t="s">
        <v>142</v>
      </c>
      <c r="F3472" s="28" t="s">
        <v>157</v>
      </c>
      <c r="G3472" s="25" t="s">
        <v>1609</v>
      </c>
      <c r="H3472" s="25" t="s">
        <v>5132</v>
      </c>
      <c r="I3472" s="46">
        <v>0</v>
      </c>
      <c r="J3472" s="46">
        <v>1</v>
      </c>
      <c r="K3472" s="46">
        <v>0</v>
      </c>
      <c r="L3472" s="46">
        <v>0</v>
      </c>
      <c r="M3472" s="46">
        <v>0</v>
      </c>
      <c r="N3472" s="46">
        <v>0</v>
      </c>
      <c r="O3472" s="124">
        <v>0</v>
      </c>
      <c r="P3472" s="102">
        <f>(350000+17000*2.89)/1000000</f>
        <v>0.39912999999999998</v>
      </c>
      <c r="Q3472" s="45" t="s">
        <v>154</v>
      </c>
    </row>
    <row r="3473" spans="1:17" ht="48" x14ac:dyDescent="0.25">
      <c r="A3473" s="21">
        <v>40027</v>
      </c>
      <c r="B3473" s="21">
        <v>40027</v>
      </c>
      <c r="C3473" s="45">
        <v>2009</v>
      </c>
      <c r="D3473" s="24" t="s">
        <v>141</v>
      </c>
      <c r="E3473" s="30" t="s">
        <v>142</v>
      </c>
      <c r="F3473" s="7" t="s">
        <v>87</v>
      </c>
      <c r="G3473" s="25" t="s">
        <v>2608</v>
      </c>
      <c r="H3473" s="25" t="s">
        <v>5133</v>
      </c>
      <c r="I3473" s="46">
        <v>7</v>
      </c>
      <c r="J3473" s="46">
        <v>10</v>
      </c>
      <c r="K3473" s="46">
        <v>0</v>
      </c>
      <c r="L3473" s="46">
        <v>0</v>
      </c>
      <c r="M3473" s="46">
        <v>0</v>
      </c>
      <c r="N3473" s="46">
        <v>0</v>
      </c>
      <c r="O3473" s="124">
        <v>0</v>
      </c>
      <c r="P3473" s="102">
        <f>(300000+200000)/1000000</f>
        <v>0.5</v>
      </c>
      <c r="Q3473" s="45" t="s">
        <v>154</v>
      </c>
    </row>
    <row r="3474" spans="1:17" ht="36" x14ac:dyDescent="0.25">
      <c r="A3474" s="21">
        <v>40029</v>
      </c>
      <c r="B3474" s="21">
        <v>40029</v>
      </c>
      <c r="C3474" s="45">
        <v>2009</v>
      </c>
      <c r="D3474" s="24" t="s">
        <v>141</v>
      </c>
      <c r="E3474" s="30" t="s">
        <v>142</v>
      </c>
      <c r="F3474" s="28" t="s">
        <v>157</v>
      </c>
      <c r="G3474" s="25" t="s">
        <v>4963</v>
      </c>
      <c r="H3474" s="25" t="s">
        <v>5134</v>
      </c>
      <c r="I3474" s="46">
        <v>0</v>
      </c>
      <c r="J3474" s="46">
        <v>6</v>
      </c>
      <c r="K3474" s="46">
        <v>0</v>
      </c>
      <c r="L3474" s="46">
        <v>0</v>
      </c>
      <c r="M3474" s="46">
        <v>0</v>
      </c>
      <c r="N3474" s="46">
        <v>0</v>
      </c>
      <c r="O3474" s="124">
        <v>0</v>
      </c>
      <c r="P3474" s="102">
        <v>0</v>
      </c>
      <c r="Q3474" s="45" t="s">
        <v>154</v>
      </c>
    </row>
    <row r="3475" spans="1:17" ht="36" x14ac:dyDescent="0.25">
      <c r="A3475" s="21">
        <v>40031</v>
      </c>
      <c r="B3475" s="21">
        <v>40031</v>
      </c>
      <c r="C3475" s="45">
        <v>2009</v>
      </c>
      <c r="D3475" s="24" t="s">
        <v>141</v>
      </c>
      <c r="E3475" s="30" t="s">
        <v>142</v>
      </c>
      <c r="F3475" s="7" t="s">
        <v>82</v>
      </c>
      <c r="G3475" s="25" t="s">
        <v>5135</v>
      </c>
      <c r="H3475" s="25" t="s">
        <v>5136</v>
      </c>
      <c r="I3475" s="46">
        <v>0</v>
      </c>
      <c r="J3475" s="46">
        <v>0</v>
      </c>
      <c r="K3475" s="46">
        <v>0</v>
      </c>
      <c r="L3475" s="46">
        <v>0</v>
      </c>
      <c r="M3475" s="46">
        <v>0</v>
      </c>
      <c r="N3475" s="46">
        <v>0</v>
      </c>
      <c r="O3475" s="124">
        <v>0</v>
      </c>
      <c r="P3475" s="102">
        <f>(450000+200*8.32)/1000000</f>
        <v>0.45166400000000001</v>
      </c>
      <c r="Q3475" s="45" t="s">
        <v>154</v>
      </c>
    </row>
    <row r="3476" spans="1:17" ht="24" x14ac:dyDescent="0.25">
      <c r="A3476" s="21">
        <v>40032</v>
      </c>
      <c r="B3476" s="21">
        <v>40032</v>
      </c>
      <c r="C3476" s="45">
        <v>2009</v>
      </c>
      <c r="D3476" s="24" t="s">
        <v>141</v>
      </c>
      <c r="E3476" s="30" t="s">
        <v>4995</v>
      </c>
      <c r="F3476" s="7" t="s">
        <v>30</v>
      </c>
      <c r="G3476" s="25" t="s">
        <v>395</v>
      </c>
      <c r="H3476" s="25" t="s">
        <v>5137</v>
      </c>
      <c r="I3476" s="46">
        <v>0</v>
      </c>
      <c r="J3476" s="46">
        <v>1</v>
      </c>
      <c r="K3476" s="46">
        <v>0</v>
      </c>
      <c r="L3476" s="46">
        <v>0</v>
      </c>
      <c r="M3476" s="46">
        <v>0</v>
      </c>
      <c r="N3476" s="46">
        <v>0</v>
      </c>
      <c r="O3476" s="124">
        <v>0</v>
      </c>
      <c r="P3476" s="102"/>
      <c r="Q3476" s="45" t="s">
        <v>154</v>
      </c>
    </row>
    <row r="3477" spans="1:17" ht="24" x14ac:dyDescent="0.25">
      <c r="A3477" s="21">
        <v>40032</v>
      </c>
      <c r="B3477" s="21">
        <v>40032</v>
      </c>
      <c r="C3477" s="45">
        <v>2009</v>
      </c>
      <c r="D3477" s="24" t="s">
        <v>141</v>
      </c>
      <c r="E3477" s="30" t="s">
        <v>4995</v>
      </c>
      <c r="F3477" s="7" t="s">
        <v>60</v>
      </c>
      <c r="G3477" s="25" t="s">
        <v>5138</v>
      </c>
      <c r="H3477" s="25" t="s">
        <v>5139</v>
      </c>
      <c r="I3477" s="46">
        <v>2</v>
      </c>
      <c r="J3477" s="46">
        <v>2</v>
      </c>
      <c r="K3477" s="46">
        <v>0</v>
      </c>
      <c r="L3477" s="46">
        <v>0</v>
      </c>
      <c r="M3477" s="46">
        <v>0</v>
      </c>
      <c r="N3477" s="46">
        <v>0</v>
      </c>
      <c r="O3477" s="124">
        <v>0</v>
      </c>
      <c r="P3477" s="102">
        <v>1</v>
      </c>
      <c r="Q3477" s="45" t="s">
        <v>154</v>
      </c>
    </row>
    <row r="3478" spans="1:17" ht="36" x14ac:dyDescent="0.25">
      <c r="A3478" s="21">
        <v>40033</v>
      </c>
      <c r="B3478" s="21">
        <v>40033</v>
      </c>
      <c r="C3478" s="45">
        <v>2009</v>
      </c>
      <c r="D3478" s="24" t="s">
        <v>141</v>
      </c>
      <c r="E3478" s="30" t="s">
        <v>4983</v>
      </c>
      <c r="F3478" s="7" t="s">
        <v>97</v>
      </c>
      <c r="G3478" s="25" t="s">
        <v>5140</v>
      </c>
      <c r="H3478" s="25" t="s">
        <v>5141</v>
      </c>
      <c r="I3478" s="46">
        <v>2</v>
      </c>
      <c r="J3478" s="46">
        <v>6</v>
      </c>
      <c r="K3478" s="46">
        <v>0</v>
      </c>
      <c r="L3478" s="46">
        <v>0</v>
      </c>
      <c r="M3478" s="46">
        <v>0</v>
      </c>
      <c r="N3478" s="46">
        <v>0</v>
      </c>
      <c r="O3478" s="124">
        <v>0</v>
      </c>
      <c r="P3478" s="102">
        <v>0</v>
      </c>
      <c r="Q3478" s="45" t="s">
        <v>154</v>
      </c>
    </row>
    <row r="3479" spans="1:17" ht="48" x14ac:dyDescent="0.25">
      <c r="A3479" s="21">
        <v>40034</v>
      </c>
      <c r="B3479" s="21">
        <v>40034</v>
      </c>
      <c r="C3479" s="45">
        <v>2009</v>
      </c>
      <c r="D3479" s="24" t="s">
        <v>141</v>
      </c>
      <c r="E3479" s="30" t="s">
        <v>142</v>
      </c>
      <c r="F3479" s="7" t="s">
        <v>60</v>
      </c>
      <c r="G3479" s="25" t="s">
        <v>3691</v>
      </c>
      <c r="H3479" s="25" t="s">
        <v>5142</v>
      </c>
      <c r="I3479" s="46">
        <v>0</v>
      </c>
      <c r="J3479" s="46">
        <v>9</v>
      </c>
      <c r="K3479" s="46">
        <v>0</v>
      </c>
      <c r="L3479" s="46">
        <v>0</v>
      </c>
      <c r="M3479" s="46">
        <v>0</v>
      </c>
      <c r="N3479" s="46">
        <v>0</v>
      </c>
      <c r="O3479" s="124">
        <v>0</v>
      </c>
      <c r="P3479" s="102">
        <f>(450000+200000*2)/1000000</f>
        <v>0.85</v>
      </c>
      <c r="Q3479" s="45" t="s">
        <v>154</v>
      </c>
    </row>
    <row r="3480" spans="1:17" ht="36" x14ac:dyDescent="0.25">
      <c r="A3480" s="21">
        <v>40036</v>
      </c>
      <c r="B3480" s="21">
        <v>40036</v>
      </c>
      <c r="C3480" s="45">
        <v>2009</v>
      </c>
      <c r="D3480" s="24" t="s">
        <v>141</v>
      </c>
      <c r="E3480" s="30" t="s">
        <v>142</v>
      </c>
      <c r="F3480" s="28" t="s">
        <v>210</v>
      </c>
      <c r="G3480" s="25" t="s">
        <v>5075</v>
      </c>
      <c r="H3480" s="25" t="s">
        <v>5143</v>
      </c>
      <c r="I3480" s="46">
        <v>0</v>
      </c>
      <c r="J3480" s="46">
        <v>15</v>
      </c>
      <c r="K3480" s="46">
        <v>0</v>
      </c>
      <c r="L3480" s="46">
        <v>0</v>
      </c>
      <c r="M3480" s="46">
        <v>0</v>
      </c>
      <c r="N3480" s="46">
        <v>0</v>
      </c>
      <c r="O3480" s="124">
        <v>0</v>
      </c>
      <c r="P3480" s="102">
        <f>850000/1000000</f>
        <v>0.85</v>
      </c>
      <c r="Q3480" s="45" t="s">
        <v>154</v>
      </c>
    </row>
    <row r="3481" spans="1:17" ht="36" x14ac:dyDescent="0.25">
      <c r="A3481" s="21">
        <v>40039</v>
      </c>
      <c r="B3481" s="21">
        <v>40039</v>
      </c>
      <c r="C3481" s="45">
        <v>2009</v>
      </c>
      <c r="D3481" s="24" t="s">
        <v>141</v>
      </c>
      <c r="E3481" s="30" t="s">
        <v>142</v>
      </c>
      <c r="F3481" s="28" t="s">
        <v>160</v>
      </c>
      <c r="G3481" s="25" t="s">
        <v>5034</v>
      </c>
      <c r="H3481" s="25" t="s">
        <v>5144</v>
      </c>
      <c r="I3481" s="46">
        <v>0</v>
      </c>
      <c r="J3481" s="46">
        <v>1</v>
      </c>
      <c r="K3481" s="46">
        <v>0</v>
      </c>
      <c r="L3481" s="46">
        <v>0</v>
      </c>
      <c r="M3481" s="46">
        <v>0</v>
      </c>
      <c r="N3481" s="46">
        <v>0</v>
      </c>
      <c r="O3481" s="124">
        <v>0</v>
      </c>
      <c r="P3481" s="102"/>
      <c r="Q3481" s="45" t="s">
        <v>154</v>
      </c>
    </row>
    <row r="3482" spans="1:17" ht="36" x14ac:dyDescent="0.25">
      <c r="A3482" s="21">
        <v>40041</v>
      </c>
      <c r="B3482" s="21">
        <v>40041</v>
      </c>
      <c r="C3482" s="45">
        <v>2009</v>
      </c>
      <c r="D3482" s="24" t="s">
        <v>141</v>
      </c>
      <c r="E3482" s="30" t="s">
        <v>142</v>
      </c>
      <c r="F3482" s="7" t="s">
        <v>60</v>
      </c>
      <c r="G3482" s="25" t="s">
        <v>2797</v>
      </c>
      <c r="H3482" s="25" t="s">
        <v>5145</v>
      </c>
      <c r="I3482" s="46">
        <v>2</v>
      </c>
      <c r="J3482" s="46">
        <v>28</v>
      </c>
      <c r="K3482" s="46">
        <v>0</v>
      </c>
      <c r="L3482" s="46">
        <v>0</v>
      </c>
      <c r="M3482" s="46">
        <v>0</v>
      </c>
      <c r="N3482" s="46">
        <v>0</v>
      </c>
      <c r="O3482" s="124">
        <v>0</v>
      </c>
      <c r="P3482" s="102">
        <f>(850000+300000)/1000000</f>
        <v>1.1499999999999999</v>
      </c>
      <c r="Q3482" s="45" t="s">
        <v>154</v>
      </c>
    </row>
    <row r="3483" spans="1:17" ht="48" x14ac:dyDescent="0.25">
      <c r="A3483" s="21">
        <v>40045</v>
      </c>
      <c r="B3483" s="21">
        <v>40045</v>
      </c>
      <c r="C3483" s="45">
        <v>2009</v>
      </c>
      <c r="D3483" s="24" t="s">
        <v>141</v>
      </c>
      <c r="E3483" s="30" t="s">
        <v>142</v>
      </c>
      <c r="F3483" s="7" t="s">
        <v>68</v>
      </c>
      <c r="G3483" s="25" t="s">
        <v>1121</v>
      </c>
      <c r="H3483" s="25" t="s">
        <v>5146</v>
      </c>
      <c r="I3483" s="46">
        <v>0</v>
      </c>
      <c r="J3483" s="46">
        <v>20</v>
      </c>
      <c r="K3483" s="46">
        <v>0</v>
      </c>
      <c r="L3483" s="46">
        <v>0</v>
      </c>
      <c r="M3483" s="46">
        <v>0</v>
      </c>
      <c r="N3483" s="46">
        <v>0</v>
      </c>
      <c r="O3483" s="124">
        <v>0</v>
      </c>
      <c r="P3483" s="102">
        <f>(450000+200000)/1000000</f>
        <v>0.65</v>
      </c>
      <c r="Q3483" s="45" t="s">
        <v>154</v>
      </c>
    </row>
    <row r="3484" spans="1:17" ht="48" x14ac:dyDescent="0.25">
      <c r="A3484" s="21">
        <v>40045</v>
      </c>
      <c r="B3484" s="21">
        <v>40045</v>
      </c>
      <c r="C3484" s="45">
        <v>2009</v>
      </c>
      <c r="D3484" s="24" t="s">
        <v>141</v>
      </c>
      <c r="E3484" s="30" t="s">
        <v>1600</v>
      </c>
      <c r="F3484" s="28" t="s">
        <v>210</v>
      </c>
      <c r="G3484" s="25" t="s">
        <v>893</v>
      </c>
      <c r="H3484" s="25" t="s">
        <v>5147</v>
      </c>
      <c r="I3484" s="46">
        <v>1</v>
      </c>
      <c r="J3484" s="46">
        <v>1</v>
      </c>
      <c r="K3484" s="46">
        <v>0</v>
      </c>
      <c r="L3484" s="46">
        <v>0</v>
      </c>
      <c r="M3484" s="46">
        <v>0</v>
      </c>
      <c r="N3484" s="46">
        <v>0</v>
      </c>
      <c r="O3484" s="124">
        <v>0</v>
      </c>
      <c r="P3484" s="102">
        <f>1817455/1000000</f>
        <v>1.817455</v>
      </c>
      <c r="Q3484" s="45" t="s">
        <v>154</v>
      </c>
    </row>
    <row r="3485" spans="1:17" ht="24" x14ac:dyDescent="0.25">
      <c r="A3485" s="21">
        <v>40046</v>
      </c>
      <c r="B3485" s="21">
        <v>40046</v>
      </c>
      <c r="C3485" s="45">
        <v>2009</v>
      </c>
      <c r="D3485" s="24" t="s">
        <v>141</v>
      </c>
      <c r="E3485" s="30" t="s">
        <v>142</v>
      </c>
      <c r="F3485" s="7" t="s">
        <v>68</v>
      </c>
      <c r="G3485" s="25" t="s">
        <v>1121</v>
      </c>
      <c r="H3485" s="25" t="s">
        <v>5148</v>
      </c>
      <c r="I3485" s="46">
        <v>0</v>
      </c>
      <c r="J3485" s="46">
        <v>27</v>
      </c>
      <c r="K3485" s="46">
        <v>0</v>
      </c>
      <c r="L3485" s="46">
        <v>0</v>
      </c>
      <c r="M3485" s="46">
        <v>0</v>
      </c>
      <c r="N3485" s="46">
        <v>0</v>
      </c>
      <c r="O3485" s="124">
        <v>0</v>
      </c>
      <c r="P3485" s="102">
        <f>(600000*2)/1000000</f>
        <v>1.2</v>
      </c>
      <c r="Q3485" s="45" t="s">
        <v>154</v>
      </c>
    </row>
    <row r="3486" spans="1:17" ht="36" x14ac:dyDescent="0.25">
      <c r="A3486" s="21">
        <v>40050</v>
      </c>
      <c r="B3486" s="21">
        <v>40050</v>
      </c>
      <c r="C3486" s="45">
        <v>2009</v>
      </c>
      <c r="D3486" s="24" t="s">
        <v>141</v>
      </c>
      <c r="E3486" s="30" t="s">
        <v>142</v>
      </c>
      <c r="F3486" s="28" t="s">
        <v>157</v>
      </c>
      <c r="G3486" s="25" t="s">
        <v>3340</v>
      </c>
      <c r="H3486" s="25" t="s">
        <v>5149</v>
      </c>
      <c r="I3486" s="46">
        <v>0</v>
      </c>
      <c r="J3486" s="46">
        <v>11</v>
      </c>
      <c r="K3486" s="46">
        <v>0</v>
      </c>
      <c r="L3486" s="46">
        <v>0</v>
      </c>
      <c r="M3486" s="46">
        <v>0</v>
      </c>
      <c r="N3486" s="46">
        <v>0</v>
      </c>
      <c r="O3486" s="124">
        <v>0</v>
      </c>
      <c r="P3486" s="102">
        <f>600000/1000000</f>
        <v>0.6</v>
      </c>
      <c r="Q3486" s="45" t="s">
        <v>154</v>
      </c>
    </row>
    <row r="3487" spans="1:17" ht="36" x14ac:dyDescent="0.25">
      <c r="A3487" s="21">
        <v>40049</v>
      </c>
      <c r="B3487" s="21">
        <v>40049</v>
      </c>
      <c r="C3487" s="45">
        <v>2009</v>
      </c>
      <c r="D3487" s="24" t="s">
        <v>141</v>
      </c>
      <c r="E3487" s="30" t="s">
        <v>142</v>
      </c>
      <c r="F3487" s="28" t="s">
        <v>210</v>
      </c>
      <c r="G3487" s="25" t="s">
        <v>5150</v>
      </c>
      <c r="H3487" s="25" t="s">
        <v>5151</v>
      </c>
      <c r="I3487" s="46">
        <v>6</v>
      </c>
      <c r="J3487" s="46">
        <v>29</v>
      </c>
      <c r="K3487" s="46">
        <v>0</v>
      </c>
      <c r="L3487" s="46">
        <v>0</v>
      </c>
      <c r="M3487" s="46">
        <v>0</v>
      </c>
      <c r="N3487" s="46">
        <v>0</v>
      </c>
      <c r="O3487" s="124">
        <v>0</v>
      </c>
      <c r="P3487" s="102">
        <f>850000/1000000</f>
        <v>0.85</v>
      </c>
      <c r="Q3487" s="45" t="s">
        <v>154</v>
      </c>
    </row>
    <row r="3488" spans="1:17" ht="36" x14ac:dyDescent="0.25">
      <c r="A3488" s="21">
        <v>40052</v>
      </c>
      <c r="B3488" s="21">
        <v>40052</v>
      </c>
      <c r="C3488" s="45">
        <v>2009</v>
      </c>
      <c r="D3488" s="24" t="s">
        <v>141</v>
      </c>
      <c r="E3488" s="30" t="s">
        <v>142</v>
      </c>
      <c r="F3488" s="28" t="s">
        <v>163</v>
      </c>
      <c r="G3488" s="25" t="s">
        <v>5152</v>
      </c>
      <c r="H3488" s="25" t="s">
        <v>5153</v>
      </c>
      <c r="I3488" s="46">
        <v>2</v>
      </c>
      <c r="J3488" s="46">
        <v>29</v>
      </c>
      <c r="K3488" s="46">
        <v>0</v>
      </c>
      <c r="L3488" s="46">
        <v>0</v>
      </c>
      <c r="M3488" s="46">
        <v>0</v>
      </c>
      <c r="N3488" s="46">
        <v>0</v>
      </c>
      <c r="O3488" s="124">
        <v>0</v>
      </c>
      <c r="P3488" s="102">
        <f>850000/1000000</f>
        <v>0.85</v>
      </c>
      <c r="Q3488" s="45" t="s">
        <v>154</v>
      </c>
    </row>
    <row r="3489" spans="1:17" ht="24" x14ac:dyDescent="0.25">
      <c r="A3489" s="21">
        <v>40053</v>
      </c>
      <c r="B3489" s="21">
        <v>40053</v>
      </c>
      <c r="C3489" s="45">
        <v>2009</v>
      </c>
      <c r="D3489" s="24" t="s">
        <v>141</v>
      </c>
      <c r="E3489" s="30" t="s">
        <v>142</v>
      </c>
      <c r="F3489" s="7" t="s">
        <v>53</v>
      </c>
      <c r="G3489" s="25" t="s">
        <v>460</v>
      </c>
      <c r="H3489" s="25" t="s">
        <v>5154</v>
      </c>
      <c r="I3489" s="46">
        <v>7</v>
      </c>
      <c r="J3489" s="46">
        <v>7</v>
      </c>
      <c r="K3489" s="46">
        <v>0</v>
      </c>
      <c r="L3489" s="46">
        <v>0</v>
      </c>
      <c r="M3489" s="46">
        <v>0</v>
      </c>
      <c r="N3489" s="46">
        <v>0</v>
      </c>
      <c r="O3489" s="124">
        <v>0</v>
      </c>
      <c r="P3489" s="102"/>
      <c r="Q3489" s="45" t="s">
        <v>154</v>
      </c>
    </row>
    <row r="3490" spans="1:17" ht="36" x14ac:dyDescent="0.25">
      <c r="A3490" s="21">
        <v>40054</v>
      </c>
      <c r="B3490" s="21">
        <v>40054</v>
      </c>
      <c r="C3490" s="45">
        <v>2009</v>
      </c>
      <c r="D3490" s="24" t="s">
        <v>141</v>
      </c>
      <c r="E3490" s="30" t="s">
        <v>142</v>
      </c>
      <c r="F3490" s="28" t="s">
        <v>160</v>
      </c>
      <c r="G3490" s="25" t="s">
        <v>428</v>
      </c>
      <c r="H3490" s="25" t="s">
        <v>5155</v>
      </c>
      <c r="I3490" s="46">
        <v>0</v>
      </c>
      <c r="J3490" s="46">
        <v>4</v>
      </c>
      <c r="K3490" s="46">
        <v>0</v>
      </c>
      <c r="L3490" s="46">
        <v>0</v>
      </c>
      <c r="M3490" s="46">
        <v>0</v>
      </c>
      <c r="N3490" s="46">
        <v>0</v>
      </c>
      <c r="O3490" s="124">
        <v>0</v>
      </c>
      <c r="P3490" s="102">
        <f>(850000+18*200000)/1000000</f>
        <v>4.45</v>
      </c>
      <c r="Q3490" s="45" t="s">
        <v>154</v>
      </c>
    </row>
    <row r="3491" spans="1:17" ht="24" x14ac:dyDescent="0.25">
      <c r="A3491" s="21">
        <v>40054</v>
      </c>
      <c r="B3491" s="21">
        <v>40054</v>
      </c>
      <c r="C3491" s="45">
        <v>2009</v>
      </c>
      <c r="D3491" s="24" t="s">
        <v>141</v>
      </c>
      <c r="E3491" s="6" t="s">
        <v>333</v>
      </c>
      <c r="F3491" s="7" t="s">
        <v>36</v>
      </c>
      <c r="G3491" s="25" t="s">
        <v>2797</v>
      </c>
      <c r="H3491" s="25" t="s">
        <v>5156</v>
      </c>
      <c r="I3491" s="46">
        <v>0</v>
      </c>
      <c r="J3491" s="46">
        <v>29</v>
      </c>
      <c r="K3491" s="46">
        <v>0</v>
      </c>
      <c r="L3491" s="46">
        <v>0</v>
      </c>
      <c r="M3491" s="46">
        <v>0</v>
      </c>
      <c r="N3491" s="46">
        <v>0</v>
      </c>
      <c r="O3491" s="124">
        <v>0</v>
      </c>
      <c r="P3491" s="102"/>
      <c r="Q3491" s="45" t="s">
        <v>154</v>
      </c>
    </row>
    <row r="3492" spans="1:17" ht="36" x14ac:dyDescent="0.25">
      <c r="A3492" s="21">
        <v>40056</v>
      </c>
      <c r="B3492" s="21">
        <v>40056</v>
      </c>
      <c r="C3492" s="45">
        <v>2009</v>
      </c>
      <c r="D3492" s="24" t="s">
        <v>141</v>
      </c>
      <c r="E3492" s="30" t="s">
        <v>4983</v>
      </c>
      <c r="F3492" s="28" t="s">
        <v>157</v>
      </c>
      <c r="G3492" s="25" t="s">
        <v>716</v>
      </c>
      <c r="H3492" s="25" t="s">
        <v>5157</v>
      </c>
      <c r="I3492" s="46">
        <v>0</v>
      </c>
      <c r="J3492" s="46">
        <v>3</v>
      </c>
      <c r="K3492" s="46">
        <v>0</v>
      </c>
      <c r="L3492" s="46">
        <v>0</v>
      </c>
      <c r="M3492" s="46">
        <v>0</v>
      </c>
      <c r="N3492" s="46">
        <v>0</v>
      </c>
      <c r="O3492" s="124">
        <v>0</v>
      </c>
      <c r="P3492" s="102"/>
      <c r="Q3492" s="45" t="s">
        <v>154</v>
      </c>
    </row>
    <row r="3493" spans="1:17" ht="24" x14ac:dyDescent="0.25">
      <c r="A3493" s="21">
        <v>40058</v>
      </c>
      <c r="B3493" s="21">
        <v>40058</v>
      </c>
      <c r="C3493" s="45">
        <v>2009</v>
      </c>
      <c r="D3493" s="24" t="s">
        <v>141</v>
      </c>
      <c r="E3493" s="30" t="s">
        <v>142</v>
      </c>
      <c r="F3493" s="7" t="s">
        <v>47</v>
      </c>
      <c r="G3493" s="25" t="s">
        <v>5158</v>
      </c>
      <c r="H3493" s="25" t="s">
        <v>5159</v>
      </c>
      <c r="I3493" s="46">
        <v>0</v>
      </c>
      <c r="J3493" s="46">
        <v>0</v>
      </c>
      <c r="K3493" s="46">
        <v>0</v>
      </c>
      <c r="L3493" s="46">
        <v>0</v>
      </c>
      <c r="M3493" s="46">
        <v>0</v>
      </c>
      <c r="N3493" s="46">
        <v>0</v>
      </c>
      <c r="O3493" s="124">
        <v>0</v>
      </c>
      <c r="P3493" s="102">
        <f>(450000+10000*8.5)/1000000</f>
        <v>0.53500000000000003</v>
      </c>
      <c r="Q3493" s="45" t="s">
        <v>154</v>
      </c>
    </row>
    <row r="3494" spans="1:17" ht="36" x14ac:dyDescent="0.25">
      <c r="A3494" s="21">
        <v>40061</v>
      </c>
      <c r="B3494" s="21">
        <v>40061</v>
      </c>
      <c r="C3494" s="45">
        <v>2009</v>
      </c>
      <c r="D3494" s="24" t="s">
        <v>141</v>
      </c>
      <c r="E3494" s="30" t="s">
        <v>142</v>
      </c>
      <c r="F3494" s="7" t="s">
        <v>47</v>
      </c>
      <c r="G3494" s="25" t="s">
        <v>4996</v>
      </c>
      <c r="H3494" s="25" t="s">
        <v>5160</v>
      </c>
      <c r="I3494" s="46">
        <v>0</v>
      </c>
      <c r="J3494" s="46">
        <v>1</v>
      </c>
      <c r="K3494" s="46">
        <v>0</v>
      </c>
      <c r="L3494" s="46">
        <v>0</v>
      </c>
      <c r="M3494" s="46">
        <v>0</v>
      </c>
      <c r="N3494" s="46">
        <v>0</v>
      </c>
      <c r="O3494" s="124">
        <v>0</v>
      </c>
      <c r="P3494" s="102">
        <f>(450000+43000*8.5)/1000000</f>
        <v>0.8155</v>
      </c>
      <c r="Q3494" s="45" t="s">
        <v>154</v>
      </c>
    </row>
    <row r="3495" spans="1:17" ht="36" x14ac:dyDescent="0.25">
      <c r="A3495" s="21">
        <v>40066</v>
      </c>
      <c r="B3495" s="21">
        <v>40066</v>
      </c>
      <c r="C3495" s="45">
        <v>2009</v>
      </c>
      <c r="D3495" s="24" t="s">
        <v>141</v>
      </c>
      <c r="E3495" s="30" t="s">
        <v>4995</v>
      </c>
      <c r="F3495" s="7" t="s">
        <v>75</v>
      </c>
      <c r="G3495" s="25" t="s">
        <v>5161</v>
      </c>
      <c r="H3495" s="25" t="s">
        <v>5162</v>
      </c>
      <c r="I3495" s="46">
        <v>1</v>
      </c>
      <c r="J3495" s="46">
        <v>5</v>
      </c>
      <c r="K3495" s="46">
        <v>0</v>
      </c>
      <c r="L3495" s="46">
        <v>0</v>
      </c>
      <c r="M3495" s="46">
        <v>0</v>
      </c>
      <c r="N3495" s="46">
        <v>0</v>
      </c>
      <c r="O3495" s="124">
        <v>0</v>
      </c>
      <c r="P3495" s="102">
        <v>1</v>
      </c>
      <c r="Q3495" s="45" t="s">
        <v>154</v>
      </c>
    </row>
    <row r="3496" spans="1:17" ht="48" x14ac:dyDescent="0.25">
      <c r="A3496" s="21">
        <v>40067</v>
      </c>
      <c r="B3496" s="21">
        <v>40067</v>
      </c>
      <c r="C3496" s="45">
        <v>2009</v>
      </c>
      <c r="D3496" s="24" t="s">
        <v>141</v>
      </c>
      <c r="E3496" s="30" t="s">
        <v>142</v>
      </c>
      <c r="F3496" s="28" t="s">
        <v>157</v>
      </c>
      <c r="G3496" s="25" t="s">
        <v>4820</v>
      </c>
      <c r="H3496" s="25" t="s">
        <v>5163</v>
      </c>
      <c r="I3496" s="46">
        <v>0</v>
      </c>
      <c r="J3496" s="46">
        <v>11</v>
      </c>
      <c r="K3496" s="46">
        <v>0</v>
      </c>
      <c r="L3496" s="46">
        <v>0</v>
      </c>
      <c r="M3496" s="46">
        <v>0</v>
      </c>
      <c r="N3496" s="46">
        <v>0</v>
      </c>
      <c r="O3496" s="124">
        <v>0</v>
      </c>
      <c r="P3496" s="102"/>
      <c r="Q3496" s="45" t="s">
        <v>154</v>
      </c>
    </row>
    <row r="3497" spans="1:17" ht="36" x14ac:dyDescent="0.25">
      <c r="A3497" s="21">
        <v>40070</v>
      </c>
      <c r="B3497" s="21">
        <v>40070</v>
      </c>
      <c r="C3497" s="45">
        <v>2009</v>
      </c>
      <c r="D3497" s="24" t="s">
        <v>141</v>
      </c>
      <c r="E3497" s="30" t="s">
        <v>142</v>
      </c>
      <c r="F3497" s="7" t="s">
        <v>67</v>
      </c>
      <c r="G3497" s="25" t="s">
        <v>5164</v>
      </c>
      <c r="H3497" s="25" t="s">
        <v>5165</v>
      </c>
      <c r="I3497" s="46">
        <v>0</v>
      </c>
      <c r="J3497" s="46">
        <v>0</v>
      </c>
      <c r="K3497" s="46">
        <v>0</v>
      </c>
      <c r="L3497" s="46">
        <v>0</v>
      </c>
      <c r="M3497" s="46">
        <v>0</v>
      </c>
      <c r="N3497" s="46">
        <v>0</v>
      </c>
      <c r="O3497" s="124">
        <v>0</v>
      </c>
      <c r="P3497" s="102">
        <f>(450000+18000*8.5)/1000000</f>
        <v>0.60299999999999998</v>
      </c>
      <c r="Q3497" s="45" t="s">
        <v>154</v>
      </c>
    </row>
    <row r="3498" spans="1:17" ht="36" x14ac:dyDescent="0.25">
      <c r="A3498" s="21">
        <v>40072</v>
      </c>
      <c r="B3498" s="21">
        <v>40072</v>
      </c>
      <c r="C3498" s="45">
        <v>2009</v>
      </c>
      <c r="D3498" s="24" t="s">
        <v>141</v>
      </c>
      <c r="E3498" s="30" t="s">
        <v>142</v>
      </c>
      <c r="F3498" s="7" t="s">
        <v>65</v>
      </c>
      <c r="G3498" s="25" t="s">
        <v>477</v>
      </c>
      <c r="H3498" s="25" t="s">
        <v>5166</v>
      </c>
      <c r="I3498" s="46">
        <v>0</v>
      </c>
      <c r="J3498" s="46">
        <v>0</v>
      </c>
      <c r="K3498" s="46">
        <v>0</v>
      </c>
      <c r="L3498" s="46">
        <v>0</v>
      </c>
      <c r="M3498" s="46">
        <v>0</v>
      </c>
      <c r="N3498" s="46">
        <v>0</v>
      </c>
      <c r="O3498" s="124">
        <v>0</v>
      </c>
      <c r="P3498" s="102">
        <f>(500000+2000*5.2)/1000000</f>
        <v>0.51039999999999996</v>
      </c>
      <c r="Q3498" s="45" t="s">
        <v>154</v>
      </c>
    </row>
    <row r="3499" spans="1:17" ht="36" x14ac:dyDescent="0.25">
      <c r="A3499" s="21">
        <v>40072</v>
      </c>
      <c r="B3499" s="21">
        <v>40072</v>
      </c>
      <c r="C3499" s="45">
        <v>2009</v>
      </c>
      <c r="D3499" s="24" t="s">
        <v>141</v>
      </c>
      <c r="E3499" s="30" t="s">
        <v>4995</v>
      </c>
      <c r="F3499" s="7" t="s">
        <v>77</v>
      </c>
      <c r="G3499" s="25" t="s">
        <v>969</v>
      </c>
      <c r="H3499" s="25" t="s">
        <v>5167</v>
      </c>
      <c r="I3499" s="46">
        <v>0</v>
      </c>
      <c r="J3499" s="46">
        <v>0</v>
      </c>
      <c r="K3499" s="46">
        <v>0</v>
      </c>
      <c r="L3499" s="46">
        <v>0</v>
      </c>
      <c r="M3499" s="46">
        <v>0</v>
      </c>
      <c r="N3499" s="46">
        <v>0</v>
      </c>
      <c r="O3499" s="124">
        <v>0</v>
      </c>
      <c r="P3499" s="102">
        <v>0</v>
      </c>
      <c r="Q3499" s="45" t="s">
        <v>154</v>
      </c>
    </row>
    <row r="3500" spans="1:17" ht="36" x14ac:dyDescent="0.25">
      <c r="A3500" s="21">
        <v>40075</v>
      </c>
      <c r="B3500" s="21">
        <v>40075</v>
      </c>
      <c r="C3500" s="45">
        <v>2009</v>
      </c>
      <c r="D3500" s="24" t="s">
        <v>141</v>
      </c>
      <c r="E3500" s="30" t="s">
        <v>142</v>
      </c>
      <c r="F3500" s="7" t="s">
        <v>45</v>
      </c>
      <c r="G3500" s="25" t="s">
        <v>3124</v>
      </c>
      <c r="H3500" s="25" t="s">
        <v>5168</v>
      </c>
      <c r="I3500" s="46">
        <v>0</v>
      </c>
      <c r="J3500" s="46">
        <v>10</v>
      </c>
      <c r="K3500" s="46">
        <v>0</v>
      </c>
      <c r="L3500" s="46">
        <v>0</v>
      </c>
      <c r="M3500" s="46">
        <v>0</v>
      </c>
      <c r="N3500" s="46">
        <v>0</v>
      </c>
      <c r="O3500" s="124">
        <v>0</v>
      </c>
      <c r="P3500" s="102">
        <f>(2*500000+2*850000)/1000000</f>
        <v>2.7</v>
      </c>
      <c r="Q3500" s="45" t="s">
        <v>154</v>
      </c>
    </row>
    <row r="3501" spans="1:17" ht="36" x14ac:dyDescent="0.25">
      <c r="A3501" s="21">
        <v>40086</v>
      </c>
      <c r="B3501" s="21">
        <v>40086</v>
      </c>
      <c r="C3501" s="45">
        <v>2009</v>
      </c>
      <c r="D3501" s="24" t="s">
        <v>141</v>
      </c>
      <c r="E3501" s="30" t="s">
        <v>142</v>
      </c>
      <c r="F3501" s="7" t="s">
        <v>68</v>
      </c>
      <c r="G3501" s="25" t="s">
        <v>5169</v>
      </c>
      <c r="H3501" s="25" t="s">
        <v>5170</v>
      </c>
      <c r="I3501" s="46">
        <v>1</v>
      </c>
      <c r="J3501" s="46">
        <v>8</v>
      </c>
      <c r="K3501" s="46">
        <v>0</v>
      </c>
      <c r="L3501" s="46">
        <v>0</v>
      </c>
      <c r="M3501" s="46">
        <v>0</v>
      </c>
      <c r="N3501" s="46">
        <v>0</v>
      </c>
      <c r="O3501" s="124">
        <v>0</v>
      </c>
      <c r="P3501" s="102">
        <f>(850000+500000)/1000000</f>
        <v>1.35</v>
      </c>
      <c r="Q3501" s="45" t="s">
        <v>154</v>
      </c>
    </row>
    <row r="3502" spans="1:17" ht="36" x14ac:dyDescent="0.25">
      <c r="A3502" s="21">
        <v>40088</v>
      </c>
      <c r="B3502" s="21">
        <v>40088</v>
      </c>
      <c r="C3502" s="45">
        <v>2009</v>
      </c>
      <c r="D3502" s="24" t="s">
        <v>141</v>
      </c>
      <c r="E3502" s="30" t="s">
        <v>4995</v>
      </c>
      <c r="F3502" s="7" t="s">
        <v>62</v>
      </c>
      <c r="G3502" s="25" t="s">
        <v>5171</v>
      </c>
      <c r="H3502" s="25" t="s">
        <v>5172</v>
      </c>
      <c r="I3502" s="46">
        <v>3</v>
      </c>
      <c r="J3502" s="46">
        <v>3</v>
      </c>
      <c r="K3502" s="46">
        <v>0</v>
      </c>
      <c r="L3502" s="46">
        <v>0</v>
      </c>
      <c r="M3502" s="46">
        <v>0</v>
      </c>
      <c r="N3502" s="46">
        <v>0</v>
      </c>
      <c r="O3502" s="124">
        <v>0</v>
      </c>
      <c r="P3502" s="102">
        <v>1</v>
      </c>
      <c r="Q3502" s="45" t="s">
        <v>154</v>
      </c>
    </row>
    <row r="3503" spans="1:17" ht="36" x14ac:dyDescent="0.25">
      <c r="A3503" s="21">
        <v>40088</v>
      </c>
      <c r="B3503" s="21">
        <v>40088</v>
      </c>
      <c r="C3503" s="45">
        <v>2009</v>
      </c>
      <c r="D3503" s="24" t="s">
        <v>141</v>
      </c>
      <c r="E3503" s="42" t="s">
        <v>447</v>
      </c>
      <c r="F3503" s="28" t="s">
        <v>157</v>
      </c>
      <c r="G3503" s="25" t="s">
        <v>5173</v>
      </c>
      <c r="H3503" s="25" t="s">
        <v>5174</v>
      </c>
      <c r="I3503" s="46">
        <v>0</v>
      </c>
      <c r="J3503" s="46">
        <v>3</v>
      </c>
      <c r="K3503" s="46">
        <v>0</v>
      </c>
      <c r="L3503" s="46">
        <v>0</v>
      </c>
      <c r="M3503" s="46">
        <v>0</v>
      </c>
      <c r="N3503" s="46">
        <v>0</v>
      </c>
      <c r="O3503" s="124">
        <v>0</v>
      </c>
      <c r="P3503" s="102"/>
      <c r="Q3503" s="45" t="s">
        <v>154</v>
      </c>
    </row>
    <row r="3504" spans="1:17" ht="36" x14ac:dyDescent="0.25">
      <c r="A3504" s="21">
        <v>40089</v>
      </c>
      <c r="B3504" s="21">
        <v>40089</v>
      </c>
      <c r="C3504" s="45">
        <v>2009</v>
      </c>
      <c r="D3504" s="24" t="s">
        <v>141</v>
      </c>
      <c r="E3504" s="30" t="s">
        <v>4995</v>
      </c>
      <c r="F3504" s="7" t="s">
        <v>56</v>
      </c>
      <c r="G3504" s="25" t="s">
        <v>711</v>
      </c>
      <c r="H3504" s="25" t="s">
        <v>5175</v>
      </c>
      <c r="I3504" s="46">
        <v>2</v>
      </c>
      <c r="J3504" s="46">
        <v>3</v>
      </c>
      <c r="K3504" s="46">
        <v>0</v>
      </c>
      <c r="L3504" s="46">
        <v>0</v>
      </c>
      <c r="M3504" s="46">
        <v>0</v>
      </c>
      <c r="N3504" s="46">
        <v>0</v>
      </c>
      <c r="O3504" s="124">
        <v>0</v>
      </c>
      <c r="P3504" s="102">
        <v>1</v>
      </c>
      <c r="Q3504" s="45" t="s">
        <v>154</v>
      </c>
    </row>
    <row r="3505" spans="1:17" ht="36" x14ac:dyDescent="0.25">
      <c r="A3505" s="21">
        <v>40089</v>
      </c>
      <c r="B3505" s="21">
        <v>40089</v>
      </c>
      <c r="C3505" s="45">
        <v>2009</v>
      </c>
      <c r="D3505" s="24" t="s">
        <v>141</v>
      </c>
      <c r="E3505" s="30" t="s">
        <v>142</v>
      </c>
      <c r="F3505" s="7" t="s">
        <v>60</v>
      </c>
      <c r="G3505" s="25" t="s">
        <v>924</v>
      </c>
      <c r="H3505" s="25" t="s">
        <v>5176</v>
      </c>
      <c r="I3505" s="46">
        <v>1</v>
      </c>
      <c r="J3505" s="46">
        <v>3</v>
      </c>
      <c r="K3505" s="46">
        <v>0</v>
      </c>
      <c r="L3505" s="46">
        <v>0</v>
      </c>
      <c r="M3505" s="46">
        <v>0</v>
      </c>
      <c r="N3505" s="46">
        <v>0</v>
      </c>
      <c r="O3505" s="124">
        <v>0</v>
      </c>
      <c r="P3505" s="102">
        <f>(450000+300000)/1000000</f>
        <v>0.75</v>
      </c>
      <c r="Q3505" s="45" t="s">
        <v>154</v>
      </c>
    </row>
    <row r="3506" spans="1:17" ht="24" x14ac:dyDescent="0.25">
      <c r="A3506" s="21">
        <v>40091</v>
      </c>
      <c r="B3506" s="21">
        <v>40091</v>
      </c>
      <c r="C3506" s="45">
        <v>2009</v>
      </c>
      <c r="D3506" s="24" t="s">
        <v>141</v>
      </c>
      <c r="E3506" s="30" t="s">
        <v>4995</v>
      </c>
      <c r="F3506" s="25" t="s">
        <v>781</v>
      </c>
      <c r="G3506" s="25" t="s">
        <v>3061</v>
      </c>
      <c r="H3506" s="25" t="s">
        <v>5177</v>
      </c>
      <c r="I3506" s="46">
        <v>0</v>
      </c>
      <c r="J3506" s="46">
        <v>1</v>
      </c>
      <c r="K3506" s="46">
        <v>0</v>
      </c>
      <c r="L3506" s="46">
        <v>0</v>
      </c>
      <c r="M3506" s="46">
        <v>0</v>
      </c>
      <c r="N3506" s="46">
        <v>0</v>
      </c>
      <c r="O3506" s="124">
        <v>0</v>
      </c>
      <c r="P3506" s="102">
        <v>0</v>
      </c>
      <c r="Q3506" s="45" t="s">
        <v>154</v>
      </c>
    </row>
    <row r="3507" spans="1:17" ht="36" x14ac:dyDescent="0.25">
      <c r="A3507" s="21">
        <v>40092</v>
      </c>
      <c r="B3507" s="21">
        <v>40092</v>
      </c>
      <c r="C3507" s="45">
        <v>2009</v>
      </c>
      <c r="D3507" s="24" t="s">
        <v>141</v>
      </c>
      <c r="E3507" s="30" t="s">
        <v>142</v>
      </c>
      <c r="F3507" s="7" t="s">
        <v>60</v>
      </c>
      <c r="G3507" s="25" t="s">
        <v>5036</v>
      </c>
      <c r="H3507" s="25" t="s">
        <v>5178</v>
      </c>
      <c r="I3507" s="46">
        <v>1</v>
      </c>
      <c r="J3507" s="46">
        <v>16</v>
      </c>
      <c r="K3507" s="46">
        <v>0</v>
      </c>
      <c r="L3507" s="46">
        <v>0</v>
      </c>
      <c r="M3507" s="46">
        <v>0</v>
      </c>
      <c r="N3507" s="46">
        <v>0</v>
      </c>
      <c r="O3507" s="124">
        <v>0</v>
      </c>
      <c r="P3507" s="102">
        <f>(850000+200000)/1000000</f>
        <v>1.05</v>
      </c>
      <c r="Q3507" s="45" t="s">
        <v>154</v>
      </c>
    </row>
    <row r="3508" spans="1:17" ht="48" x14ac:dyDescent="0.25">
      <c r="A3508" s="21">
        <v>40094</v>
      </c>
      <c r="B3508" s="21">
        <v>40094</v>
      </c>
      <c r="C3508" s="45">
        <v>2009</v>
      </c>
      <c r="D3508" s="24" t="s">
        <v>141</v>
      </c>
      <c r="E3508" s="30" t="s">
        <v>142</v>
      </c>
      <c r="F3508" s="7" t="s">
        <v>53</v>
      </c>
      <c r="G3508" s="25" t="s">
        <v>2975</v>
      </c>
      <c r="H3508" s="25" t="s">
        <v>5179</v>
      </c>
      <c r="I3508" s="46">
        <v>0</v>
      </c>
      <c r="J3508" s="46">
        <v>0</v>
      </c>
      <c r="K3508" s="46">
        <v>0</v>
      </c>
      <c r="L3508" s="46">
        <v>0</v>
      </c>
      <c r="M3508" s="46">
        <v>0</v>
      </c>
      <c r="N3508" s="46">
        <v>0</v>
      </c>
      <c r="O3508" s="124">
        <v>0</v>
      </c>
      <c r="P3508" s="102">
        <f>(500000+12100*3.1)/1000000</f>
        <v>0.53751000000000004</v>
      </c>
      <c r="Q3508" s="45" t="s">
        <v>154</v>
      </c>
    </row>
    <row r="3509" spans="1:17" ht="48" x14ac:dyDescent="0.25">
      <c r="A3509" s="21">
        <v>40096</v>
      </c>
      <c r="B3509" s="21">
        <v>40096</v>
      </c>
      <c r="C3509" s="45">
        <v>2009</v>
      </c>
      <c r="D3509" s="24" t="s">
        <v>141</v>
      </c>
      <c r="E3509" s="30" t="s">
        <v>142</v>
      </c>
      <c r="F3509" s="7" t="s">
        <v>101</v>
      </c>
      <c r="G3509" s="25" t="s">
        <v>5180</v>
      </c>
      <c r="H3509" s="25" t="s">
        <v>5181</v>
      </c>
      <c r="I3509" s="46">
        <v>1</v>
      </c>
      <c r="J3509" s="46">
        <v>12</v>
      </c>
      <c r="K3509" s="46">
        <v>0</v>
      </c>
      <c r="L3509" s="46">
        <v>0</v>
      </c>
      <c r="M3509" s="46">
        <v>0</v>
      </c>
      <c r="N3509" s="46">
        <v>0</v>
      </c>
      <c r="O3509" s="124">
        <v>0</v>
      </c>
      <c r="P3509" s="102">
        <f>(4*200000+500000+850000+300000+350000)/1000000</f>
        <v>2.8</v>
      </c>
      <c r="Q3509" s="45" t="s">
        <v>154</v>
      </c>
    </row>
    <row r="3510" spans="1:17" ht="36" x14ac:dyDescent="0.25">
      <c r="A3510" s="21">
        <v>40096</v>
      </c>
      <c r="B3510" s="21">
        <v>40096</v>
      </c>
      <c r="C3510" s="45">
        <v>2009</v>
      </c>
      <c r="D3510" s="24" t="s">
        <v>141</v>
      </c>
      <c r="E3510" s="30" t="s">
        <v>142</v>
      </c>
      <c r="F3510" s="7" t="s">
        <v>60</v>
      </c>
      <c r="G3510" s="25" t="s">
        <v>3691</v>
      </c>
      <c r="H3510" s="25" t="s">
        <v>5182</v>
      </c>
      <c r="I3510" s="46">
        <v>2</v>
      </c>
      <c r="J3510" s="46">
        <v>16</v>
      </c>
      <c r="K3510" s="46">
        <v>0</v>
      </c>
      <c r="L3510" s="46">
        <v>0</v>
      </c>
      <c r="M3510" s="46">
        <v>0</v>
      </c>
      <c r="N3510" s="46">
        <v>0</v>
      </c>
      <c r="O3510" s="124">
        <v>0</v>
      </c>
      <c r="P3510" s="102">
        <f>(850000+350000)/1000000</f>
        <v>1.2</v>
      </c>
      <c r="Q3510" s="45" t="s">
        <v>154</v>
      </c>
    </row>
    <row r="3511" spans="1:17" ht="36" x14ac:dyDescent="0.25">
      <c r="A3511" s="21">
        <v>40101</v>
      </c>
      <c r="B3511" s="21">
        <v>40101</v>
      </c>
      <c r="C3511" s="45">
        <v>2009</v>
      </c>
      <c r="D3511" s="24" t="s">
        <v>141</v>
      </c>
      <c r="E3511" s="30" t="s">
        <v>142</v>
      </c>
      <c r="F3511" s="28" t="s">
        <v>160</v>
      </c>
      <c r="G3511" s="25" t="s">
        <v>1350</v>
      </c>
      <c r="H3511" s="25" t="s">
        <v>5183</v>
      </c>
      <c r="I3511" s="46">
        <v>1</v>
      </c>
      <c r="J3511" s="46">
        <v>7</v>
      </c>
      <c r="K3511" s="46">
        <v>0</v>
      </c>
      <c r="L3511" s="46">
        <v>0</v>
      </c>
      <c r="M3511" s="46">
        <v>0</v>
      </c>
      <c r="N3511" s="46">
        <v>0</v>
      </c>
      <c r="O3511" s="124">
        <v>0</v>
      </c>
      <c r="P3511" s="102">
        <f>(500000+600000)/1000000</f>
        <v>1.1000000000000001</v>
      </c>
      <c r="Q3511" s="45" t="s">
        <v>154</v>
      </c>
    </row>
    <row r="3512" spans="1:17" ht="36" x14ac:dyDescent="0.25">
      <c r="A3512" s="21">
        <v>40105</v>
      </c>
      <c r="B3512" s="21">
        <v>40105</v>
      </c>
      <c r="C3512" s="45">
        <v>2009</v>
      </c>
      <c r="D3512" s="24" t="s">
        <v>141</v>
      </c>
      <c r="E3512" s="30" t="s">
        <v>142</v>
      </c>
      <c r="F3512" s="28" t="s">
        <v>210</v>
      </c>
      <c r="G3512" s="25" t="s">
        <v>4313</v>
      </c>
      <c r="H3512" s="25" t="s">
        <v>5184</v>
      </c>
      <c r="I3512" s="46">
        <v>0</v>
      </c>
      <c r="J3512" s="46">
        <v>15</v>
      </c>
      <c r="K3512" s="46">
        <v>0</v>
      </c>
      <c r="L3512" s="46">
        <v>0</v>
      </c>
      <c r="M3512" s="46">
        <v>0</v>
      </c>
      <c r="N3512" s="46">
        <v>0</v>
      </c>
      <c r="O3512" s="124">
        <v>0</v>
      </c>
      <c r="P3512" s="102">
        <f>850000/1000000</f>
        <v>0.85</v>
      </c>
      <c r="Q3512" s="45" t="s">
        <v>154</v>
      </c>
    </row>
    <row r="3513" spans="1:17" ht="48" x14ac:dyDescent="0.25">
      <c r="A3513" s="21">
        <v>40106</v>
      </c>
      <c r="B3513" s="21">
        <v>40106</v>
      </c>
      <c r="C3513" s="45">
        <v>2009</v>
      </c>
      <c r="D3513" s="24" t="s">
        <v>141</v>
      </c>
      <c r="E3513" s="30" t="s">
        <v>142</v>
      </c>
      <c r="F3513" s="7" t="s">
        <v>60</v>
      </c>
      <c r="G3513" s="25" t="s">
        <v>5185</v>
      </c>
      <c r="H3513" s="25" t="s">
        <v>5186</v>
      </c>
      <c r="I3513" s="46">
        <v>1</v>
      </c>
      <c r="J3513" s="46">
        <v>5</v>
      </c>
      <c r="K3513" s="46">
        <v>0</v>
      </c>
      <c r="L3513" s="46">
        <v>0</v>
      </c>
      <c r="M3513" s="46">
        <v>0</v>
      </c>
      <c r="N3513" s="46">
        <v>0</v>
      </c>
      <c r="O3513" s="124">
        <v>0</v>
      </c>
      <c r="P3513" s="102">
        <f>850000/1000000</f>
        <v>0.85</v>
      </c>
      <c r="Q3513" s="45" t="s">
        <v>154</v>
      </c>
    </row>
    <row r="3514" spans="1:17" ht="36" x14ac:dyDescent="0.25">
      <c r="A3514" s="21">
        <v>40107</v>
      </c>
      <c r="B3514" s="21">
        <v>40107</v>
      </c>
      <c r="C3514" s="45">
        <v>2009</v>
      </c>
      <c r="D3514" s="24" t="s">
        <v>141</v>
      </c>
      <c r="E3514" s="30" t="s">
        <v>142</v>
      </c>
      <c r="F3514" s="7" t="s">
        <v>82</v>
      </c>
      <c r="G3514" s="25" t="s">
        <v>4878</v>
      </c>
      <c r="H3514" s="25" t="s">
        <v>5187</v>
      </c>
      <c r="I3514" s="46">
        <v>0</v>
      </c>
      <c r="J3514" s="46">
        <v>0</v>
      </c>
      <c r="K3514" s="46">
        <v>0</v>
      </c>
      <c r="L3514" s="46">
        <v>0</v>
      </c>
      <c r="M3514" s="46">
        <v>0</v>
      </c>
      <c r="N3514" s="46">
        <v>0</v>
      </c>
      <c r="O3514" s="124">
        <v>0</v>
      </c>
      <c r="P3514" s="102">
        <f>(500000+14400*1.1)/1000000</f>
        <v>0.51583999999999997</v>
      </c>
      <c r="Q3514" s="45" t="s">
        <v>154</v>
      </c>
    </row>
    <row r="3515" spans="1:17" ht="36" x14ac:dyDescent="0.25">
      <c r="A3515" s="21">
        <v>40108</v>
      </c>
      <c r="B3515" s="21">
        <v>40108</v>
      </c>
      <c r="C3515" s="45">
        <v>2009</v>
      </c>
      <c r="D3515" s="24" t="s">
        <v>141</v>
      </c>
      <c r="E3515" s="30" t="s">
        <v>142</v>
      </c>
      <c r="F3515" s="7" t="s">
        <v>53</v>
      </c>
      <c r="G3515" s="25" t="s">
        <v>1304</v>
      </c>
      <c r="H3515" s="25" t="s">
        <v>5188</v>
      </c>
      <c r="I3515" s="46">
        <v>0</v>
      </c>
      <c r="J3515" s="46">
        <v>15</v>
      </c>
      <c r="K3515" s="46">
        <v>0</v>
      </c>
      <c r="L3515" s="46">
        <v>0</v>
      </c>
      <c r="M3515" s="46">
        <v>0</v>
      </c>
      <c r="N3515" s="46">
        <v>0</v>
      </c>
      <c r="O3515" s="124">
        <v>0</v>
      </c>
      <c r="P3515" s="102">
        <f>850000/1000000</f>
        <v>0.85</v>
      </c>
      <c r="Q3515" s="45" t="s">
        <v>154</v>
      </c>
    </row>
    <row r="3516" spans="1:17" ht="36" x14ac:dyDescent="0.25">
      <c r="A3516" s="21">
        <v>40114</v>
      </c>
      <c r="B3516" s="21">
        <v>40114</v>
      </c>
      <c r="C3516" s="45">
        <v>2009</v>
      </c>
      <c r="D3516" s="24" t="s">
        <v>141</v>
      </c>
      <c r="E3516" s="30" t="s">
        <v>5189</v>
      </c>
      <c r="F3516" s="7" t="s">
        <v>87</v>
      </c>
      <c r="G3516" s="25" t="s">
        <v>874</v>
      </c>
      <c r="H3516" s="25" t="s">
        <v>5190</v>
      </c>
      <c r="I3516" s="46">
        <v>0</v>
      </c>
      <c r="J3516" s="46">
        <v>5</v>
      </c>
      <c r="K3516" s="46">
        <v>0</v>
      </c>
      <c r="L3516" s="46">
        <v>0</v>
      </c>
      <c r="M3516" s="46">
        <v>0</v>
      </c>
      <c r="N3516" s="46">
        <v>0</v>
      </c>
      <c r="O3516" s="124">
        <v>0</v>
      </c>
      <c r="P3516" s="102"/>
      <c r="Q3516" s="45" t="s">
        <v>154</v>
      </c>
    </row>
    <row r="3517" spans="1:17" ht="24" x14ac:dyDescent="0.25">
      <c r="A3517" s="21">
        <v>40116</v>
      </c>
      <c r="B3517" s="21">
        <v>40116</v>
      </c>
      <c r="C3517" s="45">
        <v>2009</v>
      </c>
      <c r="D3517" s="24" t="s">
        <v>141</v>
      </c>
      <c r="E3517" s="30" t="s">
        <v>142</v>
      </c>
      <c r="F3517" s="7" t="s">
        <v>45</v>
      </c>
      <c r="G3517" s="25" t="s">
        <v>259</v>
      </c>
      <c r="H3517" s="25" t="s">
        <v>5191</v>
      </c>
      <c r="I3517" s="46">
        <v>0</v>
      </c>
      <c r="J3517" s="46">
        <v>4</v>
      </c>
      <c r="K3517" s="46">
        <v>0</v>
      </c>
      <c r="L3517" s="46">
        <v>0</v>
      </c>
      <c r="M3517" s="46">
        <v>0</v>
      </c>
      <c r="N3517" s="46">
        <v>0</v>
      </c>
      <c r="O3517" s="124">
        <v>0</v>
      </c>
      <c r="P3517" s="102">
        <v>1</v>
      </c>
      <c r="Q3517" s="45" t="s">
        <v>154</v>
      </c>
    </row>
    <row r="3518" spans="1:17" ht="24" x14ac:dyDescent="0.25">
      <c r="A3518" s="21">
        <v>40116</v>
      </c>
      <c r="B3518" s="21">
        <v>40116</v>
      </c>
      <c r="C3518" s="45">
        <v>2009</v>
      </c>
      <c r="D3518" s="24" t="s">
        <v>141</v>
      </c>
      <c r="E3518" s="30" t="s">
        <v>142</v>
      </c>
      <c r="F3518" s="28" t="s">
        <v>157</v>
      </c>
      <c r="G3518" s="25" t="s">
        <v>158</v>
      </c>
      <c r="H3518" s="25" t="s">
        <v>5192</v>
      </c>
      <c r="I3518" s="46">
        <v>0</v>
      </c>
      <c r="J3518" s="46">
        <v>18</v>
      </c>
      <c r="K3518" s="46">
        <v>0</v>
      </c>
      <c r="L3518" s="46">
        <v>0</v>
      </c>
      <c r="M3518" s="46">
        <v>0</v>
      </c>
      <c r="N3518" s="46">
        <v>0</v>
      </c>
      <c r="O3518" s="124">
        <v>0</v>
      </c>
      <c r="P3518" s="102">
        <f>(200000+50000)/1000000</f>
        <v>0.25</v>
      </c>
      <c r="Q3518" s="45" t="s">
        <v>154</v>
      </c>
    </row>
    <row r="3519" spans="1:17" ht="24" x14ac:dyDescent="0.25">
      <c r="A3519" s="21">
        <v>40123</v>
      </c>
      <c r="B3519" s="21">
        <v>40123</v>
      </c>
      <c r="C3519" s="45">
        <v>2009</v>
      </c>
      <c r="D3519" s="24" t="s">
        <v>141</v>
      </c>
      <c r="E3519" s="30" t="s">
        <v>142</v>
      </c>
      <c r="F3519" s="28" t="s">
        <v>157</v>
      </c>
      <c r="G3519" s="25" t="s">
        <v>158</v>
      </c>
      <c r="H3519" s="25" t="s">
        <v>5193</v>
      </c>
      <c r="I3519" s="46">
        <v>0</v>
      </c>
      <c r="J3519" s="46">
        <v>0</v>
      </c>
      <c r="K3519" s="46">
        <v>0</v>
      </c>
      <c r="L3519" s="46">
        <v>0</v>
      </c>
      <c r="M3519" s="46">
        <v>0</v>
      </c>
      <c r="N3519" s="46">
        <v>0</v>
      </c>
      <c r="O3519" s="124">
        <v>0</v>
      </c>
      <c r="P3519" s="102">
        <f>(450000+42000*8.5)/1000000</f>
        <v>0.80700000000000005</v>
      </c>
      <c r="Q3519" s="45" t="s">
        <v>154</v>
      </c>
    </row>
    <row r="3520" spans="1:17" ht="36" x14ac:dyDescent="0.25">
      <c r="A3520" s="21">
        <v>40129</v>
      </c>
      <c r="B3520" s="21">
        <v>40129</v>
      </c>
      <c r="C3520" s="45">
        <v>2009</v>
      </c>
      <c r="D3520" s="24" t="s">
        <v>141</v>
      </c>
      <c r="E3520" s="30" t="s">
        <v>142</v>
      </c>
      <c r="F3520" s="28" t="s">
        <v>151</v>
      </c>
      <c r="G3520" s="25" t="s">
        <v>5194</v>
      </c>
      <c r="H3520" s="25" t="s">
        <v>5195</v>
      </c>
      <c r="I3520" s="46">
        <v>0</v>
      </c>
      <c r="J3520" s="46">
        <v>1</v>
      </c>
      <c r="K3520" s="46">
        <v>0</v>
      </c>
      <c r="L3520" s="46">
        <v>0</v>
      </c>
      <c r="M3520" s="46">
        <v>0</v>
      </c>
      <c r="N3520" s="46">
        <v>0</v>
      </c>
      <c r="O3520" s="124">
        <v>0</v>
      </c>
      <c r="P3520" s="102">
        <f>500000/1000000</f>
        <v>0.5</v>
      </c>
      <c r="Q3520" s="45" t="s">
        <v>154</v>
      </c>
    </row>
    <row r="3521" spans="1:17" ht="24" x14ac:dyDescent="0.25">
      <c r="A3521" s="23">
        <v>40130</v>
      </c>
      <c r="B3521" s="23">
        <v>40130</v>
      </c>
      <c r="C3521" s="27">
        <v>2009</v>
      </c>
      <c r="D3521" s="35" t="s">
        <v>28</v>
      </c>
      <c r="E3521" s="30" t="s">
        <v>149</v>
      </c>
      <c r="F3521" s="7" t="s">
        <v>30</v>
      </c>
      <c r="G3521" s="25" t="s">
        <v>1078</v>
      </c>
      <c r="H3521" s="25" t="s">
        <v>5196</v>
      </c>
      <c r="I3521" s="20">
        <v>0</v>
      </c>
      <c r="J3521" s="20">
        <v>4</v>
      </c>
      <c r="K3521" s="20">
        <v>0</v>
      </c>
      <c r="L3521" s="20">
        <v>0</v>
      </c>
      <c r="M3521" s="20">
        <v>0</v>
      </c>
      <c r="N3521" s="46">
        <v>0</v>
      </c>
      <c r="O3521" s="75">
        <v>0</v>
      </c>
      <c r="P3521" s="76">
        <v>0</v>
      </c>
      <c r="Q3521" s="27" t="s">
        <v>154</v>
      </c>
    </row>
    <row r="3522" spans="1:17" ht="48" x14ac:dyDescent="0.25">
      <c r="A3522" s="21">
        <v>40135</v>
      </c>
      <c r="B3522" s="21">
        <v>40135</v>
      </c>
      <c r="C3522" s="45">
        <v>2009</v>
      </c>
      <c r="D3522" s="24" t="s">
        <v>141</v>
      </c>
      <c r="E3522" s="30" t="s">
        <v>142</v>
      </c>
      <c r="F3522" s="7" t="s">
        <v>56</v>
      </c>
      <c r="G3522" s="25" t="s">
        <v>2786</v>
      </c>
      <c r="H3522" s="25" t="s">
        <v>5197</v>
      </c>
      <c r="I3522" s="46">
        <v>5</v>
      </c>
      <c r="J3522" s="46">
        <v>5</v>
      </c>
      <c r="K3522" s="46">
        <v>0</v>
      </c>
      <c r="L3522" s="46">
        <v>0</v>
      </c>
      <c r="M3522" s="46">
        <v>0</v>
      </c>
      <c r="N3522" s="46">
        <v>0</v>
      </c>
      <c r="O3522" s="124">
        <v>0</v>
      </c>
      <c r="P3522" s="102">
        <f>(500000+300000)/1000000</f>
        <v>0.8</v>
      </c>
      <c r="Q3522" s="45" t="s">
        <v>154</v>
      </c>
    </row>
    <row r="3523" spans="1:17" ht="36" x14ac:dyDescent="0.25">
      <c r="A3523" s="21">
        <v>40135</v>
      </c>
      <c r="B3523" s="21">
        <v>40135</v>
      </c>
      <c r="C3523" s="45">
        <v>2009</v>
      </c>
      <c r="D3523" s="24" t="s">
        <v>141</v>
      </c>
      <c r="E3523" s="30" t="s">
        <v>1600</v>
      </c>
      <c r="F3523" s="7" t="s">
        <v>56</v>
      </c>
      <c r="G3523" s="25" t="s">
        <v>56</v>
      </c>
      <c r="H3523" s="25" t="s">
        <v>5198</v>
      </c>
      <c r="I3523" s="46">
        <v>1</v>
      </c>
      <c r="J3523" s="46">
        <v>1</v>
      </c>
      <c r="K3523" s="46">
        <v>0</v>
      </c>
      <c r="L3523" s="46">
        <v>0</v>
      </c>
      <c r="M3523" s="46">
        <v>0</v>
      </c>
      <c r="N3523" s="46">
        <v>0</v>
      </c>
      <c r="O3523" s="124">
        <v>0</v>
      </c>
      <c r="P3523" s="102"/>
      <c r="Q3523" s="45" t="s">
        <v>154</v>
      </c>
    </row>
    <row r="3524" spans="1:17" ht="24" x14ac:dyDescent="0.25">
      <c r="A3524" s="21">
        <v>40139</v>
      </c>
      <c r="B3524" s="21">
        <v>40139</v>
      </c>
      <c r="C3524" s="45">
        <v>2009</v>
      </c>
      <c r="D3524" s="24" t="s">
        <v>141</v>
      </c>
      <c r="E3524" s="30" t="s">
        <v>142</v>
      </c>
      <c r="F3524" s="7" t="s">
        <v>56</v>
      </c>
      <c r="G3524" s="25" t="s">
        <v>5199</v>
      </c>
      <c r="H3524" s="25" t="s">
        <v>5200</v>
      </c>
      <c r="I3524" s="46">
        <v>0</v>
      </c>
      <c r="J3524" s="46">
        <v>31</v>
      </c>
      <c r="K3524" s="46">
        <v>0</v>
      </c>
      <c r="L3524" s="46">
        <v>0</v>
      </c>
      <c r="M3524" s="46">
        <v>0</v>
      </c>
      <c r="N3524" s="46">
        <v>0</v>
      </c>
      <c r="O3524" s="124">
        <v>0</v>
      </c>
      <c r="P3524" s="102"/>
      <c r="Q3524" s="45" t="s">
        <v>154</v>
      </c>
    </row>
    <row r="3525" spans="1:17" ht="48" x14ac:dyDescent="0.25">
      <c r="A3525" s="21">
        <v>40141</v>
      </c>
      <c r="B3525" s="21">
        <v>40141</v>
      </c>
      <c r="C3525" s="45">
        <v>2009</v>
      </c>
      <c r="D3525" s="24" t="s">
        <v>141</v>
      </c>
      <c r="E3525" s="30" t="s">
        <v>142</v>
      </c>
      <c r="F3525" s="28" t="s">
        <v>157</v>
      </c>
      <c r="G3525" s="25" t="s">
        <v>158</v>
      </c>
      <c r="H3525" s="25" t="s">
        <v>5201</v>
      </c>
      <c r="I3525" s="46">
        <v>1</v>
      </c>
      <c r="J3525" s="46">
        <v>1</v>
      </c>
      <c r="K3525" s="46">
        <v>0</v>
      </c>
      <c r="L3525" s="46">
        <v>0</v>
      </c>
      <c r="M3525" s="46">
        <v>0</v>
      </c>
      <c r="N3525" s="46">
        <v>0</v>
      </c>
      <c r="O3525" s="124">
        <v>0</v>
      </c>
      <c r="P3525" s="102">
        <f>350000/1000000</f>
        <v>0.35</v>
      </c>
      <c r="Q3525" s="45" t="s">
        <v>154</v>
      </c>
    </row>
    <row r="3526" spans="1:17" ht="48" x14ac:dyDescent="0.25">
      <c r="A3526" s="21">
        <v>40141</v>
      </c>
      <c r="B3526" s="21">
        <v>40141</v>
      </c>
      <c r="C3526" s="45">
        <v>2009</v>
      </c>
      <c r="D3526" s="24" t="s">
        <v>141</v>
      </c>
      <c r="E3526" s="30" t="s">
        <v>142</v>
      </c>
      <c r="F3526" s="7" t="s">
        <v>56</v>
      </c>
      <c r="G3526" s="25" t="s">
        <v>3592</v>
      </c>
      <c r="H3526" s="25" t="s">
        <v>5202</v>
      </c>
      <c r="I3526" s="46">
        <v>0</v>
      </c>
      <c r="J3526" s="46">
        <v>0</v>
      </c>
      <c r="K3526" s="46">
        <v>0</v>
      </c>
      <c r="L3526" s="46">
        <v>0</v>
      </c>
      <c r="M3526" s="46">
        <v>0</v>
      </c>
      <c r="N3526" s="46">
        <v>0</v>
      </c>
      <c r="O3526" s="124">
        <v>0</v>
      </c>
      <c r="P3526" s="102">
        <f>(450000+30000*4.61)/1000000</f>
        <v>0.58830000000000005</v>
      </c>
      <c r="Q3526" s="45" t="s">
        <v>154</v>
      </c>
    </row>
    <row r="3527" spans="1:17" ht="36" x14ac:dyDescent="0.25">
      <c r="A3527" s="133">
        <v>39919</v>
      </c>
      <c r="B3527" s="133">
        <v>39919</v>
      </c>
      <c r="C3527" s="45">
        <v>2009</v>
      </c>
      <c r="D3527" s="24" t="s">
        <v>130</v>
      </c>
      <c r="E3527" s="30" t="s">
        <v>3045</v>
      </c>
      <c r="F3527" s="25" t="s">
        <v>5203</v>
      </c>
      <c r="G3527" s="134"/>
      <c r="H3527" s="25" t="s">
        <v>5204</v>
      </c>
      <c r="I3527" s="46">
        <v>116</v>
      </c>
      <c r="J3527" s="46">
        <v>2282</v>
      </c>
      <c r="K3527" s="46">
        <v>0</v>
      </c>
      <c r="L3527" s="46">
        <v>0</v>
      </c>
      <c r="M3527" s="46">
        <v>0</v>
      </c>
      <c r="N3527" s="46"/>
      <c r="O3527" s="46">
        <v>0</v>
      </c>
      <c r="P3527" s="102">
        <v>0</v>
      </c>
      <c r="Q3527" s="135" t="s">
        <v>2218</v>
      </c>
    </row>
    <row r="3528" spans="1:17" ht="204" x14ac:dyDescent="0.25">
      <c r="A3528" s="136">
        <v>40197</v>
      </c>
      <c r="B3528" s="136">
        <v>40197</v>
      </c>
      <c r="C3528" s="122">
        <v>2010</v>
      </c>
      <c r="D3528" s="351" t="s">
        <v>23</v>
      </c>
      <c r="E3528" s="22" t="s">
        <v>86</v>
      </c>
      <c r="F3528" s="7" t="s">
        <v>30</v>
      </c>
      <c r="G3528" s="120" t="s">
        <v>5205</v>
      </c>
      <c r="H3528" s="120" t="s">
        <v>5206</v>
      </c>
      <c r="I3528" s="121">
        <v>3</v>
      </c>
      <c r="J3528" s="121">
        <v>890</v>
      </c>
      <c r="K3528" s="121">
        <v>178</v>
      </c>
      <c r="L3528" s="121">
        <v>0</v>
      </c>
      <c r="M3528" s="121">
        <v>0</v>
      </c>
      <c r="N3528" s="121">
        <v>0</v>
      </c>
      <c r="O3528" s="121">
        <v>0</v>
      </c>
      <c r="P3528" s="76">
        <v>938.95699999999999</v>
      </c>
      <c r="Q3528" s="122" t="s">
        <v>5207</v>
      </c>
    </row>
    <row r="3529" spans="1:17" ht="51" x14ac:dyDescent="0.25">
      <c r="A3529" s="136">
        <v>40187</v>
      </c>
      <c r="B3529" s="136">
        <v>40187</v>
      </c>
      <c r="C3529" s="122">
        <v>2010</v>
      </c>
      <c r="D3529" s="351" t="s">
        <v>23</v>
      </c>
      <c r="E3529" s="22" t="s">
        <v>86</v>
      </c>
      <c r="F3529" s="28" t="s">
        <v>210</v>
      </c>
      <c r="G3529" s="120" t="s">
        <v>5208</v>
      </c>
      <c r="H3529" s="120" t="s">
        <v>5209</v>
      </c>
      <c r="I3529" s="121">
        <v>0</v>
      </c>
      <c r="J3529" s="121">
        <v>30700</v>
      </c>
      <c r="K3529" s="121">
        <v>0</v>
      </c>
      <c r="L3529" s="121">
        <v>0</v>
      </c>
      <c r="M3529" s="121">
        <v>0</v>
      </c>
      <c r="N3529" s="121">
        <v>0</v>
      </c>
      <c r="O3529" s="121">
        <v>0</v>
      </c>
      <c r="P3529" s="76">
        <v>12.01</v>
      </c>
      <c r="Q3529" s="122" t="s">
        <v>154</v>
      </c>
    </row>
    <row r="3530" spans="1:17" ht="114.75" x14ac:dyDescent="0.25">
      <c r="A3530" s="136">
        <v>40233</v>
      </c>
      <c r="B3530" s="136">
        <v>40233</v>
      </c>
      <c r="C3530" s="122">
        <v>2010</v>
      </c>
      <c r="D3530" s="351" t="s">
        <v>23</v>
      </c>
      <c r="E3530" s="22" t="s">
        <v>86</v>
      </c>
      <c r="F3530" s="28" t="s">
        <v>151</v>
      </c>
      <c r="G3530" s="120" t="s">
        <v>5210</v>
      </c>
      <c r="H3530" s="120" t="s">
        <v>5211</v>
      </c>
      <c r="I3530" s="121">
        <v>0</v>
      </c>
      <c r="J3530" s="121">
        <v>52</v>
      </c>
      <c r="K3530" s="121">
        <v>5</v>
      </c>
      <c r="L3530" s="121">
        <v>0</v>
      </c>
      <c r="M3530" s="121">
        <v>0</v>
      </c>
      <c r="N3530" s="121">
        <v>0</v>
      </c>
      <c r="O3530" s="121">
        <v>0</v>
      </c>
      <c r="P3530" s="76">
        <v>0.43694</v>
      </c>
      <c r="Q3530" s="122" t="s">
        <v>154</v>
      </c>
    </row>
    <row r="3531" spans="1:17" ht="38.25" x14ac:dyDescent="0.25">
      <c r="A3531" s="136">
        <v>40212</v>
      </c>
      <c r="B3531" s="136">
        <v>40212</v>
      </c>
      <c r="C3531" s="122">
        <v>2010</v>
      </c>
      <c r="D3531" s="351" t="s">
        <v>23</v>
      </c>
      <c r="E3531" s="22" t="s">
        <v>86</v>
      </c>
      <c r="F3531" s="7" t="s">
        <v>58</v>
      </c>
      <c r="G3531" s="120" t="s">
        <v>3252</v>
      </c>
      <c r="H3531" s="120" t="s">
        <v>5212</v>
      </c>
      <c r="I3531" s="121">
        <v>0</v>
      </c>
      <c r="J3531" s="121">
        <v>920</v>
      </c>
      <c r="K3531" s="121">
        <v>184</v>
      </c>
      <c r="L3531" s="121">
        <v>0</v>
      </c>
      <c r="M3531" s="121">
        <v>0</v>
      </c>
      <c r="N3531" s="121">
        <v>0</v>
      </c>
      <c r="O3531" s="121">
        <v>0</v>
      </c>
      <c r="P3531" s="76">
        <v>36.442999999999998</v>
      </c>
      <c r="Q3531" s="122" t="s">
        <v>186</v>
      </c>
    </row>
    <row r="3532" spans="1:17" ht="38.25" x14ac:dyDescent="0.25">
      <c r="A3532" s="136">
        <v>40212</v>
      </c>
      <c r="B3532" s="136">
        <v>40212</v>
      </c>
      <c r="C3532" s="122">
        <v>2010</v>
      </c>
      <c r="D3532" s="351" t="s">
        <v>23</v>
      </c>
      <c r="E3532" s="22" t="s">
        <v>86</v>
      </c>
      <c r="F3532" s="7" t="s">
        <v>58</v>
      </c>
      <c r="G3532" s="120" t="s">
        <v>5213</v>
      </c>
      <c r="H3532" s="120" t="s">
        <v>5212</v>
      </c>
      <c r="I3532" s="121">
        <v>0</v>
      </c>
      <c r="J3532" s="121">
        <v>1290</v>
      </c>
      <c r="K3532" s="121">
        <v>258</v>
      </c>
      <c r="L3532" s="121">
        <v>0</v>
      </c>
      <c r="M3532" s="121">
        <v>0</v>
      </c>
      <c r="N3532" s="121">
        <v>0</v>
      </c>
      <c r="O3532" s="121">
        <v>0</v>
      </c>
      <c r="P3532" s="76">
        <v>28.12</v>
      </c>
      <c r="Q3532" s="122" t="s">
        <v>186</v>
      </c>
    </row>
    <row r="3533" spans="1:17" ht="229.5" x14ac:dyDescent="0.25">
      <c r="A3533" s="136">
        <v>40214</v>
      </c>
      <c r="B3533" s="136">
        <v>40214</v>
      </c>
      <c r="C3533" s="122">
        <v>2010</v>
      </c>
      <c r="D3533" s="351" t="s">
        <v>23</v>
      </c>
      <c r="E3533" s="22" t="s">
        <v>86</v>
      </c>
      <c r="F3533" s="7" t="s">
        <v>56</v>
      </c>
      <c r="G3533" s="120" t="s">
        <v>5214</v>
      </c>
      <c r="H3533" s="120" t="s">
        <v>5215</v>
      </c>
      <c r="I3533" s="121">
        <v>0</v>
      </c>
      <c r="J3533" s="121">
        <v>47</v>
      </c>
      <c r="K3533" s="121">
        <v>6</v>
      </c>
      <c r="L3533" s="121">
        <v>0</v>
      </c>
      <c r="M3533" s="121">
        <v>0</v>
      </c>
      <c r="N3533" s="121">
        <v>0</v>
      </c>
      <c r="O3533" s="121">
        <v>350</v>
      </c>
      <c r="P3533" s="76">
        <v>2.6067</v>
      </c>
      <c r="Q3533" s="122" t="s">
        <v>154</v>
      </c>
    </row>
    <row r="3534" spans="1:17" ht="114.75" x14ac:dyDescent="0.25">
      <c r="A3534" s="136">
        <v>40214</v>
      </c>
      <c r="B3534" s="136">
        <v>40214</v>
      </c>
      <c r="C3534" s="122">
        <v>2010</v>
      </c>
      <c r="D3534" s="351" t="s">
        <v>23</v>
      </c>
      <c r="E3534" s="22" t="s">
        <v>86</v>
      </c>
      <c r="F3534" s="7" t="s">
        <v>62</v>
      </c>
      <c r="G3534" s="120" t="s">
        <v>5216</v>
      </c>
      <c r="H3534" s="120" t="s">
        <v>5217</v>
      </c>
      <c r="I3534" s="121">
        <v>19</v>
      </c>
      <c r="J3534" s="121">
        <v>23000</v>
      </c>
      <c r="K3534" s="121">
        <v>1645</v>
      </c>
      <c r="L3534" s="121">
        <v>108</v>
      </c>
      <c r="M3534" s="121">
        <v>0</v>
      </c>
      <c r="N3534" s="121">
        <v>367</v>
      </c>
      <c r="O3534" s="121">
        <v>3354.6</v>
      </c>
      <c r="P3534" s="76">
        <v>1611.2560000000001</v>
      </c>
      <c r="Q3534" s="122" t="s">
        <v>22</v>
      </c>
    </row>
    <row r="3535" spans="1:17" ht="63.75" x14ac:dyDescent="0.25">
      <c r="A3535" s="136">
        <v>40213</v>
      </c>
      <c r="B3535" s="136">
        <v>40213</v>
      </c>
      <c r="C3535" s="122">
        <v>2010</v>
      </c>
      <c r="D3535" s="351" t="s">
        <v>23</v>
      </c>
      <c r="E3535" s="22" t="s">
        <v>86</v>
      </c>
      <c r="F3535" s="28" t="s">
        <v>157</v>
      </c>
      <c r="G3535" s="120" t="s">
        <v>5218</v>
      </c>
      <c r="H3535" s="120" t="s">
        <v>5219</v>
      </c>
      <c r="I3535" s="121">
        <v>0</v>
      </c>
      <c r="J3535" s="121">
        <v>42670</v>
      </c>
      <c r="K3535" s="121">
        <v>8534</v>
      </c>
      <c r="L3535" s="121">
        <v>154</v>
      </c>
      <c r="M3535" s="121">
        <v>0</v>
      </c>
      <c r="N3535" s="121">
        <v>0</v>
      </c>
      <c r="O3535" s="121">
        <v>0</v>
      </c>
      <c r="P3535" s="76">
        <v>345.86099999999999</v>
      </c>
      <c r="Q3535" s="122" t="s">
        <v>22</v>
      </c>
    </row>
    <row r="3536" spans="1:17" ht="63.75" x14ac:dyDescent="0.25">
      <c r="A3536" s="136">
        <v>40213</v>
      </c>
      <c r="B3536" s="136">
        <v>40213</v>
      </c>
      <c r="C3536" s="122">
        <v>2010</v>
      </c>
      <c r="D3536" s="351" t="s">
        <v>23</v>
      </c>
      <c r="E3536" s="22" t="s">
        <v>86</v>
      </c>
      <c r="F3536" s="7" t="s">
        <v>53</v>
      </c>
      <c r="G3536" s="120" t="s">
        <v>5220</v>
      </c>
      <c r="H3536" s="120" t="s">
        <v>5221</v>
      </c>
      <c r="I3536" s="121">
        <v>0</v>
      </c>
      <c r="J3536" s="121">
        <v>40170</v>
      </c>
      <c r="K3536" s="121">
        <v>8034</v>
      </c>
      <c r="L3536" s="121">
        <v>0</v>
      </c>
      <c r="M3536" s="121">
        <v>2</v>
      </c>
      <c r="N3536" s="121">
        <v>1641</v>
      </c>
      <c r="O3536" s="121">
        <v>0</v>
      </c>
      <c r="P3536" s="76">
        <v>735.53</v>
      </c>
      <c r="Q3536" s="122" t="s">
        <v>22</v>
      </c>
    </row>
    <row r="3537" spans="1:17" ht="76.5" x14ac:dyDescent="0.25">
      <c r="A3537" s="136">
        <v>40279</v>
      </c>
      <c r="B3537" s="136">
        <v>40279</v>
      </c>
      <c r="C3537" s="122">
        <v>2010</v>
      </c>
      <c r="D3537" s="351" t="s">
        <v>23</v>
      </c>
      <c r="E3537" s="22" t="s">
        <v>86</v>
      </c>
      <c r="F3537" s="7" t="s">
        <v>68</v>
      </c>
      <c r="G3537" s="120" t="s">
        <v>5222</v>
      </c>
      <c r="H3537" s="120" t="s">
        <v>5223</v>
      </c>
      <c r="I3537" s="121">
        <v>0</v>
      </c>
      <c r="J3537" s="121">
        <v>200</v>
      </c>
      <c r="K3537" s="121">
        <v>40</v>
      </c>
      <c r="L3537" s="121">
        <v>0</v>
      </c>
      <c r="M3537" s="121">
        <v>0</v>
      </c>
      <c r="N3537" s="121">
        <v>0</v>
      </c>
      <c r="O3537" s="121">
        <v>0</v>
      </c>
      <c r="P3537" s="76">
        <v>578.78099999999995</v>
      </c>
      <c r="Q3537" s="122" t="s">
        <v>186</v>
      </c>
    </row>
    <row r="3538" spans="1:17" ht="76.5" x14ac:dyDescent="0.25">
      <c r="A3538" s="136">
        <v>40282</v>
      </c>
      <c r="B3538" s="136">
        <v>40282</v>
      </c>
      <c r="C3538" s="122">
        <v>2010</v>
      </c>
      <c r="D3538" s="351" t="s">
        <v>23</v>
      </c>
      <c r="E3538" s="22" t="s">
        <v>86</v>
      </c>
      <c r="F3538" s="7" t="s">
        <v>45</v>
      </c>
      <c r="G3538" s="120" t="s">
        <v>5224</v>
      </c>
      <c r="H3538" s="120" t="s">
        <v>5225</v>
      </c>
      <c r="I3538" s="121">
        <v>0</v>
      </c>
      <c r="J3538" s="121">
        <v>0</v>
      </c>
      <c r="K3538" s="121">
        <v>0</v>
      </c>
      <c r="L3538" s="121">
        <v>0</v>
      </c>
      <c r="M3538" s="121">
        <v>0</v>
      </c>
      <c r="N3538" s="121">
        <v>0</v>
      </c>
      <c r="O3538" s="121">
        <v>0</v>
      </c>
      <c r="P3538" s="76">
        <v>122.09699999999999</v>
      </c>
      <c r="Q3538" s="122" t="s">
        <v>186</v>
      </c>
    </row>
    <row r="3539" spans="1:17" ht="242.25" x14ac:dyDescent="0.25">
      <c r="A3539" s="119">
        <v>40327</v>
      </c>
      <c r="B3539" s="119">
        <v>40327</v>
      </c>
      <c r="C3539" s="122">
        <v>2010</v>
      </c>
      <c r="D3539" s="351" t="s">
        <v>23</v>
      </c>
      <c r="E3539" s="14" t="s">
        <v>32</v>
      </c>
      <c r="F3539" s="7" t="s">
        <v>36</v>
      </c>
      <c r="G3539" s="120" t="s">
        <v>5226</v>
      </c>
      <c r="H3539" s="120" t="s">
        <v>5227</v>
      </c>
      <c r="I3539" s="121">
        <v>3</v>
      </c>
      <c r="J3539" s="121">
        <v>437</v>
      </c>
      <c r="K3539" s="121">
        <v>86</v>
      </c>
      <c r="L3539" s="121">
        <v>0</v>
      </c>
      <c r="M3539" s="121">
        <v>0</v>
      </c>
      <c r="N3539" s="121">
        <v>0</v>
      </c>
      <c r="O3539" s="121">
        <v>0</v>
      </c>
      <c r="P3539" s="76">
        <v>0.75146800000000002</v>
      </c>
      <c r="Q3539" s="122" t="s">
        <v>154</v>
      </c>
    </row>
    <row r="3540" spans="1:17" ht="63.75" x14ac:dyDescent="0.25">
      <c r="A3540" s="136">
        <v>40356</v>
      </c>
      <c r="B3540" s="136">
        <v>40356</v>
      </c>
      <c r="C3540" s="122">
        <v>2010</v>
      </c>
      <c r="D3540" s="351" t="s">
        <v>23</v>
      </c>
      <c r="E3540" s="22" t="s">
        <v>86</v>
      </c>
      <c r="F3540" s="7" t="s">
        <v>36</v>
      </c>
      <c r="G3540" s="120" t="s">
        <v>5228</v>
      </c>
      <c r="H3540" s="120" t="s">
        <v>5229</v>
      </c>
      <c r="I3540" s="121">
        <v>0</v>
      </c>
      <c r="J3540" s="121">
        <v>270</v>
      </c>
      <c r="K3540" s="121">
        <v>54</v>
      </c>
      <c r="L3540" s="121">
        <v>0</v>
      </c>
      <c r="M3540" s="121">
        <v>0</v>
      </c>
      <c r="N3540" s="121">
        <v>0</v>
      </c>
      <c r="O3540" s="121">
        <v>0</v>
      </c>
      <c r="P3540" s="76">
        <v>69.554000000000002</v>
      </c>
      <c r="Q3540" s="122" t="s">
        <v>186</v>
      </c>
    </row>
    <row r="3541" spans="1:17" ht="102" x14ac:dyDescent="0.25">
      <c r="A3541" s="119">
        <v>40359</v>
      </c>
      <c r="B3541" s="119">
        <v>40359</v>
      </c>
      <c r="C3541" s="122">
        <v>2010</v>
      </c>
      <c r="D3541" s="351" t="s">
        <v>23</v>
      </c>
      <c r="E3541" s="14" t="s">
        <v>32</v>
      </c>
      <c r="F3541" s="7" t="s">
        <v>91</v>
      </c>
      <c r="G3541" s="120" t="s">
        <v>5230</v>
      </c>
      <c r="H3541" s="120" t="s">
        <v>5231</v>
      </c>
      <c r="I3541" s="121">
        <v>6</v>
      </c>
      <c r="J3541" s="121">
        <v>58063</v>
      </c>
      <c r="K3541" s="121">
        <v>3141</v>
      </c>
      <c r="L3541" s="121">
        <v>230</v>
      </c>
      <c r="M3541" s="121">
        <v>8</v>
      </c>
      <c r="N3541" s="121">
        <v>336</v>
      </c>
      <c r="O3541" s="121">
        <v>158178</v>
      </c>
      <c r="P3541" s="76">
        <v>2101.6390000000001</v>
      </c>
      <c r="Q3541" s="122" t="s">
        <v>22</v>
      </c>
    </row>
    <row r="3542" spans="1:17" ht="72" x14ac:dyDescent="0.25">
      <c r="A3542" s="137">
        <v>41896</v>
      </c>
      <c r="B3542" s="137">
        <v>41897</v>
      </c>
      <c r="C3542" s="138">
        <v>2014</v>
      </c>
      <c r="D3542" s="351" t="s">
        <v>23</v>
      </c>
      <c r="E3542" s="14" t="s">
        <v>32</v>
      </c>
      <c r="F3542" s="7" t="s">
        <v>33</v>
      </c>
      <c r="G3542" s="139" t="s">
        <v>5232</v>
      </c>
      <c r="H3542" s="140" t="s">
        <v>5233</v>
      </c>
      <c r="I3542" s="141">
        <v>6</v>
      </c>
      <c r="J3542" s="142">
        <v>635341</v>
      </c>
      <c r="K3542" s="142">
        <v>5046</v>
      </c>
      <c r="L3542" s="142">
        <v>923</v>
      </c>
      <c r="M3542" s="142">
        <v>14</v>
      </c>
      <c r="N3542" s="142">
        <v>5928</v>
      </c>
      <c r="O3542" s="142">
        <v>11681</v>
      </c>
      <c r="P3542" s="143">
        <v>24133.167000000001</v>
      </c>
      <c r="Q3542" s="144" t="s">
        <v>22</v>
      </c>
    </row>
    <row r="3543" spans="1:17" ht="76.5" x14ac:dyDescent="0.25">
      <c r="A3543" s="119">
        <v>40359</v>
      </c>
      <c r="B3543" s="119">
        <v>40359</v>
      </c>
      <c r="C3543" s="122">
        <v>2010</v>
      </c>
      <c r="D3543" s="351" t="s">
        <v>23</v>
      </c>
      <c r="E3543" s="14" t="s">
        <v>32</v>
      </c>
      <c r="F3543" s="7" t="s">
        <v>45</v>
      </c>
      <c r="G3543" s="120" t="s">
        <v>5234</v>
      </c>
      <c r="H3543" s="120" t="s">
        <v>5235</v>
      </c>
      <c r="I3543" s="121">
        <v>14</v>
      </c>
      <c r="J3543" s="121">
        <v>494542</v>
      </c>
      <c r="K3543" s="121">
        <v>16549</v>
      </c>
      <c r="L3543" s="121">
        <v>37</v>
      </c>
      <c r="M3543" s="121">
        <v>0</v>
      </c>
      <c r="N3543" s="121">
        <v>629</v>
      </c>
      <c r="O3543" s="121">
        <v>2867.8</v>
      </c>
      <c r="P3543" s="76">
        <v>1430.3</v>
      </c>
      <c r="Q3543" s="122" t="s">
        <v>22</v>
      </c>
    </row>
    <row r="3544" spans="1:17" ht="267.75" x14ac:dyDescent="0.25">
      <c r="A3544" s="136">
        <v>40358</v>
      </c>
      <c r="B3544" s="136">
        <v>40358</v>
      </c>
      <c r="C3544" s="122">
        <v>2010</v>
      </c>
      <c r="D3544" s="351" t="s">
        <v>23</v>
      </c>
      <c r="E3544" s="22" t="s">
        <v>86</v>
      </c>
      <c r="F3544" s="28" t="s">
        <v>151</v>
      </c>
      <c r="G3544" s="120" t="s">
        <v>5236</v>
      </c>
      <c r="H3544" s="120" t="s">
        <v>5237</v>
      </c>
      <c r="I3544" s="121">
        <v>0</v>
      </c>
      <c r="J3544" s="121">
        <v>5215</v>
      </c>
      <c r="K3544" s="121">
        <v>1043</v>
      </c>
      <c r="L3544" s="121">
        <v>0</v>
      </c>
      <c r="M3544" s="121">
        <v>0</v>
      </c>
      <c r="N3544" s="121">
        <v>0</v>
      </c>
      <c r="O3544" s="121">
        <v>0</v>
      </c>
      <c r="P3544" s="76">
        <v>24.140291000000001</v>
      </c>
      <c r="Q3544" s="122" t="s">
        <v>154</v>
      </c>
    </row>
    <row r="3545" spans="1:17" ht="114.75" x14ac:dyDescent="0.25">
      <c r="A3545" s="136">
        <v>40356</v>
      </c>
      <c r="B3545" s="136">
        <v>40356</v>
      </c>
      <c r="C3545" s="122">
        <v>2010</v>
      </c>
      <c r="D3545" s="351" t="s">
        <v>23</v>
      </c>
      <c r="E3545" s="22" t="s">
        <v>86</v>
      </c>
      <c r="F3545" s="7" t="s">
        <v>36</v>
      </c>
      <c r="G3545" s="120" t="s">
        <v>5228</v>
      </c>
      <c r="H3545" s="120" t="s">
        <v>5238</v>
      </c>
      <c r="I3545" s="121">
        <v>0</v>
      </c>
      <c r="J3545" s="121">
        <v>497</v>
      </c>
      <c r="K3545" s="121">
        <v>60</v>
      </c>
      <c r="L3545" s="121">
        <v>0</v>
      </c>
      <c r="M3545" s="121">
        <v>0</v>
      </c>
      <c r="N3545" s="121">
        <v>0</v>
      </c>
      <c r="O3545" s="121">
        <v>0</v>
      </c>
      <c r="P3545" s="76">
        <v>0.52427999999999997</v>
      </c>
      <c r="Q3545" s="122" t="s">
        <v>154</v>
      </c>
    </row>
    <row r="3546" spans="1:17" ht="89.25" x14ac:dyDescent="0.25">
      <c r="A3546" s="136">
        <v>40372</v>
      </c>
      <c r="B3546" s="136">
        <v>40372</v>
      </c>
      <c r="C3546" s="122">
        <v>2010</v>
      </c>
      <c r="D3546" s="351" t="s">
        <v>23</v>
      </c>
      <c r="E3546" s="22" t="s">
        <v>86</v>
      </c>
      <c r="F3546" s="7" t="s">
        <v>36</v>
      </c>
      <c r="G3546" s="120" t="s">
        <v>232</v>
      </c>
      <c r="H3546" s="120" t="s">
        <v>5239</v>
      </c>
      <c r="I3546" s="121">
        <v>1</v>
      </c>
      <c r="J3546" s="121">
        <v>4</v>
      </c>
      <c r="K3546" s="121">
        <v>0</v>
      </c>
      <c r="L3546" s="121">
        <v>0</v>
      </c>
      <c r="M3546" s="121">
        <v>0</v>
      </c>
      <c r="N3546" s="121">
        <v>0</v>
      </c>
      <c r="O3546" s="121">
        <v>0</v>
      </c>
      <c r="P3546" s="76">
        <v>0</v>
      </c>
      <c r="Q3546" s="122" t="s">
        <v>154</v>
      </c>
    </row>
    <row r="3547" spans="1:17" ht="63.75" x14ac:dyDescent="0.25">
      <c r="A3547" s="136">
        <v>40362</v>
      </c>
      <c r="B3547" s="136">
        <v>40362</v>
      </c>
      <c r="C3547" s="122">
        <v>2010</v>
      </c>
      <c r="D3547" s="351" t="s">
        <v>23</v>
      </c>
      <c r="E3547" s="22" t="s">
        <v>86</v>
      </c>
      <c r="F3547" s="7" t="s">
        <v>56</v>
      </c>
      <c r="G3547" s="120" t="s">
        <v>646</v>
      </c>
      <c r="H3547" s="120" t="s">
        <v>5240</v>
      </c>
      <c r="I3547" s="121">
        <v>0</v>
      </c>
      <c r="J3547" s="121">
        <v>35</v>
      </c>
      <c r="K3547" s="121">
        <v>5</v>
      </c>
      <c r="L3547" s="121">
        <v>0</v>
      </c>
      <c r="M3547" s="121">
        <v>0</v>
      </c>
      <c r="N3547" s="121">
        <v>0</v>
      </c>
      <c r="O3547" s="121">
        <v>0</v>
      </c>
      <c r="P3547" s="76">
        <v>2.5600000000000001E-2</v>
      </c>
      <c r="Q3547" s="122" t="s">
        <v>154</v>
      </c>
    </row>
    <row r="3548" spans="1:17" ht="127.5" x14ac:dyDescent="0.25">
      <c r="A3548" s="136">
        <v>40360</v>
      </c>
      <c r="B3548" s="136">
        <v>40360</v>
      </c>
      <c r="C3548" s="122">
        <v>2010</v>
      </c>
      <c r="D3548" s="351" t="s">
        <v>23</v>
      </c>
      <c r="E3548" s="22" t="s">
        <v>86</v>
      </c>
      <c r="F3548" s="7" t="s">
        <v>82</v>
      </c>
      <c r="G3548" s="120" t="s">
        <v>5241</v>
      </c>
      <c r="H3548" s="120" t="s">
        <v>5242</v>
      </c>
      <c r="I3548" s="121">
        <v>0</v>
      </c>
      <c r="J3548" s="121">
        <v>3319</v>
      </c>
      <c r="K3548" s="121">
        <v>20</v>
      </c>
      <c r="L3548" s="121">
        <v>0</v>
      </c>
      <c r="M3548" s="121">
        <v>2</v>
      </c>
      <c r="N3548" s="121">
        <v>0</v>
      </c>
      <c r="O3548" s="121">
        <v>0</v>
      </c>
      <c r="P3548" s="76">
        <v>30.8</v>
      </c>
      <c r="Q3548" s="122" t="s">
        <v>186</v>
      </c>
    </row>
    <row r="3549" spans="1:17" ht="51" x14ac:dyDescent="0.25">
      <c r="A3549" s="136">
        <v>40360</v>
      </c>
      <c r="B3549" s="136">
        <v>40360</v>
      </c>
      <c r="C3549" s="122">
        <v>2010</v>
      </c>
      <c r="D3549" s="351" t="s">
        <v>23</v>
      </c>
      <c r="E3549" s="145" t="s">
        <v>52</v>
      </c>
      <c r="F3549" s="7" t="s">
        <v>91</v>
      </c>
      <c r="G3549" s="120" t="s">
        <v>5243</v>
      </c>
      <c r="H3549" s="120" t="s">
        <v>5244</v>
      </c>
      <c r="I3549" s="121">
        <v>0</v>
      </c>
      <c r="J3549" s="121">
        <v>6640</v>
      </c>
      <c r="K3549" s="121">
        <v>1108</v>
      </c>
      <c r="L3549" s="121">
        <v>11</v>
      </c>
      <c r="M3549" s="121">
        <v>0</v>
      </c>
      <c r="N3549" s="121">
        <v>0</v>
      </c>
      <c r="O3549" s="121">
        <v>0</v>
      </c>
      <c r="P3549" s="76">
        <v>109.733</v>
      </c>
      <c r="Q3549" s="122" t="s">
        <v>186</v>
      </c>
    </row>
    <row r="3550" spans="1:17" ht="191.25" x14ac:dyDescent="0.25">
      <c r="A3550" s="136">
        <v>40360</v>
      </c>
      <c r="B3550" s="136">
        <v>40360</v>
      </c>
      <c r="C3550" s="122">
        <v>2010</v>
      </c>
      <c r="D3550" s="351" t="s">
        <v>23</v>
      </c>
      <c r="E3550" s="22" t="s">
        <v>86</v>
      </c>
      <c r="F3550" s="7" t="s">
        <v>62</v>
      </c>
      <c r="G3550" s="120" t="s">
        <v>5245</v>
      </c>
      <c r="H3550" s="120" t="s">
        <v>5246</v>
      </c>
      <c r="I3550" s="121">
        <v>0</v>
      </c>
      <c r="J3550" s="121">
        <v>100</v>
      </c>
      <c r="K3550" s="121">
        <v>20</v>
      </c>
      <c r="L3550" s="121">
        <v>0</v>
      </c>
      <c r="M3550" s="121">
        <v>0</v>
      </c>
      <c r="N3550" s="121">
        <v>0</v>
      </c>
      <c r="O3550" s="121">
        <v>0</v>
      </c>
      <c r="P3550" s="76">
        <v>1.91808</v>
      </c>
      <c r="Q3550" s="122" t="s">
        <v>154</v>
      </c>
    </row>
    <row r="3551" spans="1:17" ht="127.5" x14ac:dyDescent="0.25">
      <c r="A3551" s="136">
        <v>40372</v>
      </c>
      <c r="B3551" s="136">
        <v>40372</v>
      </c>
      <c r="C3551" s="122">
        <v>2010</v>
      </c>
      <c r="D3551" s="351" t="s">
        <v>23</v>
      </c>
      <c r="E3551" s="22" t="s">
        <v>86</v>
      </c>
      <c r="F3551" s="7" t="s">
        <v>62</v>
      </c>
      <c r="G3551" s="120" t="s">
        <v>5247</v>
      </c>
      <c r="H3551" s="120" t="s">
        <v>5248</v>
      </c>
      <c r="I3551" s="121">
        <v>0</v>
      </c>
      <c r="J3551" s="121">
        <v>104</v>
      </c>
      <c r="K3551" s="121">
        <v>19</v>
      </c>
      <c r="L3551" s="121">
        <v>0</v>
      </c>
      <c r="M3551" s="121">
        <v>0</v>
      </c>
      <c r="N3551" s="121">
        <v>0</v>
      </c>
      <c r="O3551" s="121">
        <v>30</v>
      </c>
      <c r="P3551" s="76">
        <v>0.37602199999999997</v>
      </c>
      <c r="Q3551" s="122" t="s">
        <v>154</v>
      </c>
    </row>
    <row r="3552" spans="1:17" ht="409.5" x14ac:dyDescent="0.25">
      <c r="A3552" s="136">
        <v>40382</v>
      </c>
      <c r="B3552" s="136">
        <v>40382</v>
      </c>
      <c r="C3552" s="122">
        <v>2010</v>
      </c>
      <c r="D3552" s="351" t="s">
        <v>23</v>
      </c>
      <c r="E3552" s="22" t="s">
        <v>86</v>
      </c>
      <c r="F3552" s="7" t="s">
        <v>82</v>
      </c>
      <c r="G3552" s="120" t="s">
        <v>5249</v>
      </c>
      <c r="H3552" s="120" t="s">
        <v>5250</v>
      </c>
      <c r="I3552" s="121">
        <v>4</v>
      </c>
      <c r="J3552" s="121">
        <v>10125</v>
      </c>
      <c r="K3552" s="121">
        <v>300</v>
      </c>
      <c r="L3552" s="121">
        <v>0</v>
      </c>
      <c r="M3552" s="121">
        <v>0</v>
      </c>
      <c r="N3552" s="121">
        <v>0</v>
      </c>
      <c r="O3552" s="121">
        <v>0</v>
      </c>
      <c r="P3552" s="76">
        <v>115.596</v>
      </c>
      <c r="Q3552" s="122" t="s">
        <v>186</v>
      </c>
    </row>
    <row r="3553" spans="1:17" ht="127.5" x14ac:dyDescent="0.25">
      <c r="A3553" s="136">
        <v>40376</v>
      </c>
      <c r="B3553" s="136">
        <v>40376</v>
      </c>
      <c r="C3553" s="122">
        <v>2010</v>
      </c>
      <c r="D3553" s="351" t="s">
        <v>23</v>
      </c>
      <c r="E3553" s="22" t="s">
        <v>86</v>
      </c>
      <c r="F3553" s="7" t="s">
        <v>87</v>
      </c>
      <c r="G3553" s="120" t="s">
        <v>5251</v>
      </c>
      <c r="H3553" s="120" t="s">
        <v>5252</v>
      </c>
      <c r="I3553" s="121">
        <v>1</v>
      </c>
      <c r="J3553" s="121">
        <v>601</v>
      </c>
      <c r="K3553" s="121">
        <v>120</v>
      </c>
      <c r="L3553" s="121">
        <v>0</v>
      </c>
      <c r="M3553" s="121">
        <v>0</v>
      </c>
      <c r="N3553" s="121">
        <v>0</v>
      </c>
      <c r="O3553" s="121">
        <v>0</v>
      </c>
      <c r="P3553" s="76">
        <v>1.0485599999999999</v>
      </c>
      <c r="Q3553" s="122" t="s">
        <v>154</v>
      </c>
    </row>
    <row r="3554" spans="1:17" ht="204" x14ac:dyDescent="0.25">
      <c r="A3554" s="136">
        <v>40381</v>
      </c>
      <c r="B3554" s="136">
        <v>40381</v>
      </c>
      <c r="C3554" s="122">
        <v>2010</v>
      </c>
      <c r="D3554" s="351" t="s">
        <v>23</v>
      </c>
      <c r="E3554" s="22" t="s">
        <v>86</v>
      </c>
      <c r="F3554" s="28" t="s">
        <v>210</v>
      </c>
      <c r="G3554" s="120" t="s">
        <v>5253</v>
      </c>
      <c r="H3554" s="120" t="s">
        <v>5254</v>
      </c>
      <c r="I3554" s="121">
        <v>0</v>
      </c>
      <c r="J3554" s="121">
        <v>81262</v>
      </c>
      <c r="K3554" s="121">
        <v>10591</v>
      </c>
      <c r="L3554" s="121">
        <v>2</v>
      </c>
      <c r="M3554" s="121">
        <v>0</v>
      </c>
      <c r="N3554" s="121">
        <v>0</v>
      </c>
      <c r="O3554" s="121">
        <v>265</v>
      </c>
      <c r="P3554" s="76">
        <v>1407.537</v>
      </c>
      <c r="Q3554" s="122" t="s">
        <v>5255</v>
      </c>
    </row>
    <row r="3555" spans="1:17" ht="216.75" x14ac:dyDescent="0.25">
      <c r="A3555" s="136">
        <v>40379</v>
      </c>
      <c r="B3555" s="136">
        <v>40379</v>
      </c>
      <c r="C3555" s="122">
        <v>2010</v>
      </c>
      <c r="D3555" s="351" t="s">
        <v>23</v>
      </c>
      <c r="E3555" s="22" t="s">
        <v>86</v>
      </c>
      <c r="F3555" s="7" t="s">
        <v>72</v>
      </c>
      <c r="G3555" s="120" t="s">
        <v>5256</v>
      </c>
      <c r="H3555" s="120" t="s">
        <v>5257</v>
      </c>
      <c r="I3555" s="121">
        <v>13</v>
      </c>
      <c r="J3555" s="121">
        <v>22090</v>
      </c>
      <c r="K3555" s="121">
        <v>3619</v>
      </c>
      <c r="L3555" s="121">
        <v>448</v>
      </c>
      <c r="M3555" s="121">
        <v>78</v>
      </c>
      <c r="N3555" s="121">
        <v>300</v>
      </c>
      <c r="O3555" s="121">
        <v>68353</v>
      </c>
      <c r="P3555" s="76">
        <v>4424.03</v>
      </c>
      <c r="Q3555" s="122" t="s">
        <v>22</v>
      </c>
    </row>
    <row r="3556" spans="1:17" ht="178.5" x14ac:dyDescent="0.25">
      <c r="A3556" s="136">
        <v>40380</v>
      </c>
      <c r="B3556" s="136">
        <v>40380</v>
      </c>
      <c r="C3556" s="122">
        <v>2010</v>
      </c>
      <c r="D3556" s="351" t="s">
        <v>23</v>
      </c>
      <c r="E3556" s="22" t="s">
        <v>86</v>
      </c>
      <c r="F3556" s="7" t="s">
        <v>36</v>
      </c>
      <c r="G3556" s="120" t="s">
        <v>5258</v>
      </c>
      <c r="H3556" s="120" t="s">
        <v>5259</v>
      </c>
      <c r="I3556" s="121">
        <v>5</v>
      </c>
      <c r="J3556" s="121">
        <v>135</v>
      </c>
      <c r="K3556" s="121">
        <v>0</v>
      </c>
      <c r="L3556" s="121">
        <v>0</v>
      </c>
      <c r="M3556" s="121">
        <v>0</v>
      </c>
      <c r="N3556" s="121">
        <v>0</v>
      </c>
      <c r="O3556" s="121">
        <v>0</v>
      </c>
      <c r="P3556" s="76">
        <v>0</v>
      </c>
      <c r="Q3556" s="122" t="s">
        <v>154</v>
      </c>
    </row>
    <row r="3557" spans="1:17" ht="63.75" x14ac:dyDescent="0.25">
      <c r="A3557" s="136">
        <v>40383</v>
      </c>
      <c r="B3557" s="136">
        <v>40383</v>
      </c>
      <c r="C3557" s="122">
        <v>2010</v>
      </c>
      <c r="D3557" s="351" t="s">
        <v>23</v>
      </c>
      <c r="E3557" s="145" t="s">
        <v>52</v>
      </c>
      <c r="F3557" s="7" t="s">
        <v>91</v>
      </c>
      <c r="G3557" s="120" t="s">
        <v>5260</v>
      </c>
      <c r="H3557" s="120" t="s">
        <v>5261</v>
      </c>
      <c r="I3557" s="121">
        <v>0</v>
      </c>
      <c r="J3557" s="121">
        <v>2225</v>
      </c>
      <c r="K3557" s="121">
        <v>445</v>
      </c>
      <c r="L3557" s="121">
        <v>0</v>
      </c>
      <c r="M3557" s="121">
        <v>0</v>
      </c>
      <c r="N3557" s="121">
        <v>0</v>
      </c>
      <c r="O3557" s="121">
        <v>0</v>
      </c>
      <c r="P3557" s="76">
        <v>97.17</v>
      </c>
      <c r="Q3557" s="122" t="s">
        <v>186</v>
      </c>
    </row>
    <row r="3558" spans="1:17" ht="89.25" x14ac:dyDescent="0.25">
      <c r="A3558" s="136">
        <v>40384</v>
      </c>
      <c r="B3558" s="136">
        <v>40384</v>
      </c>
      <c r="C3558" s="122">
        <v>2010</v>
      </c>
      <c r="D3558" s="351" t="s">
        <v>23</v>
      </c>
      <c r="E3558" s="145" t="s">
        <v>52</v>
      </c>
      <c r="F3558" s="28" t="s">
        <v>210</v>
      </c>
      <c r="G3558" s="120" t="s">
        <v>5262</v>
      </c>
      <c r="H3558" s="120" t="s">
        <v>5263</v>
      </c>
      <c r="I3558" s="121">
        <v>0</v>
      </c>
      <c r="J3558" s="121">
        <v>0</v>
      </c>
      <c r="K3558" s="121">
        <v>0</v>
      </c>
      <c r="L3558" s="121">
        <v>0</v>
      </c>
      <c r="M3558" s="121">
        <v>0</v>
      </c>
      <c r="N3558" s="121">
        <v>0</v>
      </c>
      <c r="O3558" s="121">
        <v>0</v>
      </c>
      <c r="P3558" s="76">
        <v>836.62099999999998</v>
      </c>
      <c r="Q3558" s="122" t="s">
        <v>186</v>
      </c>
    </row>
    <row r="3559" spans="1:17" ht="76.5" x14ac:dyDescent="0.25">
      <c r="A3559" s="136">
        <v>40398</v>
      </c>
      <c r="B3559" s="136">
        <v>40398</v>
      </c>
      <c r="C3559" s="122">
        <v>2010</v>
      </c>
      <c r="D3559" s="351" t="s">
        <v>23</v>
      </c>
      <c r="E3559" s="145" t="s">
        <v>52</v>
      </c>
      <c r="F3559" s="7" t="s">
        <v>53</v>
      </c>
      <c r="G3559" s="120" t="s">
        <v>847</v>
      </c>
      <c r="H3559" s="120" t="s">
        <v>5264</v>
      </c>
      <c r="I3559" s="121">
        <v>0</v>
      </c>
      <c r="J3559" s="121">
        <v>0</v>
      </c>
      <c r="K3559" s="121">
        <v>0</v>
      </c>
      <c r="L3559" s="121">
        <v>0</v>
      </c>
      <c r="M3559" s="121">
        <v>0</v>
      </c>
      <c r="N3559" s="121">
        <v>0</v>
      </c>
      <c r="O3559" s="121">
        <v>0</v>
      </c>
      <c r="P3559" s="76">
        <v>0</v>
      </c>
      <c r="Q3559" s="122" t="s">
        <v>154</v>
      </c>
    </row>
    <row r="3560" spans="1:17" ht="76.5" x14ac:dyDescent="0.25">
      <c r="A3560" s="136">
        <v>40394</v>
      </c>
      <c r="B3560" s="136">
        <v>40394</v>
      </c>
      <c r="C3560" s="122">
        <v>2010</v>
      </c>
      <c r="D3560" s="351" t="s">
        <v>23</v>
      </c>
      <c r="E3560" s="22" t="s">
        <v>86</v>
      </c>
      <c r="F3560" s="7" t="s">
        <v>53</v>
      </c>
      <c r="G3560" s="120" t="s">
        <v>5265</v>
      </c>
      <c r="H3560" s="120" t="s">
        <v>5266</v>
      </c>
      <c r="I3560" s="121">
        <v>0</v>
      </c>
      <c r="J3560" s="121">
        <v>500</v>
      </c>
      <c r="K3560" s="121">
        <v>100</v>
      </c>
      <c r="L3560" s="121">
        <v>0</v>
      </c>
      <c r="M3560" s="121">
        <v>0</v>
      </c>
      <c r="N3560" s="121">
        <v>0</v>
      </c>
      <c r="O3560" s="121">
        <v>0</v>
      </c>
      <c r="P3560" s="76">
        <v>4.88</v>
      </c>
      <c r="Q3560" s="122" t="s">
        <v>186</v>
      </c>
    </row>
    <row r="3561" spans="1:17" ht="76.5" x14ac:dyDescent="0.25">
      <c r="A3561" s="136">
        <v>40398</v>
      </c>
      <c r="B3561" s="136">
        <v>40398</v>
      </c>
      <c r="C3561" s="122">
        <v>2010</v>
      </c>
      <c r="D3561" s="351" t="s">
        <v>23</v>
      </c>
      <c r="E3561" s="22" t="s">
        <v>86</v>
      </c>
      <c r="F3561" s="7" t="s">
        <v>62</v>
      </c>
      <c r="G3561" s="120" t="s">
        <v>5267</v>
      </c>
      <c r="H3561" s="120" t="s">
        <v>5268</v>
      </c>
      <c r="I3561" s="121">
        <v>0</v>
      </c>
      <c r="J3561" s="121">
        <v>350</v>
      </c>
      <c r="K3561" s="121">
        <v>70</v>
      </c>
      <c r="L3561" s="121">
        <v>0</v>
      </c>
      <c r="M3561" s="121">
        <v>0</v>
      </c>
      <c r="N3561" s="121">
        <v>0</v>
      </c>
      <c r="O3561" s="121">
        <v>0</v>
      </c>
      <c r="P3561" s="76">
        <v>1.31166</v>
      </c>
      <c r="Q3561" s="122" t="s">
        <v>154</v>
      </c>
    </row>
    <row r="3562" spans="1:17" ht="76.5" x14ac:dyDescent="0.25">
      <c r="A3562" s="136">
        <v>40398</v>
      </c>
      <c r="B3562" s="136">
        <v>40398</v>
      </c>
      <c r="C3562" s="122">
        <v>2010</v>
      </c>
      <c r="D3562" s="351" t="s">
        <v>23</v>
      </c>
      <c r="E3562" s="22" t="s">
        <v>86</v>
      </c>
      <c r="F3562" s="7" t="s">
        <v>36</v>
      </c>
      <c r="G3562" s="120" t="s">
        <v>5269</v>
      </c>
      <c r="H3562" s="120" t="s">
        <v>5270</v>
      </c>
      <c r="I3562" s="121">
        <v>11</v>
      </c>
      <c r="J3562" s="121">
        <v>13307</v>
      </c>
      <c r="K3562" s="121">
        <v>1723</v>
      </c>
      <c r="L3562" s="121">
        <v>625</v>
      </c>
      <c r="M3562" s="121">
        <v>1</v>
      </c>
      <c r="N3562" s="121">
        <v>414</v>
      </c>
      <c r="O3562" s="121">
        <v>13655.718000000001</v>
      </c>
      <c r="P3562" s="76">
        <v>8456.0560000000005</v>
      </c>
      <c r="Q3562" s="122" t="s">
        <v>22</v>
      </c>
    </row>
    <row r="3563" spans="1:17" ht="63.75" x14ac:dyDescent="0.25">
      <c r="A3563" s="136">
        <v>40399</v>
      </c>
      <c r="B3563" s="136">
        <v>40399</v>
      </c>
      <c r="C3563" s="122">
        <v>2010</v>
      </c>
      <c r="D3563" s="351" t="s">
        <v>23</v>
      </c>
      <c r="E3563" s="22" t="s">
        <v>86</v>
      </c>
      <c r="F3563" s="7" t="s">
        <v>62</v>
      </c>
      <c r="G3563" s="120" t="s">
        <v>959</v>
      </c>
      <c r="H3563" s="120" t="s">
        <v>5271</v>
      </c>
      <c r="I3563" s="121">
        <v>0</v>
      </c>
      <c r="J3563" s="121">
        <v>10</v>
      </c>
      <c r="K3563" s="121">
        <v>2</v>
      </c>
      <c r="L3563" s="121">
        <v>0</v>
      </c>
      <c r="M3563" s="121">
        <v>0</v>
      </c>
      <c r="N3563" s="121">
        <v>0</v>
      </c>
      <c r="O3563" s="121">
        <v>0</v>
      </c>
      <c r="P3563" s="76">
        <v>1.7475999999999998E-2</v>
      </c>
      <c r="Q3563" s="122" t="s">
        <v>154</v>
      </c>
    </row>
    <row r="3564" spans="1:17" ht="255" x14ac:dyDescent="0.25">
      <c r="A3564" s="136">
        <v>40415</v>
      </c>
      <c r="B3564" s="136">
        <v>40415</v>
      </c>
      <c r="C3564" s="122">
        <v>2010</v>
      </c>
      <c r="D3564" s="351" t="s">
        <v>23</v>
      </c>
      <c r="E3564" s="22" t="s">
        <v>86</v>
      </c>
      <c r="F3564" s="25" t="s">
        <v>781</v>
      </c>
      <c r="G3564" s="120" t="s">
        <v>5272</v>
      </c>
      <c r="H3564" s="120" t="s">
        <v>5273</v>
      </c>
      <c r="I3564" s="121">
        <v>0</v>
      </c>
      <c r="J3564" s="121">
        <v>154245</v>
      </c>
      <c r="K3564" s="121">
        <v>30849</v>
      </c>
      <c r="L3564" s="121">
        <v>807</v>
      </c>
      <c r="M3564" s="121">
        <v>60</v>
      </c>
      <c r="N3564" s="121">
        <v>10417</v>
      </c>
      <c r="O3564" s="121">
        <v>33469</v>
      </c>
      <c r="P3564" s="76">
        <v>7192.88</v>
      </c>
      <c r="Q3564" s="122" t="s">
        <v>22</v>
      </c>
    </row>
    <row r="3565" spans="1:17" ht="165.75" x14ac:dyDescent="0.25">
      <c r="A3565" s="136">
        <v>40401</v>
      </c>
      <c r="B3565" s="136">
        <v>40401</v>
      </c>
      <c r="C3565" s="122">
        <v>2010</v>
      </c>
      <c r="D3565" s="351" t="s">
        <v>23</v>
      </c>
      <c r="E3565" s="22" t="s">
        <v>86</v>
      </c>
      <c r="F3565" s="7" t="s">
        <v>60</v>
      </c>
      <c r="G3565" s="120" t="s">
        <v>5274</v>
      </c>
      <c r="H3565" s="120" t="s">
        <v>5275</v>
      </c>
      <c r="I3565" s="121">
        <v>0</v>
      </c>
      <c r="J3565" s="121">
        <v>1200</v>
      </c>
      <c r="K3565" s="121">
        <v>215</v>
      </c>
      <c r="L3565" s="121">
        <v>0</v>
      </c>
      <c r="M3565" s="121">
        <v>0</v>
      </c>
      <c r="N3565" s="121">
        <v>0</v>
      </c>
      <c r="O3565" s="121">
        <v>0</v>
      </c>
      <c r="P3565" s="76">
        <v>4.02867</v>
      </c>
      <c r="Q3565" s="122" t="s">
        <v>154</v>
      </c>
    </row>
    <row r="3566" spans="1:17" ht="165.75" x14ac:dyDescent="0.25">
      <c r="A3566" s="136">
        <v>40403</v>
      </c>
      <c r="B3566" s="136">
        <v>40403</v>
      </c>
      <c r="C3566" s="122">
        <v>2010</v>
      </c>
      <c r="D3566" s="351" t="s">
        <v>23</v>
      </c>
      <c r="E3566" s="22" t="s">
        <v>86</v>
      </c>
      <c r="F3566" s="7" t="s">
        <v>53</v>
      </c>
      <c r="G3566" s="120" t="s">
        <v>460</v>
      </c>
      <c r="H3566" s="120" t="s">
        <v>5276</v>
      </c>
      <c r="I3566" s="121">
        <v>0</v>
      </c>
      <c r="J3566" s="121">
        <v>500</v>
      </c>
      <c r="K3566" s="121">
        <v>100</v>
      </c>
      <c r="L3566" s="121">
        <v>0</v>
      </c>
      <c r="M3566" s="121">
        <v>0</v>
      </c>
      <c r="N3566" s="121">
        <v>0</v>
      </c>
      <c r="O3566" s="121">
        <v>0</v>
      </c>
      <c r="P3566" s="76">
        <v>1.8737999999999999</v>
      </c>
      <c r="Q3566" s="122" t="s">
        <v>154</v>
      </c>
    </row>
    <row r="3567" spans="1:17" ht="76.5" x14ac:dyDescent="0.25">
      <c r="A3567" s="136">
        <v>40401</v>
      </c>
      <c r="B3567" s="136">
        <v>40401</v>
      </c>
      <c r="C3567" s="122">
        <v>2010</v>
      </c>
      <c r="D3567" s="351" t="s">
        <v>23</v>
      </c>
      <c r="E3567" s="22" t="s">
        <v>86</v>
      </c>
      <c r="F3567" s="7" t="s">
        <v>58</v>
      </c>
      <c r="G3567" s="120" t="s">
        <v>5277</v>
      </c>
      <c r="H3567" s="120" t="s">
        <v>5278</v>
      </c>
      <c r="I3567" s="121">
        <v>0</v>
      </c>
      <c r="J3567" s="121">
        <v>210</v>
      </c>
      <c r="K3567" s="121">
        <v>42</v>
      </c>
      <c r="L3567" s="121">
        <v>0</v>
      </c>
      <c r="M3567" s="121">
        <v>0</v>
      </c>
      <c r="N3567" s="121">
        <v>0</v>
      </c>
      <c r="O3567" s="121">
        <v>0</v>
      </c>
      <c r="P3567" s="76">
        <v>0.78699600000000003</v>
      </c>
      <c r="Q3567" s="122" t="s">
        <v>154</v>
      </c>
    </row>
    <row r="3568" spans="1:17" ht="63.75" x14ac:dyDescent="0.25">
      <c r="A3568" s="136">
        <v>40400</v>
      </c>
      <c r="B3568" s="136">
        <v>40400</v>
      </c>
      <c r="C3568" s="122">
        <v>2010</v>
      </c>
      <c r="D3568" s="351" t="s">
        <v>23</v>
      </c>
      <c r="E3568" s="22" t="s">
        <v>86</v>
      </c>
      <c r="F3568" s="7" t="s">
        <v>87</v>
      </c>
      <c r="G3568" s="120" t="s">
        <v>4431</v>
      </c>
      <c r="H3568" s="120" t="s">
        <v>5279</v>
      </c>
      <c r="I3568" s="121">
        <v>0</v>
      </c>
      <c r="J3568" s="121">
        <v>25</v>
      </c>
      <c r="K3568" s="121">
        <v>5</v>
      </c>
      <c r="L3568" s="121">
        <v>0</v>
      </c>
      <c r="M3568" s="121">
        <v>0</v>
      </c>
      <c r="N3568" s="121">
        <v>0</v>
      </c>
      <c r="O3568" s="121">
        <v>0</v>
      </c>
      <c r="P3568" s="76">
        <v>9.3689999999999996E-2</v>
      </c>
      <c r="Q3568" s="122" t="s">
        <v>154</v>
      </c>
    </row>
    <row r="3569" spans="1:17" ht="357" x14ac:dyDescent="0.25">
      <c r="A3569" s="136">
        <v>40402</v>
      </c>
      <c r="B3569" s="136">
        <v>40402</v>
      </c>
      <c r="C3569" s="122">
        <v>2010</v>
      </c>
      <c r="D3569" s="351" t="s">
        <v>23</v>
      </c>
      <c r="E3569" s="22" t="s">
        <v>86</v>
      </c>
      <c r="F3569" s="7" t="s">
        <v>58</v>
      </c>
      <c r="G3569" s="120" t="s">
        <v>5280</v>
      </c>
      <c r="H3569" s="120" t="s">
        <v>5281</v>
      </c>
      <c r="I3569" s="121">
        <v>5</v>
      </c>
      <c r="J3569" s="121">
        <v>100</v>
      </c>
      <c r="K3569" s="121">
        <v>16</v>
      </c>
      <c r="L3569" s="121">
        <v>0</v>
      </c>
      <c r="M3569" s="121">
        <v>0</v>
      </c>
      <c r="N3569" s="121">
        <v>0</v>
      </c>
      <c r="O3569" s="121">
        <v>0</v>
      </c>
      <c r="P3569" s="76">
        <v>0.60299199999999997</v>
      </c>
      <c r="Q3569" s="122" t="s">
        <v>154</v>
      </c>
    </row>
    <row r="3570" spans="1:17" ht="25.5" x14ac:dyDescent="0.25">
      <c r="A3570" s="136">
        <v>40407</v>
      </c>
      <c r="B3570" s="136">
        <v>40407</v>
      </c>
      <c r="C3570" s="122">
        <v>2010</v>
      </c>
      <c r="D3570" s="351" t="s">
        <v>23</v>
      </c>
      <c r="E3570" s="22" t="s">
        <v>86</v>
      </c>
      <c r="F3570" s="7" t="s">
        <v>62</v>
      </c>
      <c r="G3570" s="120" t="s">
        <v>165</v>
      </c>
      <c r="H3570" s="120" t="s">
        <v>5282</v>
      </c>
      <c r="I3570" s="121">
        <v>0</v>
      </c>
      <c r="J3570" s="121">
        <v>75</v>
      </c>
      <c r="K3570" s="121">
        <v>15</v>
      </c>
      <c r="L3570" s="121">
        <v>0</v>
      </c>
      <c r="M3570" s="121">
        <v>0</v>
      </c>
      <c r="N3570" s="121">
        <v>0</v>
      </c>
      <c r="O3570" s="121">
        <v>0</v>
      </c>
      <c r="P3570" s="76">
        <v>0.28106999999999999</v>
      </c>
      <c r="Q3570" s="122" t="s">
        <v>154</v>
      </c>
    </row>
    <row r="3571" spans="1:17" ht="127.5" x14ac:dyDescent="0.25">
      <c r="A3571" s="136">
        <v>40407</v>
      </c>
      <c r="B3571" s="136">
        <v>40407</v>
      </c>
      <c r="C3571" s="122">
        <v>2010</v>
      </c>
      <c r="D3571" s="351" t="s">
        <v>23</v>
      </c>
      <c r="E3571" s="22" t="s">
        <v>86</v>
      </c>
      <c r="F3571" s="7" t="s">
        <v>62</v>
      </c>
      <c r="G3571" s="120" t="s">
        <v>1533</v>
      </c>
      <c r="H3571" s="120" t="s">
        <v>5283</v>
      </c>
      <c r="I3571" s="121">
        <v>0</v>
      </c>
      <c r="J3571" s="121">
        <v>1500</v>
      </c>
      <c r="K3571" s="121">
        <v>0</v>
      </c>
      <c r="L3571" s="121">
        <v>0</v>
      </c>
      <c r="M3571" s="121">
        <v>0</v>
      </c>
      <c r="N3571" s="121">
        <v>0</v>
      </c>
      <c r="O3571" s="121">
        <v>0</v>
      </c>
      <c r="P3571" s="76">
        <v>0</v>
      </c>
      <c r="Q3571" s="122" t="s">
        <v>154</v>
      </c>
    </row>
    <row r="3572" spans="1:17" ht="140.25" x14ac:dyDescent="0.25">
      <c r="A3572" s="136">
        <v>40407</v>
      </c>
      <c r="B3572" s="136">
        <v>40407</v>
      </c>
      <c r="C3572" s="122">
        <v>2010</v>
      </c>
      <c r="D3572" s="351" t="s">
        <v>23</v>
      </c>
      <c r="E3572" s="22" t="s">
        <v>86</v>
      </c>
      <c r="F3572" s="7" t="s">
        <v>58</v>
      </c>
      <c r="G3572" s="120" t="s">
        <v>168</v>
      </c>
      <c r="H3572" s="120" t="s">
        <v>5284</v>
      </c>
      <c r="I3572" s="121">
        <v>0</v>
      </c>
      <c r="J3572" s="121">
        <v>75</v>
      </c>
      <c r="K3572" s="121">
        <v>15</v>
      </c>
      <c r="L3572" s="121">
        <v>0</v>
      </c>
      <c r="M3572" s="121">
        <v>0</v>
      </c>
      <c r="N3572" s="121">
        <v>0</v>
      </c>
      <c r="O3572" s="121">
        <v>0</v>
      </c>
      <c r="P3572" s="76">
        <v>0.13106999999999999</v>
      </c>
      <c r="Q3572" s="122" t="s">
        <v>154</v>
      </c>
    </row>
    <row r="3573" spans="1:17" ht="38.25" x14ac:dyDescent="0.25">
      <c r="A3573" s="136">
        <v>40407</v>
      </c>
      <c r="B3573" s="136">
        <v>40407</v>
      </c>
      <c r="C3573" s="122">
        <v>2010</v>
      </c>
      <c r="D3573" s="351" t="s">
        <v>23</v>
      </c>
      <c r="E3573" s="22" t="s">
        <v>86</v>
      </c>
      <c r="F3573" s="7" t="s">
        <v>58</v>
      </c>
      <c r="G3573" s="120" t="s">
        <v>5285</v>
      </c>
      <c r="H3573" s="120" t="s">
        <v>5286</v>
      </c>
      <c r="I3573" s="121">
        <v>0</v>
      </c>
      <c r="J3573" s="121">
        <v>205</v>
      </c>
      <c r="K3573" s="121">
        <v>41</v>
      </c>
      <c r="L3573" s="121">
        <v>0</v>
      </c>
      <c r="M3573" s="121">
        <v>0</v>
      </c>
      <c r="N3573" s="121">
        <v>0</v>
      </c>
      <c r="O3573" s="121">
        <v>0</v>
      </c>
      <c r="P3573" s="76">
        <v>0.768258</v>
      </c>
      <c r="Q3573" s="122" t="s">
        <v>154</v>
      </c>
    </row>
    <row r="3574" spans="1:17" ht="140.25" x14ac:dyDescent="0.25">
      <c r="A3574" s="136">
        <v>40407</v>
      </c>
      <c r="B3574" s="136">
        <v>40407</v>
      </c>
      <c r="C3574" s="122">
        <v>2010</v>
      </c>
      <c r="D3574" s="351" t="s">
        <v>23</v>
      </c>
      <c r="E3574" s="22" t="s">
        <v>86</v>
      </c>
      <c r="F3574" s="7" t="s">
        <v>91</v>
      </c>
      <c r="G3574" s="120" t="s">
        <v>5287</v>
      </c>
      <c r="H3574" s="120" t="s">
        <v>5288</v>
      </c>
      <c r="I3574" s="121">
        <v>0</v>
      </c>
      <c r="J3574" s="121">
        <v>239</v>
      </c>
      <c r="K3574" s="121">
        <v>28</v>
      </c>
      <c r="L3574" s="121">
        <v>0</v>
      </c>
      <c r="M3574" s="121">
        <v>0</v>
      </c>
      <c r="N3574" s="121">
        <v>0</v>
      </c>
      <c r="O3574" s="121">
        <v>0</v>
      </c>
      <c r="P3574" s="76">
        <v>0.52466400000000002</v>
      </c>
      <c r="Q3574" s="122" t="s">
        <v>154</v>
      </c>
    </row>
    <row r="3575" spans="1:17" ht="191.25" x14ac:dyDescent="0.25">
      <c r="A3575" s="136">
        <v>40408</v>
      </c>
      <c r="B3575" s="136">
        <v>40408</v>
      </c>
      <c r="C3575" s="122">
        <v>2010</v>
      </c>
      <c r="D3575" s="351" t="s">
        <v>23</v>
      </c>
      <c r="E3575" s="22" t="s">
        <v>86</v>
      </c>
      <c r="F3575" s="7" t="s">
        <v>84</v>
      </c>
      <c r="G3575" s="120" t="s">
        <v>5289</v>
      </c>
      <c r="H3575" s="120" t="s">
        <v>5290</v>
      </c>
      <c r="I3575" s="121">
        <v>0</v>
      </c>
      <c r="J3575" s="121">
        <v>12002</v>
      </c>
      <c r="K3575" s="121">
        <v>56</v>
      </c>
      <c r="L3575" s="121">
        <v>0</v>
      </c>
      <c r="M3575" s="121">
        <v>0</v>
      </c>
      <c r="N3575" s="121">
        <v>0</v>
      </c>
      <c r="O3575" s="121">
        <v>0</v>
      </c>
      <c r="P3575" s="76">
        <v>1.049328</v>
      </c>
      <c r="Q3575" s="122" t="s">
        <v>154</v>
      </c>
    </row>
    <row r="3576" spans="1:17" ht="204" x14ac:dyDescent="0.25">
      <c r="A3576" s="136">
        <v>40408</v>
      </c>
      <c r="B3576" s="136">
        <v>40408</v>
      </c>
      <c r="C3576" s="122">
        <v>2010</v>
      </c>
      <c r="D3576" s="351" t="s">
        <v>23</v>
      </c>
      <c r="E3576" s="22" t="s">
        <v>86</v>
      </c>
      <c r="F3576" s="7" t="s">
        <v>58</v>
      </c>
      <c r="G3576" s="120" t="s">
        <v>5291</v>
      </c>
      <c r="H3576" s="120" t="s">
        <v>5292</v>
      </c>
      <c r="I3576" s="121">
        <v>1</v>
      </c>
      <c r="J3576" s="121">
        <v>21</v>
      </c>
      <c r="K3576" s="121">
        <v>4</v>
      </c>
      <c r="L3576" s="121">
        <v>0</v>
      </c>
      <c r="M3576" s="121">
        <v>0</v>
      </c>
      <c r="N3576" s="121">
        <v>0</v>
      </c>
      <c r="O3576" s="121">
        <v>0</v>
      </c>
      <c r="P3576" s="76">
        <v>7.4952000000000005E-2</v>
      </c>
      <c r="Q3576" s="122" t="s">
        <v>154</v>
      </c>
    </row>
    <row r="3577" spans="1:17" ht="38.25" x14ac:dyDescent="0.25">
      <c r="A3577" s="136">
        <v>40409</v>
      </c>
      <c r="B3577" s="136">
        <v>40409</v>
      </c>
      <c r="C3577" s="122">
        <v>2010</v>
      </c>
      <c r="D3577" s="351" t="s">
        <v>23</v>
      </c>
      <c r="E3577" s="22" t="s">
        <v>86</v>
      </c>
      <c r="F3577" s="7" t="s">
        <v>53</v>
      </c>
      <c r="G3577" s="120" t="s">
        <v>1304</v>
      </c>
      <c r="H3577" s="120" t="s">
        <v>5293</v>
      </c>
      <c r="I3577" s="121">
        <v>0</v>
      </c>
      <c r="J3577" s="121">
        <v>15</v>
      </c>
      <c r="K3577" s="121">
        <v>3</v>
      </c>
      <c r="L3577" s="121">
        <v>0</v>
      </c>
      <c r="M3577" s="121">
        <v>0</v>
      </c>
      <c r="N3577" s="121">
        <v>0</v>
      </c>
      <c r="O3577" s="121">
        <v>0</v>
      </c>
      <c r="P3577" s="76">
        <v>0</v>
      </c>
      <c r="Q3577" s="122" t="s">
        <v>154</v>
      </c>
    </row>
    <row r="3578" spans="1:17" ht="51" x14ac:dyDescent="0.25">
      <c r="A3578" s="136">
        <v>40409</v>
      </c>
      <c r="B3578" s="136">
        <v>40409</v>
      </c>
      <c r="C3578" s="122">
        <v>2010</v>
      </c>
      <c r="D3578" s="351" t="s">
        <v>23</v>
      </c>
      <c r="E3578" s="22" t="s">
        <v>86</v>
      </c>
      <c r="F3578" s="7" t="s">
        <v>72</v>
      </c>
      <c r="G3578" s="120" t="s">
        <v>5294</v>
      </c>
      <c r="H3578" s="120" t="s">
        <v>5295</v>
      </c>
      <c r="I3578" s="121">
        <v>0</v>
      </c>
      <c r="J3578" s="121">
        <v>200</v>
      </c>
      <c r="K3578" s="121">
        <v>40</v>
      </c>
      <c r="L3578" s="121">
        <v>0</v>
      </c>
      <c r="M3578" s="121">
        <v>0</v>
      </c>
      <c r="N3578" s="121">
        <v>0</v>
      </c>
      <c r="O3578" s="121">
        <v>0</v>
      </c>
      <c r="P3578" s="76">
        <v>0.6048</v>
      </c>
      <c r="Q3578" s="122" t="s">
        <v>154</v>
      </c>
    </row>
    <row r="3579" spans="1:17" ht="229.5" x14ac:dyDescent="0.25">
      <c r="A3579" s="136">
        <v>40409</v>
      </c>
      <c r="B3579" s="136">
        <v>40409</v>
      </c>
      <c r="C3579" s="122">
        <v>2010</v>
      </c>
      <c r="D3579" s="351" t="s">
        <v>23</v>
      </c>
      <c r="E3579" s="22" t="s">
        <v>86</v>
      </c>
      <c r="F3579" s="7" t="s">
        <v>84</v>
      </c>
      <c r="G3579" s="120" t="s">
        <v>5296</v>
      </c>
      <c r="H3579" s="120" t="s">
        <v>5297</v>
      </c>
      <c r="I3579" s="121">
        <v>0</v>
      </c>
      <c r="J3579" s="121">
        <v>93</v>
      </c>
      <c r="K3579" s="121">
        <v>15</v>
      </c>
      <c r="L3579" s="121">
        <v>0</v>
      </c>
      <c r="M3579" s="121">
        <v>0</v>
      </c>
      <c r="N3579" s="121">
        <v>0</v>
      </c>
      <c r="O3579" s="121">
        <v>0</v>
      </c>
      <c r="P3579" s="76">
        <v>0.56530499999999995</v>
      </c>
      <c r="Q3579" s="122" t="s">
        <v>154</v>
      </c>
    </row>
    <row r="3580" spans="1:17" ht="102" x14ac:dyDescent="0.25">
      <c r="A3580" s="136">
        <v>40409</v>
      </c>
      <c r="B3580" s="136">
        <v>40409</v>
      </c>
      <c r="C3580" s="122">
        <v>2010</v>
      </c>
      <c r="D3580" s="351" t="s">
        <v>23</v>
      </c>
      <c r="E3580" s="22" t="s">
        <v>86</v>
      </c>
      <c r="F3580" s="7" t="s">
        <v>97</v>
      </c>
      <c r="G3580" s="120" t="s">
        <v>5298</v>
      </c>
      <c r="H3580" s="120" t="s">
        <v>5299</v>
      </c>
      <c r="I3580" s="121">
        <v>0</v>
      </c>
      <c r="J3580" s="121">
        <v>370</v>
      </c>
      <c r="K3580" s="121">
        <v>61</v>
      </c>
      <c r="L3580" s="121">
        <v>0</v>
      </c>
      <c r="M3580" s="121">
        <v>0</v>
      </c>
      <c r="N3580" s="121">
        <v>0</v>
      </c>
      <c r="O3580" s="121">
        <v>0</v>
      </c>
      <c r="P3580" s="76">
        <v>1.1430180000000001</v>
      </c>
      <c r="Q3580" s="122" t="s">
        <v>154</v>
      </c>
    </row>
    <row r="3581" spans="1:17" ht="165.75" x14ac:dyDescent="0.25">
      <c r="A3581" s="136">
        <v>40408</v>
      </c>
      <c r="B3581" s="136">
        <v>40408</v>
      </c>
      <c r="C3581" s="122">
        <v>2010</v>
      </c>
      <c r="D3581" s="351" t="s">
        <v>23</v>
      </c>
      <c r="E3581" s="22" t="s">
        <v>86</v>
      </c>
      <c r="F3581" s="28" t="s">
        <v>157</v>
      </c>
      <c r="G3581" s="120" t="s">
        <v>5300</v>
      </c>
      <c r="H3581" s="120" t="s">
        <v>5301</v>
      </c>
      <c r="I3581" s="121">
        <v>0</v>
      </c>
      <c r="J3581" s="121">
        <v>0</v>
      </c>
      <c r="K3581" s="121">
        <v>0</v>
      </c>
      <c r="L3581" s="121">
        <v>0</v>
      </c>
      <c r="M3581" s="121">
        <v>0</v>
      </c>
      <c r="N3581" s="121">
        <v>0</v>
      </c>
      <c r="O3581" s="121">
        <v>0</v>
      </c>
      <c r="P3581" s="76">
        <v>0</v>
      </c>
      <c r="Q3581" s="122" t="s">
        <v>154</v>
      </c>
    </row>
    <row r="3582" spans="1:17" ht="191.25" x14ac:dyDescent="0.25">
      <c r="A3582" s="136">
        <v>40407</v>
      </c>
      <c r="B3582" s="136">
        <v>40407</v>
      </c>
      <c r="C3582" s="122">
        <v>2010</v>
      </c>
      <c r="D3582" s="351" t="s">
        <v>23</v>
      </c>
      <c r="E3582" s="22" t="s">
        <v>86</v>
      </c>
      <c r="F3582" s="7" t="s">
        <v>65</v>
      </c>
      <c r="G3582" s="120" t="s">
        <v>5302</v>
      </c>
      <c r="H3582" s="120" t="s">
        <v>5303</v>
      </c>
      <c r="I3582" s="121">
        <v>0</v>
      </c>
      <c r="J3582" s="121">
        <v>300</v>
      </c>
      <c r="K3582" s="121">
        <v>24</v>
      </c>
      <c r="L3582" s="121">
        <v>0</v>
      </c>
      <c r="M3582" s="121">
        <v>0</v>
      </c>
      <c r="N3582" s="121">
        <v>0</v>
      </c>
      <c r="O3582" s="121">
        <v>0</v>
      </c>
      <c r="P3582" s="76">
        <v>0.12288</v>
      </c>
      <c r="Q3582" s="122" t="s">
        <v>154</v>
      </c>
    </row>
    <row r="3583" spans="1:17" ht="204" x14ac:dyDescent="0.25">
      <c r="A3583" s="136">
        <v>40408</v>
      </c>
      <c r="B3583" s="136">
        <v>40408</v>
      </c>
      <c r="C3583" s="122">
        <v>2010</v>
      </c>
      <c r="D3583" s="351" t="s">
        <v>23</v>
      </c>
      <c r="E3583" s="22" t="s">
        <v>86</v>
      </c>
      <c r="F3583" s="7" t="s">
        <v>62</v>
      </c>
      <c r="G3583" s="120" t="s">
        <v>165</v>
      </c>
      <c r="H3583" s="120" t="s">
        <v>5304</v>
      </c>
      <c r="I3583" s="121">
        <v>0</v>
      </c>
      <c r="J3583" s="121">
        <v>0</v>
      </c>
      <c r="K3583" s="121">
        <v>0</v>
      </c>
      <c r="L3583" s="121">
        <v>0</v>
      </c>
      <c r="M3583" s="121">
        <v>0</v>
      </c>
      <c r="N3583" s="121">
        <v>0</v>
      </c>
      <c r="O3583" s="121">
        <v>0</v>
      </c>
      <c r="P3583" s="76">
        <v>0</v>
      </c>
      <c r="Q3583" s="122" t="s">
        <v>154</v>
      </c>
    </row>
    <row r="3584" spans="1:17" ht="140.25" x14ac:dyDescent="0.25">
      <c r="A3584" s="136">
        <v>40407</v>
      </c>
      <c r="B3584" s="136">
        <v>40407</v>
      </c>
      <c r="C3584" s="122">
        <v>2010</v>
      </c>
      <c r="D3584" s="351" t="s">
        <v>23</v>
      </c>
      <c r="E3584" s="22" t="s">
        <v>86</v>
      </c>
      <c r="F3584" s="28" t="s">
        <v>157</v>
      </c>
      <c r="G3584" s="120" t="s">
        <v>5305</v>
      </c>
      <c r="H3584" s="120" t="s">
        <v>5306</v>
      </c>
      <c r="I3584" s="121">
        <v>0</v>
      </c>
      <c r="J3584" s="121">
        <v>0</v>
      </c>
      <c r="K3584" s="121">
        <v>0</v>
      </c>
      <c r="L3584" s="121">
        <v>0</v>
      </c>
      <c r="M3584" s="121">
        <v>0</v>
      </c>
      <c r="N3584" s="121">
        <v>0</v>
      </c>
      <c r="O3584" s="121">
        <v>0</v>
      </c>
      <c r="P3584" s="76">
        <v>0</v>
      </c>
      <c r="Q3584" s="122" t="s">
        <v>154</v>
      </c>
    </row>
    <row r="3585" spans="1:17" ht="76.5" x14ac:dyDescent="0.25">
      <c r="A3585" s="136">
        <v>40408</v>
      </c>
      <c r="B3585" s="136">
        <v>40408</v>
      </c>
      <c r="C3585" s="122">
        <v>2010</v>
      </c>
      <c r="D3585" s="351" t="s">
        <v>23</v>
      </c>
      <c r="E3585" s="22" t="s">
        <v>86</v>
      </c>
      <c r="F3585" s="7" t="s">
        <v>72</v>
      </c>
      <c r="G3585" s="120" t="s">
        <v>5294</v>
      </c>
      <c r="H3585" s="120" t="s">
        <v>5307</v>
      </c>
      <c r="I3585" s="121">
        <v>0</v>
      </c>
      <c r="J3585" s="121">
        <v>800</v>
      </c>
      <c r="K3585" s="121">
        <v>25</v>
      </c>
      <c r="L3585" s="121">
        <v>0</v>
      </c>
      <c r="M3585" s="121">
        <v>0</v>
      </c>
      <c r="N3585" s="121">
        <v>0</v>
      </c>
      <c r="O3585" s="121">
        <v>0</v>
      </c>
      <c r="P3585" s="76">
        <v>0.46844999999999998</v>
      </c>
      <c r="Q3585" s="122" t="s">
        <v>154</v>
      </c>
    </row>
    <row r="3586" spans="1:17" ht="165.75" x14ac:dyDescent="0.25">
      <c r="A3586" s="136">
        <v>40407</v>
      </c>
      <c r="B3586" s="136">
        <v>40407</v>
      </c>
      <c r="C3586" s="122">
        <v>2010</v>
      </c>
      <c r="D3586" s="351" t="s">
        <v>23</v>
      </c>
      <c r="E3586" s="22" t="s">
        <v>86</v>
      </c>
      <c r="F3586" s="7" t="s">
        <v>58</v>
      </c>
      <c r="G3586" s="120" t="s">
        <v>5308</v>
      </c>
      <c r="H3586" s="120" t="s">
        <v>5309</v>
      </c>
      <c r="I3586" s="121">
        <v>2</v>
      </c>
      <c r="J3586" s="121">
        <v>2</v>
      </c>
      <c r="K3586" s="121">
        <v>0</v>
      </c>
      <c r="L3586" s="121">
        <v>0</v>
      </c>
      <c r="M3586" s="121">
        <v>0</v>
      </c>
      <c r="N3586" s="121">
        <v>0</v>
      </c>
      <c r="O3586" s="121">
        <v>0</v>
      </c>
      <c r="P3586" s="76">
        <v>0</v>
      </c>
      <c r="Q3586" s="122" t="s">
        <v>154</v>
      </c>
    </row>
    <row r="3587" spans="1:17" ht="63.75" x14ac:dyDescent="0.25">
      <c r="A3587" s="136">
        <v>40413</v>
      </c>
      <c r="B3587" s="136">
        <v>40413</v>
      </c>
      <c r="C3587" s="122">
        <v>2010</v>
      </c>
      <c r="D3587" s="351" t="s">
        <v>23</v>
      </c>
      <c r="E3587" s="22" t="s">
        <v>86</v>
      </c>
      <c r="F3587" s="7" t="s">
        <v>36</v>
      </c>
      <c r="G3587" s="120" t="s">
        <v>5310</v>
      </c>
      <c r="H3587" s="120" t="s">
        <v>5311</v>
      </c>
      <c r="I3587" s="121">
        <v>0</v>
      </c>
      <c r="J3587" s="121">
        <v>0</v>
      </c>
      <c r="K3587" s="121">
        <v>0</v>
      </c>
      <c r="L3587" s="121">
        <v>0</v>
      </c>
      <c r="M3587" s="121">
        <v>0</v>
      </c>
      <c r="N3587" s="121">
        <v>0</v>
      </c>
      <c r="O3587" s="121">
        <v>0</v>
      </c>
      <c r="P3587" s="76">
        <v>0</v>
      </c>
      <c r="Q3587" s="122" t="s">
        <v>154</v>
      </c>
    </row>
    <row r="3588" spans="1:17" ht="63.75" x14ac:dyDescent="0.25">
      <c r="A3588" s="136">
        <v>40413</v>
      </c>
      <c r="B3588" s="136">
        <v>40413</v>
      </c>
      <c r="C3588" s="122">
        <v>2010</v>
      </c>
      <c r="D3588" s="351" t="s">
        <v>23</v>
      </c>
      <c r="E3588" s="22" t="s">
        <v>86</v>
      </c>
      <c r="F3588" s="7" t="s">
        <v>58</v>
      </c>
      <c r="G3588" s="120" t="s">
        <v>1194</v>
      </c>
      <c r="H3588" s="120" t="s">
        <v>5312</v>
      </c>
      <c r="I3588" s="121">
        <v>0</v>
      </c>
      <c r="J3588" s="121">
        <v>0</v>
      </c>
      <c r="K3588" s="121">
        <v>0</v>
      </c>
      <c r="L3588" s="121">
        <v>0</v>
      </c>
      <c r="M3588" s="121">
        <v>0</v>
      </c>
      <c r="N3588" s="121">
        <v>0</v>
      </c>
      <c r="O3588" s="121">
        <v>0</v>
      </c>
      <c r="P3588" s="76">
        <v>0</v>
      </c>
      <c r="Q3588" s="122" t="s">
        <v>154</v>
      </c>
    </row>
    <row r="3589" spans="1:17" ht="63.75" x14ac:dyDescent="0.25">
      <c r="A3589" s="136">
        <v>40412</v>
      </c>
      <c r="B3589" s="136">
        <v>40412</v>
      </c>
      <c r="C3589" s="122">
        <v>2010</v>
      </c>
      <c r="D3589" s="351" t="s">
        <v>23</v>
      </c>
      <c r="E3589" s="22" t="s">
        <v>86</v>
      </c>
      <c r="F3589" s="7" t="s">
        <v>75</v>
      </c>
      <c r="G3589" s="120" t="s">
        <v>5313</v>
      </c>
      <c r="H3589" s="120" t="s">
        <v>5314</v>
      </c>
      <c r="I3589" s="121">
        <v>0</v>
      </c>
      <c r="J3589" s="121">
        <v>185</v>
      </c>
      <c r="K3589" s="121">
        <v>37</v>
      </c>
      <c r="L3589" s="121">
        <v>0</v>
      </c>
      <c r="M3589" s="121">
        <v>0</v>
      </c>
      <c r="N3589" s="121">
        <v>0</v>
      </c>
      <c r="O3589" s="121">
        <v>0</v>
      </c>
      <c r="P3589" s="76">
        <v>0.69330599999999998</v>
      </c>
      <c r="Q3589" s="122" t="s">
        <v>154</v>
      </c>
    </row>
    <row r="3590" spans="1:17" ht="293.25" x14ac:dyDescent="0.25">
      <c r="A3590" s="136">
        <v>40410</v>
      </c>
      <c r="B3590" s="136">
        <v>40410</v>
      </c>
      <c r="C3590" s="122">
        <v>2010</v>
      </c>
      <c r="D3590" s="351" t="s">
        <v>23</v>
      </c>
      <c r="E3590" s="22" t="s">
        <v>86</v>
      </c>
      <c r="F3590" s="7" t="s">
        <v>58</v>
      </c>
      <c r="G3590" s="120" t="s">
        <v>5315</v>
      </c>
      <c r="H3590" s="120" t="s">
        <v>5316</v>
      </c>
      <c r="I3590" s="121">
        <v>0</v>
      </c>
      <c r="J3590" s="121">
        <v>5000</v>
      </c>
      <c r="K3590" s="121">
        <v>83</v>
      </c>
      <c r="L3590" s="121">
        <v>0</v>
      </c>
      <c r="M3590" s="121">
        <v>0</v>
      </c>
      <c r="N3590" s="121">
        <v>0</v>
      </c>
      <c r="O3590" s="121">
        <v>0</v>
      </c>
      <c r="P3590" s="76">
        <v>1.5552539999999999</v>
      </c>
      <c r="Q3590" s="122" t="s">
        <v>154</v>
      </c>
    </row>
    <row r="3591" spans="1:17" ht="408" x14ac:dyDescent="0.25">
      <c r="A3591" s="136">
        <v>40412</v>
      </c>
      <c r="B3591" s="136">
        <v>40412</v>
      </c>
      <c r="C3591" s="122">
        <v>2010</v>
      </c>
      <c r="D3591" s="351" t="s">
        <v>23</v>
      </c>
      <c r="E3591" s="22" t="s">
        <v>86</v>
      </c>
      <c r="F3591" s="7" t="s">
        <v>58</v>
      </c>
      <c r="G3591" s="120" t="s">
        <v>5317</v>
      </c>
      <c r="H3591" s="120" t="s">
        <v>5318</v>
      </c>
      <c r="I3591" s="121">
        <v>0</v>
      </c>
      <c r="J3591" s="121">
        <v>114</v>
      </c>
      <c r="K3591" s="121">
        <v>15</v>
      </c>
      <c r="L3591" s="121">
        <v>0</v>
      </c>
      <c r="M3591" s="121">
        <v>0</v>
      </c>
      <c r="N3591" s="121">
        <v>0</v>
      </c>
      <c r="O3591" s="121">
        <v>0</v>
      </c>
      <c r="P3591" s="76">
        <v>7.6799999999999993E-2</v>
      </c>
      <c r="Q3591" s="122" t="s">
        <v>154</v>
      </c>
    </row>
    <row r="3592" spans="1:17" ht="280.5" x14ac:dyDescent="0.25">
      <c r="A3592" s="136">
        <v>40410</v>
      </c>
      <c r="B3592" s="136">
        <v>40410</v>
      </c>
      <c r="C3592" s="122">
        <v>2010</v>
      </c>
      <c r="D3592" s="351" t="s">
        <v>23</v>
      </c>
      <c r="E3592" s="22" t="s">
        <v>86</v>
      </c>
      <c r="F3592" s="7" t="s">
        <v>58</v>
      </c>
      <c r="G3592" s="120" t="s">
        <v>5319</v>
      </c>
      <c r="H3592" s="120" t="s">
        <v>5320</v>
      </c>
      <c r="I3592" s="121">
        <v>0</v>
      </c>
      <c r="J3592" s="121">
        <v>574</v>
      </c>
      <c r="K3592" s="121">
        <v>74</v>
      </c>
      <c r="L3592" s="121">
        <v>0</v>
      </c>
      <c r="M3592" s="121">
        <v>0</v>
      </c>
      <c r="N3592" s="121">
        <v>0</v>
      </c>
      <c r="O3592" s="121">
        <v>0</v>
      </c>
      <c r="P3592" s="76">
        <v>0.37887999999999999</v>
      </c>
      <c r="Q3592" s="122" t="s">
        <v>154</v>
      </c>
    </row>
    <row r="3593" spans="1:17" ht="408" x14ac:dyDescent="0.25">
      <c r="A3593" s="136">
        <v>40414</v>
      </c>
      <c r="B3593" s="136">
        <v>40414</v>
      </c>
      <c r="C3593" s="122">
        <v>2010</v>
      </c>
      <c r="D3593" s="351" t="s">
        <v>23</v>
      </c>
      <c r="E3593" s="22" t="s">
        <v>86</v>
      </c>
      <c r="F3593" s="7" t="s">
        <v>65</v>
      </c>
      <c r="G3593" s="120" t="s">
        <v>5321</v>
      </c>
      <c r="H3593" s="120" t="s">
        <v>5322</v>
      </c>
      <c r="I3593" s="121">
        <v>0</v>
      </c>
      <c r="J3593" s="121">
        <v>6850</v>
      </c>
      <c r="K3593" s="121">
        <v>1370</v>
      </c>
      <c r="L3593" s="121">
        <v>0</v>
      </c>
      <c r="M3593" s="121">
        <v>0</v>
      </c>
      <c r="N3593" s="121">
        <v>350</v>
      </c>
      <c r="O3593" s="121">
        <v>0</v>
      </c>
      <c r="P3593" s="76">
        <v>25.671060000000001</v>
      </c>
      <c r="Q3593" s="122" t="s">
        <v>154</v>
      </c>
    </row>
    <row r="3594" spans="1:17" ht="89.25" x14ac:dyDescent="0.25">
      <c r="A3594" s="136">
        <v>40415</v>
      </c>
      <c r="B3594" s="136">
        <v>40415</v>
      </c>
      <c r="C3594" s="122">
        <v>2010</v>
      </c>
      <c r="D3594" s="351" t="s">
        <v>23</v>
      </c>
      <c r="E3594" s="145" t="s">
        <v>52</v>
      </c>
      <c r="F3594" s="7" t="s">
        <v>65</v>
      </c>
      <c r="G3594" s="120" t="s">
        <v>5323</v>
      </c>
      <c r="H3594" s="120" t="s">
        <v>5324</v>
      </c>
      <c r="I3594" s="121">
        <v>0</v>
      </c>
      <c r="J3594" s="121">
        <v>1965</v>
      </c>
      <c r="K3594" s="121">
        <v>273</v>
      </c>
      <c r="L3594" s="121">
        <v>6</v>
      </c>
      <c r="M3594" s="121">
        <v>0</v>
      </c>
      <c r="N3594" s="121">
        <v>0</v>
      </c>
      <c r="O3594" s="121">
        <v>0</v>
      </c>
      <c r="P3594" s="76">
        <v>94.912999999999997</v>
      </c>
      <c r="Q3594" s="122" t="s">
        <v>186</v>
      </c>
    </row>
    <row r="3595" spans="1:17" ht="25.5" x14ac:dyDescent="0.25">
      <c r="A3595" s="136">
        <v>40415</v>
      </c>
      <c r="B3595" s="136">
        <v>40415</v>
      </c>
      <c r="C3595" s="122">
        <v>2010</v>
      </c>
      <c r="D3595" s="351" t="s">
        <v>23</v>
      </c>
      <c r="E3595" s="22" t="s">
        <v>86</v>
      </c>
      <c r="F3595" s="7" t="s">
        <v>97</v>
      </c>
      <c r="G3595" s="120" t="s">
        <v>2725</v>
      </c>
      <c r="H3595" s="120" t="s">
        <v>5325</v>
      </c>
      <c r="I3595" s="121">
        <v>0</v>
      </c>
      <c r="J3595" s="121">
        <v>75</v>
      </c>
      <c r="K3595" s="121">
        <v>15</v>
      </c>
      <c r="L3595" s="121">
        <v>0</v>
      </c>
      <c r="M3595" s="121">
        <v>0</v>
      </c>
      <c r="N3595" s="121">
        <v>0</v>
      </c>
      <c r="O3595" s="121">
        <v>0</v>
      </c>
      <c r="P3595" s="76">
        <v>7.6799999999999993E-2</v>
      </c>
      <c r="Q3595" s="122" t="s">
        <v>154</v>
      </c>
    </row>
    <row r="3596" spans="1:17" ht="102" x14ac:dyDescent="0.25">
      <c r="A3596" s="136">
        <v>40415</v>
      </c>
      <c r="B3596" s="136">
        <v>40415</v>
      </c>
      <c r="C3596" s="122">
        <v>2010</v>
      </c>
      <c r="D3596" s="351" t="s">
        <v>23</v>
      </c>
      <c r="E3596" s="22" t="s">
        <v>86</v>
      </c>
      <c r="F3596" s="7" t="s">
        <v>62</v>
      </c>
      <c r="G3596" s="120" t="s">
        <v>3590</v>
      </c>
      <c r="H3596" s="120" t="s">
        <v>5326</v>
      </c>
      <c r="I3596" s="121">
        <v>2</v>
      </c>
      <c r="J3596" s="121">
        <v>3</v>
      </c>
      <c r="K3596" s="121">
        <v>0</v>
      </c>
      <c r="L3596" s="121">
        <v>0</v>
      </c>
      <c r="M3596" s="121">
        <v>0</v>
      </c>
      <c r="N3596" s="121">
        <v>0</v>
      </c>
      <c r="O3596" s="121">
        <v>0</v>
      </c>
      <c r="P3596" s="76">
        <v>0</v>
      </c>
      <c r="Q3596" s="122" t="s">
        <v>154</v>
      </c>
    </row>
    <row r="3597" spans="1:17" ht="165.75" x14ac:dyDescent="0.25">
      <c r="A3597" s="136">
        <v>40415</v>
      </c>
      <c r="B3597" s="136">
        <v>40415</v>
      </c>
      <c r="C3597" s="122">
        <v>2010</v>
      </c>
      <c r="D3597" s="351" t="s">
        <v>23</v>
      </c>
      <c r="E3597" s="22" t="s">
        <v>86</v>
      </c>
      <c r="F3597" s="28" t="s">
        <v>210</v>
      </c>
      <c r="G3597" s="120" t="s">
        <v>5327</v>
      </c>
      <c r="H3597" s="120" t="s">
        <v>5328</v>
      </c>
      <c r="I3597" s="121">
        <v>0</v>
      </c>
      <c r="J3597" s="121">
        <v>100</v>
      </c>
      <c r="K3597" s="121">
        <v>0</v>
      </c>
      <c r="L3597" s="121">
        <v>0</v>
      </c>
      <c r="M3597" s="121">
        <v>0</v>
      </c>
      <c r="N3597" s="121">
        <v>0</v>
      </c>
      <c r="O3597" s="121">
        <v>0</v>
      </c>
      <c r="P3597" s="76">
        <v>0</v>
      </c>
      <c r="Q3597" s="122" t="s">
        <v>154</v>
      </c>
    </row>
    <row r="3598" spans="1:17" ht="191.25" x14ac:dyDescent="0.25">
      <c r="A3598" s="136">
        <v>40421</v>
      </c>
      <c r="B3598" s="136">
        <v>40421</v>
      </c>
      <c r="C3598" s="122">
        <v>2010</v>
      </c>
      <c r="D3598" s="351" t="s">
        <v>23</v>
      </c>
      <c r="E3598" s="22" t="s">
        <v>86</v>
      </c>
      <c r="F3598" s="7" t="s">
        <v>36</v>
      </c>
      <c r="G3598" s="120" t="s">
        <v>5329</v>
      </c>
      <c r="H3598" s="120" t="s">
        <v>5330</v>
      </c>
      <c r="I3598" s="121">
        <v>1</v>
      </c>
      <c r="J3598" s="121">
        <v>346</v>
      </c>
      <c r="K3598" s="121">
        <v>150</v>
      </c>
      <c r="L3598" s="121">
        <v>0</v>
      </c>
      <c r="M3598" s="121">
        <v>0</v>
      </c>
      <c r="N3598" s="121">
        <v>0</v>
      </c>
      <c r="O3598" s="121">
        <v>0</v>
      </c>
      <c r="P3598" s="76">
        <v>2.8107000000000002</v>
      </c>
      <c r="Q3598" s="122" t="s">
        <v>154</v>
      </c>
    </row>
    <row r="3599" spans="1:17" ht="114.75" x14ac:dyDescent="0.25">
      <c r="A3599" s="136">
        <v>40420</v>
      </c>
      <c r="B3599" s="136">
        <v>40420</v>
      </c>
      <c r="C3599" s="122">
        <v>2010</v>
      </c>
      <c r="D3599" s="351" t="s">
        <v>23</v>
      </c>
      <c r="E3599" s="22" t="s">
        <v>86</v>
      </c>
      <c r="F3599" s="7" t="s">
        <v>58</v>
      </c>
      <c r="G3599" s="120" t="s">
        <v>168</v>
      </c>
      <c r="H3599" s="120" t="s">
        <v>5331</v>
      </c>
      <c r="I3599" s="121">
        <v>0</v>
      </c>
      <c r="J3599" s="121">
        <v>21274</v>
      </c>
      <c r="K3599" s="121">
        <v>4105</v>
      </c>
      <c r="L3599" s="121">
        <v>0</v>
      </c>
      <c r="M3599" s="121">
        <v>0</v>
      </c>
      <c r="N3599" s="121">
        <v>0</v>
      </c>
      <c r="O3599" s="121">
        <v>0</v>
      </c>
      <c r="P3599" s="76">
        <v>21.017600000000002</v>
      </c>
      <c r="Q3599" s="122" t="s">
        <v>154</v>
      </c>
    </row>
    <row r="3600" spans="1:17" ht="76.5" x14ac:dyDescent="0.25">
      <c r="A3600" s="136">
        <v>40421</v>
      </c>
      <c r="B3600" s="136">
        <v>40421</v>
      </c>
      <c r="C3600" s="122">
        <v>2010</v>
      </c>
      <c r="D3600" s="351" t="s">
        <v>23</v>
      </c>
      <c r="E3600" s="22" t="s">
        <v>86</v>
      </c>
      <c r="F3600" s="7" t="s">
        <v>58</v>
      </c>
      <c r="G3600" s="120" t="s">
        <v>168</v>
      </c>
      <c r="H3600" s="120" t="s">
        <v>5332</v>
      </c>
      <c r="I3600" s="121">
        <v>0</v>
      </c>
      <c r="J3600" s="121">
        <v>0</v>
      </c>
      <c r="K3600" s="121">
        <v>0</v>
      </c>
      <c r="L3600" s="121">
        <v>0</v>
      </c>
      <c r="M3600" s="121">
        <v>0</v>
      </c>
      <c r="N3600" s="121">
        <v>0</v>
      </c>
      <c r="O3600" s="121">
        <v>0</v>
      </c>
      <c r="P3600" s="76">
        <v>0</v>
      </c>
      <c r="Q3600" s="122" t="s">
        <v>154</v>
      </c>
    </row>
    <row r="3601" spans="1:17" ht="89.25" x14ac:dyDescent="0.25">
      <c r="A3601" s="136">
        <v>40419</v>
      </c>
      <c r="B3601" s="136">
        <v>40419</v>
      </c>
      <c r="C3601" s="122">
        <v>2010</v>
      </c>
      <c r="D3601" s="351" t="s">
        <v>23</v>
      </c>
      <c r="E3601" s="22" t="s">
        <v>86</v>
      </c>
      <c r="F3601" s="7" t="s">
        <v>36</v>
      </c>
      <c r="G3601" s="120" t="s">
        <v>5333</v>
      </c>
      <c r="H3601" s="120" t="s">
        <v>5334</v>
      </c>
      <c r="I3601" s="121">
        <v>0</v>
      </c>
      <c r="J3601" s="121">
        <v>1750</v>
      </c>
      <c r="K3601" s="121">
        <v>350</v>
      </c>
      <c r="L3601" s="121">
        <v>0</v>
      </c>
      <c r="M3601" s="121">
        <v>0</v>
      </c>
      <c r="N3601" s="121">
        <v>0</v>
      </c>
      <c r="O3601" s="121">
        <v>0</v>
      </c>
      <c r="P3601" s="76">
        <v>1.792</v>
      </c>
      <c r="Q3601" s="122" t="s">
        <v>154</v>
      </c>
    </row>
    <row r="3602" spans="1:17" ht="127.5" x14ac:dyDescent="0.25">
      <c r="A3602" s="136">
        <v>40408</v>
      </c>
      <c r="B3602" s="136">
        <v>40408</v>
      </c>
      <c r="C3602" s="122">
        <v>2010</v>
      </c>
      <c r="D3602" s="351" t="s">
        <v>23</v>
      </c>
      <c r="E3602" s="22" t="s">
        <v>86</v>
      </c>
      <c r="F3602" s="7" t="s">
        <v>36</v>
      </c>
      <c r="G3602" s="120" t="s">
        <v>5335</v>
      </c>
      <c r="H3602" s="120" t="s">
        <v>5336</v>
      </c>
      <c r="I3602" s="121">
        <v>4</v>
      </c>
      <c r="J3602" s="121">
        <v>269</v>
      </c>
      <c r="K3602" s="121">
        <v>150</v>
      </c>
      <c r="L3602" s="121">
        <v>0</v>
      </c>
      <c r="M3602" s="121">
        <v>0</v>
      </c>
      <c r="N3602" s="121">
        <v>0</v>
      </c>
      <c r="O3602" s="121">
        <v>0</v>
      </c>
      <c r="P3602" s="76">
        <v>0.76800000000000002</v>
      </c>
      <c r="Q3602" s="122" t="s">
        <v>154</v>
      </c>
    </row>
    <row r="3603" spans="1:17" ht="89.25" x14ac:dyDescent="0.25">
      <c r="A3603" s="136">
        <v>40443</v>
      </c>
      <c r="B3603" s="136">
        <v>40443</v>
      </c>
      <c r="C3603" s="122">
        <v>2010</v>
      </c>
      <c r="D3603" s="351" t="s">
        <v>23</v>
      </c>
      <c r="E3603" s="145" t="s">
        <v>52</v>
      </c>
      <c r="F3603" s="7" t="s">
        <v>91</v>
      </c>
      <c r="G3603" s="120" t="s">
        <v>2315</v>
      </c>
      <c r="H3603" s="120" t="s">
        <v>5337</v>
      </c>
      <c r="I3603" s="121">
        <v>0</v>
      </c>
      <c r="J3603" s="121">
        <v>0</v>
      </c>
      <c r="K3603" s="121">
        <v>0</v>
      </c>
      <c r="L3603" s="121">
        <v>0</v>
      </c>
      <c r="M3603" s="121">
        <v>0</v>
      </c>
      <c r="N3603" s="121">
        <v>0</v>
      </c>
      <c r="O3603" s="121">
        <v>0</v>
      </c>
      <c r="P3603" s="76">
        <v>0</v>
      </c>
      <c r="Q3603" s="122" t="s">
        <v>154</v>
      </c>
    </row>
    <row r="3604" spans="1:17" ht="76.5" x14ac:dyDescent="0.25">
      <c r="A3604" s="136">
        <v>40420</v>
      </c>
      <c r="B3604" s="136">
        <v>40420</v>
      </c>
      <c r="C3604" s="122">
        <v>2010</v>
      </c>
      <c r="D3604" s="351" t="s">
        <v>23</v>
      </c>
      <c r="E3604" s="22" t="s">
        <v>86</v>
      </c>
      <c r="F3604" s="7" t="s">
        <v>58</v>
      </c>
      <c r="G3604" s="120" t="s">
        <v>5338</v>
      </c>
      <c r="H3604" s="120" t="s">
        <v>5339</v>
      </c>
      <c r="I3604" s="121">
        <v>0</v>
      </c>
      <c r="J3604" s="121">
        <v>1625</v>
      </c>
      <c r="K3604" s="121">
        <v>25</v>
      </c>
      <c r="L3604" s="121">
        <v>15</v>
      </c>
      <c r="M3604" s="121">
        <v>0</v>
      </c>
      <c r="N3604" s="121">
        <v>0</v>
      </c>
      <c r="O3604" s="121">
        <v>0</v>
      </c>
      <c r="P3604" s="76">
        <v>21.161000000000001</v>
      </c>
      <c r="Q3604" s="122" t="s">
        <v>186</v>
      </c>
    </row>
    <row r="3605" spans="1:17" ht="89.25" x14ac:dyDescent="0.25">
      <c r="A3605" s="136">
        <v>40451</v>
      </c>
      <c r="B3605" s="136">
        <v>40451</v>
      </c>
      <c r="C3605" s="122">
        <v>2010</v>
      </c>
      <c r="D3605" s="351" t="s">
        <v>23</v>
      </c>
      <c r="E3605" s="22" t="s">
        <v>86</v>
      </c>
      <c r="F3605" s="7" t="s">
        <v>101</v>
      </c>
      <c r="G3605" s="120" t="s">
        <v>5340</v>
      </c>
      <c r="H3605" s="120" t="s">
        <v>5341</v>
      </c>
      <c r="I3605" s="121">
        <v>0</v>
      </c>
      <c r="J3605" s="121">
        <v>0</v>
      </c>
      <c r="K3605" s="121">
        <v>5000</v>
      </c>
      <c r="L3605" s="121">
        <v>0</v>
      </c>
      <c r="M3605" s="121">
        <v>0</v>
      </c>
      <c r="N3605" s="121">
        <v>0</v>
      </c>
      <c r="O3605" s="121">
        <v>0</v>
      </c>
      <c r="P3605" s="76">
        <v>25.6</v>
      </c>
      <c r="Q3605" s="122" t="s">
        <v>154</v>
      </c>
    </row>
    <row r="3606" spans="1:17" ht="63.75" x14ac:dyDescent="0.25">
      <c r="A3606" s="136">
        <v>40422</v>
      </c>
      <c r="B3606" s="136">
        <v>40422</v>
      </c>
      <c r="C3606" s="122">
        <v>2010</v>
      </c>
      <c r="D3606" s="351" t="s">
        <v>23</v>
      </c>
      <c r="E3606" s="22" t="s">
        <v>86</v>
      </c>
      <c r="F3606" s="7" t="s">
        <v>58</v>
      </c>
      <c r="G3606" s="120" t="s">
        <v>5342</v>
      </c>
      <c r="H3606" s="120" t="s">
        <v>5343</v>
      </c>
      <c r="I3606" s="121">
        <v>0</v>
      </c>
      <c r="J3606" s="121">
        <v>2193</v>
      </c>
      <c r="K3606" s="121">
        <v>215</v>
      </c>
      <c r="L3606" s="121">
        <v>0</v>
      </c>
      <c r="M3606" s="121">
        <v>0</v>
      </c>
      <c r="N3606" s="121">
        <v>0</v>
      </c>
      <c r="O3606" s="121">
        <v>0</v>
      </c>
      <c r="P3606" s="76">
        <v>1.1008</v>
      </c>
      <c r="Q3606" s="122" t="s">
        <v>154</v>
      </c>
    </row>
    <row r="3607" spans="1:17" ht="38.25" x14ac:dyDescent="0.25">
      <c r="A3607" s="136">
        <v>40422</v>
      </c>
      <c r="B3607" s="136">
        <v>40422</v>
      </c>
      <c r="C3607" s="122">
        <v>2010</v>
      </c>
      <c r="D3607" s="351" t="s">
        <v>23</v>
      </c>
      <c r="E3607" s="22" t="s">
        <v>86</v>
      </c>
      <c r="F3607" s="7" t="s">
        <v>62</v>
      </c>
      <c r="G3607" s="120" t="s">
        <v>165</v>
      </c>
      <c r="H3607" s="120" t="s">
        <v>5344</v>
      </c>
      <c r="I3607" s="121">
        <v>0</v>
      </c>
      <c r="J3607" s="121">
        <v>0</v>
      </c>
      <c r="K3607" s="121">
        <v>0</v>
      </c>
      <c r="L3607" s="121">
        <v>0</v>
      </c>
      <c r="M3607" s="121">
        <v>0</v>
      </c>
      <c r="N3607" s="121">
        <v>0</v>
      </c>
      <c r="O3607" s="121">
        <v>0</v>
      </c>
      <c r="P3607" s="76">
        <v>0</v>
      </c>
      <c r="Q3607" s="122" t="s">
        <v>154</v>
      </c>
    </row>
    <row r="3608" spans="1:17" ht="409.5" x14ac:dyDescent="0.25">
      <c r="A3608" s="136">
        <v>40425</v>
      </c>
      <c r="B3608" s="136">
        <v>40425</v>
      </c>
      <c r="C3608" s="122">
        <v>2010</v>
      </c>
      <c r="D3608" s="351" t="s">
        <v>23</v>
      </c>
      <c r="E3608" s="22" t="s">
        <v>86</v>
      </c>
      <c r="F3608" s="7" t="s">
        <v>67</v>
      </c>
      <c r="G3608" s="120" t="s">
        <v>5345</v>
      </c>
      <c r="H3608" s="120" t="s">
        <v>5346</v>
      </c>
      <c r="I3608" s="121">
        <v>0</v>
      </c>
      <c r="J3608" s="121">
        <v>65660</v>
      </c>
      <c r="K3608" s="121">
        <v>13132</v>
      </c>
      <c r="L3608" s="121">
        <v>0</v>
      </c>
      <c r="M3608" s="121">
        <v>0</v>
      </c>
      <c r="N3608" s="121">
        <v>0</v>
      </c>
      <c r="O3608" s="121">
        <v>0</v>
      </c>
      <c r="P3608" s="76">
        <v>246.06741600000001</v>
      </c>
      <c r="Q3608" s="122" t="s">
        <v>154</v>
      </c>
    </row>
    <row r="3609" spans="1:17" ht="76.5" x14ac:dyDescent="0.25">
      <c r="A3609" s="136">
        <v>40425</v>
      </c>
      <c r="B3609" s="136">
        <v>40425</v>
      </c>
      <c r="C3609" s="122">
        <v>2010</v>
      </c>
      <c r="D3609" s="351" t="s">
        <v>23</v>
      </c>
      <c r="E3609" s="22" t="s">
        <v>86</v>
      </c>
      <c r="F3609" s="7" t="s">
        <v>58</v>
      </c>
      <c r="G3609" s="120" t="s">
        <v>5347</v>
      </c>
      <c r="H3609" s="120" t="s">
        <v>5348</v>
      </c>
      <c r="I3609" s="121">
        <v>0</v>
      </c>
      <c r="J3609" s="121">
        <v>2191</v>
      </c>
      <c r="K3609" s="121">
        <v>434</v>
      </c>
      <c r="L3609" s="121">
        <v>0</v>
      </c>
      <c r="M3609" s="121">
        <v>0</v>
      </c>
      <c r="N3609" s="121">
        <v>31</v>
      </c>
      <c r="O3609" s="121">
        <v>0</v>
      </c>
      <c r="P3609" s="76">
        <v>8.1322919999999996</v>
      </c>
      <c r="Q3609" s="122" t="s">
        <v>154</v>
      </c>
    </row>
    <row r="3610" spans="1:17" ht="89.25" x14ac:dyDescent="0.25">
      <c r="A3610" s="136">
        <v>40426</v>
      </c>
      <c r="B3610" s="136">
        <v>40426</v>
      </c>
      <c r="C3610" s="122">
        <v>2010</v>
      </c>
      <c r="D3610" s="351" t="s">
        <v>23</v>
      </c>
      <c r="E3610" s="22" t="s">
        <v>86</v>
      </c>
      <c r="F3610" s="7" t="s">
        <v>67</v>
      </c>
      <c r="G3610" s="120" t="s">
        <v>5349</v>
      </c>
      <c r="H3610" s="120" t="s">
        <v>5350</v>
      </c>
      <c r="I3610" s="121">
        <v>0</v>
      </c>
      <c r="J3610" s="121">
        <v>0</v>
      </c>
      <c r="K3610" s="121">
        <v>0</v>
      </c>
      <c r="L3610" s="121">
        <v>0</v>
      </c>
      <c r="M3610" s="121">
        <v>0</v>
      </c>
      <c r="N3610" s="121">
        <v>0</v>
      </c>
      <c r="O3610" s="121">
        <v>0</v>
      </c>
      <c r="P3610" s="76">
        <v>0</v>
      </c>
      <c r="Q3610" s="122" t="s">
        <v>154</v>
      </c>
    </row>
    <row r="3611" spans="1:17" ht="102" x14ac:dyDescent="0.25">
      <c r="A3611" s="136">
        <v>40424</v>
      </c>
      <c r="B3611" s="136">
        <v>40424</v>
      </c>
      <c r="C3611" s="122">
        <v>2010</v>
      </c>
      <c r="D3611" s="351" t="s">
        <v>23</v>
      </c>
      <c r="E3611" s="22" t="s">
        <v>86</v>
      </c>
      <c r="F3611" s="7" t="s">
        <v>36</v>
      </c>
      <c r="G3611" s="120" t="s">
        <v>5351</v>
      </c>
      <c r="H3611" s="120" t="s">
        <v>5352</v>
      </c>
      <c r="I3611" s="121">
        <v>0</v>
      </c>
      <c r="J3611" s="121">
        <v>685</v>
      </c>
      <c r="K3611" s="121">
        <v>137</v>
      </c>
      <c r="L3611" s="121">
        <v>0</v>
      </c>
      <c r="M3611" s="121">
        <v>0</v>
      </c>
      <c r="N3611" s="121">
        <v>0</v>
      </c>
      <c r="O3611" s="121">
        <v>0</v>
      </c>
      <c r="P3611" s="76">
        <v>2.5671059999999999</v>
      </c>
      <c r="Q3611" s="122" t="s">
        <v>154</v>
      </c>
    </row>
    <row r="3612" spans="1:17" ht="102" x14ac:dyDescent="0.25">
      <c r="A3612" s="136">
        <v>40428</v>
      </c>
      <c r="B3612" s="136">
        <v>40428</v>
      </c>
      <c r="C3612" s="122">
        <v>2010</v>
      </c>
      <c r="D3612" s="351" t="s">
        <v>23</v>
      </c>
      <c r="E3612" s="22" t="s">
        <v>86</v>
      </c>
      <c r="F3612" s="7" t="s">
        <v>58</v>
      </c>
      <c r="G3612" s="120" t="s">
        <v>168</v>
      </c>
      <c r="H3612" s="120" t="s">
        <v>5353</v>
      </c>
      <c r="I3612" s="121">
        <v>0</v>
      </c>
      <c r="J3612" s="121">
        <v>0</v>
      </c>
      <c r="K3612" s="121">
        <v>0</v>
      </c>
      <c r="L3612" s="121">
        <v>0</v>
      </c>
      <c r="M3612" s="121">
        <v>0</v>
      </c>
      <c r="N3612" s="121">
        <v>0</v>
      </c>
      <c r="O3612" s="121">
        <v>0</v>
      </c>
      <c r="P3612" s="76">
        <v>0</v>
      </c>
      <c r="Q3612" s="122" t="s">
        <v>154</v>
      </c>
    </row>
    <row r="3613" spans="1:17" ht="127.5" x14ac:dyDescent="0.25">
      <c r="A3613" s="136">
        <v>40426</v>
      </c>
      <c r="B3613" s="136">
        <v>40426</v>
      </c>
      <c r="C3613" s="122">
        <v>2010</v>
      </c>
      <c r="D3613" s="351" t="s">
        <v>23</v>
      </c>
      <c r="E3613" s="22" t="s">
        <v>86</v>
      </c>
      <c r="F3613" s="7" t="s">
        <v>47</v>
      </c>
      <c r="G3613" s="120" t="s">
        <v>5158</v>
      </c>
      <c r="H3613" s="120" t="s">
        <v>5354</v>
      </c>
      <c r="I3613" s="121">
        <v>0</v>
      </c>
      <c r="J3613" s="121">
        <v>200</v>
      </c>
      <c r="K3613" s="121">
        <v>40</v>
      </c>
      <c r="L3613" s="121">
        <v>0</v>
      </c>
      <c r="M3613" s="121">
        <v>0</v>
      </c>
      <c r="N3613" s="121">
        <v>0</v>
      </c>
      <c r="O3613" s="121">
        <v>0</v>
      </c>
      <c r="P3613" s="76">
        <v>0.74951999999999996</v>
      </c>
      <c r="Q3613" s="122" t="s">
        <v>154</v>
      </c>
    </row>
    <row r="3614" spans="1:17" ht="114.75" x14ac:dyDescent="0.25">
      <c r="A3614" s="136">
        <v>40430</v>
      </c>
      <c r="B3614" s="136">
        <v>40430</v>
      </c>
      <c r="C3614" s="122">
        <v>2010</v>
      </c>
      <c r="D3614" s="351" t="s">
        <v>23</v>
      </c>
      <c r="E3614" s="22" t="s">
        <v>86</v>
      </c>
      <c r="F3614" s="7" t="s">
        <v>60</v>
      </c>
      <c r="G3614" s="120" t="s">
        <v>1256</v>
      </c>
      <c r="H3614" s="120" t="s">
        <v>5355</v>
      </c>
      <c r="I3614" s="121">
        <v>3</v>
      </c>
      <c r="J3614" s="121">
        <v>8</v>
      </c>
      <c r="K3614" s="121">
        <v>1</v>
      </c>
      <c r="L3614" s="121">
        <v>0</v>
      </c>
      <c r="M3614" s="121">
        <v>0</v>
      </c>
      <c r="N3614" s="121">
        <v>0</v>
      </c>
      <c r="O3614" s="121">
        <v>0</v>
      </c>
      <c r="P3614" s="76">
        <v>9.5904000000000003E-2</v>
      </c>
      <c r="Q3614" s="122" t="s">
        <v>154</v>
      </c>
    </row>
    <row r="3615" spans="1:17" ht="204" x14ac:dyDescent="0.25">
      <c r="A3615" s="136">
        <v>40430</v>
      </c>
      <c r="B3615" s="136">
        <v>40430</v>
      </c>
      <c r="C3615" s="122">
        <v>2010</v>
      </c>
      <c r="D3615" s="351" t="s">
        <v>23</v>
      </c>
      <c r="E3615" s="22" t="s">
        <v>86</v>
      </c>
      <c r="F3615" s="7" t="s">
        <v>58</v>
      </c>
      <c r="G3615" s="120" t="s">
        <v>5356</v>
      </c>
      <c r="H3615" s="120" t="s">
        <v>5357</v>
      </c>
      <c r="I3615" s="121">
        <v>4</v>
      </c>
      <c r="J3615" s="121">
        <v>560</v>
      </c>
      <c r="K3615" s="121">
        <v>120</v>
      </c>
      <c r="L3615" s="121">
        <v>0</v>
      </c>
      <c r="M3615" s="121">
        <v>0</v>
      </c>
      <c r="N3615" s="121">
        <v>0</v>
      </c>
      <c r="O3615" s="121">
        <v>0</v>
      </c>
      <c r="P3615" s="76">
        <v>4.5224399999999996</v>
      </c>
      <c r="Q3615" s="122" t="s">
        <v>154</v>
      </c>
    </row>
    <row r="3616" spans="1:17" ht="89.25" x14ac:dyDescent="0.25">
      <c r="A3616" s="136">
        <v>40431</v>
      </c>
      <c r="B3616" s="136">
        <v>40431</v>
      </c>
      <c r="C3616" s="122">
        <v>2010</v>
      </c>
      <c r="D3616" s="351" t="s">
        <v>23</v>
      </c>
      <c r="E3616" s="22" t="s">
        <v>86</v>
      </c>
      <c r="F3616" s="7" t="s">
        <v>45</v>
      </c>
      <c r="G3616" s="120" t="s">
        <v>259</v>
      </c>
      <c r="H3616" s="120" t="s">
        <v>5358</v>
      </c>
      <c r="I3616" s="121">
        <v>0</v>
      </c>
      <c r="J3616" s="121">
        <v>330</v>
      </c>
      <c r="K3616" s="121">
        <v>66</v>
      </c>
      <c r="L3616" s="121">
        <v>0</v>
      </c>
      <c r="M3616" s="121">
        <v>0</v>
      </c>
      <c r="N3616" s="121">
        <v>0</v>
      </c>
      <c r="O3616" s="121">
        <v>0</v>
      </c>
      <c r="P3616" s="76">
        <v>0.33792</v>
      </c>
      <c r="Q3616" s="122" t="s">
        <v>154</v>
      </c>
    </row>
    <row r="3617" spans="1:17" ht="89.25" x14ac:dyDescent="0.25">
      <c r="A3617" s="136">
        <v>40431</v>
      </c>
      <c r="B3617" s="136">
        <v>40431</v>
      </c>
      <c r="C3617" s="122">
        <v>2010</v>
      </c>
      <c r="D3617" s="351" t="s">
        <v>23</v>
      </c>
      <c r="E3617" s="22" t="s">
        <v>86</v>
      </c>
      <c r="F3617" s="7" t="s">
        <v>58</v>
      </c>
      <c r="G3617" s="120" t="s">
        <v>5359</v>
      </c>
      <c r="H3617" s="120" t="s">
        <v>5360</v>
      </c>
      <c r="I3617" s="121">
        <v>0</v>
      </c>
      <c r="J3617" s="121">
        <v>275</v>
      </c>
      <c r="K3617" s="121">
        <v>32</v>
      </c>
      <c r="L3617" s="121">
        <v>0</v>
      </c>
      <c r="M3617" s="121">
        <v>0</v>
      </c>
      <c r="N3617" s="121">
        <v>0</v>
      </c>
      <c r="O3617" s="121">
        <v>0</v>
      </c>
      <c r="P3617" s="76">
        <v>0.59961600000000004</v>
      </c>
      <c r="Q3617" s="122" t="s">
        <v>154</v>
      </c>
    </row>
    <row r="3618" spans="1:17" ht="344.25" x14ac:dyDescent="0.25">
      <c r="A3618" s="136">
        <v>40438</v>
      </c>
      <c r="B3618" s="136">
        <v>40438</v>
      </c>
      <c r="C3618" s="122">
        <v>2010</v>
      </c>
      <c r="D3618" s="351" t="s">
        <v>23</v>
      </c>
      <c r="E3618" s="22" t="s">
        <v>86</v>
      </c>
      <c r="F3618" s="28" t="s">
        <v>151</v>
      </c>
      <c r="G3618" s="120" t="s">
        <v>5361</v>
      </c>
      <c r="H3618" s="120" t="s">
        <v>5362</v>
      </c>
      <c r="I3618" s="121">
        <v>0</v>
      </c>
      <c r="J3618" s="121">
        <v>14000</v>
      </c>
      <c r="K3618" s="121">
        <v>25</v>
      </c>
      <c r="L3618" s="121">
        <v>0</v>
      </c>
      <c r="M3618" s="121">
        <v>0</v>
      </c>
      <c r="N3618" s="121">
        <v>0</v>
      </c>
      <c r="O3618" s="121">
        <v>0</v>
      </c>
      <c r="P3618" s="76">
        <v>0.46844999999999998</v>
      </c>
      <c r="Q3618" s="122" t="s">
        <v>154</v>
      </c>
    </row>
    <row r="3619" spans="1:17" ht="63.75" x14ac:dyDescent="0.25">
      <c r="A3619" s="119">
        <v>40438</v>
      </c>
      <c r="B3619" s="119">
        <v>40438</v>
      </c>
      <c r="C3619" s="122">
        <v>2010</v>
      </c>
      <c r="D3619" s="351" t="s">
        <v>23</v>
      </c>
      <c r="E3619" s="14" t="s">
        <v>32</v>
      </c>
      <c r="F3619" s="7" t="s">
        <v>75</v>
      </c>
      <c r="G3619" s="120" t="s">
        <v>5363</v>
      </c>
      <c r="H3619" s="120" t="s">
        <v>5364</v>
      </c>
      <c r="I3619" s="121">
        <v>0</v>
      </c>
      <c r="J3619" s="121">
        <v>0</v>
      </c>
      <c r="K3619" s="121">
        <v>0</v>
      </c>
      <c r="L3619" s="121">
        <v>0</v>
      </c>
      <c r="M3619" s="121">
        <v>0</v>
      </c>
      <c r="N3619" s="121">
        <v>0</v>
      </c>
      <c r="O3619" s="121">
        <v>0</v>
      </c>
      <c r="P3619" s="76">
        <v>252.01499999999999</v>
      </c>
      <c r="Q3619" s="122" t="s">
        <v>186</v>
      </c>
    </row>
    <row r="3620" spans="1:17" ht="38.25" x14ac:dyDescent="0.25">
      <c r="A3620" s="136">
        <v>40440</v>
      </c>
      <c r="B3620" s="136">
        <v>40440</v>
      </c>
      <c r="C3620" s="122">
        <v>2010</v>
      </c>
      <c r="D3620" s="351" t="s">
        <v>23</v>
      </c>
      <c r="E3620" s="22" t="s">
        <v>86</v>
      </c>
      <c r="F3620" s="7" t="s">
        <v>91</v>
      </c>
      <c r="G3620" s="120" t="s">
        <v>1874</v>
      </c>
      <c r="H3620" s="120" t="s">
        <v>5365</v>
      </c>
      <c r="I3620" s="121">
        <v>0</v>
      </c>
      <c r="J3620" s="121">
        <v>128</v>
      </c>
      <c r="K3620" s="121">
        <v>0</v>
      </c>
      <c r="L3620" s="121">
        <v>0</v>
      </c>
      <c r="M3620" s="121">
        <v>0</v>
      </c>
      <c r="N3620" s="121">
        <v>0</v>
      </c>
      <c r="O3620" s="121">
        <v>0</v>
      </c>
      <c r="P3620" s="76">
        <v>0</v>
      </c>
      <c r="Q3620" s="122" t="s">
        <v>154</v>
      </c>
    </row>
    <row r="3621" spans="1:17" ht="51" x14ac:dyDescent="0.25">
      <c r="A3621" s="136">
        <v>40440</v>
      </c>
      <c r="B3621" s="136">
        <v>40440</v>
      </c>
      <c r="C3621" s="122">
        <v>2010</v>
      </c>
      <c r="D3621" s="351" t="s">
        <v>23</v>
      </c>
      <c r="E3621" s="22" t="s">
        <v>86</v>
      </c>
      <c r="F3621" s="7" t="s">
        <v>77</v>
      </c>
      <c r="G3621" s="120" t="s">
        <v>681</v>
      </c>
      <c r="H3621" s="120" t="s">
        <v>5366</v>
      </c>
      <c r="I3621" s="121">
        <v>0</v>
      </c>
      <c r="J3621" s="121">
        <v>0</v>
      </c>
      <c r="K3621" s="121">
        <v>0</v>
      </c>
      <c r="L3621" s="121">
        <v>0</v>
      </c>
      <c r="M3621" s="121">
        <v>2</v>
      </c>
      <c r="N3621" s="121">
        <v>0</v>
      </c>
      <c r="O3621" s="121">
        <v>0</v>
      </c>
      <c r="P3621" s="76">
        <v>528.23199999999997</v>
      </c>
      <c r="Q3621" s="122" t="s">
        <v>186</v>
      </c>
    </row>
    <row r="3622" spans="1:17" ht="76.5" x14ac:dyDescent="0.25">
      <c r="A3622" s="136">
        <v>40441</v>
      </c>
      <c r="B3622" s="136">
        <v>40441</v>
      </c>
      <c r="C3622" s="122">
        <v>2010</v>
      </c>
      <c r="D3622" s="351" t="s">
        <v>23</v>
      </c>
      <c r="E3622" s="22" t="s">
        <v>86</v>
      </c>
      <c r="F3622" s="7" t="s">
        <v>75</v>
      </c>
      <c r="G3622" s="120" t="s">
        <v>5367</v>
      </c>
      <c r="H3622" s="120" t="s">
        <v>5368</v>
      </c>
      <c r="I3622" s="121">
        <v>2</v>
      </c>
      <c r="J3622" s="121">
        <v>4</v>
      </c>
      <c r="K3622" s="121">
        <v>2</v>
      </c>
      <c r="L3622" s="121">
        <v>0</v>
      </c>
      <c r="M3622" s="121">
        <v>0</v>
      </c>
      <c r="N3622" s="121">
        <v>0</v>
      </c>
      <c r="O3622" s="121">
        <v>0</v>
      </c>
      <c r="P3622" s="76">
        <v>0.211808</v>
      </c>
      <c r="Q3622" s="122" t="s">
        <v>154</v>
      </c>
    </row>
    <row r="3623" spans="1:17" ht="140.25" x14ac:dyDescent="0.25">
      <c r="A3623" s="136">
        <v>40438</v>
      </c>
      <c r="B3623" s="136">
        <v>40438</v>
      </c>
      <c r="C3623" s="122">
        <v>2010</v>
      </c>
      <c r="D3623" s="351" t="s">
        <v>23</v>
      </c>
      <c r="E3623" s="22" t="s">
        <v>86</v>
      </c>
      <c r="F3623" s="7" t="s">
        <v>58</v>
      </c>
      <c r="G3623" s="120" t="s">
        <v>5369</v>
      </c>
      <c r="H3623" s="120" t="s">
        <v>5370</v>
      </c>
      <c r="I3623" s="121">
        <v>0</v>
      </c>
      <c r="J3623" s="121">
        <v>418</v>
      </c>
      <c r="K3623" s="121">
        <v>80</v>
      </c>
      <c r="L3623" s="121">
        <v>0</v>
      </c>
      <c r="M3623" s="121">
        <v>0</v>
      </c>
      <c r="N3623" s="121">
        <v>0</v>
      </c>
      <c r="O3623" s="121">
        <v>0</v>
      </c>
      <c r="P3623" s="76">
        <v>0.40960000000000002</v>
      </c>
      <c r="Q3623" s="122" t="s">
        <v>154</v>
      </c>
    </row>
    <row r="3624" spans="1:17" ht="51" x14ac:dyDescent="0.25">
      <c r="A3624" s="136">
        <v>40438</v>
      </c>
      <c r="B3624" s="136">
        <v>40438</v>
      </c>
      <c r="C3624" s="122">
        <v>2010</v>
      </c>
      <c r="D3624" s="351" t="s">
        <v>23</v>
      </c>
      <c r="E3624" s="22" t="s">
        <v>86</v>
      </c>
      <c r="F3624" s="7" t="s">
        <v>60</v>
      </c>
      <c r="G3624" s="120" t="s">
        <v>908</v>
      </c>
      <c r="H3624" s="120" t="s">
        <v>5371</v>
      </c>
      <c r="I3624" s="121">
        <v>0</v>
      </c>
      <c r="J3624" s="121">
        <v>625</v>
      </c>
      <c r="K3624" s="121">
        <v>125</v>
      </c>
      <c r="L3624" s="121">
        <v>0</v>
      </c>
      <c r="M3624" s="121">
        <v>0</v>
      </c>
      <c r="N3624" s="121">
        <v>27</v>
      </c>
      <c r="O3624" s="121">
        <v>0</v>
      </c>
      <c r="P3624" s="76">
        <v>2.3422499999999999</v>
      </c>
      <c r="Q3624" s="122" t="s">
        <v>154</v>
      </c>
    </row>
    <row r="3625" spans="1:17" ht="51" x14ac:dyDescent="0.25">
      <c r="A3625" s="136">
        <v>40438</v>
      </c>
      <c r="B3625" s="136">
        <v>40438</v>
      </c>
      <c r="C3625" s="122">
        <v>2010</v>
      </c>
      <c r="D3625" s="351" t="s">
        <v>23</v>
      </c>
      <c r="E3625" s="22" t="s">
        <v>86</v>
      </c>
      <c r="F3625" s="28" t="s">
        <v>160</v>
      </c>
      <c r="G3625" s="120" t="s">
        <v>5372</v>
      </c>
      <c r="H3625" s="120" t="s">
        <v>5373</v>
      </c>
      <c r="I3625" s="121">
        <v>0</v>
      </c>
      <c r="J3625" s="121">
        <v>58</v>
      </c>
      <c r="K3625" s="121">
        <v>0</v>
      </c>
      <c r="L3625" s="121">
        <v>0</v>
      </c>
      <c r="M3625" s="121">
        <v>0</v>
      </c>
      <c r="N3625" s="121">
        <v>0</v>
      </c>
      <c r="O3625" s="121">
        <v>0</v>
      </c>
      <c r="P3625" s="76">
        <v>0</v>
      </c>
      <c r="Q3625" s="122" t="s">
        <v>154</v>
      </c>
    </row>
    <row r="3626" spans="1:17" ht="76.5" x14ac:dyDescent="0.25">
      <c r="A3626" s="136">
        <v>40438</v>
      </c>
      <c r="B3626" s="136">
        <v>40438</v>
      </c>
      <c r="C3626" s="122">
        <v>2010</v>
      </c>
      <c r="D3626" s="351" t="s">
        <v>23</v>
      </c>
      <c r="E3626" s="22" t="s">
        <v>86</v>
      </c>
      <c r="F3626" s="7" t="s">
        <v>75</v>
      </c>
      <c r="G3626" s="120" t="s">
        <v>5374</v>
      </c>
      <c r="H3626" s="120" t="s">
        <v>5375</v>
      </c>
      <c r="I3626" s="121">
        <v>0</v>
      </c>
      <c r="J3626" s="121">
        <v>655</v>
      </c>
      <c r="K3626" s="121">
        <v>128</v>
      </c>
      <c r="L3626" s="121">
        <v>0</v>
      </c>
      <c r="M3626" s="121">
        <v>0</v>
      </c>
      <c r="N3626" s="121">
        <v>0</v>
      </c>
      <c r="O3626" s="121">
        <v>0</v>
      </c>
      <c r="P3626" s="76">
        <v>2.3984640000000002</v>
      </c>
      <c r="Q3626" s="122" t="s">
        <v>154</v>
      </c>
    </row>
    <row r="3627" spans="1:17" ht="51" x14ac:dyDescent="0.25">
      <c r="A3627" s="136">
        <v>40440</v>
      </c>
      <c r="B3627" s="136">
        <v>40440</v>
      </c>
      <c r="C3627" s="122">
        <v>2010</v>
      </c>
      <c r="D3627" s="351" t="s">
        <v>23</v>
      </c>
      <c r="E3627" s="22" t="s">
        <v>86</v>
      </c>
      <c r="F3627" s="7" t="s">
        <v>45</v>
      </c>
      <c r="G3627" s="120" t="s">
        <v>259</v>
      </c>
      <c r="H3627" s="120" t="s">
        <v>5376</v>
      </c>
      <c r="I3627" s="121">
        <v>1</v>
      </c>
      <c r="J3627" s="121">
        <v>1</v>
      </c>
      <c r="K3627" s="121">
        <v>0</v>
      </c>
      <c r="L3627" s="121">
        <v>0</v>
      </c>
      <c r="M3627" s="121">
        <v>0</v>
      </c>
      <c r="N3627" s="121">
        <v>0</v>
      </c>
      <c r="O3627" s="121">
        <v>0</v>
      </c>
      <c r="P3627" s="76">
        <v>0</v>
      </c>
      <c r="Q3627" s="122" t="s">
        <v>154</v>
      </c>
    </row>
    <row r="3628" spans="1:17" ht="89.25" x14ac:dyDescent="0.25">
      <c r="A3628" s="136">
        <v>40441</v>
      </c>
      <c r="B3628" s="136">
        <v>40441</v>
      </c>
      <c r="C3628" s="122">
        <v>2010</v>
      </c>
      <c r="D3628" s="351" t="s">
        <v>23</v>
      </c>
      <c r="E3628" s="22" t="s">
        <v>86</v>
      </c>
      <c r="F3628" s="7" t="s">
        <v>77</v>
      </c>
      <c r="G3628" s="120" t="s">
        <v>681</v>
      </c>
      <c r="H3628" s="120" t="s">
        <v>5377</v>
      </c>
      <c r="I3628" s="121">
        <v>0</v>
      </c>
      <c r="J3628" s="121">
        <v>76</v>
      </c>
      <c r="K3628" s="121">
        <v>0</v>
      </c>
      <c r="L3628" s="121">
        <v>0</v>
      </c>
      <c r="M3628" s="121">
        <v>0</v>
      </c>
      <c r="N3628" s="121">
        <v>0</v>
      </c>
      <c r="O3628" s="121">
        <v>0</v>
      </c>
      <c r="P3628" s="76">
        <v>0</v>
      </c>
      <c r="Q3628" s="122" t="s">
        <v>154</v>
      </c>
    </row>
    <row r="3629" spans="1:17" ht="89.25" x14ac:dyDescent="0.25">
      <c r="A3629" s="136">
        <v>40441</v>
      </c>
      <c r="B3629" s="136">
        <v>40441</v>
      </c>
      <c r="C3629" s="122">
        <v>2010</v>
      </c>
      <c r="D3629" s="351" t="s">
        <v>23</v>
      </c>
      <c r="E3629" s="22" t="s">
        <v>86</v>
      </c>
      <c r="F3629" s="7" t="s">
        <v>68</v>
      </c>
      <c r="G3629" s="120" t="s">
        <v>2010</v>
      </c>
      <c r="H3629" s="120" t="s">
        <v>5378</v>
      </c>
      <c r="I3629" s="121">
        <v>0</v>
      </c>
      <c r="J3629" s="121">
        <v>1000</v>
      </c>
      <c r="K3629" s="121">
        <v>200</v>
      </c>
      <c r="L3629" s="121">
        <v>0</v>
      </c>
      <c r="M3629" s="121">
        <v>0</v>
      </c>
      <c r="N3629" s="121">
        <v>0</v>
      </c>
      <c r="O3629" s="121">
        <v>0</v>
      </c>
      <c r="P3629" s="76">
        <v>1.024</v>
      </c>
      <c r="Q3629" s="122" t="s">
        <v>154</v>
      </c>
    </row>
    <row r="3630" spans="1:17" ht="76.5" x14ac:dyDescent="0.25">
      <c r="A3630" s="136">
        <v>40441</v>
      </c>
      <c r="B3630" s="136">
        <v>40441</v>
      </c>
      <c r="C3630" s="122">
        <v>2010</v>
      </c>
      <c r="D3630" s="351" t="s">
        <v>23</v>
      </c>
      <c r="E3630" s="22" t="s">
        <v>86</v>
      </c>
      <c r="F3630" s="7" t="s">
        <v>56</v>
      </c>
      <c r="G3630" s="120" t="s">
        <v>358</v>
      </c>
      <c r="H3630" s="120" t="s">
        <v>5379</v>
      </c>
      <c r="I3630" s="121">
        <v>0</v>
      </c>
      <c r="J3630" s="121">
        <v>0</v>
      </c>
      <c r="K3630" s="121">
        <v>0</v>
      </c>
      <c r="L3630" s="121">
        <v>0</v>
      </c>
      <c r="M3630" s="121">
        <v>0</v>
      </c>
      <c r="N3630" s="121">
        <v>0</v>
      </c>
      <c r="O3630" s="121">
        <v>0</v>
      </c>
      <c r="P3630" s="76">
        <v>0</v>
      </c>
      <c r="Q3630" s="122" t="s">
        <v>154</v>
      </c>
    </row>
    <row r="3631" spans="1:17" ht="51" x14ac:dyDescent="0.25">
      <c r="A3631" s="136">
        <v>40440</v>
      </c>
      <c r="B3631" s="136">
        <v>40440</v>
      </c>
      <c r="C3631" s="122">
        <v>2010</v>
      </c>
      <c r="D3631" s="351" t="s">
        <v>23</v>
      </c>
      <c r="E3631" s="22" t="s">
        <v>86</v>
      </c>
      <c r="F3631" s="7" t="s">
        <v>72</v>
      </c>
      <c r="G3631" s="120" t="s">
        <v>5380</v>
      </c>
      <c r="H3631" s="120" t="s">
        <v>5381</v>
      </c>
      <c r="I3631" s="121">
        <v>0</v>
      </c>
      <c r="J3631" s="121">
        <v>3000</v>
      </c>
      <c r="K3631" s="121">
        <v>600</v>
      </c>
      <c r="L3631" s="121">
        <v>0</v>
      </c>
      <c r="M3631" s="121">
        <v>0</v>
      </c>
      <c r="N3631" s="121">
        <v>0</v>
      </c>
      <c r="O3631" s="121">
        <v>0</v>
      </c>
      <c r="P3631" s="76">
        <v>22.612200000000001</v>
      </c>
      <c r="Q3631" s="122" t="s">
        <v>154</v>
      </c>
    </row>
    <row r="3632" spans="1:17" ht="102" x14ac:dyDescent="0.25">
      <c r="A3632" s="136">
        <v>40441</v>
      </c>
      <c r="B3632" s="136">
        <v>40441</v>
      </c>
      <c r="C3632" s="122">
        <v>2010</v>
      </c>
      <c r="D3632" s="351" t="s">
        <v>23</v>
      </c>
      <c r="E3632" s="22" t="s">
        <v>86</v>
      </c>
      <c r="F3632" s="28" t="s">
        <v>210</v>
      </c>
      <c r="G3632" s="120" t="s">
        <v>2303</v>
      </c>
      <c r="H3632" s="120" t="s">
        <v>5382</v>
      </c>
      <c r="I3632" s="121">
        <v>0</v>
      </c>
      <c r="J3632" s="121">
        <v>0</v>
      </c>
      <c r="K3632" s="121">
        <v>0</v>
      </c>
      <c r="L3632" s="121">
        <v>0</v>
      </c>
      <c r="M3632" s="121">
        <v>0</v>
      </c>
      <c r="N3632" s="121">
        <v>0</v>
      </c>
      <c r="O3632" s="121">
        <v>0</v>
      </c>
      <c r="P3632" s="76">
        <v>0</v>
      </c>
      <c r="Q3632" s="122" t="s">
        <v>154</v>
      </c>
    </row>
    <row r="3633" spans="1:17" ht="127.5" x14ac:dyDescent="0.25">
      <c r="A3633" s="136">
        <v>40431</v>
      </c>
      <c r="B3633" s="136">
        <v>40431</v>
      </c>
      <c r="C3633" s="122">
        <v>2010</v>
      </c>
      <c r="D3633" s="351" t="s">
        <v>23</v>
      </c>
      <c r="E3633" s="22" t="s">
        <v>86</v>
      </c>
      <c r="F3633" s="7" t="s">
        <v>58</v>
      </c>
      <c r="G3633" s="120" t="s">
        <v>5383</v>
      </c>
      <c r="H3633" s="120" t="s">
        <v>5384</v>
      </c>
      <c r="I3633" s="121">
        <v>6</v>
      </c>
      <c r="J3633" s="121">
        <v>6</v>
      </c>
      <c r="K3633" s="121">
        <v>2</v>
      </c>
      <c r="L3633" s="121">
        <v>0</v>
      </c>
      <c r="M3633" s="121">
        <v>0</v>
      </c>
      <c r="N3633" s="121">
        <v>0</v>
      </c>
      <c r="O3633" s="121">
        <v>0</v>
      </c>
      <c r="P3633" s="76">
        <v>0</v>
      </c>
      <c r="Q3633" s="122" t="s">
        <v>154</v>
      </c>
    </row>
    <row r="3634" spans="1:17" ht="38.25" x14ac:dyDescent="0.25">
      <c r="A3634" s="136">
        <v>40443</v>
      </c>
      <c r="B3634" s="136">
        <v>40443</v>
      </c>
      <c r="C3634" s="122">
        <v>2010</v>
      </c>
      <c r="D3634" s="351" t="s">
        <v>23</v>
      </c>
      <c r="E3634" s="22" t="s">
        <v>86</v>
      </c>
      <c r="F3634" s="7" t="s">
        <v>56</v>
      </c>
      <c r="G3634" s="120" t="s">
        <v>711</v>
      </c>
      <c r="H3634" s="120" t="s">
        <v>5385</v>
      </c>
      <c r="I3634" s="121">
        <v>1</v>
      </c>
      <c r="J3634" s="121">
        <v>3</v>
      </c>
      <c r="K3634" s="121">
        <v>0</v>
      </c>
      <c r="L3634" s="121">
        <v>0</v>
      </c>
      <c r="M3634" s="121">
        <v>0</v>
      </c>
      <c r="N3634" s="121">
        <v>0</v>
      </c>
      <c r="O3634" s="121">
        <v>0</v>
      </c>
      <c r="P3634" s="76">
        <v>0</v>
      </c>
      <c r="Q3634" s="122" t="s">
        <v>154</v>
      </c>
    </row>
    <row r="3635" spans="1:17" ht="51" x14ac:dyDescent="0.25">
      <c r="A3635" s="136">
        <v>40442</v>
      </c>
      <c r="B3635" s="136">
        <v>40442</v>
      </c>
      <c r="C3635" s="122">
        <v>2010</v>
      </c>
      <c r="D3635" s="351" t="s">
        <v>23</v>
      </c>
      <c r="E3635" s="22" t="s">
        <v>86</v>
      </c>
      <c r="F3635" s="7" t="s">
        <v>60</v>
      </c>
      <c r="G3635" s="120" t="s">
        <v>2982</v>
      </c>
      <c r="H3635" s="120" t="s">
        <v>5386</v>
      </c>
      <c r="I3635" s="121">
        <v>0</v>
      </c>
      <c r="J3635" s="121">
        <v>0</v>
      </c>
      <c r="K3635" s="121">
        <v>0</v>
      </c>
      <c r="L3635" s="121">
        <v>0</v>
      </c>
      <c r="M3635" s="121">
        <v>0</v>
      </c>
      <c r="N3635" s="121">
        <v>0</v>
      </c>
      <c r="O3635" s="121">
        <v>0</v>
      </c>
      <c r="P3635" s="76">
        <v>0</v>
      </c>
      <c r="Q3635" s="122" t="s">
        <v>154</v>
      </c>
    </row>
    <row r="3636" spans="1:17" ht="293.25" x14ac:dyDescent="0.25">
      <c r="A3636" s="136">
        <v>40444</v>
      </c>
      <c r="B3636" s="136">
        <v>40444</v>
      </c>
      <c r="C3636" s="122">
        <v>2010</v>
      </c>
      <c r="D3636" s="351" t="s">
        <v>23</v>
      </c>
      <c r="E3636" s="22" t="s">
        <v>86</v>
      </c>
      <c r="F3636" s="7" t="s">
        <v>56</v>
      </c>
      <c r="G3636" s="120" t="s">
        <v>1426</v>
      </c>
      <c r="H3636" s="120" t="s">
        <v>5387</v>
      </c>
      <c r="I3636" s="121">
        <v>0</v>
      </c>
      <c r="J3636" s="121">
        <v>640</v>
      </c>
      <c r="K3636" s="121">
        <v>66</v>
      </c>
      <c r="L3636" s="121">
        <v>1</v>
      </c>
      <c r="M3636" s="121">
        <v>0</v>
      </c>
      <c r="N3636" s="121">
        <v>0</v>
      </c>
      <c r="O3636" s="121">
        <v>0</v>
      </c>
      <c r="P3636" s="76">
        <v>3.0330780000000002</v>
      </c>
      <c r="Q3636" s="122" t="s">
        <v>154</v>
      </c>
    </row>
    <row r="3637" spans="1:17" ht="51" x14ac:dyDescent="0.25">
      <c r="A3637" s="136">
        <v>40447</v>
      </c>
      <c r="B3637" s="136">
        <v>40447</v>
      </c>
      <c r="C3637" s="122">
        <v>2010</v>
      </c>
      <c r="D3637" s="351" t="s">
        <v>23</v>
      </c>
      <c r="E3637" s="22" t="s">
        <v>86</v>
      </c>
      <c r="F3637" s="7" t="s">
        <v>68</v>
      </c>
      <c r="G3637" s="120" t="s">
        <v>5388</v>
      </c>
      <c r="H3637" s="120" t="s">
        <v>5389</v>
      </c>
      <c r="I3637" s="121">
        <v>6</v>
      </c>
      <c r="J3637" s="121">
        <v>6</v>
      </c>
      <c r="K3637" s="121">
        <v>0</v>
      </c>
      <c r="L3637" s="121">
        <v>0</v>
      </c>
      <c r="M3637" s="121">
        <v>0</v>
      </c>
      <c r="N3637" s="121">
        <v>0</v>
      </c>
      <c r="O3637" s="121">
        <v>0</v>
      </c>
      <c r="P3637" s="76">
        <v>0</v>
      </c>
      <c r="Q3637" s="122" t="s">
        <v>154</v>
      </c>
    </row>
    <row r="3638" spans="1:17" ht="114.75" x14ac:dyDescent="0.25">
      <c r="A3638" s="136">
        <v>40447</v>
      </c>
      <c r="B3638" s="136">
        <v>40447</v>
      </c>
      <c r="C3638" s="122">
        <v>2010</v>
      </c>
      <c r="D3638" s="351" t="s">
        <v>23</v>
      </c>
      <c r="E3638" s="22" t="s">
        <v>86</v>
      </c>
      <c r="F3638" s="7" t="s">
        <v>36</v>
      </c>
      <c r="G3638" s="120" t="s">
        <v>5390</v>
      </c>
      <c r="H3638" s="120" t="s">
        <v>5391</v>
      </c>
      <c r="I3638" s="121">
        <v>5</v>
      </c>
      <c r="J3638" s="121">
        <v>5080</v>
      </c>
      <c r="K3638" s="121">
        <v>1016</v>
      </c>
      <c r="L3638" s="121">
        <v>0</v>
      </c>
      <c r="M3638" s="121">
        <v>0</v>
      </c>
      <c r="N3638" s="121">
        <v>0</v>
      </c>
      <c r="O3638" s="121">
        <v>0</v>
      </c>
      <c r="P3638" s="76">
        <v>5.2019200000000003</v>
      </c>
      <c r="Q3638" s="122" t="s">
        <v>154</v>
      </c>
    </row>
    <row r="3639" spans="1:17" ht="25.5" x14ac:dyDescent="0.25">
      <c r="A3639" s="136">
        <v>40447</v>
      </c>
      <c r="B3639" s="136">
        <v>40447</v>
      </c>
      <c r="C3639" s="122">
        <v>2010</v>
      </c>
      <c r="D3639" s="351" t="s">
        <v>23</v>
      </c>
      <c r="E3639" s="22" t="s">
        <v>86</v>
      </c>
      <c r="F3639" s="7" t="s">
        <v>36</v>
      </c>
      <c r="G3639" s="120" t="s">
        <v>522</v>
      </c>
      <c r="H3639" s="120" t="s">
        <v>5392</v>
      </c>
      <c r="I3639" s="121">
        <v>0</v>
      </c>
      <c r="J3639" s="121">
        <v>0</v>
      </c>
      <c r="K3639" s="121">
        <v>0</v>
      </c>
      <c r="L3639" s="121">
        <v>0</v>
      </c>
      <c r="M3639" s="121">
        <v>0</v>
      </c>
      <c r="N3639" s="121">
        <v>0</v>
      </c>
      <c r="O3639" s="121">
        <v>0</v>
      </c>
      <c r="P3639" s="76">
        <v>0</v>
      </c>
      <c r="Q3639" s="122" t="s">
        <v>154</v>
      </c>
    </row>
    <row r="3640" spans="1:17" ht="25.5" x14ac:dyDescent="0.25">
      <c r="A3640" s="136">
        <v>40451</v>
      </c>
      <c r="B3640" s="136">
        <v>40451</v>
      </c>
      <c r="C3640" s="122">
        <v>2010</v>
      </c>
      <c r="D3640" s="351" t="s">
        <v>23</v>
      </c>
      <c r="E3640" s="22" t="s">
        <v>86</v>
      </c>
      <c r="F3640" s="7" t="s">
        <v>36</v>
      </c>
      <c r="G3640" s="120" t="s">
        <v>232</v>
      </c>
      <c r="H3640" s="120" t="s">
        <v>5393</v>
      </c>
      <c r="I3640" s="121">
        <v>0</v>
      </c>
      <c r="J3640" s="121">
        <v>120</v>
      </c>
      <c r="K3640" s="121">
        <v>24</v>
      </c>
      <c r="L3640" s="121">
        <v>0</v>
      </c>
      <c r="M3640" s="121">
        <v>0</v>
      </c>
      <c r="N3640" s="121">
        <v>0</v>
      </c>
      <c r="O3640" s="121">
        <v>0</v>
      </c>
      <c r="P3640" s="76">
        <v>0.12288</v>
      </c>
      <c r="Q3640" s="122" t="s">
        <v>154</v>
      </c>
    </row>
    <row r="3641" spans="1:17" ht="191.25" x14ac:dyDescent="0.25">
      <c r="A3641" s="136">
        <v>40443</v>
      </c>
      <c r="B3641" s="136">
        <v>40443</v>
      </c>
      <c r="C3641" s="122">
        <v>2010</v>
      </c>
      <c r="D3641" s="351" t="s">
        <v>23</v>
      </c>
      <c r="E3641" s="22" t="s">
        <v>86</v>
      </c>
      <c r="F3641" s="7" t="s">
        <v>56</v>
      </c>
      <c r="G3641" s="120" t="s">
        <v>5394</v>
      </c>
      <c r="H3641" s="120" t="s">
        <v>5395</v>
      </c>
      <c r="I3641" s="122">
        <v>0</v>
      </c>
      <c r="J3641" s="122">
        <v>100</v>
      </c>
      <c r="K3641" s="122">
        <v>20</v>
      </c>
      <c r="L3641" s="122">
        <v>0</v>
      </c>
      <c r="M3641" s="122">
        <v>0</v>
      </c>
      <c r="N3641" s="122">
        <v>0</v>
      </c>
      <c r="O3641" s="122">
        <v>0</v>
      </c>
      <c r="P3641" s="76">
        <v>0.1024</v>
      </c>
      <c r="Q3641" s="122" t="s">
        <v>154</v>
      </c>
    </row>
    <row r="3642" spans="1:17" ht="63.75" x14ac:dyDescent="0.25">
      <c r="A3642" s="136">
        <v>40479</v>
      </c>
      <c r="B3642" s="136">
        <v>40479</v>
      </c>
      <c r="C3642" s="122">
        <v>2010</v>
      </c>
      <c r="D3642" s="351" t="s">
        <v>23</v>
      </c>
      <c r="E3642" s="22" t="s">
        <v>86</v>
      </c>
      <c r="F3642" s="28" t="s">
        <v>210</v>
      </c>
      <c r="G3642" s="120" t="s">
        <v>2292</v>
      </c>
      <c r="H3642" s="120" t="s">
        <v>5396</v>
      </c>
      <c r="I3642" s="121">
        <v>0</v>
      </c>
      <c r="J3642" s="121">
        <v>350</v>
      </c>
      <c r="K3642" s="121">
        <v>67</v>
      </c>
      <c r="L3642" s="121">
        <v>0</v>
      </c>
      <c r="M3642" s="121">
        <v>0</v>
      </c>
      <c r="N3642" s="121">
        <v>0</v>
      </c>
      <c r="O3642" s="121">
        <v>0</v>
      </c>
      <c r="P3642" s="76">
        <v>1.2554460000000001</v>
      </c>
      <c r="Q3642" s="122" t="s">
        <v>154</v>
      </c>
    </row>
    <row r="3643" spans="1:17" ht="51" x14ac:dyDescent="0.25">
      <c r="A3643" s="136">
        <v>40479</v>
      </c>
      <c r="B3643" s="136">
        <v>40479</v>
      </c>
      <c r="C3643" s="122">
        <v>2010</v>
      </c>
      <c r="D3643" s="351" t="s">
        <v>23</v>
      </c>
      <c r="E3643" s="22" t="s">
        <v>86</v>
      </c>
      <c r="F3643" s="7" t="s">
        <v>75</v>
      </c>
      <c r="G3643" s="120" t="s">
        <v>5397</v>
      </c>
      <c r="H3643" s="120" t="s">
        <v>5398</v>
      </c>
      <c r="I3643" s="121">
        <v>0</v>
      </c>
      <c r="J3643" s="121">
        <v>50</v>
      </c>
      <c r="K3643" s="121">
        <v>10</v>
      </c>
      <c r="L3643" s="121">
        <v>0</v>
      </c>
      <c r="M3643" s="121">
        <v>0</v>
      </c>
      <c r="N3643" s="121">
        <v>0</v>
      </c>
      <c r="O3643" s="121">
        <v>0</v>
      </c>
      <c r="P3643" s="76">
        <v>8.7379999999999999E-2</v>
      </c>
      <c r="Q3643" s="122" t="s">
        <v>154</v>
      </c>
    </row>
    <row r="3644" spans="1:17" ht="409.5" x14ac:dyDescent="0.25">
      <c r="A3644" s="136">
        <v>40512</v>
      </c>
      <c r="B3644" s="136">
        <v>40512</v>
      </c>
      <c r="C3644" s="122">
        <v>2010</v>
      </c>
      <c r="D3644" s="351" t="s">
        <v>23</v>
      </c>
      <c r="E3644" s="22" t="s">
        <v>86</v>
      </c>
      <c r="F3644" s="7" t="s">
        <v>36</v>
      </c>
      <c r="G3644" s="120" t="s">
        <v>5399</v>
      </c>
      <c r="H3644" s="120" t="s">
        <v>5400</v>
      </c>
      <c r="I3644" s="121">
        <v>0</v>
      </c>
      <c r="J3644" s="121">
        <v>1335</v>
      </c>
      <c r="K3644" s="121">
        <v>267</v>
      </c>
      <c r="L3644" s="121">
        <v>0</v>
      </c>
      <c r="M3644" s="121">
        <v>0</v>
      </c>
      <c r="N3644" s="121">
        <v>0</v>
      </c>
      <c r="O3644" s="121">
        <v>0</v>
      </c>
      <c r="P3644" s="76">
        <v>5.0030460000000003</v>
      </c>
      <c r="Q3644" s="122" t="s">
        <v>154</v>
      </c>
    </row>
    <row r="3645" spans="1:17" ht="25.5" x14ac:dyDescent="0.25">
      <c r="A3645" s="136">
        <v>40210</v>
      </c>
      <c r="B3645" s="136">
        <v>40210</v>
      </c>
      <c r="C3645" s="122">
        <v>2010</v>
      </c>
      <c r="D3645" s="351" t="s">
        <v>23</v>
      </c>
      <c r="E3645" s="22" t="s">
        <v>86</v>
      </c>
      <c r="F3645" s="7" t="s">
        <v>60</v>
      </c>
      <c r="G3645" s="120" t="s">
        <v>2771</v>
      </c>
      <c r="H3645" s="120" t="s">
        <v>5401</v>
      </c>
      <c r="I3645" s="121">
        <v>0</v>
      </c>
      <c r="J3645" s="121">
        <v>144</v>
      </c>
      <c r="K3645" s="121">
        <v>0</v>
      </c>
      <c r="L3645" s="121">
        <v>0</v>
      </c>
      <c r="M3645" s="121">
        <v>0</v>
      </c>
      <c r="N3645" s="121">
        <v>0</v>
      </c>
      <c r="O3645" s="121">
        <v>165.5</v>
      </c>
      <c r="P3645" s="76">
        <v>0.42202499999999998</v>
      </c>
      <c r="Q3645" s="122" t="s">
        <v>154</v>
      </c>
    </row>
    <row r="3646" spans="1:17" ht="63.75" x14ac:dyDescent="0.25">
      <c r="A3646" s="136">
        <v>40212</v>
      </c>
      <c r="B3646" s="136">
        <v>40212</v>
      </c>
      <c r="C3646" s="122">
        <v>2010</v>
      </c>
      <c r="D3646" s="351" t="s">
        <v>23</v>
      </c>
      <c r="E3646" s="22" t="s">
        <v>86</v>
      </c>
      <c r="F3646" s="7" t="s">
        <v>47</v>
      </c>
      <c r="G3646" s="120" t="s">
        <v>5402</v>
      </c>
      <c r="H3646" s="120" t="s">
        <v>5403</v>
      </c>
      <c r="I3646" s="121">
        <v>0</v>
      </c>
      <c r="J3646" s="121">
        <v>859</v>
      </c>
      <c r="K3646" s="121">
        <v>0</v>
      </c>
      <c r="L3646" s="121">
        <v>0</v>
      </c>
      <c r="M3646" s="121">
        <v>0</v>
      </c>
      <c r="N3646" s="121">
        <v>0</v>
      </c>
      <c r="O3646" s="121">
        <v>4703.53</v>
      </c>
      <c r="P3646" s="76">
        <v>229.56657609999999</v>
      </c>
      <c r="Q3646" s="122" t="s">
        <v>154</v>
      </c>
    </row>
    <row r="3647" spans="1:17" ht="38.25" x14ac:dyDescent="0.25">
      <c r="A3647" s="136">
        <v>40194</v>
      </c>
      <c r="B3647" s="136">
        <v>40194</v>
      </c>
      <c r="C3647" s="122">
        <v>2010</v>
      </c>
      <c r="D3647" s="351" t="s">
        <v>23</v>
      </c>
      <c r="E3647" s="22" t="s">
        <v>86</v>
      </c>
      <c r="F3647" s="7" t="s">
        <v>58</v>
      </c>
      <c r="G3647" s="120" t="s">
        <v>5404</v>
      </c>
      <c r="H3647" s="120" t="s">
        <v>5405</v>
      </c>
      <c r="I3647" s="121">
        <v>0</v>
      </c>
      <c r="J3647" s="121">
        <v>2368</v>
      </c>
      <c r="K3647" s="121">
        <v>0</v>
      </c>
      <c r="L3647" s="121">
        <v>0</v>
      </c>
      <c r="M3647" s="121">
        <v>0</v>
      </c>
      <c r="N3647" s="121">
        <v>0</v>
      </c>
      <c r="O3647" s="121">
        <v>5084.95</v>
      </c>
      <c r="P3647" s="76">
        <v>22.781639800000001</v>
      </c>
      <c r="Q3647" s="122" t="s">
        <v>154</v>
      </c>
    </row>
    <row r="3648" spans="1:17" ht="51" x14ac:dyDescent="0.25">
      <c r="A3648" s="136">
        <v>40360</v>
      </c>
      <c r="B3648" s="136">
        <v>40360</v>
      </c>
      <c r="C3648" s="122">
        <v>2010</v>
      </c>
      <c r="D3648" s="351" t="s">
        <v>23</v>
      </c>
      <c r="E3648" s="22" t="s">
        <v>86</v>
      </c>
      <c r="F3648" s="7" t="s">
        <v>62</v>
      </c>
      <c r="G3648" s="120" t="s">
        <v>1507</v>
      </c>
      <c r="H3648" s="120" t="s">
        <v>5406</v>
      </c>
      <c r="I3648" s="121">
        <v>0</v>
      </c>
      <c r="J3648" s="121">
        <v>355</v>
      </c>
      <c r="K3648" s="121">
        <v>0</v>
      </c>
      <c r="L3648" s="121">
        <v>0</v>
      </c>
      <c r="M3648" s="121">
        <v>0</v>
      </c>
      <c r="N3648" s="121">
        <v>0</v>
      </c>
      <c r="O3648" s="121">
        <v>1319.56</v>
      </c>
      <c r="P3648" s="76">
        <v>17.9693419</v>
      </c>
      <c r="Q3648" s="122" t="s">
        <v>154</v>
      </c>
    </row>
    <row r="3649" spans="1:17" ht="38.25" x14ac:dyDescent="0.25">
      <c r="A3649" s="136">
        <v>40387</v>
      </c>
      <c r="B3649" s="136">
        <v>40387</v>
      </c>
      <c r="C3649" s="122">
        <v>2010</v>
      </c>
      <c r="D3649" s="351" t="s">
        <v>23</v>
      </c>
      <c r="E3649" s="22" t="s">
        <v>86</v>
      </c>
      <c r="F3649" s="7" t="s">
        <v>62</v>
      </c>
      <c r="G3649" s="120" t="s">
        <v>1410</v>
      </c>
      <c r="H3649" s="120" t="s">
        <v>5407</v>
      </c>
      <c r="I3649" s="121">
        <v>0</v>
      </c>
      <c r="J3649" s="121">
        <v>74</v>
      </c>
      <c r="K3649" s="121">
        <v>0</v>
      </c>
      <c r="L3649" s="121">
        <v>0</v>
      </c>
      <c r="M3649" s="121">
        <v>0</v>
      </c>
      <c r="N3649" s="121">
        <v>0</v>
      </c>
      <c r="O3649" s="121">
        <v>222.66</v>
      </c>
      <c r="P3649" s="76">
        <v>1.8767562520000001</v>
      </c>
      <c r="Q3649" s="122" t="s">
        <v>154</v>
      </c>
    </row>
    <row r="3650" spans="1:17" ht="38.25" x14ac:dyDescent="0.25">
      <c r="A3650" s="136">
        <v>40421</v>
      </c>
      <c r="B3650" s="136">
        <v>40421</v>
      </c>
      <c r="C3650" s="122">
        <v>2010</v>
      </c>
      <c r="D3650" s="351" t="s">
        <v>23</v>
      </c>
      <c r="E3650" s="22" t="s">
        <v>86</v>
      </c>
      <c r="F3650" s="7" t="s">
        <v>62</v>
      </c>
      <c r="G3650" s="120" t="s">
        <v>165</v>
      </c>
      <c r="H3650" s="120" t="s">
        <v>5408</v>
      </c>
      <c r="I3650" s="121">
        <v>0</v>
      </c>
      <c r="J3650" s="121">
        <v>226</v>
      </c>
      <c r="K3650" s="121">
        <v>0</v>
      </c>
      <c r="L3650" s="121">
        <v>0</v>
      </c>
      <c r="M3650" s="121">
        <v>0</v>
      </c>
      <c r="N3650" s="121">
        <v>0</v>
      </c>
      <c r="O3650" s="121">
        <v>363.71</v>
      </c>
      <c r="P3650" s="76">
        <v>2.7109169999999998</v>
      </c>
      <c r="Q3650" s="122" t="s">
        <v>154</v>
      </c>
    </row>
    <row r="3651" spans="1:17" ht="63.75" x14ac:dyDescent="0.25">
      <c r="A3651" s="136">
        <v>40212</v>
      </c>
      <c r="B3651" s="136">
        <v>40212</v>
      </c>
      <c r="C3651" s="122">
        <v>2010</v>
      </c>
      <c r="D3651" s="351" t="s">
        <v>23</v>
      </c>
      <c r="E3651" s="22" t="s">
        <v>86</v>
      </c>
      <c r="F3651" s="7" t="s">
        <v>67</v>
      </c>
      <c r="G3651" s="120" t="s">
        <v>5409</v>
      </c>
      <c r="H3651" s="120" t="s">
        <v>5410</v>
      </c>
      <c r="I3651" s="121">
        <v>0</v>
      </c>
      <c r="J3651" s="121">
        <v>14141</v>
      </c>
      <c r="K3651" s="121">
        <v>0</v>
      </c>
      <c r="L3651" s="121">
        <v>0</v>
      </c>
      <c r="M3651" s="121">
        <v>0</v>
      </c>
      <c r="N3651" s="121">
        <v>0</v>
      </c>
      <c r="O3651" s="121">
        <v>39566.9</v>
      </c>
      <c r="P3651" s="76">
        <v>37.86</v>
      </c>
      <c r="Q3651" s="122" t="s">
        <v>154</v>
      </c>
    </row>
    <row r="3652" spans="1:17" ht="331.5" x14ac:dyDescent="0.25">
      <c r="A3652" s="136">
        <v>40209</v>
      </c>
      <c r="B3652" s="136">
        <v>40209</v>
      </c>
      <c r="C3652" s="122">
        <v>2010</v>
      </c>
      <c r="D3652" s="351" t="s">
        <v>23</v>
      </c>
      <c r="E3652" s="22" t="s">
        <v>86</v>
      </c>
      <c r="F3652" s="7" t="s">
        <v>62</v>
      </c>
      <c r="G3652" s="120" t="s">
        <v>5411</v>
      </c>
      <c r="H3652" s="120" t="s">
        <v>5412</v>
      </c>
      <c r="I3652" s="121">
        <v>0</v>
      </c>
      <c r="J3652" s="121">
        <v>3714</v>
      </c>
      <c r="K3652" s="121">
        <v>0</v>
      </c>
      <c r="L3652" s="121">
        <v>0</v>
      </c>
      <c r="M3652" s="121">
        <v>0</v>
      </c>
      <c r="N3652" s="121">
        <v>0</v>
      </c>
      <c r="O3652" s="121">
        <v>8067.56</v>
      </c>
      <c r="P3652" s="76">
        <v>171.81266176400001</v>
      </c>
      <c r="Q3652" s="122" t="s">
        <v>154</v>
      </c>
    </row>
    <row r="3653" spans="1:17" ht="38.25" x14ac:dyDescent="0.25">
      <c r="A3653" s="136">
        <v>40376</v>
      </c>
      <c r="B3653" s="136">
        <v>40376</v>
      </c>
      <c r="C3653" s="122">
        <v>2010</v>
      </c>
      <c r="D3653" s="351" t="s">
        <v>23</v>
      </c>
      <c r="E3653" s="22" t="s">
        <v>86</v>
      </c>
      <c r="F3653" s="7" t="s">
        <v>62</v>
      </c>
      <c r="G3653" s="120" t="s">
        <v>5413</v>
      </c>
      <c r="H3653" s="120" t="s">
        <v>5414</v>
      </c>
      <c r="I3653" s="121">
        <v>0</v>
      </c>
      <c r="J3653" s="121">
        <v>245</v>
      </c>
      <c r="K3653" s="121">
        <v>0</v>
      </c>
      <c r="L3653" s="121">
        <v>0</v>
      </c>
      <c r="M3653" s="121">
        <v>0</v>
      </c>
      <c r="N3653" s="121">
        <v>0</v>
      </c>
      <c r="O3653" s="121">
        <v>995.24</v>
      </c>
      <c r="P3653" s="76">
        <v>16.555963439999999</v>
      </c>
      <c r="Q3653" s="122" t="s">
        <v>154</v>
      </c>
    </row>
    <row r="3654" spans="1:17" ht="38.25" x14ac:dyDescent="0.25">
      <c r="A3654" s="136">
        <v>40401</v>
      </c>
      <c r="B3654" s="136">
        <v>40401</v>
      </c>
      <c r="C3654" s="122">
        <v>2010</v>
      </c>
      <c r="D3654" s="351" t="s">
        <v>23</v>
      </c>
      <c r="E3654" s="22" t="s">
        <v>86</v>
      </c>
      <c r="F3654" s="7" t="s">
        <v>62</v>
      </c>
      <c r="G3654" s="120" t="s">
        <v>5415</v>
      </c>
      <c r="H3654" s="120" t="s">
        <v>5416</v>
      </c>
      <c r="I3654" s="121">
        <v>0</v>
      </c>
      <c r="J3654" s="121">
        <v>676</v>
      </c>
      <c r="K3654" s="121">
        <v>0</v>
      </c>
      <c r="L3654" s="121">
        <v>0</v>
      </c>
      <c r="M3654" s="121">
        <v>0</v>
      </c>
      <c r="N3654" s="121">
        <v>0</v>
      </c>
      <c r="O3654" s="121">
        <v>2324.9699999999998</v>
      </c>
      <c r="P3654" s="76">
        <v>34.733915600000003</v>
      </c>
      <c r="Q3654" s="122" t="s">
        <v>154</v>
      </c>
    </row>
    <row r="3655" spans="1:17" ht="51" x14ac:dyDescent="0.25">
      <c r="A3655" s="136">
        <v>40422</v>
      </c>
      <c r="B3655" s="136">
        <v>40422</v>
      </c>
      <c r="C3655" s="122">
        <v>2010</v>
      </c>
      <c r="D3655" s="351" t="s">
        <v>23</v>
      </c>
      <c r="E3655" s="22" t="s">
        <v>86</v>
      </c>
      <c r="F3655" s="7" t="s">
        <v>67</v>
      </c>
      <c r="G3655" s="120" t="s">
        <v>5417</v>
      </c>
      <c r="H3655" s="120" t="s">
        <v>5418</v>
      </c>
      <c r="I3655" s="121">
        <v>0</v>
      </c>
      <c r="J3655" s="121">
        <v>720</v>
      </c>
      <c r="K3655" s="121">
        <v>0</v>
      </c>
      <c r="L3655" s="121">
        <v>0</v>
      </c>
      <c r="M3655" s="121">
        <v>0</v>
      </c>
      <c r="N3655" s="121">
        <v>0</v>
      </c>
      <c r="O3655" s="121">
        <v>1136.5</v>
      </c>
      <c r="P3655" s="76">
        <v>48.784826100000004</v>
      </c>
      <c r="Q3655" s="122" t="s">
        <v>154</v>
      </c>
    </row>
    <row r="3656" spans="1:17" ht="76.5" x14ac:dyDescent="0.25">
      <c r="A3656" s="136">
        <v>40422</v>
      </c>
      <c r="B3656" s="136">
        <v>40422</v>
      </c>
      <c r="C3656" s="122">
        <v>2010</v>
      </c>
      <c r="D3656" s="351" t="s">
        <v>23</v>
      </c>
      <c r="E3656" s="22" t="s">
        <v>86</v>
      </c>
      <c r="F3656" s="7" t="s">
        <v>67</v>
      </c>
      <c r="G3656" s="120" t="s">
        <v>5419</v>
      </c>
      <c r="H3656" s="120" t="s">
        <v>5420</v>
      </c>
      <c r="I3656" s="121">
        <v>0</v>
      </c>
      <c r="J3656" s="121">
        <v>819</v>
      </c>
      <c r="K3656" s="121">
        <v>0</v>
      </c>
      <c r="L3656" s="121">
        <v>0</v>
      </c>
      <c r="M3656" s="121">
        <v>0</v>
      </c>
      <c r="N3656" s="121">
        <v>0</v>
      </c>
      <c r="O3656" s="121">
        <v>1582</v>
      </c>
      <c r="P3656" s="76">
        <v>33.928424</v>
      </c>
      <c r="Q3656" s="122" t="s">
        <v>154</v>
      </c>
    </row>
    <row r="3657" spans="1:17" ht="72" x14ac:dyDescent="0.25">
      <c r="A3657" s="17">
        <v>41531</v>
      </c>
      <c r="B3657" s="17">
        <v>41533</v>
      </c>
      <c r="C3657" s="43">
        <v>2013</v>
      </c>
      <c r="D3657" s="351" t="s">
        <v>23</v>
      </c>
      <c r="E3657" s="14" t="s">
        <v>32</v>
      </c>
      <c r="F3657" s="7" t="s">
        <v>58</v>
      </c>
      <c r="G3657" s="146" t="s">
        <v>5421</v>
      </c>
      <c r="H3657" s="147" t="s">
        <v>5422</v>
      </c>
      <c r="I3657" s="148">
        <v>105</v>
      </c>
      <c r="J3657" s="46">
        <v>281263</v>
      </c>
      <c r="K3657" s="46">
        <v>10497</v>
      </c>
      <c r="L3657" s="46">
        <v>510</v>
      </c>
      <c r="M3657" s="46">
        <v>35</v>
      </c>
      <c r="N3657" s="46">
        <v>12378</v>
      </c>
      <c r="O3657" s="46">
        <v>55781.1</v>
      </c>
      <c r="P3657" s="47">
        <v>23441.4</v>
      </c>
      <c r="Q3657" s="149" t="s">
        <v>22</v>
      </c>
    </row>
    <row r="3658" spans="1:17" ht="38.25" x14ac:dyDescent="0.25">
      <c r="A3658" s="119">
        <v>40409</v>
      </c>
      <c r="B3658" s="119">
        <v>40409</v>
      </c>
      <c r="C3658" s="122">
        <v>2010</v>
      </c>
      <c r="D3658" s="351" t="s">
        <v>23</v>
      </c>
      <c r="E3658" s="145" t="s">
        <v>1567</v>
      </c>
      <c r="F3658" s="7" t="s">
        <v>75</v>
      </c>
      <c r="G3658" s="120" t="s">
        <v>5423</v>
      </c>
      <c r="H3658" s="120" t="s">
        <v>5424</v>
      </c>
      <c r="I3658" s="121">
        <v>0</v>
      </c>
      <c r="J3658" s="121">
        <v>50</v>
      </c>
      <c r="K3658" s="121">
        <v>10</v>
      </c>
      <c r="L3658" s="121">
        <v>0</v>
      </c>
      <c r="M3658" s="121">
        <v>0</v>
      </c>
      <c r="N3658" s="121">
        <v>0</v>
      </c>
      <c r="O3658" s="121">
        <v>0</v>
      </c>
      <c r="P3658" s="76">
        <v>0.18737999999999999</v>
      </c>
      <c r="Q3658" s="122" t="s">
        <v>154</v>
      </c>
    </row>
    <row r="3659" spans="1:17" ht="102" x14ac:dyDescent="0.25">
      <c r="A3659" s="119">
        <v>40512</v>
      </c>
      <c r="B3659" s="119">
        <v>40512</v>
      </c>
      <c r="C3659" s="122">
        <v>2010</v>
      </c>
      <c r="D3659" s="351" t="s">
        <v>23</v>
      </c>
      <c r="E3659" s="145" t="s">
        <v>1567</v>
      </c>
      <c r="F3659" s="28" t="s">
        <v>210</v>
      </c>
      <c r="G3659" s="120" t="s">
        <v>210</v>
      </c>
      <c r="H3659" s="120" t="s">
        <v>5425</v>
      </c>
      <c r="I3659" s="121">
        <v>1</v>
      </c>
      <c r="J3659" s="121">
        <v>1</v>
      </c>
      <c r="K3659" s="121">
        <v>0</v>
      </c>
      <c r="L3659" s="121">
        <v>0</v>
      </c>
      <c r="M3659" s="121">
        <v>0</v>
      </c>
      <c r="N3659" s="121">
        <v>0</v>
      </c>
      <c r="O3659" s="121">
        <v>0</v>
      </c>
      <c r="P3659" s="76">
        <v>0</v>
      </c>
      <c r="Q3659" s="122" t="s">
        <v>154</v>
      </c>
    </row>
    <row r="3660" spans="1:17" ht="63.75" x14ac:dyDescent="0.25">
      <c r="A3660" s="119">
        <v>40187</v>
      </c>
      <c r="B3660" s="119">
        <v>40187</v>
      </c>
      <c r="C3660" s="122">
        <v>2010</v>
      </c>
      <c r="D3660" s="351" t="s">
        <v>23</v>
      </c>
      <c r="E3660" s="30" t="s">
        <v>2689</v>
      </c>
      <c r="F3660" s="7" t="s">
        <v>82</v>
      </c>
      <c r="G3660" s="120" t="s">
        <v>5426</v>
      </c>
      <c r="H3660" s="120" t="s">
        <v>5427</v>
      </c>
      <c r="I3660" s="121">
        <v>0</v>
      </c>
      <c r="J3660" s="121">
        <v>24092</v>
      </c>
      <c r="K3660" s="121">
        <v>0</v>
      </c>
      <c r="L3660" s="121">
        <v>0</v>
      </c>
      <c r="M3660" s="121">
        <v>0</v>
      </c>
      <c r="N3660" s="121">
        <v>0</v>
      </c>
      <c r="O3660" s="121">
        <v>0</v>
      </c>
      <c r="P3660" s="76">
        <v>5.59</v>
      </c>
      <c r="Q3660" s="122" t="s">
        <v>186</v>
      </c>
    </row>
    <row r="3661" spans="1:17" ht="63.75" x14ac:dyDescent="0.25">
      <c r="A3661" s="119">
        <v>40181</v>
      </c>
      <c r="B3661" s="119">
        <v>40181</v>
      </c>
      <c r="C3661" s="122">
        <v>2010</v>
      </c>
      <c r="D3661" s="351" t="s">
        <v>23</v>
      </c>
      <c r="E3661" s="30" t="s">
        <v>2689</v>
      </c>
      <c r="F3661" s="7" t="s">
        <v>101</v>
      </c>
      <c r="G3661" s="120" t="s">
        <v>5428</v>
      </c>
      <c r="H3661" s="120" t="s">
        <v>5429</v>
      </c>
      <c r="I3661" s="121">
        <v>0</v>
      </c>
      <c r="J3661" s="121">
        <v>33000</v>
      </c>
      <c r="K3661" s="121">
        <v>0</v>
      </c>
      <c r="L3661" s="121">
        <v>0</v>
      </c>
      <c r="M3661" s="121">
        <v>0</v>
      </c>
      <c r="N3661" s="121">
        <v>0</v>
      </c>
      <c r="O3661" s="121">
        <v>0</v>
      </c>
      <c r="P3661" s="76">
        <v>5.7060000000000004</v>
      </c>
      <c r="Q3661" s="122" t="s">
        <v>5207</v>
      </c>
    </row>
    <row r="3662" spans="1:17" ht="127.5" x14ac:dyDescent="0.25">
      <c r="A3662" s="119">
        <v>40188</v>
      </c>
      <c r="B3662" s="119">
        <v>40188</v>
      </c>
      <c r="C3662" s="122">
        <v>2010</v>
      </c>
      <c r="D3662" s="351" t="s">
        <v>23</v>
      </c>
      <c r="E3662" s="30" t="s">
        <v>2689</v>
      </c>
      <c r="F3662" s="7" t="s">
        <v>101</v>
      </c>
      <c r="G3662" s="120" t="s">
        <v>5430</v>
      </c>
      <c r="H3662" s="120" t="s">
        <v>5431</v>
      </c>
      <c r="I3662" s="121">
        <v>0</v>
      </c>
      <c r="J3662" s="121">
        <v>37100</v>
      </c>
      <c r="K3662" s="121">
        <v>3700</v>
      </c>
      <c r="L3662" s="121">
        <v>0</v>
      </c>
      <c r="M3662" s="121">
        <v>0</v>
      </c>
      <c r="N3662" s="121">
        <v>0</v>
      </c>
      <c r="O3662" s="121">
        <v>0</v>
      </c>
      <c r="P3662" s="76">
        <v>20.603000000000002</v>
      </c>
      <c r="Q3662" s="122" t="s">
        <v>5207</v>
      </c>
    </row>
    <row r="3663" spans="1:17" ht="89.25" x14ac:dyDescent="0.25">
      <c r="A3663" s="119">
        <v>40483</v>
      </c>
      <c r="B3663" s="119">
        <v>40483</v>
      </c>
      <c r="C3663" s="122">
        <v>2010</v>
      </c>
      <c r="D3663" s="351" t="s">
        <v>23</v>
      </c>
      <c r="E3663" s="30" t="s">
        <v>2706</v>
      </c>
      <c r="F3663" s="7" t="s">
        <v>62</v>
      </c>
      <c r="G3663" s="120" t="s">
        <v>1011</v>
      </c>
      <c r="H3663" s="120" t="s">
        <v>5432</v>
      </c>
      <c r="I3663" s="121">
        <v>1</v>
      </c>
      <c r="J3663" s="121">
        <v>8</v>
      </c>
      <c r="K3663" s="121">
        <v>0</v>
      </c>
      <c r="L3663" s="121">
        <v>0</v>
      </c>
      <c r="M3663" s="121">
        <v>0</v>
      </c>
      <c r="N3663" s="121">
        <v>0</v>
      </c>
      <c r="O3663" s="121">
        <v>0</v>
      </c>
      <c r="P3663" s="76">
        <v>0</v>
      </c>
      <c r="Q3663" s="122" t="s">
        <v>154</v>
      </c>
    </row>
    <row r="3664" spans="1:17" ht="38.25" x14ac:dyDescent="0.25">
      <c r="A3664" s="119">
        <v>40187</v>
      </c>
      <c r="B3664" s="119">
        <v>40187</v>
      </c>
      <c r="C3664" s="122">
        <v>2010</v>
      </c>
      <c r="D3664" s="351" t="s">
        <v>23</v>
      </c>
      <c r="E3664" s="30" t="s">
        <v>2689</v>
      </c>
      <c r="F3664" s="7" t="s">
        <v>82</v>
      </c>
      <c r="G3664" s="120" t="s">
        <v>5433</v>
      </c>
      <c r="H3664" s="120" t="s">
        <v>5434</v>
      </c>
      <c r="I3664" s="121">
        <v>0</v>
      </c>
      <c r="J3664" s="121">
        <v>2723</v>
      </c>
      <c r="K3664" s="121">
        <v>0</v>
      </c>
      <c r="L3664" s="121">
        <v>0</v>
      </c>
      <c r="M3664" s="121">
        <v>0</v>
      </c>
      <c r="N3664" s="121">
        <v>0</v>
      </c>
      <c r="O3664" s="121">
        <v>2742.53</v>
      </c>
      <c r="P3664" s="76">
        <v>1.9104463979999999</v>
      </c>
      <c r="Q3664" s="122" t="s">
        <v>154</v>
      </c>
    </row>
    <row r="3665" spans="1:17" ht="178.5" x14ac:dyDescent="0.25">
      <c r="A3665" s="119">
        <v>40187</v>
      </c>
      <c r="B3665" s="119">
        <v>40187</v>
      </c>
      <c r="C3665" s="122">
        <v>2010</v>
      </c>
      <c r="D3665" s="351" t="s">
        <v>23</v>
      </c>
      <c r="E3665" s="30" t="s">
        <v>2689</v>
      </c>
      <c r="F3665" s="7" t="s">
        <v>75</v>
      </c>
      <c r="G3665" s="120" t="s">
        <v>5435</v>
      </c>
      <c r="H3665" s="120" t="s">
        <v>5436</v>
      </c>
      <c r="I3665" s="121">
        <v>0</v>
      </c>
      <c r="J3665" s="121">
        <v>2162</v>
      </c>
      <c r="K3665" s="121">
        <v>0</v>
      </c>
      <c r="L3665" s="121">
        <v>0</v>
      </c>
      <c r="M3665" s="121">
        <v>0</v>
      </c>
      <c r="N3665" s="121">
        <v>0</v>
      </c>
      <c r="O3665" s="121">
        <v>1949.61</v>
      </c>
      <c r="P3665" s="76">
        <v>35.958212630000006</v>
      </c>
      <c r="Q3665" s="122" t="s">
        <v>154</v>
      </c>
    </row>
    <row r="3666" spans="1:17" ht="38.25" x14ac:dyDescent="0.25">
      <c r="A3666" s="119">
        <v>40187</v>
      </c>
      <c r="B3666" s="119">
        <v>40187</v>
      </c>
      <c r="C3666" s="122">
        <v>2010</v>
      </c>
      <c r="D3666" s="351" t="s">
        <v>23</v>
      </c>
      <c r="E3666" s="30" t="s">
        <v>2689</v>
      </c>
      <c r="F3666" s="28" t="s">
        <v>210</v>
      </c>
      <c r="G3666" s="120" t="s">
        <v>5437</v>
      </c>
      <c r="H3666" s="120" t="s">
        <v>5438</v>
      </c>
      <c r="I3666" s="121">
        <v>0</v>
      </c>
      <c r="J3666" s="121">
        <v>1381</v>
      </c>
      <c r="K3666" s="121">
        <v>0</v>
      </c>
      <c r="L3666" s="121">
        <v>0</v>
      </c>
      <c r="M3666" s="121">
        <v>0</v>
      </c>
      <c r="N3666" s="121">
        <v>0</v>
      </c>
      <c r="O3666" s="121">
        <v>1680.5</v>
      </c>
      <c r="P3666" s="76">
        <v>7.2598895999999993</v>
      </c>
      <c r="Q3666" s="122" t="s">
        <v>154</v>
      </c>
    </row>
    <row r="3667" spans="1:17" ht="38.25" x14ac:dyDescent="0.25">
      <c r="A3667" s="119">
        <v>40214</v>
      </c>
      <c r="B3667" s="119">
        <v>40214</v>
      </c>
      <c r="C3667" s="122">
        <v>2010</v>
      </c>
      <c r="D3667" s="351" t="s">
        <v>23</v>
      </c>
      <c r="E3667" s="30" t="s">
        <v>2689</v>
      </c>
      <c r="F3667" s="7" t="s">
        <v>62</v>
      </c>
      <c r="G3667" s="120" t="s">
        <v>5439</v>
      </c>
      <c r="H3667" s="120" t="s">
        <v>5440</v>
      </c>
      <c r="I3667" s="121">
        <v>0</v>
      </c>
      <c r="J3667" s="121">
        <v>73</v>
      </c>
      <c r="K3667" s="121">
        <v>0</v>
      </c>
      <c r="L3667" s="121">
        <v>0</v>
      </c>
      <c r="M3667" s="121">
        <v>0</v>
      </c>
      <c r="N3667" s="121">
        <v>0</v>
      </c>
      <c r="O3667" s="121">
        <v>247.1</v>
      </c>
      <c r="P3667" s="76">
        <v>25.226175699999999</v>
      </c>
      <c r="Q3667" s="122" t="s">
        <v>154</v>
      </c>
    </row>
    <row r="3668" spans="1:17" ht="38.25" x14ac:dyDescent="0.25">
      <c r="A3668" s="119">
        <v>40328</v>
      </c>
      <c r="B3668" s="119">
        <v>40328</v>
      </c>
      <c r="C3668" s="122">
        <v>2010</v>
      </c>
      <c r="D3668" s="351" t="s">
        <v>23</v>
      </c>
      <c r="E3668" s="30" t="s">
        <v>2689</v>
      </c>
      <c r="F3668" s="7" t="s">
        <v>62</v>
      </c>
      <c r="G3668" s="120" t="s">
        <v>5441</v>
      </c>
      <c r="H3668" s="120" t="s">
        <v>5442</v>
      </c>
      <c r="I3668" s="121">
        <v>0</v>
      </c>
      <c r="J3668" s="121">
        <v>139</v>
      </c>
      <c r="K3668" s="121">
        <v>0</v>
      </c>
      <c r="L3668" s="121">
        <v>0</v>
      </c>
      <c r="M3668" s="121">
        <v>0</v>
      </c>
      <c r="N3668" s="121">
        <v>0</v>
      </c>
      <c r="O3668" s="121">
        <v>308.5</v>
      </c>
      <c r="P3668" s="76">
        <v>1.3635699999999999</v>
      </c>
      <c r="Q3668" s="122" t="s">
        <v>154</v>
      </c>
    </row>
    <row r="3669" spans="1:17" ht="38.25" x14ac:dyDescent="0.25">
      <c r="A3669" s="119">
        <v>40488</v>
      </c>
      <c r="B3669" s="119">
        <v>40488</v>
      </c>
      <c r="C3669" s="122">
        <v>2010</v>
      </c>
      <c r="D3669" s="351" t="s">
        <v>23</v>
      </c>
      <c r="E3669" s="30" t="s">
        <v>2689</v>
      </c>
      <c r="F3669" s="28" t="s">
        <v>157</v>
      </c>
      <c r="G3669" s="120" t="s">
        <v>5443</v>
      </c>
      <c r="H3669" s="120" t="s">
        <v>5444</v>
      </c>
      <c r="I3669" s="121">
        <v>0</v>
      </c>
      <c r="J3669" s="121">
        <v>21</v>
      </c>
      <c r="K3669" s="121">
        <v>0</v>
      </c>
      <c r="L3669" s="121">
        <v>0</v>
      </c>
      <c r="M3669" s="121">
        <v>0</v>
      </c>
      <c r="N3669" s="121">
        <v>0</v>
      </c>
      <c r="O3669" s="121">
        <v>14.35</v>
      </c>
      <c r="P3669" s="76">
        <v>2.6778298299999999</v>
      </c>
      <c r="Q3669" s="122" t="s">
        <v>154</v>
      </c>
    </row>
    <row r="3670" spans="1:17" ht="38.25" x14ac:dyDescent="0.25">
      <c r="A3670" s="119">
        <v>40328</v>
      </c>
      <c r="B3670" s="119">
        <v>40328</v>
      </c>
      <c r="C3670" s="122">
        <v>2010</v>
      </c>
      <c r="D3670" s="351" t="s">
        <v>23</v>
      </c>
      <c r="E3670" s="30" t="s">
        <v>2689</v>
      </c>
      <c r="F3670" s="7" t="s">
        <v>62</v>
      </c>
      <c r="G3670" s="120" t="s">
        <v>5445</v>
      </c>
      <c r="H3670" s="120" t="s">
        <v>5446</v>
      </c>
      <c r="I3670" s="121">
        <v>0</v>
      </c>
      <c r="J3670" s="121">
        <v>247</v>
      </c>
      <c r="K3670" s="121">
        <v>0</v>
      </c>
      <c r="L3670" s="121">
        <v>0</v>
      </c>
      <c r="M3670" s="121">
        <v>0</v>
      </c>
      <c r="N3670" s="121">
        <v>0</v>
      </c>
      <c r="O3670" s="121">
        <v>625</v>
      </c>
      <c r="P3670" s="76">
        <v>2.6052075000000001</v>
      </c>
      <c r="Q3670" s="122" t="s">
        <v>154</v>
      </c>
    </row>
    <row r="3671" spans="1:17" ht="38.25" x14ac:dyDescent="0.25">
      <c r="A3671" s="119">
        <v>40487</v>
      </c>
      <c r="B3671" s="119">
        <v>40487</v>
      </c>
      <c r="C3671" s="122">
        <v>2010</v>
      </c>
      <c r="D3671" s="351" t="s">
        <v>23</v>
      </c>
      <c r="E3671" s="30" t="s">
        <v>2689</v>
      </c>
      <c r="F3671" s="28" t="s">
        <v>157</v>
      </c>
      <c r="G3671" s="120" t="s">
        <v>1443</v>
      </c>
      <c r="H3671" s="120" t="s">
        <v>5447</v>
      </c>
      <c r="I3671" s="121">
        <v>0</v>
      </c>
      <c r="J3671" s="121">
        <v>4426</v>
      </c>
      <c r="K3671" s="121">
        <v>0</v>
      </c>
      <c r="L3671" s="121">
        <v>0</v>
      </c>
      <c r="M3671" s="121">
        <v>0</v>
      </c>
      <c r="N3671" s="121">
        <v>0</v>
      </c>
      <c r="O3671" s="121">
        <v>2195</v>
      </c>
      <c r="P3671" s="76">
        <v>409.76081799999997</v>
      </c>
      <c r="Q3671" s="122" t="s">
        <v>154</v>
      </c>
    </row>
    <row r="3672" spans="1:17" ht="38.25" x14ac:dyDescent="0.25">
      <c r="A3672" s="119">
        <v>40487</v>
      </c>
      <c r="B3672" s="119">
        <v>40487</v>
      </c>
      <c r="C3672" s="122">
        <v>2010</v>
      </c>
      <c r="D3672" s="351" t="s">
        <v>23</v>
      </c>
      <c r="E3672" s="30" t="s">
        <v>2689</v>
      </c>
      <c r="F3672" s="7" t="s">
        <v>62</v>
      </c>
      <c r="G3672" s="120" t="s">
        <v>5448</v>
      </c>
      <c r="H3672" s="120" t="s">
        <v>5449</v>
      </c>
      <c r="I3672" s="121">
        <v>0</v>
      </c>
      <c r="J3672" s="121">
        <v>368</v>
      </c>
      <c r="K3672" s="121">
        <v>0</v>
      </c>
      <c r="L3672" s="121">
        <v>0</v>
      </c>
      <c r="M3672" s="121">
        <v>0</v>
      </c>
      <c r="N3672" s="121">
        <v>0</v>
      </c>
      <c r="O3672" s="121">
        <v>1364.11</v>
      </c>
      <c r="P3672" s="76">
        <v>51.236886939999998</v>
      </c>
      <c r="Q3672" s="122" t="s">
        <v>154</v>
      </c>
    </row>
    <row r="3673" spans="1:17" ht="102" x14ac:dyDescent="0.25">
      <c r="A3673" s="119">
        <v>40405</v>
      </c>
      <c r="B3673" s="119">
        <v>40405</v>
      </c>
      <c r="C3673" s="122">
        <v>2010</v>
      </c>
      <c r="D3673" s="351" t="s">
        <v>23</v>
      </c>
      <c r="E3673" s="30" t="s">
        <v>2706</v>
      </c>
      <c r="F3673" s="7" t="s">
        <v>60</v>
      </c>
      <c r="G3673" s="120" t="s">
        <v>3754</v>
      </c>
      <c r="H3673" s="120" t="s">
        <v>5450</v>
      </c>
      <c r="I3673" s="121">
        <v>1</v>
      </c>
      <c r="J3673" s="121">
        <v>1</v>
      </c>
      <c r="K3673" s="121">
        <v>0</v>
      </c>
      <c r="L3673" s="121">
        <v>0</v>
      </c>
      <c r="M3673" s="121">
        <v>0</v>
      </c>
      <c r="N3673" s="121">
        <v>0</v>
      </c>
      <c r="O3673" s="121">
        <v>0</v>
      </c>
      <c r="P3673" s="76">
        <v>0</v>
      </c>
      <c r="Q3673" s="122" t="s">
        <v>154</v>
      </c>
    </row>
    <row r="3674" spans="1:17" ht="51" x14ac:dyDescent="0.25">
      <c r="A3674" s="119">
        <v>40487</v>
      </c>
      <c r="B3674" s="119">
        <v>40487</v>
      </c>
      <c r="C3674" s="122">
        <v>2010</v>
      </c>
      <c r="D3674" s="351" t="s">
        <v>23</v>
      </c>
      <c r="E3674" s="30" t="s">
        <v>2689</v>
      </c>
      <c r="F3674" s="28" t="s">
        <v>210</v>
      </c>
      <c r="G3674" s="120" t="s">
        <v>5451</v>
      </c>
      <c r="H3674" s="120" t="s">
        <v>5452</v>
      </c>
      <c r="I3674" s="121">
        <v>0</v>
      </c>
      <c r="J3674" s="121">
        <v>1566</v>
      </c>
      <c r="K3674" s="121">
        <v>0</v>
      </c>
      <c r="L3674" s="121">
        <v>0</v>
      </c>
      <c r="M3674" s="121">
        <v>0</v>
      </c>
      <c r="N3674" s="121">
        <v>0</v>
      </c>
      <c r="O3674" s="121">
        <v>1765.75</v>
      </c>
      <c r="P3674" s="76">
        <v>77.199787659999998</v>
      </c>
      <c r="Q3674" s="122" t="s">
        <v>154</v>
      </c>
    </row>
    <row r="3675" spans="1:17" ht="38.25" x14ac:dyDescent="0.25">
      <c r="A3675" s="119">
        <v>40521</v>
      </c>
      <c r="B3675" s="119">
        <v>40521</v>
      </c>
      <c r="C3675" s="122">
        <v>2010</v>
      </c>
      <c r="D3675" s="351" t="s">
        <v>23</v>
      </c>
      <c r="E3675" s="145" t="s">
        <v>2700</v>
      </c>
      <c r="F3675" s="7" t="s">
        <v>62</v>
      </c>
      <c r="G3675" s="120" t="s">
        <v>665</v>
      </c>
      <c r="H3675" s="120" t="s">
        <v>5453</v>
      </c>
      <c r="I3675" s="121">
        <v>0</v>
      </c>
      <c r="J3675" s="121">
        <v>142</v>
      </c>
      <c r="K3675" s="121">
        <v>0</v>
      </c>
      <c r="L3675" s="121">
        <v>0</v>
      </c>
      <c r="M3675" s="121">
        <v>0</v>
      </c>
      <c r="N3675" s="121">
        <v>0</v>
      </c>
      <c r="O3675" s="121">
        <v>369.5</v>
      </c>
      <c r="P3675" s="76">
        <v>6.6266129999999999</v>
      </c>
      <c r="Q3675" s="122" t="s">
        <v>154</v>
      </c>
    </row>
    <row r="3676" spans="1:17" ht="25.5" x14ac:dyDescent="0.25">
      <c r="A3676" s="119">
        <v>40179</v>
      </c>
      <c r="B3676" s="119">
        <v>40543</v>
      </c>
      <c r="C3676" s="150">
        <v>2010</v>
      </c>
      <c r="D3676" s="351" t="s">
        <v>23</v>
      </c>
      <c r="E3676" s="145" t="s">
        <v>4089</v>
      </c>
      <c r="F3676" s="7" t="s">
        <v>40</v>
      </c>
      <c r="G3676" s="120" t="s">
        <v>2109</v>
      </c>
      <c r="H3676" s="120" t="s">
        <v>5454</v>
      </c>
      <c r="I3676" s="121">
        <v>28</v>
      </c>
      <c r="J3676" s="121">
        <v>28</v>
      </c>
      <c r="K3676" s="121">
        <v>0</v>
      </c>
      <c r="L3676" s="121">
        <v>0</v>
      </c>
      <c r="M3676" s="121">
        <v>0</v>
      </c>
      <c r="N3676" s="121">
        <v>0</v>
      </c>
      <c r="O3676" s="121">
        <v>0</v>
      </c>
      <c r="P3676" s="76">
        <v>0</v>
      </c>
      <c r="Q3676" s="122" t="s">
        <v>154</v>
      </c>
    </row>
    <row r="3677" spans="1:17" ht="25.5" x14ac:dyDescent="0.25">
      <c r="A3677" s="119">
        <v>40179</v>
      </c>
      <c r="B3677" s="119">
        <v>40543</v>
      </c>
      <c r="C3677" s="150">
        <v>2010</v>
      </c>
      <c r="D3677" s="351" t="s">
        <v>23</v>
      </c>
      <c r="E3677" s="145" t="s">
        <v>4089</v>
      </c>
      <c r="F3677" s="7" t="s">
        <v>75</v>
      </c>
      <c r="G3677" s="120" t="s">
        <v>2109</v>
      </c>
      <c r="H3677" s="120" t="s">
        <v>5455</v>
      </c>
      <c r="I3677" s="121">
        <v>2</v>
      </c>
      <c r="J3677" s="121">
        <v>2</v>
      </c>
      <c r="K3677" s="121">
        <v>0</v>
      </c>
      <c r="L3677" s="121">
        <v>0</v>
      </c>
      <c r="M3677" s="121">
        <v>0</v>
      </c>
      <c r="N3677" s="121">
        <v>0</v>
      </c>
      <c r="O3677" s="121">
        <v>0</v>
      </c>
      <c r="P3677" s="76">
        <v>0</v>
      </c>
      <c r="Q3677" s="122" t="s">
        <v>154</v>
      </c>
    </row>
    <row r="3678" spans="1:17" ht="25.5" x14ac:dyDescent="0.25">
      <c r="A3678" s="119">
        <v>40179</v>
      </c>
      <c r="B3678" s="119">
        <v>40543</v>
      </c>
      <c r="C3678" s="150">
        <v>2010</v>
      </c>
      <c r="D3678" s="351" t="s">
        <v>23</v>
      </c>
      <c r="E3678" s="145" t="s">
        <v>4089</v>
      </c>
      <c r="F3678" s="7" t="s">
        <v>45</v>
      </c>
      <c r="G3678" s="120" t="s">
        <v>2109</v>
      </c>
      <c r="H3678" s="120" t="s">
        <v>5456</v>
      </c>
      <c r="I3678" s="121">
        <v>3</v>
      </c>
      <c r="J3678" s="121">
        <v>3</v>
      </c>
      <c r="K3678" s="121">
        <v>0</v>
      </c>
      <c r="L3678" s="121">
        <v>0</v>
      </c>
      <c r="M3678" s="121">
        <v>0</v>
      </c>
      <c r="N3678" s="121">
        <v>0</v>
      </c>
      <c r="O3678" s="121">
        <v>0</v>
      </c>
      <c r="P3678" s="76">
        <v>0</v>
      </c>
      <c r="Q3678" s="122" t="s">
        <v>154</v>
      </c>
    </row>
    <row r="3679" spans="1:17" ht="25.5" x14ac:dyDescent="0.25">
      <c r="A3679" s="119">
        <v>40179</v>
      </c>
      <c r="B3679" s="119">
        <v>40543</v>
      </c>
      <c r="C3679" s="150">
        <v>2010</v>
      </c>
      <c r="D3679" s="351" t="s">
        <v>23</v>
      </c>
      <c r="E3679" s="145" t="s">
        <v>4089</v>
      </c>
      <c r="F3679" s="7" t="s">
        <v>68</v>
      </c>
      <c r="G3679" s="120" t="s">
        <v>2109</v>
      </c>
      <c r="H3679" s="120" t="s">
        <v>5455</v>
      </c>
      <c r="I3679" s="121">
        <v>2</v>
      </c>
      <c r="J3679" s="121">
        <v>2</v>
      </c>
      <c r="K3679" s="121">
        <v>0</v>
      </c>
      <c r="L3679" s="121">
        <v>0</v>
      </c>
      <c r="M3679" s="121">
        <v>0</v>
      </c>
      <c r="N3679" s="121">
        <v>0</v>
      </c>
      <c r="O3679" s="121">
        <v>0</v>
      </c>
      <c r="P3679" s="76">
        <v>0</v>
      </c>
      <c r="Q3679" s="122" t="s">
        <v>154</v>
      </c>
    </row>
    <row r="3680" spans="1:17" ht="25.5" x14ac:dyDescent="0.25">
      <c r="A3680" s="119">
        <v>40179</v>
      </c>
      <c r="B3680" s="119">
        <v>40543</v>
      </c>
      <c r="C3680" s="150">
        <v>2010</v>
      </c>
      <c r="D3680" s="351" t="s">
        <v>23</v>
      </c>
      <c r="E3680" s="145" t="s">
        <v>4089</v>
      </c>
      <c r="F3680" s="7" t="s">
        <v>77</v>
      </c>
      <c r="G3680" s="120" t="s">
        <v>2109</v>
      </c>
      <c r="H3680" s="120" t="s">
        <v>5457</v>
      </c>
      <c r="I3680" s="121">
        <v>1</v>
      </c>
      <c r="J3680" s="121">
        <v>1</v>
      </c>
      <c r="K3680" s="121">
        <v>0</v>
      </c>
      <c r="L3680" s="121">
        <v>0</v>
      </c>
      <c r="M3680" s="121">
        <v>0</v>
      </c>
      <c r="N3680" s="121">
        <v>0</v>
      </c>
      <c r="O3680" s="121">
        <v>0</v>
      </c>
      <c r="P3680" s="76">
        <v>0</v>
      </c>
      <c r="Q3680" s="122" t="s">
        <v>154</v>
      </c>
    </row>
    <row r="3681" spans="1:17" ht="25.5" x14ac:dyDescent="0.25">
      <c r="A3681" s="119">
        <v>40179</v>
      </c>
      <c r="B3681" s="119">
        <v>40543</v>
      </c>
      <c r="C3681" s="150">
        <v>2010</v>
      </c>
      <c r="D3681" s="351" t="s">
        <v>23</v>
      </c>
      <c r="E3681" s="145" t="s">
        <v>4089</v>
      </c>
      <c r="F3681" s="28" t="s">
        <v>160</v>
      </c>
      <c r="G3681" s="120" t="s">
        <v>2109</v>
      </c>
      <c r="H3681" s="120" t="s">
        <v>5457</v>
      </c>
      <c r="I3681" s="121">
        <v>1</v>
      </c>
      <c r="J3681" s="121">
        <v>1</v>
      </c>
      <c r="K3681" s="121">
        <v>0</v>
      </c>
      <c r="L3681" s="121">
        <v>0</v>
      </c>
      <c r="M3681" s="121">
        <v>0</v>
      </c>
      <c r="N3681" s="121">
        <v>0</v>
      </c>
      <c r="O3681" s="121">
        <v>0</v>
      </c>
      <c r="P3681" s="76">
        <v>0</v>
      </c>
      <c r="Q3681" s="122" t="s">
        <v>154</v>
      </c>
    </row>
    <row r="3682" spans="1:17" ht="25.5" x14ac:dyDescent="0.25">
      <c r="A3682" s="119">
        <v>40179</v>
      </c>
      <c r="B3682" s="119">
        <v>40543</v>
      </c>
      <c r="C3682" s="150">
        <v>2010</v>
      </c>
      <c r="D3682" s="351" t="s">
        <v>23</v>
      </c>
      <c r="E3682" s="145" t="s">
        <v>4089</v>
      </c>
      <c r="F3682" s="7" t="s">
        <v>101</v>
      </c>
      <c r="G3682" s="120" t="s">
        <v>2109</v>
      </c>
      <c r="H3682" s="120" t="s">
        <v>5455</v>
      </c>
      <c r="I3682" s="121">
        <v>2</v>
      </c>
      <c r="J3682" s="121">
        <v>2</v>
      </c>
      <c r="K3682" s="121">
        <v>0</v>
      </c>
      <c r="L3682" s="121">
        <v>0</v>
      </c>
      <c r="M3682" s="121">
        <v>0</v>
      </c>
      <c r="N3682" s="121">
        <v>0</v>
      </c>
      <c r="O3682" s="121">
        <v>0</v>
      </c>
      <c r="P3682" s="76">
        <v>0</v>
      </c>
      <c r="Q3682" s="122" t="s">
        <v>154</v>
      </c>
    </row>
    <row r="3683" spans="1:17" ht="25.5" x14ac:dyDescent="0.25">
      <c r="A3683" s="119">
        <v>40179</v>
      </c>
      <c r="B3683" s="119">
        <v>40543</v>
      </c>
      <c r="C3683" s="150">
        <v>2010</v>
      </c>
      <c r="D3683" s="351" t="s">
        <v>23</v>
      </c>
      <c r="E3683" s="145" t="s">
        <v>4089</v>
      </c>
      <c r="F3683" s="28" t="s">
        <v>210</v>
      </c>
      <c r="G3683" s="120" t="s">
        <v>2109</v>
      </c>
      <c r="H3683" s="120" t="s">
        <v>5457</v>
      </c>
      <c r="I3683" s="121">
        <v>1</v>
      </c>
      <c r="J3683" s="121">
        <v>1</v>
      </c>
      <c r="K3683" s="121">
        <v>0</v>
      </c>
      <c r="L3683" s="121">
        <v>0</v>
      </c>
      <c r="M3683" s="121">
        <v>0</v>
      </c>
      <c r="N3683" s="121">
        <v>0</v>
      </c>
      <c r="O3683" s="121">
        <v>0</v>
      </c>
      <c r="P3683" s="76">
        <v>0</v>
      </c>
      <c r="Q3683" s="122" t="s">
        <v>154</v>
      </c>
    </row>
    <row r="3684" spans="1:17" ht="25.5" x14ac:dyDescent="0.25">
      <c r="A3684" s="119">
        <v>40179</v>
      </c>
      <c r="B3684" s="119">
        <v>40543</v>
      </c>
      <c r="C3684" s="150">
        <v>2010</v>
      </c>
      <c r="D3684" s="351" t="s">
        <v>23</v>
      </c>
      <c r="E3684" s="145" t="s">
        <v>4089</v>
      </c>
      <c r="F3684" s="7" t="s">
        <v>87</v>
      </c>
      <c r="G3684" s="120" t="s">
        <v>2109</v>
      </c>
      <c r="H3684" s="120" t="s">
        <v>5457</v>
      </c>
      <c r="I3684" s="121">
        <v>1</v>
      </c>
      <c r="J3684" s="121">
        <v>1</v>
      </c>
      <c r="K3684" s="121">
        <v>0</v>
      </c>
      <c r="L3684" s="121">
        <v>0</v>
      </c>
      <c r="M3684" s="121">
        <v>0</v>
      </c>
      <c r="N3684" s="121">
        <v>0</v>
      </c>
      <c r="O3684" s="121">
        <v>0</v>
      </c>
      <c r="P3684" s="76">
        <v>0</v>
      </c>
      <c r="Q3684" s="122" t="s">
        <v>154</v>
      </c>
    </row>
    <row r="3685" spans="1:17" ht="242.25" x14ac:dyDescent="0.25">
      <c r="A3685" s="119">
        <v>40391</v>
      </c>
      <c r="B3685" s="119">
        <v>40391</v>
      </c>
      <c r="C3685" s="122">
        <v>2010</v>
      </c>
      <c r="D3685" s="351" t="s">
        <v>23</v>
      </c>
      <c r="E3685" s="14" t="s">
        <v>24</v>
      </c>
      <c r="F3685" s="7" t="s">
        <v>101</v>
      </c>
      <c r="G3685" s="120" t="s">
        <v>5458</v>
      </c>
      <c r="H3685" s="120" t="s">
        <v>5459</v>
      </c>
      <c r="I3685" s="121">
        <v>0</v>
      </c>
      <c r="J3685" s="121">
        <v>42702</v>
      </c>
      <c r="K3685" s="121">
        <v>0</v>
      </c>
      <c r="L3685" s="121">
        <v>0</v>
      </c>
      <c r="M3685" s="121">
        <v>0</v>
      </c>
      <c r="N3685" s="121">
        <v>0</v>
      </c>
      <c r="O3685" s="121">
        <v>276331</v>
      </c>
      <c r="P3685" s="76">
        <v>2769.980701</v>
      </c>
      <c r="Q3685" s="122" t="s">
        <v>154</v>
      </c>
    </row>
    <row r="3686" spans="1:17" ht="76.5" x14ac:dyDescent="0.25">
      <c r="A3686" s="119">
        <v>40452</v>
      </c>
      <c r="B3686" s="119">
        <v>40452</v>
      </c>
      <c r="C3686" s="122">
        <v>2010</v>
      </c>
      <c r="D3686" s="351" t="s">
        <v>23</v>
      </c>
      <c r="E3686" s="14" t="s">
        <v>24</v>
      </c>
      <c r="F3686" s="7" t="s">
        <v>101</v>
      </c>
      <c r="G3686" s="120" t="s">
        <v>5460</v>
      </c>
      <c r="H3686" s="120" t="s">
        <v>5461</v>
      </c>
      <c r="I3686" s="121">
        <v>0</v>
      </c>
      <c r="J3686" s="121">
        <v>2028</v>
      </c>
      <c r="K3686" s="121">
        <v>0</v>
      </c>
      <c r="L3686" s="121">
        <v>0</v>
      </c>
      <c r="M3686" s="121">
        <v>0</v>
      </c>
      <c r="N3686" s="121">
        <v>0</v>
      </c>
      <c r="O3686" s="121">
        <v>12703.31</v>
      </c>
      <c r="P3686" s="76">
        <v>99.271519799999993</v>
      </c>
      <c r="Q3686" s="122" t="s">
        <v>154</v>
      </c>
    </row>
    <row r="3687" spans="1:17" ht="153.75" x14ac:dyDescent="0.25">
      <c r="A3687" s="119">
        <v>40214</v>
      </c>
      <c r="B3687" s="119">
        <v>40214</v>
      </c>
      <c r="C3687" s="122">
        <v>2010</v>
      </c>
      <c r="D3687" s="35" t="s">
        <v>17</v>
      </c>
      <c r="E3687" s="6" t="s">
        <v>1597</v>
      </c>
      <c r="F3687" s="7" t="s">
        <v>62</v>
      </c>
      <c r="G3687" s="120" t="s">
        <v>5216</v>
      </c>
      <c r="H3687" s="151" t="s">
        <v>5462</v>
      </c>
      <c r="I3687" s="122">
        <v>16</v>
      </c>
      <c r="J3687" s="122">
        <v>16</v>
      </c>
      <c r="K3687" s="122">
        <v>0</v>
      </c>
      <c r="L3687" s="122">
        <v>0</v>
      </c>
      <c r="M3687" s="122">
        <v>0</v>
      </c>
      <c r="N3687" s="122">
        <v>0</v>
      </c>
      <c r="O3687" s="122">
        <v>0</v>
      </c>
      <c r="P3687" s="76">
        <v>0</v>
      </c>
      <c r="Q3687" s="122" t="s">
        <v>22</v>
      </c>
    </row>
    <row r="3688" spans="1:17" ht="166.5" x14ac:dyDescent="0.25">
      <c r="A3688" s="119">
        <v>40301</v>
      </c>
      <c r="B3688" s="119">
        <v>40301</v>
      </c>
      <c r="C3688" s="122">
        <v>2010</v>
      </c>
      <c r="D3688" s="35" t="s">
        <v>17</v>
      </c>
      <c r="E3688" s="6" t="s">
        <v>1597</v>
      </c>
      <c r="F3688" s="7" t="s">
        <v>30</v>
      </c>
      <c r="G3688" s="120" t="s">
        <v>1078</v>
      </c>
      <c r="H3688" s="151" t="s">
        <v>5463</v>
      </c>
      <c r="I3688" s="122">
        <v>0</v>
      </c>
      <c r="J3688" s="122">
        <v>100</v>
      </c>
      <c r="K3688" s="122">
        <v>20</v>
      </c>
      <c r="L3688" s="122">
        <v>0</v>
      </c>
      <c r="M3688" s="122">
        <v>0</v>
      </c>
      <c r="N3688" s="122">
        <v>0</v>
      </c>
      <c r="O3688" s="122">
        <v>0</v>
      </c>
      <c r="P3688" s="76">
        <v>1.6690970000000001</v>
      </c>
      <c r="Q3688" s="122" t="s">
        <v>154</v>
      </c>
    </row>
    <row r="3689" spans="1:17" ht="409.6" x14ac:dyDescent="0.25">
      <c r="A3689" s="119">
        <v>40272</v>
      </c>
      <c r="B3689" s="119">
        <v>40272</v>
      </c>
      <c r="C3689" s="122">
        <v>2010</v>
      </c>
      <c r="D3689" s="35" t="s">
        <v>17</v>
      </c>
      <c r="E3689" s="145" t="s">
        <v>122</v>
      </c>
      <c r="F3689" s="7" t="s">
        <v>30</v>
      </c>
      <c r="G3689" s="120" t="s">
        <v>901</v>
      </c>
      <c r="H3689" s="151" t="s">
        <v>5464</v>
      </c>
      <c r="I3689" s="122">
        <v>2</v>
      </c>
      <c r="J3689" s="122">
        <v>35233</v>
      </c>
      <c r="K3689" s="122">
        <v>3198</v>
      </c>
      <c r="L3689" s="122">
        <v>301</v>
      </c>
      <c r="M3689" s="122">
        <v>18</v>
      </c>
      <c r="N3689" s="122">
        <v>1362</v>
      </c>
      <c r="O3689" s="122">
        <v>57000</v>
      </c>
      <c r="P3689" s="76">
        <v>8644.1</v>
      </c>
      <c r="Q3689" s="122" t="s">
        <v>22</v>
      </c>
    </row>
    <row r="3690" spans="1:17" ht="102.75" x14ac:dyDescent="0.25">
      <c r="A3690" s="119">
        <v>40272</v>
      </c>
      <c r="B3690" s="119">
        <v>40272</v>
      </c>
      <c r="C3690" s="122">
        <v>2010</v>
      </c>
      <c r="D3690" s="35" t="s">
        <v>17</v>
      </c>
      <c r="E3690" s="145" t="s">
        <v>122</v>
      </c>
      <c r="F3690" s="7" t="s">
        <v>87</v>
      </c>
      <c r="G3690" s="120" t="s">
        <v>5465</v>
      </c>
      <c r="H3690" s="151" t="s">
        <v>5466</v>
      </c>
      <c r="I3690" s="122">
        <v>0</v>
      </c>
      <c r="J3690" s="122">
        <v>3910</v>
      </c>
      <c r="K3690" s="122">
        <v>522</v>
      </c>
      <c r="L3690" s="122">
        <v>13</v>
      </c>
      <c r="M3690" s="122">
        <v>0</v>
      </c>
      <c r="N3690" s="122">
        <v>0</v>
      </c>
      <c r="O3690" s="122">
        <v>0</v>
      </c>
      <c r="P3690" s="76">
        <v>132.45099999999999</v>
      </c>
      <c r="Q3690" s="122" t="s">
        <v>186</v>
      </c>
    </row>
    <row r="3691" spans="1:17" ht="51.75" x14ac:dyDescent="0.25">
      <c r="A3691" s="119">
        <v>40343</v>
      </c>
      <c r="B3691" s="119">
        <v>40343</v>
      </c>
      <c r="C3691" s="122">
        <v>2010</v>
      </c>
      <c r="D3691" s="35" t="s">
        <v>17</v>
      </c>
      <c r="E3691" s="145" t="s">
        <v>122</v>
      </c>
      <c r="F3691" s="7" t="s">
        <v>30</v>
      </c>
      <c r="G3691" s="120" t="s">
        <v>901</v>
      </c>
      <c r="H3691" s="151" t="s">
        <v>5467</v>
      </c>
      <c r="I3691" s="122">
        <v>0</v>
      </c>
      <c r="J3691" s="122">
        <v>0</v>
      </c>
      <c r="K3691" s="122">
        <v>0</v>
      </c>
      <c r="L3691" s="122">
        <v>0</v>
      </c>
      <c r="M3691" s="122">
        <v>0</v>
      </c>
      <c r="N3691" s="122">
        <v>0</v>
      </c>
      <c r="O3691" s="122">
        <v>0</v>
      </c>
      <c r="P3691" s="76">
        <v>0</v>
      </c>
      <c r="Q3691" s="122" t="s">
        <v>154</v>
      </c>
    </row>
    <row r="3692" spans="1:17" ht="64.5" x14ac:dyDescent="0.25">
      <c r="A3692" s="119">
        <v>40399</v>
      </c>
      <c r="B3692" s="119">
        <v>40399</v>
      </c>
      <c r="C3692" s="122">
        <v>2010</v>
      </c>
      <c r="D3692" s="35" t="s">
        <v>17</v>
      </c>
      <c r="E3692" s="6" t="s">
        <v>1597</v>
      </c>
      <c r="F3692" s="28" t="s">
        <v>157</v>
      </c>
      <c r="G3692" s="120" t="s">
        <v>4449</v>
      </c>
      <c r="H3692" s="151" t="s">
        <v>5468</v>
      </c>
      <c r="I3692" s="122">
        <v>0</v>
      </c>
      <c r="J3692" s="122">
        <v>15</v>
      </c>
      <c r="K3692" s="122">
        <v>3</v>
      </c>
      <c r="L3692" s="122">
        <v>0</v>
      </c>
      <c r="M3692" s="122">
        <v>0</v>
      </c>
      <c r="N3692" s="122">
        <v>0</v>
      </c>
      <c r="O3692" s="122">
        <v>0</v>
      </c>
      <c r="P3692" s="76">
        <v>8.3060999999999996E-2</v>
      </c>
      <c r="Q3692" s="122" t="s">
        <v>154</v>
      </c>
    </row>
    <row r="3693" spans="1:17" ht="141" x14ac:dyDescent="0.25">
      <c r="A3693" s="119">
        <v>40403</v>
      </c>
      <c r="B3693" s="119">
        <v>40403</v>
      </c>
      <c r="C3693" s="122">
        <v>2010</v>
      </c>
      <c r="D3693" s="35" t="s">
        <v>17</v>
      </c>
      <c r="E3693" s="6" t="s">
        <v>1597</v>
      </c>
      <c r="F3693" s="28" t="s">
        <v>157</v>
      </c>
      <c r="G3693" s="120" t="s">
        <v>4449</v>
      </c>
      <c r="H3693" s="151" t="s">
        <v>5469</v>
      </c>
      <c r="I3693" s="122">
        <v>0</v>
      </c>
      <c r="J3693" s="122">
        <v>50</v>
      </c>
      <c r="K3693" s="122">
        <v>0</v>
      </c>
      <c r="L3693" s="122">
        <v>0</v>
      </c>
      <c r="M3693" s="122">
        <v>0</v>
      </c>
      <c r="N3693" s="122">
        <v>0</v>
      </c>
      <c r="O3693" s="122">
        <v>0</v>
      </c>
      <c r="P3693" s="76">
        <v>0</v>
      </c>
      <c r="Q3693" s="122" t="s">
        <v>154</v>
      </c>
    </row>
    <row r="3694" spans="1:17" ht="115.5" x14ac:dyDescent="0.25">
      <c r="A3694" s="119">
        <v>40412</v>
      </c>
      <c r="B3694" s="119">
        <v>40412</v>
      </c>
      <c r="C3694" s="122">
        <v>2010</v>
      </c>
      <c r="D3694" s="35" t="s">
        <v>17</v>
      </c>
      <c r="E3694" s="145" t="s">
        <v>1600</v>
      </c>
      <c r="F3694" s="7" t="s">
        <v>56</v>
      </c>
      <c r="G3694" s="120" t="s">
        <v>5470</v>
      </c>
      <c r="H3694" s="151" t="s">
        <v>5471</v>
      </c>
      <c r="I3694" s="122">
        <v>0</v>
      </c>
      <c r="J3694" s="122">
        <v>5</v>
      </c>
      <c r="K3694" s="122">
        <v>0</v>
      </c>
      <c r="L3694" s="122">
        <v>0</v>
      </c>
      <c r="M3694" s="122">
        <v>0</v>
      </c>
      <c r="N3694" s="122">
        <v>0</v>
      </c>
      <c r="O3694" s="122">
        <v>0</v>
      </c>
      <c r="P3694" s="76">
        <v>0</v>
      </c>
      <c r="Q3694" s="122" t="s">
        <v>154</v>
      </c>
    </row>
    <row r="3695" spans="1:17" ht="26.25" x14ac:dyDescent="0.25">
      <c r="A3695" s="119">
        <v>40413</v>
      </c>
      <c r="B3695" s="119">
        <v>40413</v>
      </c>
      <c r="C3695" s="122">
        <v>2010</v>
      </c>
      <c r="D3695" s="35" t="s">
        <v>17</v>
      </c>
      <c r="E3695" s="145" t="s">
        <v>122</v>
      </c>
      <c r="F3695" s="7" t="s">
        <v>60</v>
      </c>
      <c r="G3695" s="120" t="s">
        <v>5472</v>
      </c>
      <c r="H3695" s="151" t="s">
        <v>5473</v>
      </c>
      <c r="I3695" s="122">
        <v>0</v>
      </c>
      <c r="J3695" s="122">
        <v>0</v>
      </c>
      <c r="K3695" s="122">
        <v>0</v>
      </c>
      <c r="L3695" s="122">
        <v>0</v>
      </c>
      <c r="M3695" s="122">
        <v>0</v>
      </c>
      <c r="N3695" s="122">
        <v>0</v>
      </c>
      <c r="O3695" s="122">
        <v>0</v>
      </c>
      <c r="P3695" s="76">
        <v>0</v>
      </c>
      <c r="Q3695" s="122" t="s">
        <v>154</v>
      </c>
    </row>
    <row r="3696" spans="1:17" ht="51.75" x14ac:dyDescent="0.25">
      <c r="A3696" s="119">
        <v>40421</v>
      </c>
      <c r="B3696" s="119">
        <v>40421</v>
      </c>
      <c r="C3696" s="122">
        <v>2010</v>
      </c>
      <c r="D3696" s="35" t="s">
        <v>17</v>
      </c>
      <c r="E3696" s="145" t="s">
        <v>1600</v>
      </c>
      <c r="F3696" s="7" t="s">
        <v>60</v>
      </c>
      <c r="G3696" s="120" t="s">
        <v>5474</v>
      </c>
      <c r="H3696" s="151" t="s">
        <v>5475</v>
      </c>
      <c r="I3696" s="122">
        <v>0</v>
      </c>
      <c r="J3696" s="122">
        <v>3</v>
      </c>
      <c r="K3696" s="122">
        <v>0</v>
      </c>
      <c r="L3696" s="122">
        <v>0</v>
      </c>
      <c r="M3696" s="122">
        <v>0</v>
      </c>
      <c r="N3696" s="122">
        <v>0</v>
      </c>
      <c r="O3696" s="122">
        <v>0</v>
      </c>
      <c r="P3696" s="76">
        <v>0</v>
      </c>
      <c r="Q3696" s="122" t="s">
        <v>154</v>
      </c>
    </row>
    <row r="3697" spans="1:17" ht="26.25" x14ac:dyDescent="0.25">
      <c r="A3697" s="119">
        <v>40420</v>
      </c>
      <c r="B3697" s="119">
        <v>40420</v>
      </c>
      <c r="C3697" s="122">
        <v>2010</v>
      </c>
      <c r="D3697" s="35" t="s">
        <v>17</v>
      </c>
      <c r="E3697" s="6" t="s">
        <v>1597</v>
      </c>
      <c r="F3697" s="7" t="s">
        <v>36</v>
      </c>
      <c r="G3697" s="120" t="s">
        <v>5476</v>
      </c>
      <c r="H3697" s="151" t="s">
        <v>5477</v>
      </c>
      <c r="I3697" s="122">
        <v>0</v>
      </c>
      <c r="J3697" s="122">
        <v>200</v>
      </c>
      <c r="K3697" s="122">
        <v>40</v>
      </c>
      <c r="L3697" s="122">
        <v>0</v>
      </c>
      <c r="M3697" s="122">
        <v>0</v>
      </c>
      <c r="N3697" s="122">
        <v>0</v>
      </c>
      <c r="O3697" s="122">
        <v>0</v>
      </c>
      <c r="P3697" s="76">
        <v>0.34952</v>
      </c>
      <c r="Q3697" s="122" t="s">
        <v>154</v>
      </c>
    </row>
    <row r="3698" spans="1:17" ht="102.75" x14ac:dyDescent="0.25">
      <c r="A3698" s="119">
        <v>40422</v>
      </c>
      <c r="B3698" s="119">
        <v>40422</v>
      </c>
      <c r="C3698" s="122">
        <v>2010</v>
      </c>
      <c r="D3698" s="35" t="s">
        <v>17</v>
      </c>
      <c r="E3698" s="145" t="s">
        <v>1603</v>
      </c>
      <c r="F3698" s="7" t="s">
        <v>62</v>
      </c>
      <c r="G3698" s="120" t="s">
        <v>165</v>
      </c>
      <c r="H3698" s="151" t="s">
        <v>5478</v>
      </c>
      <c r="I3698" s="122">
        <v>0</v>
      </c>
      <c r="J3698" s="122">
        <v>4</v>
      </c>
      <c r="K3698" s="122">
        <v>0</v>
      </c>
      <c r="L3698" s="122">
        <v>0</v>
      </c>
      <c r="M3698" s="122">
        <v>0</v>
      </c>
      <c r="N3698" s="122">
        <v>0</v>
      </c>
      <c r="O3698" s="122">
        <v>0</v>
      </c>
      <c r="P3698" s="76">
        <v>0</v>
      </c>
      <c r="Q3698" s="122" t="s">
        <v>154</v>
      </c>
    </row>
    <row r="3699" spans="1:17" ht="77.25" x14ac:dyDescent="0.25">
      <c r="A3699" s="119">
        <v>40428</v>
      </c>
      <c r="B3699" s="119">
        <v>40428</v>
      </c>
      <c r="C3699" s="122">
        <v>2010</v>
      </c>
      <c r="D3699" s="35" t="s">
        <v>17</v>
      </c>
      <c r="E3699" s="145" t="s">
        <v>1600</v>
      </c>
      <c r="F3699" s="7" t="s">
        <v>87</v>
      </c>
      <c r="G3699" s="120" t="s">
        <v>5479</v>
      </c>
      <c r="H3699" s="151" t="s">
        <v>5480</v>
      </c>
      <c r="I3699" s="122">
        <v>1</v>
      </c>
      <c r="J3699" s="122">
        <v>1</v>
      </c>
      <c r="K3699" s="122">
        <v>0</v>
      </c>
      <c r="L3699" s="122">
        <v>0</v>
      </c>
      <c r="M3699" s="122">
        <v>0</v>
      </c>
      <c r="N3699" s="122">
        <v>0</v>
      </c>
      <c r="O3699" s="122">
        <v>0</v>
      </c>
      <c r="P3699" s="76">
        <v>0</v>
      </c>
      <c r="Q3699" s="122" t="s">
        <v>154</v>
      </c>
    </row>
    <row r="3700" spans="1:17" ht="102.75" x14ac:dyDescent="0.25">
      <c r="A3700" s="119">
        <v>40430</v>
      </c>
      <c r="B3700" s="119">
        <v>40430</v>
      </c>
      <c r="C3700" s="122">
        <v>2010</v>
      </c>
      <c r="D3700" s="35" t="s">
        <v>17</v>
      </c>
      <c r="E3700" s="6" t="s">
        <v>1597</v>
      </c>
      <c r="F3700" s="7" t="s">
        <v>58</v>
      </c>
      <c r="G3700" s="120" t="s">
        <v>5481</v>
      </c>
      <c r="H3700" s="151" t="s">
        <v>5482</v>
      </c>
      <c r="I3700" s="122">
        <v>0</v>
      </c>
      <c r="J3700" s="122">
        <v>15</v>
      </c>
      <c r="K3700" s="122">
        <v>3</v>
      </c>
      <c r="L3700" s="122">
        <v>0</v>
      </c>
      <c r="M3700" s="122">
        <v>0</v>
      </c>
      <c r="N3700" s="122">
        <v>0</v>
      </c>
      <c r="O3700" s="122">
        <v>0</v>
      </c>
      <c r="P3700" s="76">
        <v>0.28771200000000002</v>
      </c>
      <c r="Q3700" s="122" t="s">
        <v>154</v>
      </c>
    </row>
    <row r="3701" spans="1:17" ht="51.75" x14ac:dyDescent="0.25">
      <c r="A3701" s="119">
        <v>40432</v>
      </c>
      <c r="B3701" s="119">
        <v>40432</v>
      </c>
      <c r="C3701" s="122">
        <v>2010</v>
      </c>
      <c r="D3701" s="35" t="s">
        <v>17</v>
      </c>
      <c r="E3701" s="6" t="s">
        <v>1597</v>
      </c>
      <c r="F3701" s="7" t="s">
        <v>84</v>
      </c>
      <c r="G3701" s="120" t="s">
        <v>1453</v>
      </c>
      <c r="H3701" s="151" t="s">
        <v>5483</v>
      </c>
      <c r="I3701" s="122">
        <v>0</v>
      </c>
      <c r="J3701" s="122">
        <v>350</v>
      </c>
      <c r="K3701" s="122">
        <v>70</v>
      </c>
      <c r="L3701" s="122">
        <v>0</v>
      </c>
      <c r="M3701" s="122">
        <v>0</v>
      </c>
      <c r="N3701" s="122">
        <v>0</v>
      </c>
      <c r="O3701" s="122">
        <v>0</v>
      </c>
      <c r="P3701" s="76">
        <v>0.3584</v>
      </c>
      <c r="Q3701" s="122" t="s">
        <v>154</v>
      </c>
    </row>
    <row r="3702" spans="1:17" ht="51.75" x14ac:dyDescent="0.25">
      <c r="A3702" s="119">
        <v>40441</v>
      </c>
      <c r="B3702" s="119">
        <v>40441</v>
      </c>
      <c r="C3702" s="122">
        <v>2010</v>
      </c>
      <c r="D3702" s="35" t="s">
        <v>17</v>
      </c>
      <c r="E3702" s="6" t="s">
        <v>1597</v>
      </c>
      <c r="F3702" s="7" t="s">
        <v>53</v>
      </c>
      <c r="G3702" s="120" t="s">
        <v>3542</v>
      </c>
      <c r="H3702" s="151" t="s">
        <v>5484</v>
      </c>
      <c r="I3702" s="122">
        <v>10</v>
      </c>
      <c r="J3702" s="122">
        <v>15</v>
      </c>
      <c r="K3702" s="122">
        <v>0</v>
      </c>
      <c r="L3702" s="122">
        <v>0</v>
      </c>
      <c r="M3702" s="122">
        <v>0</v>
      </c>
      <c r="N3702" s="122">
        <v>0</v>
      </c>
      <c r="O3702" s="122">
        <v>0</v>
      </c>
      <c r="P3702" s="76">
        <v>0</v>
      </c>
      <c r="Q3702" s="122" t="s">
        <v>154</v>
      </c>
    </row>
    <row r="3703" spans="1:17" ht="90" x14ac:dyDescent="0.25">
      <c r="A3703" s="119">
        <v>40442</v>
      </c>
      <c r="B3703" s="119">
        <v>40442</v>
      </c>
      <c r="C3703" s="122">
        <v>2010</v>
      </c>
      <c r="D3703" s="35" t="s">
        <v>17</v>
      </c>
      <c r="E3703" s="6" t="s">
        <v>1597</v>
      </c>
      <c r="F3703" s="7" t="s">
        <v>58</v>
      </c>
      <c r="G3703" s="120" t="s">
        <v>336</v>
      </c>
      <c r="H3703" s="151" t="s">
        <v>5485</v>
      </c>
      <c r="I3703" s="122">
        <v>0</v>
      </c>
      <c r="J3703" s="122">
        <v>0</v>
      </c>
      <c r="K3703" s="122">
        <v>0</v>
      </c>
      <c r="L3703" s="122">
        <v>0</v>
      </c>
      <c r="M3703" s="122">
        <v>0</v>
      </c>
      <c r="N3703" s="122">
        <v>0</v>
      </c>
      <c r="O3703" s="122">
        <v>0</v>
      </c>
      <c r="P3703" s="76">
        <v>0</v>
      </c>
      <c r="Q3703" s="122" t="s">
        <v>154</v>
      </c>
    </row>
    <row r="3704" spans="1:17" ht="64.5" x14ac:dyDescent="0.25">
      <c r="A3704" s="119">
        <v>40443</v>
      </c>
      <c r="B3704" s="119">
        <v>40443</v>
      </c>
      <c r="C3704" s="122">
        <v>2010</v>
      </c>
      <c r="D3704" s="35" t="s">
        <v>17</v>
      </c>
      <c r="E3704" s="145" t="s">
        <v>844</v>
      </c>
      <c r="F3704" s="7" t="s">
        <v>58</v>
      </c>
      <c r="G3704" s="120" t="s">
        <v>724</v>
      </c>
      <c r="H3704" s="151" t="s">
        <v>5486</v>
      </c>
      <c r="I3704" s="122">
        <v>0</v>
      </c>
      <c r="J3704" s="122">
        <v>0</v>
      </c>
      <c r="K3704" s="122">
        <v>0</v>
      </c>
      <c r="L3704" s="122">
        <v>0</v>
      </c>
      <c r="M3704" s="122">
        <v>0</v>
      </c>
      <c r="N3704" s="122">
        <v>0</v>
      </c>
      <c r="O3704" s="122">
        <v>0</v>
      </c>
      <c r="P3704" s="76">
        <v>0</v>
      </c>
      <c r="Q3704" s="122" t="s">
        <v>154</v>
      </c>
    </row>
    <row r="3705" spans="1:17" ht="77.25" x14ac:dyDescent="0.25">
      <c r="A3705" s="119">
        <v>40444</v>
      </c>
      <c r="B3705" s="119">
        <v>40444</v>
      </c>
      <c r="C3705" s="122">
        <v>2010</v>
      </c>
      <c r="D3705" s="35" t="s">
        <v>17</v>
      </c>
      <c r="E3705" s="145" t="s">
        <v>1600</v>
      </c>
      <c r="F3705" s="7" t="s">
        <v>58</v>
      </c>
      <c r="G3705" s="120" t="s">
        <v>5487</v>
      </c>
      <c r="H3705" s="151" t="s">
        <v>5488</v>
      </c>
      <c r="I3705" s="122">
        <v>0</v>
      </c>
      <c r="J3705" s="122">
        <v>0</v>
      </c>
      <c r="K3705" s="122">
        <v>0</v>
      </c>
      <c r="L3705" s="122">
        <v>0</v>
      </c>
      <c r="M3705" s="122">
        <v>0</v>
      </c>
      <c r="N3705" s="122">
        <v>0</v>
      </c>
      <c r="O3705" s="122">
        <v>0</v>
      </c>
      <c r="P3705" s="76">
        <v>0</v>
      </c>
      <c r="Q3705" s="122" t="s">
        <v>154</v>
      </c>
    </row>
    <row r="3706" spans="1:17" ht="51.75" x14ac:dyDescent="0.25">
      <c r="A3706" s="119">
        <v>40444</v>
      </c>
      <c r="B3706" s="119">
        <v>40444</v>
      </c>
      <c r="C3706" s="122">
        <v>2010</v>
      </c>
      <c r="D3706" s="35" t="s">
        <v>17</v>
      </c>
      <c r="E3706" s="22" t="s">
        <v>2964</v>
      </c>
      <c r="F3706" s="7" t="s">
        <v>58</v>
      </c>
      <c r="G3706" s="120" t="s">
        <v>1194</v>
      </c>
      <c r="H3706" s="151" t="s">
        <v>5489</v>
      </c>
      <c r="I3706" s="122">
        <v>0</v>
      </c>
      <c r="J3706" s="122">
        <v>0</v>
      </c>
      <c r="K3706" s="122">
        <v>0</v>
      </c>
      <c r="L3706" s="122">
        <v>0</v>
      </c>
      <c r="M3706" s="122">
        <v>0</v>
      </c>
      <c r="N3706" s="122">
        <v>0</v>
      </c>
      <c r="O3706" s="122">
        <v>0</v>
      </c>
      <c r="P3706" s="76">
        <v>0</v>
      </c>
      <c r="Q3706" s="122" t="s">
        <v>154</v>
      </c>
    </row>
    <row r="3707" spans="1:17" ht="90" x14ac:dyDescent="0.25">
      <c r="A3707" s="119">
        <v>40448</v>
      </c>
      <c r="B3707" s="119">
        <v>40448</v>
      </c>
      <c r="C3707" s="122">
        <v>2010</v>
      </c>
      <c r="D3707" s="35" t="s">
        <v>17</v>
      </c>
      <c r="E3707" s="145" t="s">
        <v>1600</v>
      </c>
      <c r="F3707" s="7" t="s">
        <v>58</v>
      </c>
      <c r="G3707" s="120" t="s">
        <v>5490</v>
      </c>
      <c r="H3707" s="151" t="s">
        <v>5491</v>
      </c>
      <c r="I3707" s="122">
        <v>0</v>
      </c>
      <c r="J3707" s="122">
        <v>0</v>
      </c>
      <c r="K3707" s="122">
        <v>0</v>
      </c>
      <c r="L3707" s="122">
        <v>0</v>
      </c>
      <c r="M3707" s="122">
        <v>0</v>
      </c>
      <c r="N3707" s="122">
        <v>0</v>
      </c>
      <c r="O3707" s="122">
        <v>0</v>
      </c>
      <c r="P3707" s="76">
        <v>0</v>
      </c>
      <c r="Q3707" s="122" t="s">
        <v>154</v>
      </c>
    </row>
    <row r="3708" spans="1:17" ht="64.5" x14ac:dyDescent="0.25">
      <c r="A3708" s="119">
        <v>40472</v>
      </c>
      <c r="B3708" s="119">
        <v>40472</v>
      </c>
      <c r="C3708" s="122">
        <v>2010</v>
      </c>
      <c r="D3708" s="35" t="s">
        <v>17</v>
      </c>
      <c r="E3708" s="6" t="s">
        <v>1597</v>
      </c>
      <c r="F3708" s="7" t="s">
        <v>36</v>
      </c>
      <c r="G3708" s="120" t="s">
        <v>5492</v>
      </c>
      <c r="H3708" s="151" t="s">
        <v>5493</v>
      </c>
      <c r="I3708" s="122">
        <v>0</v>
      </c>
      <c r="J3708" s="122">
        <v>156</v>
      </c>
      <c r="K3708" s="122">
        <v>34</v>
      </c>
      <c r="L3708" s="122">
        <v>0</v>
      </c>
      <c r="M3708" s="122">
        <v>0</v>
      </c>
      <c r="N3708" s="122">
        <v>0</v>
      </c>
      <c r="O3708" s="122">
        <v>0</v>
      </c>
      <c r="P3708" s="76">
        <v>3.2607360000000001</v>
      </c>
      <c r="Q3708" s="122" t="s">
        <v>154</v>
      </c>
    </row>
    <row r="3709" spans="1:17" ht="128.25" x14ac:dyDescent="0.25">
      <c r="A3709" s="119">
        <v>40474</v>
      </c>
      <c r="B3709" s="119">
        <v>40474</v>
      </c>
      <c r="C3709" s="122">
        <v>2010</v>
      </c>
      <c r="D3709" s="35" t="s">
        <v>17</v>
      </c>
      <c r="E3709" s="6" t="s">
        <v>1597</v>
      </c>
      <c r="F3709" s="7" t="s">
        <v>72</v>
      </c>
      <c r="G3709" s="120" t="s">
        <v>5494</v>
      </c>
      <c r="H3709" s="151" t="s">
        <v>5495</v>
      </c>
      <c r="I3709" s="122">
        <v>0</v>
      </c>
      <c r="J3709" s="122">
        <v>175</v>
      </c>
      <c r="K3709" s="122">
        <v>35</v>
      </c>
      <c r="L3709" s="122">
        <v>0</v>
      </c>
      <c r="M3709" s="122">
        <v>0</v>
      </c>
      <c r="N3709" s="122">
        <v>0</v>
      </c>
      <c r="O3709" s="122">
        <v>0</v>
      </c>
      <c r="P3709" s="76">
        <v>33.566400000000002</v>
      </c>
      <c r="Q3709" s="122" t="s">
        <v>154</v>
      </c>
    </row>
    <row r="3710" spans="1:17" ht="77.25" x14ac:dyDescent="0.25">
      <c r="A3710" s="119">
        <v>40477</v>
      </c>
      <c r="B3710" s="119">
        <v>40477</v>
      </c>
      <c r="C3710" s="122">
        <v>2010</v>
      </c>
      <c r="D3710" s="35" t="s">
        <v>17</v>
      </c>
      <c r="E3710" s="6" t="s">
        <v>1597</v>
      </c>
      <c r="F3710" s="7" t="s">
        <v>53</v>
      </c>
      <c r="G3710" s="120" t="s">
        <v>5496</v>
      </c>
      <c r="H3710" s="151" t="s">
        <v>5497</v>
      </c>
      <c r="I3710" s="122">
        <v>0</v>
      </c>
      <c r="J3710" s="122">
        <v>0</v>
      </c>
      <c r="K3710" s="122">
        <v>0</v>
      </c>
      <c r="L3710" s="122">
        <v>0</v>
      </c>
      <c r="M3710" s="122">
        <v>0</v>
      </c>
      <c r="N3710" s="122">
        <v>0</v>
      </c>
      <c r="O3710" s="122">
        <v>0</v>
      </c>
      <c r="P3710" s="76">
        <v>0</v>
      </c>
      <c r="Q3710" s="122" t="s">
        <v>154</v>
      </c>
    </row>
    <row r="3711" spans="1:17" ht="51.75" x14ac:dyDescent="0.25">
      <c r="A3711" s="119">
        <v>40479</v>
      </c>
      <c r="B3711" s="119">
        <v>40479</v>
      </c>
      <c r="C3711" s="122">
        <v>2010</v>
      </c>
      <c r="D3711" s="35" t="s">
        <v>17</v>
      </c>
      <c r="E3711" s="22" t="s">
        <v>2964</v>
      </c>
      <c r="F3711" s="7" t="s">
        <v>53</v>
      </c>
      <c r="G3711" s="120" t="s">
        <v>416</v>
      </c>
      <c r="H3711" s="151" t="s">
        <v>5498</v>
      </c>
      <c r="I3711" s="122">
        <v>0</v>
      </c>
      <c r="J3711" s="122">
        <v>1075</v>
      </c>
      <c r="K3711" s="122">
        <v>215</v>
      </c>
      <c r="L3711" s="122">
        <v>0</v>
      </c>
      <c r="M3711" s="122">
        <v>0</v>
      </c>
      <c r="N3711" s="122">
        <v>0</v>
      </c>
      <c r="O3711" s="122">
        <v>0</v>
      </c>
      <c r="P3711" s="76">
        <v>5.6912219999999998</v>
      </c>
      <c r="Q3711" s="122" t="s">
        <v>154</v>
      </c>
    </row>
    <row r="3712" spans="1:17" ht="166.5" x14ac:dyDescent="0.25">
      <c r="A3712" s="119">
        <v>40398</v>
      </c>
      <c r="B3712" s="119">
        <v>40398</v>
      </c>
      <c r="C3712" s="122">
        <v>2010</v>
      </c>
      <c r="D3712" s="35" t="s">
        <v>17</v>
      </c>
      <c r="E3712" s="6" t="s">
        <v>1597</v>
      </c>
      <c r="F3712" s="7" t="s">
        <v>36</v>
      </c>
      <c r="G3712" s="120" t="s">
        <v>5499</v>
      </c>
      <c r="H3712" s="151" t="s">
        <v>5500</v>
      </c>
      <c r="I3712" s="122">
        <v>19</v>
      </c>
      <c r="J3712" s="122">
        <v>19</v>
      </c>
      <c r="K3712" s="122">
        <v>0</v>
      </c>
      <c r="L3712" s="122">
        <v>0</v>
      </c>
      <c r="M3712" s="122">
        <v>0</v>
      </c>
      <c r="N3712" s="122">
        <v>0</v>
      </c>
      <c r="O3712" s="122">
        <v>0</v>
      </c>
      <c r="P3712" s="76">
        <v>0</v>
      </c>
      <c r="Q3712" s="122" t="s">
        <v>22</v>
      </c>
    </row>
    <row r="3713" spans="1:17" ht="141" x14ac:dyDescent="0.25">
      <c r="A3713" s="119">
        <v>40486</v>
      </c>
      <c r="B3713" s="119">
        <v>40486</v>
      </c>
      <c r="C3713" s="122">
        <v>2010</v>
      </c>
      <c r="D3713" s="35" t="s">
        <v>17</v>
      </c>
      <c r="E3713" s="6" t="s">
        <v>1597</v>
      </c>
      <c r="F3713" s="7" t="s">
        <v>75</v>
      </c>
      <c r="G3713" s="120" t="s">
        <v>5367</v>
      </c>
      <c r="H3713" s="151" t="s">
        <v>5501</v>
      </c>
      <c r="I3713" s="122">
        <v>0</v>
      </c>
      <c r="J3713" s="122">
        <v>5</v>
      </c>
      <c r="K3713" s="122">
        <v>0</v>
      </c>
      <c r="L3713" s="122">
        <v>0</v>
      </c>
      <c r="M3713" s="122">
        <v>0</v>
      </c>
      <c r="N3713" s="122">
        <v>1</v>
      </c>
      <c r="O3713" s="122">
        <v>0</v>
      </c>
      <c r="P3713" s="76">
        <v>0</v>
      </c>
      <c r="Q3713" s="122" t="s">
        <v>154</v>
      </c>
    </row>
    <row r="3714" spans="1:17" ht="153.75" x14ac:dyDescent="0.25">
      <c r="A3714" s="119">
        <v>40379</v>
      </c>
      <c r="B3714" s="119">
        <v>40379</v>
      </c>
      <c r="C3714" s="122">
        <v>2010</v>
      </c>
      <c r="D3714" s="35" t="s">
        <v>17</v>
      </c>
      <c r="E3714" s="6" t="s">
        <v>1597</v>
      </c>
      <c r="F3714" s="7" t="s">
        <v>72</v>
      </c>
      <c r="G3714" s="120" t="s">
        <v>5502</v>
      </c>
      <c r="H3714" s="151" t="s">
        <v>5503</v>
      </c>
      <c r="I3714" s="122">
        <v>11</v>
      </c>
      <c r="J3714" s="122">
        <v>11</v>
      </c>
      <c r="K3714" s="122">
        <v>0</v>
      </c>
      <c r="L3714" s="122">
        <v>0</v>
      </c>
      <c r="M3714" s="122">
        <v>0</v>
      </c>
      <c r="N3714" s="122">
        <v>0</v>
      </c>
      <c r="O3714" s="122">
        <v>0</v>
      </c>
      <c r="P3714" s="76">
        <v>0</v>
      </c>
      <c r="Q3714" s="122" t="s">
        <v>22</v>
      </c>
    </row>
    <row r="3715" spans="1:17" ht="64.5" x14ac:dyDescent="0.25">
      <c r="A3715" s="119">
        <v>40519</v>
      </c>
      <c r="B3715" s="119">
        <v>40519</v>
      </c>
      <c r="C3715" s="122">
        <v>2010</v>
      </c>
      <c r="D3715" s="35" t="s">
        <v>17</v>
      </c>
      <c r="E3715" s="145" t="s">
        <v>1600</v>
      </c>
      <c r="F3715" s="7" t="s">
        <v>58</v>
      </c>
      <c r="G3715" s="120" t="s">
        <v>3643</v>
      </c>
      <c r="H3715" s="151" t="s">
        <v>5504</v>
      </c>
      <c r="I3715" s="122">
        <v>1</v>
      </c>
      <c r="J3715" s="122">
        <v>2</v>
      </c>
      <c r="K3715" s="122">
        <v>0</v>
      </c>
      <c r="L3715" s="122">
        <v>0</v>
      </c>
      <c r="M3715" s="122">
        <v>0</v>
      </c>
      <c r="N3715" s="122">
        <v>0</v>
      </c>
      <c r="O3715" s="122">
        <v>0</v>
      </c>
      <c r="P3715" s="76">
        <v>0</v>
      </c>
      <c r="Q3715" s="122" t="s">
        <v>154</v>
      </c>
    </row>
    <row r="3716" spans="1:17" ht="39" x14ac:dyDescent="0.25">
      <c r="A3716" s="119">
        <v>40199</v>
      </c>
      <c r="B3716" s="119">
        <v>40199</v>
      </c>
      <c r="C3716" s="122">
        <v>2010</v>
      </c>
      <c r="D3716" s="35" t="s">
        <v>28</v>
      </c>
      <c r="E3716" s="145" t="s">
        <v>369</v>
      </c>
      <c r="F3716" s="7" t="s">
        <v>30</v>
      </c>
      <c r="G3716" s="120" t="s">
        <v>1070</v>
      </c>
      <c r="H3716" s="151" t="s">
        <v>5505</v>
      </c>
      <c r="I3716" s="122">
        <v>0</v>
      </c>
      <c r="J3716" s="122">
        <v>0</v>
      </c>
      <c r="K3716" s="122">
        <v>0</v>
      </c>
      <c r="L3716" s="122">
        <v>0</v>
      </c>
      <c r="M3716" s="122">
        <v>0</v>
      </c>
      <c r="N3716" s="122">
        <v>0</v>
      </c>
      <c r="O3716" s="122">
        <v>0</v>
      </c>
      <c r="P3716" s="76">
        <v>0</v>
      </c>
      <c r="Q3716" s="122" t="s">
        <v>154</v>
      </c>
    </row>
    <row r="3717" spans="1:17" ht="128.25" x14ac:dyDescent="0.25">
      <c r="A3717" s="119">
        <v>40340</v>
      </c>
      <c r="B3717" s="119">
        <v>40340</v>
      </c>
      <c r="C3717" s="122">
        <v>2010</v>
      </c>
      <c r="D3717" s="35" t="s">
        <v>28</v>
      </c>
      <c r="E3717" s="22" t="s">
        <v>2933</v>
      </c>
      <c r="F3717" s="28" t="s">
        <v>151</v>
      </c>
      <c r="G3717" s="120" t="s">
        <v>5506</v>
      </c>
      <c r="H3717" s="151" t="s">
        <v>5507</v>
      </c>
      <c r="I3717" s="122">
        <v>0</v>
      </c>
      <c r="J3717" s="122">
        <v>0</v>
      </c>
      <c r="K3717" s="122">
        <v>0</v>
      </c>
      <c r="L3717" s="122">
        <v>0</v>
      </c>
      <c r="M3717" s="122">
        <v>0</v>
      </c>
      <c r="N3717" s="122">
        <v>0</v>
      </c>
      <c r="O3717" s="122">
        <v>0</v>
      </c>
      <c r="P3717" s="76">
        <v>0</v>
      </c>
      <c r="Q3717" s="122" t="s">
        <v>154</v>
      </c>
    </row>
    <row r="3718" spans="1:17" ht="51.75" x14ac:dyDescent="0.25">
      <c r="A3718" s="119">
        <v>40326</v>
      </c>
      <c r="B3718" s="119">
        <v>40326</v>
      </c>
      <c r="C3718" s="122">
        <v>2010</v>
      </c>
      <c r="D3718" s="35" t="s">
        <v>28</v>
      </c>
      <c r="E3718" s="145" t="s">
        <v>5508</v>
      </c>
      <c r="F3718" s="7" t="s">
        <v>91</v>
      </c>
      <c r="G3718" s="120" t="s">
        <v>750</v>
      </c>
      <c r="H3718" s="151" t="s">
        <v>5509</v>
      </c>
      <c r="I3718" s="122">
        <v>0</v>
      </c>
      <c r="J3718" s="122">
        <v>10</v>
      </c>
      <c r="K3718" s="122">
        <v>0</v>
      </c>
      <c r="L3718" s="122">
        <v>0</v>
      </c>
      <c r="M3718" s="122">
        <v>0</v>
      </c>
      <c r="N3718" s="122">
        <v>10</v>
      </c>
      <c r="O3718" s="122">
        <v>0</v>
      </c>
      <c r="P3718" s="76">
        <v>0.1</v>
      </c>
      <c r="Q3718" s="122" t="s">
        <v>154</v>
      </c>
    </row>
    <row r="3719" spans="1:17" ht="39" x14ac:dyDescent="0.25">
      <c r="A3719" s="119">
        <v>40197</v>
      </c>
      <c r="B3719" s="119">
        <v>40197</v>
      </c>
      <c r="C3719" s="122">
        <v>2010</v>
      </c>
      <c r="D3719" s="35" t="s">
        <v>28</v>
      </c>
      <c r="E3719" s="145" t="s">
        <v>5508</v>
      </c>
      <c r="F3719" s="7" t="s">
        <v>36</v>
      </c>
      <c r="G3719" s="120" t="s">
        <v>522</v>
      </c>
      <c r="H3719" s="151" t="s">
        <v>5510</v>
      </c>
      <c r="I3719" s="122">
        <v>0</v>
      </c>
      <c r="J3719" s="122">
        <v>35</v>
      </c>
      <c r="K3719" s="122">
        <v>0</v>
      </c>
      <c r="L3719" s="122">
        <v>0</v>
      </c>
      <c r="M3719" s="122">
        <v>0</v>
      </c>
      <c r="N3719" s="122">
        <v>35</v>
      </c>
      <c r="O3719" s="122">
        <v>0</v>
      </c>
      <c r="P3719" s="76">
        <v>0.35</v>
      </c>
      <c r="Q3719" s="122" t="s">
        <v>154</v>
      </c>
    </row>
    <row r="3720" spans="1:17" ht="26.25" x14ac:dyDescent="0.25">
      <c r="A3720" s="119">
        <v>40231</v>
      </c>
      <c r="B3720" s="119">
        <v>40231</v>
      </c>
      <c r="C3720" s="122">
        <v>2010</v>
      </c>
      <c r="D3720" s="35" t="s">
        <v>28</v>
      </c>
      <c r="E3720" s="145" t="s">
        <v>125</v>
      </c>
      <c r="F3720" s="7" t="s">
        <v>40</v>
      </c>
      <c r="G3720" s="120" t="s">
        <v>40</v>
      </c>
      <c r="H3720" s="151" t="s">
        <v>5511</v>
      </c>
      <c r="I3720" s="122">
        <v>0</v>
      </c>
      <c r="J3720" s="122">
        <v>50</v>
      </c>
      <c r="K3720" s="122">
        <v>0</v>
      </c>
      <c r="L3720" s="122">
        <v>0</v>
      </c>
      <c r="M3720" s="122">
        <v>0</v>
      </c>
      <c r="N3720" s="122">
        <v>0</v>
      </c>
      <c r="O3720" s="122">
        <v>0</v>
      </c>
      <c r="P3720" s="76">
        <v>0</v>
      </c>
      <c r="Q3720" s="122" t="s">
        <v>154</v>
      </c>
    </row>
    <row r="3721" spans="1:17" ht="26.25" x14ac:dyDescent="0.25">
      <c r="A3721" s="119">
        <v>40400</v>
      </c>
      <c r="B3721" s="119">
        <v>40400</v>
      </c>
      <c r="C3721" s="122">
        <v>2010</v>
      </c>
      <c r="D3721" s="35" t="s">
        <v>28</v>
      </c>
      <c r="E3721" s="145" t="s">
        <v>5508</v>
      </c>
      <c r="F3721" s="28" t="s">
        <v>157</v>
      </c>
      <c r="G3721" s="120" t="s">
        <v>5512</v>
      </c>
      <c r="H3721" s="151" t="s">
        <v>5513</v>
      </c>
      <c r="I3721" s="122">
        <v>0</v>
      </c>
      <c r="J3721" s="122">
        <v>0</v>
      </c>
      <c r="K3721" s="122">
        <v>0</v>
      </c>
      <c r="L3721" s="122">
        <v>0</v>
      </c>
      <c r="M3721" s="122">
        <v>0</v>
      </c>
      <c r="N3721" s="122">
        <v>0</v>
      </c>
      <c r="O3721" s="122">
        <v>0</v>
      </c>
      <c r="P3721" s="76">
        <v>0</v>
      </c>
      <c r="Q3721" s="122" t="s">
        <v>154</v>
      </c>
    </row>
    <row r="3722" spans="1:17" ht="179.25" x14ac:dyDescent="0.25">
      <c r="A3722" s="119">
        <v>40308</v>
      </c>
      <c r="B3722" s="119">
        <v>40308</v>
      </c>
      <c r="C3722" s="122">
        <v>2010</v>
      </c>
      <c r="D3722" s="35" t="s">
        <v>28</v>
      </c>
      <c r="E3722" s="145" t="s">
        <v>125</v>
      </c>
      <c r="F3722" s="25" t="s">
        <v>781</v>
      </c>
      <c r="G3722" s="120" t="s">
        <v>5514</v>
      </c>
      <c r="H3722" s="151" t="s">
        <v>5515</v>
      </c>
      <c r="I3722" s="122">
        <v>0</v>
      </c>
      <c r="J3722" s="122">
        <v>18</v>
      </c>
      <c r="K3722" s="122">
        <v>0</v>
      </c>
      <c r="L3722" s="122">
        <v>0</v>
      </c>
      <c r="M3722" s="122">
        <v>0</v>
      </c>
      <c r="N3722" s="122">
        <v>0</v>
      </c>
      <c r="O3722" s="122">
        <v>0</v>
      </c>
      <c r="P3722" s="76">
        <v>0</v>
      </c>
      <c r="Q3722" s="122" t="s">
        <v>154</v>
      </c>
    </row>
    <row r="3723" spans="1:17" ht="128.25" x14ac:dyDescent="0.25">
      <c r="A3723" s="119">
        <v>40402</v>
      </c>
      <c r="B3723" s="119">
        <v>40402</v>
      </c>
      <c r="C3723" s="122">
        <v>2010</v>
      </c>
      <c r="D3723" s="35" t="s">
        <v>28</v>
      </c>
      <c r="E3723" s="145" t="s">
        <v>5508</v>
      </c>
      <c r="F3723" s="7" t="s">
        <v>80</v>
      </c>
      <c r="G3723" s="120" t="s">
        <v>1089</v>
      </c>
      <c r="H3723" s="151" t="s">
        <v>5516</v>
      </c>
      <c r="I3723" s="122">
        <v>0</v>
      </c>
      <c r="J3723" s="122">
        <v>0</v>
      </c>
      <c r="K3723" s="122">
        <v>0</v>
      </c>
      <c r="L3723" s="122">
        <v>0</v>
      </c>
      <c r="M3723" s="122">
        <v>0</v>
      </c>
      <c r="N3723" s="122">
        <v>0</v>
      </c>
      <c r="O3723" s="122">
        <v>0</v>
      </c>
      <c r="P3723" s="76">
        <v>0</v>
      </c>
      <c r="Q3723" s="122" t="s">
        <v>154</v>
      </c>
    </row>
    <row r="3724" spans="1:17" ht="230.25" x14ac:dyDescent="0.25">
      <c r="A3724" s="119">
        <v>40403</v>
      </c>
      <c r="B3724" s="119">
        <v>40403</v>
      </c>
      <c r="C3724" s="122">
        <v>2010</v>
      </c>
      <c r="D3724" s="35" t="s">
        <v>28</v>
      </c>
      <c r="E3724" s="145" t="s">
        <v>369</v>
      </c>
      <c r="F3724" s="28" t="s">
        <v>210</v>
      </c>
      <c r="G3724" s="120" t="s">
        <v>5517</v>
      </c>
      <c r="H3724" s="151" t="s">
        <v>5518</v>
      </c>
      <c r="I3724" s="122">
        <v>0</v>
      </c>
      <c r="J3724" s="122">
        <v>0</v>
      </c>
      <c r="K3724" s="122">
        <v>0</v>
      </c>
      <c r="L3724" s="122">
        <v>0</v>
      </c>
      <c r="M3724" s="122">
        <v>0</v>
      </c>
      <c r="N3724" s="122">
        <v>0</v>
      </c>
      <c r="O3724" s="122">
        <v>0</v>
      </c>
      <c r="P3724" s="76">
        <v>0</v>
      </c>
      <c r="Q3724" s="122" t="s">
        <v>154</v>
      </c>
    </row>
    <row r="3725" spans="1:17" ht="64.5" x14ac:dyDescent="0.25">
      <c r="A3725" s="119">
        <v>40405</v>
      </c>
      <c r="B3725" s="119">
        <v>40405</v>
      </c>
      <c r="C3725" s="122">
        <v>2010</v>
      </c>
      <c r="D3725" s="35" t="s">
        <v>28</v>
      </c>
      <c r="E3725" s="145" t="s">
        <v>125</v>
      </c>
      <c r="F3725" s="7" t="s">
        <v>56</v>
      </c>
      <c r="G3725" s="120" t="s">
        <v>5519</v>
      </c>
      <c r="H3725" s="151" t="s">
        <v>5520</v>
      </c>
      <c r="I3725" s="122">
        <v>0</v>
      </c>
      <c r="J3725" s="122">
        <v>2</v>
      </c>
      <c r="K3725" s="122">
        <v>0</v>
      </c>
      <c r="L3725" s="122">
        <v>0</v>
      </c>
      <c r="M3725" s="122">
        <v>0</v>
      </c>
      <c r="N3725" s="122">
        <v>0</v>
      </c>
      <c r="O3725" s="122">
        <v>0</v>
      </c>
      <c r="P3725" s="76">
        <v>0</v>
      </c>
      <c r="Q3725" s="122" t="s">
        <v>154</v>
      </c>
    </row>
    <row r="3726" spans="1:17" ht="141" x14ac:dyDescent="0.25">
      <c r="A3726" s="119">
        <v>40408</v>
      </c>
      <c r="B3726" s="119">
        <v>40408</v>
      </c>
      <c r="C3726" s="122">
        <v>2010</v>
      </c>
      <c r="D3726" s="35" t="s">
        <v>28</v>
      </c>
      <c r="E3726" s="145" t="s">
        <v>125</v>
      </c>
      <c r="F3726" s="7" t="s">
        <v>68</v>
      </c>
      <c r="G3726" s="120" t="s">
        <v>1121</v>
      </c>
      <c r="H3726" s="151" t="s">
        <v>5521</v>
      </c>
      <c r="I3726" s="122">
        <v>0</v>
      </c>
      <c r="J3726" s="122">
        <v>0</v>
      </c>
      <c r="K3726" s="122">
        <v>0</v>
      </c>
      <c r="L3726" s="122">
        <v>0</v>
      </c>
      <c r="M3726" s="122">
        <v>0</v>
      </c>
      <c r="N3726" s="122">
        <v>0</v>
      </c>
      <c r="O3726" s="122">
        <v>0</v>
      </c>
      <c r="P3726" s="76">
        <v>0</v>
      </c>
      <c r="Q3726" s="122" t="s">
        <v>154</v>
      </c>
    </row>
    <row r="3727" spans="1:17" ht="115.5" x14ac:dyDescent="0.25">
      <c r="A3727" s="119">
        <v>40475</v>
      </c>
      <c r="B3727" s="119">
        <v>40475</v>
      </c>
      <c r="C3727" s="122">
        <v>2010</v>
      </c>
      <c r="D3727" s="35" t="s">
        <v>28</v>
      </c>
      <c r="E3727" s="22" t="s">
        <v>2933</v>
      </c>
      <c r="F3727" s="7" t="s">
        <v>60</v>
      </c>
      <c r="G3727" s="120" t="s">
        <v>908</v>
      </c>
      <c r="H3727" s="151" t="s">
        <v>5522</v>
      </c>
      <c r="I3727" s="122">
        <v>0</v>
      </c>
      <c r="J3727" s="122">
        <v>4</v>
      </c>
      <c r="K3727" s="122">
        <v>0</v>
      </c>
      <c r="L3727" s="122">
        <v>0</v>
      </c>
      <c r="M3727" s="122">
        <v>0</v>
      </c>
      <c r="N3727" s="122">
        <v>0</v>
      </c>
      <c r="O3727" s="122">
        <v>0</v>
      </c>
      <c r="P3727" s="76">
        <v>2.7930000000000001E-4</v>
      </c>
      <c r="Q3727" s="122" t="s">
        <v>154</v>
      </c>
    </row>
    <row r="3728" spans="1:17" ht="77.25" x14ac:dyDescent="0.25">
      <c r="A3728" s="119">
        <v>40416</v>
      </c>
      <c r="B3728" s="119">
        <v>40416</v>
      </c>
      <c r="C3728" s="122">
        <v>2010</v>
      </c>
      <c r="D3728" s="35" t="s">
        <v>28</v>
      </c>
      <c r="E3728" s="22" t="s">
        <v>2933</v>
      </c>
      <c r="F3728" s="7" t="s">
        <v>60</v>
      </c>
      <c r="G3728" s="120" t="s">
        <v>307</v>
      </c>
      <c r="H3728" s="151" t="s">
        <v>5523</v>
      </c>
      <c r="I3728" s="122">
        <v>0</v>
      </c>
      <c r="J3728" s="122">
        <v>9</v>
      </c>
      <c r="K3728" s="122">
        <v>0</v>
      </c>
      <c r="L3728" s="122">
        <v>0</v>
      </c>
      <c r="M3728" s="122">
        <v>0</v>
      </c>
      <c r="N3728" s="122">
        <v>0</v>
      </c>
      <c r="O3728" s="122">
        <v>0</v>
      </c>
      <c r="P3728" s="76">
        <v>0</v>
      </c>
      <c r="Q3728" s="122" t="s">
        <v>154</v>
      </c>
    </row>
    <row r="3729" spans="1:17" ht="77.25" x14ac:dyDescent="0.25">
      <c r="A3729" s="119">
        <v>40417</v>
      </c>
      <c r="B3729" s="119">
        <v>40417</v>
      </c>
      <c r="C3729" s="122">
        <v>2010</v>
      </c>
      <c r="D3729" s="35" t="s">
        <v>28</v>
      </c>
      <c r="E3729" s="145" t="s">
        <v>125</v>
      </c>
      <c r="F3729" s="7" t="s">
        <v>56</v>
      </c>
      <c r="G3729" s="120" t="s">
        <v>351</v>
      </c>
      <c r="H3729" s="151" t="s">
        <v>5524</v>
      </c>
      <c r="I3729" s="122">
        <v>0</v>
      </c>
      <c r="J3729" s="122">
        <v>230</v>
      </c>
      <c r="K3729" s="122">
        <v>0</v>
      </c>
      <c r="L3729" s="122">
        <v>0</v>
      </c>
      <c r="M3729" s="122">
        <v>0</v>
      </c>
      <c r="N3729" s="122">
        <v>0</v>
      </c>
      <c r="O3729" s="122">
        <v>0</v>
      </c>
      <c r="P3729" s="76">
        <v>0</v>
      </c>
      <c r="Q3729" s="122" t="s">
        <v>154</v>
      </c>
    </row>
    <row r="3730" spans="1:17" ht="77.25" x14ac:dyDescent="0.25">
      <c r="A3730" s="119">
        <v>40423</v>
      </c>
      <c r="B3730" s="119">
        <v>40423</v>
      </c>
      <c r="C3730" s="122">
        <v>2010</v>
      </c>
      <c r="D3730" s="35" t="s">
        <v>28</v>
      </c>
      <c r="E3730" s="22" t="s">
        <v>2933</v>
      </c>
      <c r="F3730" s="7" t="s">
        <v>60</v>
      </c>
      <c r="G3730" s="120" t="s">
        <v>5525</v>
      </c>
      <c r="H3730" s="151" t="s">
        <v>5526</v>
      </c>
      <c r="I3730" s="122">
        <v>1</v>
      </c>
      <c r="J3730" s="122">
        <v>1</v>
      </c>
      <c r="K3730" s="122">
        <v>0</v>
      </c>
      <c r="L3730" s="122">
        <v>0</v>
      </c>
      <c r="M3730" s="122">
        <v>0</v>
      </c>
      <c r="N3730" s="122">
        <v>0</v>
      </c>
      <c r="O3730" s="122">
        <v>0</v>
      </c>
      <c r="P3730" s="76">
        <v>0</v>
      </c>
      <c r="Q3730" s="122" t="s">
        <v>154</v>
      </c>
    </row>
    <row r="3731" spans="1:17" ht="141" x14ac:dyDescent="0.25">
      <c r="A3731" s="119">
        <v>40428</v>
      </c>
      <c r="B3731" s="119">
        <v>40428</v>
      </c>
      <c r="C3731" s="122">
        <v>2010</v>
      </c>
      <c r="D3731" s="35" t="s">
        <v>28</v>
      </c>
      <c r="E3731" s="22" t="s">
        <v>2933</v>
      </c>
      <c r="F3731" s="7" t="s">
        <v>68</v>
      </c>
      <c r="G3731" s="120" t="s">
        <v>4900</v>
      </c>
      <c r="H3731" s="151" t="s">
        <v>5527</v>
      </c>
      <c r="I3731" s="122">
        <v>1</v>
      </c>
      <c r="J3731" s="122">
        <v>11</v>
      </c>
      <c r="K3731" s="122">
        <v>0</v>
      </c>
      <c r="L3731" s="122">
        <v>0</v>
      </c>
      <c r="M3731" s="122">
        <v>0</v>
      </c>
      <c r="N3731" s="122">
        <v>0</v>
      </c>
      <c r="O3731" s="122">
        <v>0</v>
      </c>
      <c r="P3731" s="76">
        <v>0</v>
      </c>
      <c r="Q3731" s="122" t="s">
        <v>154</v>
      </c>
    </row>
    <row r="3732" spans="1:17" ht="128.25" x14ac:dyDescent="0.25">
      <c r="A3732" s="119">
        <v>40428</v>
      </c>
      <c r="B3732" s="119">
        <v>40428</v>
      </c>
      <c r="C3732" s="122">
        <v>2010</v>
      </c>
      <c r="D3732" s="35" t="s">
        <v>28</v>
      </c>
      <c r="E3732" s="145" t="s">
        <v>125</v>
      </c>
      <c r="F3732" s="7" t="s">
        <v>40</v>
      </c>
      <c r="G3732" s="120" t="s">
        <v>40</v>
      </c>
      <c r="H3732" s="151" t="s">
        <v>5528</v>
      </c>
      <c r="I3732" s="122">
        <v>0</v>
      </c>
      <c r="J3732" s="122">
        <v>35</v>
      </c>
      <c r="K3732" s="122">
        <v>0</v>
      </c>
      <c r="L3732" s="122">
        <v>0</v>
      </c>
      <c r="M3732" s="122">
        <v>0</v>
      </c>
      <c r="N3732" s="122">
        <v>0</v>
      </c>
      <c r="O3732" s="122">
        <v>0</v>
      </c>
      <c r="P3732" s="76">
        <v>9.7599999999999998E-4</v>
      </c>
      <c r="Q3732" s="122" t="s">
        <v>154</v>
      </c>
    </row>
    <row r="3733" spans="1:17" ht="115.5" x14ac:dyDescent="0.25">
      <c r="A3733" s="119">
        <v>40431</v>
      </c>
      <c r="B3733" s="119">
        <v>40431</v>
      </c>
      <c r="C3733" s="122">
        <v>2010</v>
      </c>
      <c r="D3733" s="35" t="s">
        <v>28</v>
      </c>
      <c r="E3733" s="145" t="s">
        <v>369</v>
      </c>
      <c r="F3733" s="7" t="s">
        <v>56</v>
      </c>
      <c r="G3733" s="120" t="s">
        <v>56</v>
      </c>
      <c r="H3733" s="151" t="s">
        <v>5529</v>
      </c>
      <c r="I3733" s="122">
        <v>0</v>
      </c>
      <c r="J3733" s="122">
        <v>20</v>
      </c>
      <c r="K3733" s="122">
        <v>0</v>
      </c>
      <c r="L3733" s="122">
        <v>0</v>
      </c>
      <c r="M3733" s="122">
        <v>0</v>
      </c>
      <c r="N3733" s="122">
        <v>0</v>
      </c>
      <c r="O3733" s="122">
        <v>0</v>
      </c>
      <c r="P3733" s="76">
        <v>0</v>
      </c>
      <c r="Q3733" s="122" t="s">
        <v>154</v>
      </c>
    </row>
    <row r="3734" spans="1:17" ht="141" x14ac:dyDescent="0.25">
      <c r="A3734" s="119">
        <v>40436</v>
      </c>
      <c r="B3734" s="119">
        <v>40436</v>
      </c>
      <c r="C3734" s="122">
        <v>2010</v>
      </c>
      <c r="D3734" s="35" t="s">
        <v>28</v>
      </c>
      <c r="E3734" s="145" t="s">
        <v>5508</v>
      </c>
      <c r="F3734" s="28" t="s">
        <v>157</v>
      </c>
      <c r="G3734" s="120" t="s">
        <v>5530</v>
      </c>
      <c r="H3734" s="151" t="s">
        <v>5531</v>
      </c>
      <c r="I3734" s="122">
        <v>0</v>
      </c>
      <c r="J3734" s="122">
        <v>3</v>
      </c>
      <c r="K3734" s="122">
        <v>0</v>
      </c>
      <c r="L3734" s="122">
        <v>0</v>
      </c>
      <c r="M3734" s="122">
        <v>0</v>
      </c>
      <c r="N3734" s="122">
        <v>0</v>
      </c>
      <c r="O3734" s="122">
        <v>0</v>
      </c>
      <c r="P3734" s="76">
        <v>0</v>
      </c>
      <c r="Q3734" s="122" t="s">
        <v>154</v>
      </c>
    </row>
    <row r="3735" spans="1:17" ht="102.75" x14ac:dyDescent="0.25">
      <c r="A3735" s="119">
        <v>40436</v>
      </c>
      <c r="B3735" s="119">
        <v>40436</v>
      </c>
      <c r="C3735" s="122">
        <v>2010</v>
      </c>
      <c r="D3735" s="35" t="s">
        <v>28</v>
      </c>
      <c r="E3735" s="145" t="s">
        <v>5508</v>
      </c>
      <c r="F3735" s="7" t="s">
        <v>82</v>
      </c>
      <c r="G3735" s="120" t="s">
        <v>82</v>
      </c>
      <c r="H3735" s="151" t="s">
        <v>5532</v>
      </c>
      <c r="I3735" s="122">
        <v>0</v>
      </c>
      <c r="J3735" s="122">
        <v>20</v>
      </c>
      <c r="K3735" s="122">
        <v>0</v>
      </c>
      <c r="L3735" s="122">
        <v>0</v>
      </c>
      <c r="M3735" s="122">
        <v>0</v>
      </c>
      <c r="N3735" s="122">
        <v>0</v>
      </c>
      <c r="O3735" s="122">
        <v>0</v>
      </c>
      <c r="P3735" s="76">
        <v>0</v>
      </c>
      <c r="Q3735" s="122" t="s">
        <v>154</v>
      </c>
    </row>
    <row r="3736" spans="1:17" ht="141" x14ac:dyDescent="0.25">
      <c r="A3736" s="119">
        <v>40441</v>
      </c>
      <c r="B3736" s="119">
        <v>40441</v>
      </c>
      <c r="C3736" s="122">
        <v>2010</v>
      </c>
      <c r="D3736" s="35" t="s">
        <v>28</v>
      </c>
      <c r="E3736" s="145" t="s">
        <v>5508</v>
      </c>
      <c r="F3736" s="7" t="s">
        <v>53</v>
      </c>
      <c r="G3736" s="120" t="s">
        <v>5533</v>
      </c>
      <c r="H3736" s="151" t="s">
        <v>5534</v>
      </c>
      <c r="I3736" s="122">
        <v>0</v>
      </c>
      <c r="J3736" s="122">
        <v>1</v>
      </c>
      <c r="K3736" s="122">
        <v>0</v>
      </c>
      <c r="L3736" s="122">
        <v>0</v>
      </c>
      <c r="M3736" s="122">
        <v>0</v>
      </c>
      <c r="N3736" s="122">
        <v>0</v>
      </c>
      <c r="O3736" s="122">
        <v>0</v>
      </c>
      <c r="P3736" s="76">
        <v>0</v>
      </c>
      <c r="Q3736" s="122" t="s">
        <v>154</v>
      </c>
    </row>
    <row r="3737" spans="1:17" ht="90" x14ac:dyDescent="0.25">
      <c r="A3737" s="119">
        <v>40444</v>
      </c>
      <c r="B3737" s="119">
        <v>40444</v>
      </c>
      <c r="C3737" s="122">
        <v>2010</v>
      </c>
      <c r="D3737" s="35" t="s">
        <v>28</v>
      </c>
      <c r="E3737" s="22" t="s">
        <v>2933</v>
      </c>
      <c r="F3737" s="7" t="s">
        <v>53</v>
      </c>
      <c r="G3737" s="120" t="s">
        <v>2776</v>
      </c>
      <c r="H3737" s="151" t="s">
        <v>5535</v>
      </c>
      <c r="I3737" s="122">
        <v>2</v>
      </c>
      <c r="J3737" s="122">
        <v>2</v>
      </c>
      <c r="K3737" s="122">
        <v>0</v>
      </c>
      <c r="L3737" s="122">
        <v>0</v>
      </c>
      <c r="M3737" s="122">
        <v>0</v>
      </c>
      <c r="N3737" s="122">
        <v>0</v>
      </c>
      <c r="O3737" s="122">
        <v>0</v>
      </c>
      <c r="P3737" s="76">
        <v>0</v>
      </c>
      <c r="Q3737" s="122" t="s">
        <v>154</v>
      </c>
    </row>
    <row r="3738" spans="1:17" ht="64.5" x14ac:dyDescent="0.25">
      <c r="A3738" s="119">
        <v>40450</v>
      </c>
      <c r="B3738" s="119">
        <v>40450</v>
      </c>
      <c r="C3738" s="122">
        <v>2010</v>
      </c>
      <c r="D3738" s="35" t="s">
        <v>28</v>
      </c>
      <c r="E3738" s="22" t="s">
        <v>2933</v>
      </c>
      <c r="F3738" s="7" t="s">
        <v>53</v>
      </c>
      <c r="G3738" s="120" t="s">
        <v>451</v>
      </c>
      <c r="H3738" s="151" t="s">
        <v>5536</v>
      </c>
      <c r="I3738" s="122">
        <v>0</v>
      </c>
      <c r="J3738" s="122">
        <v>1</v>
      </c>
      <c r="K3738" s="122">
        <v>0</v>
      </c>
      <c r="L3738" s="122">
        <v>0</v>
      </c>
      <c r="M3738" s="122">
        <v>0</v>
      </c>
      <c r="N3738" s="122">
        <v>1</v>
      </c>
      <c r="O3738" s="122">
        <v>0</v>
      </c>
      <c r="P3738" s="76">
        <v>0.01</v>
      </c>
      <c r="Q3738" s="122" t="s">
        <v>154</v>
      </c>
    </row>
    <row r="3739" spans="1:17" ht="77.25" x14ac:dyDescent="0.25">
      <c r="A3739" s="119">
        <v>40316</v>
      </c>
      <c r="B3739" s="119">
        <v>40316</v>
      </c>
      <c r="C3739" s="122">
        <v>2010</v>
      </c>
      <c r="D3739" s="35" t="s">
        <v>28</v>
      </c>
      <c r="E3739" s="145" t="s">
        <v>5508</v>
      </c>
      <c r="F3739" s="7" t="s">
        <v>30</v>
      </c>
      <c r="G3739" s="120" t="s">
        <v>1078</v>
      </c>
      <c r="H3739" s="151" t="s">
        <v>5537</v>
      </c>
      <c r="I3739" s="122">
        <v>0</v>
      </c>
      <c r="J3739" s="122">
        <v>15</v>
      </c>
      <c r="K3739" s="122">
        <v>0</v>
      </c>
      <c r="L3739" s="122">
        <v>0</v>
      </c>
      <c r="M3739" s="122">
        <v>0</v>
      </c>
      <c r="N3739" s="122">
        <v>0</v>
      </c>
      <c r="O3739" s="122">
        <v>0</v>
      </c>
      <c r="P3739" s="76">
        <v>0</v>
      </c>
      <c r="Q3739" s="122" t="s">
        <v>154</v>
      </c>
    </row>
    <row r="3740" spans="1:17" ht="128.25" x14ac:dyDescent="0.25">
      <c r="A3740" s="119">
        <v>40478</v>
      </c>
      <c r="B3740" s="119">
        <v>40478</v>
      </c>
      <c r="C3740" s="122">
        <v>2010</v>
      </c>
      <c r="D3740" s="35" t="s">
        <v>28</v>
      </c>
      <c r="E3740" s="145" t="s">
        <v>5508</v>
      </c>
      <c r="F3740" s="7" t="s">
        <v>58</v>
      </c>
      <c r="G3740" s="120" t="s">
        <v>168</v>
      </c>
      <c r="H3740" s="151" t="s">
        <v>5538</v>
      </c>
      <c r="I3740" s="122">
        <v>0</v>
      </c>
      <c r="J3740" s="122">
        <v>3</v>
      </c>
      <c r="K3740" s="122">
        <v>0</v>
      </c>
      <c r="L3740" s="122">
        <v>0</v>
      </c>
      <c r="M3740" s="122">
        <v>0</v>
      </c>
      <c r="N3740" s="122">
        <v>0</v>
      </c>
      <c r="O3740" s="122">
        <v>0</v>
      </c>
      <c r="P3740" s="76">
        <v>0</v>
      </c>
      <c r="Q3740" s="122" t="s">
        <v>154</v>
      </c>
    </row>
    <row r="3741" spans="1:17" ht="141" x14ac:dyDescent="0.25">
      <c r="A3741" s="119">
        <v>40481</v>
      </c>
      <c r="B3741" s="119">
        <v>40481</v>
      </c>
      <c r="C3741" s="122">
        <v>2010</v>
      </c>
      <c r="D3741" s="35" t="s">
        <v>28</v>
      </c>
      <c r="E3741" s="145" t="s">
        <v>5539</v>
      </c>
      <c r="F3741" s="28" t="s">
        <v>163</v>
      </c>
      <c r="G3741" s="120" t="s">
        <v>1696</v>
      </c>
      <c r="H3741" s="151" t="s">
        <v>5540</v>
      </c>
      <c r="I3741" s="122">
        <v>0</v>
      </c>
      <c r="J3741" s="122">
        <v>0</v>
      </c>
      <c r="K3741" s="122">
        <v>0</v>
      </c>
      <c r="L3741" s="122">
        <v>0</v>
      </c>
      <c r="M3741" s="122">
        <v>0</v>
      </c>
      <c r="N3741" s="122">
        <v>0</v>
      </c>
      <c r="O3741" s="122">
        <v>0</v>
      </c>
      <c r="P3741" s="76">
        <v>0.06</v>
      </c>
      <c r="Q3741" s="122" t="s">
        <v>154</v>
      </c>
    </row>
    <row r="3742" spans="1:17" ht="153.75" x14ac:dyDescent="0.25">
      <c r="A3742" s="119">
        <v>40485</v>
      </c>
      <c r="B3742" s="119">
        <v>40485</v>
      </c>
      <c r="C3742" s="122">
        <v>2010</v>
      </c>
      <c r="D3742" s="35" t="s">
        <v>28</v>
      </c>
      <c r="E3742" s="145" t="s">
        <v>5539</v>
      </c>
      <c r="F3742" s="28" t="s">
        <v>157</v>
      </c>
      <c r="G3742" s="120" t="s">
        <v>5541</v>
      </c>
      <c r="H3742" s="151" t="s">
        <v>5542</v>
      </c>
      <c r="I3742" s="122">
        <v>0</v>
      </c>
      <c r="J3742" s="122">
        <v>3100</v>
      </c>
      <c r="K3742" s="122">
        <v>0</v>
      </c>
      <c r="L3742" s="122">
        <v>0</v>
      </c>
      <c r="M3742" s="122">
        <v>0</v>
      </c>
      <c r="N3742" s="122">
        <v>0</v>
      </c>
      <c r="O3742" s="122">
        <v>0</v>
      </c>
      <c r="P3742" s="76">
        <v>0</v>
      </c>
      <c r="Q3742" s="122" t="s">
        <v>154</v>
      </c>
    </row>
    <row r="3743" spans="1:17" ht="90" x14ac:dyDescent="0.25">
      <c r="A3743" s="119">
        <v>40485</v>
      </c>
      <c r="B3743" s="119">
        <v>40485</v>
      </c>
      <c r="C3743" s="122">
        <v>2010</v>
      </c>
      <c r="D3743" s="35" t="s">
        <v>28</v>
      </c>
      <c r="E3743" s="145" t="s">
        <v>5508</v>
      </c>
      <c r="F3743" s="28" t="s">
        <v>157</v>
      </c>
      <c r="G3743" s="120" t="s">
        <v>5512</v>
      </c>
      <c r="H3743" s="151" t="s">
        <v>5543</v>
      </c>
      <c r="I3743" s="122">
        <v>0</v>
      </c>
      <c r="J3743" s="122">
        <v>3</v>
      </c>
      <c r="K3743" s="122">
        <v>0</v>
      </c>
      <c r="L3743" s="122">
        <v>0</v>
      </c>
      <c r="M3743" s="122">
        <v>0</v>
      </c>
      <c r="N3743" s="122">
        <v>2</v>
      </c>
      <c r="O3743" s="122">
        <v>0</v>
      </c>
      <c r="P3743" s="76">
        <v>0.02</v>
      </c>
      <c r="Q3743" s="122" t="s">
        <v>154</v>
      </c>
    </row>
    <row r="3744" spans="1:17" ht="179.25" x14ac:dyDescent="0.25">
      <c r="A3744" s="119">
        <v>40485</v>
      </c>
      <c r="B3744" s="119">
        <v>40485</v>
      </c>
      <c r="C3744" s="122">
        <v>2010</v>
      </c>
      <c r="D3744" s="35" t="s">
        <v>28</v>
      </c>
      <c r="E3744" s="145" t="s">
        <v>5539</v>
      </c>
      <c r="F3744" s="7" t="s">
        <v>56</v>
      </c>
      <c r="G3744" s="120" t="s">
        <v>1160</v>
      </c>
      <c r="H3744" s="151" t="s">
        <v>5544</v>
      </c>
      <c r="I3744" s="122">
        <v>0</v>
      </c>
      <c r="J3744" s="122">
        <v>116</v>
      </c>
      <c r="K3744" s="122">
        <v>0</v>
      </c>
      <c r="L3744" s="122">
        <v>0</v>
      </c>
      <c r="M3744" s="122">
        <v>0</v>
      </c>
      <c r="N3744" s="122">
        <v>0</v>
      </c>
      <c r="O3744" s="122">
        <v>0</v>
      </c>
      <c r="P3744" s="76">
        <v>0.97599999999999998</v>
      </c>
      <c r="Q3744" s="122" t="s">
        <v>154</v>
      </c>
    </row>
    <row r="3745" spans="1:17" ht="115.5" x14ac:dyDescent="0.25">
      <c r="A3745" s="119">
        <v>40486</v>
      </c>
      <c r="B3745" s="119">
        <v>40486</v>
      </c>
      <c r="C3745" s="122">
        <v>2010</v>
      </c>
      <c r="D3745" s="35" t="s">
        <v>28</v>
      </c>
      <c r="E3745" s="145" t="s">
        <v>5508</v>
      </c>
      <c r="F3745" s="28" t="s">
        <v>157</v>
      </c>
      <c r="G3745" s="120" t="s">
        <v>5545</v>
      </c>
      <c r="H3745" s="151" t="s">
        <v>5546</v>
      </c>
      <c r="I3745" s="122">
        <v>0</v>
      </c>
      <c r="J3745" s="122">
        <v>20</v>
      </c>
      <c r="K3745" s="122">
        <v>0</v>
      </c>
      <c r="L3745" s="122">
        <v>0</v>
      </c>
      <c r="M3745" s="122">
        <v>0</v>
      </c>
      <c r="N3745" s="122">
        <v>0</v>
      </c>
      <c r="O3745" s="122">
        <v>0</v>
      </c>
      <c r="P3745" s="76">
        <v>0</v>
      </c>
      <c r="Q3745" s="122" t="s">
        <v>154</v>
      </c>
    </row>
    <row r="3746" spans="1:17" ht="192" x14ac:dyDescent="0.25">
      <c r="A3746" s="119">
        <v>40487</v>
      </c>
      <c r="B3746" s="119">
        <v>40487</v>
      </c>
      <c r="C3746" s="122">
        <v>2010</v>
      </c>
      <c r="D3746" s="35" t="s">
        <v>28</v>
      </c>
      <c r="E3746" s="145" t="s">
        <v>5508</v>
      </c>
      <c r="F3746" s="7" t="s">
        <v>53</v>
      </c>
      <c r="G3746" s="120" t="s">
        <v>891</v>
      </c>
      <c r="H3746" s="151" t="s">
        <v>5547</v>
      </c>
      <c r="I3746" s="122">
        <v>0</v>
      </c>
      <c r="J3746" s="122">
        <v>1000</v>
      </c>
      <c r="K3746" s="122">
        <v>0</v>
      </c>
      <c r="L3746" s="122">
        <v>0</v>
      </c>
      <c r="M3746" s="122">
        <v>0</v>
      </c>
      <c r="N3746" s="122">
        <v>0</v>
      </c>
      <c r="O3746" s="122">
        <v>0</v>
      </c>
      <c r="P3746" s="76">
        <v>0</v>
      </c>
      <c r="Q3746" s="122" t="s">
        <v>154</v>
      </c>
    </row>
    <row r="3747" spans="1:17" ht="204.75" x14ac:dyDescent="0.25">
      <c r="A3747" s="119">
        <v>40491</v>
      </c>
      <c r="B3747" s="119">
        <v>40491</v>
      </c>
      <c r="C3747" s="122">
        <v>2010</v>
      </c>
      <c r="D3747" s="35" t="s">
        <v>28</v>
      </c>
      <c r="E3747" s="145" t="s">
        <v>5508</v>
      </c>
      <c r="F3747" s="7" t="s">
        <v>53</v>
      </c>
      <c r="G3747" s="120" t="s">
        <v>1304</v>
      </c>
      <c r="H3747" s="151" t="s">
        <v>5548</v>
      </c>
      <c r="I3747" s="122">
        <v>0</v>
      </c>
      <c r="J3747" s="122">
        <v>0</v>
      </c>
      <c r="K3747" s="122">
        <v>0</v>
      </c>
      <c r="L3747" s="122">
        <v>0</v>
      </c>
      <c r="M3747" s="122">
        <v>0</v>
      </c>
      <c r="N3747" s="122">
        <v>1</v>
      </c>
      <c r="O3747" s="122">
        <v>0</v>
      </c>
      <c r="P3747" s="76">
        <v>0.01</v>
      </c>
      <c r="Q3747" s="122" t="s">
        <v>154</v>
      </c>
    </row>
    <row r="3748" spans="1:17" ht="153.75" x14ac:dyDescent="0.25">
      <c r="A3748" s="119">
        <v>40491</v>
      </c>
      <c r="B3748" s="119">
        <v>40491</v>
      </c>
      <c r="C3748" s="122">
        <v>2010</v>
      </c>
      <c r="D3748" s="35" t="s">
        <v>28</v>
      </c>
      <c r="E3748" s="145" t="s">
        <v>5508</v>
      </c>
      <c r="F3748" s="7" t="s">
        <v>84</v>
      </c>
      <c r="G3748" s="120" t="s">
        <v>939</v>
      </c>
      <c r="H3748" s="151" t="s">
        <v>5549</v>
      </c>
      <c r="I3748" s="122">
        <v>6</v>
      </c>
      <c r="J3748" s="122">
        <v>6</v>
      </c>
      <c r="K3748" s="122">
        <v>0</v>
      </c>
      <c r="L3748" s="122">
        <v>0</v>
      </c>
      <c r="M3748" s="122">
        <v>0</v>
      </c>
      <c r="N3748" s="122">
        <v>0</v>
      </c>
      <c r="O3748" s="122">
        <v>0</v>
      </c>
      <c r="P3748" s="76">
        <v>0</v>
      </c>
      <c r="Q3748" s="122" t="s">
        <v>154</v>
      </c>
    </row>
    <row r="3749" spans="1:17" ht="115.5" x14ac:dyDescent="0.25">
      <c r="A3749" s="119">
        <v>40492</v>
      </c>
      <c r="B3749" s="119">
        <v>40492</v>
      </c>
      <c r="C3749" s="122">
        <v>2010</v>
      </c>
      <c r="D3749" s="35" t="s">
        <v>28</v>
      </c>
      <c r="E3749" s="145" t="s">
        <v>5508</v>
      </c>
      <c r="F3749" s="28" t="s">
        <v>157</v>
      </c>
      <c r="G3749" s="120" t="s">
        <v>5550</v>
      </c>
      <c r="H3749" s="151" t="s">
        <v>5551</v>
      </c>
      <c r="I3749" s="122">
        <v>0</v>
      </c>
      <c r="J3749" s="122">
        <v>2</v>
      </c>
      <c r="K3749" s="122">
        <v>0</v>
      </c>
      <c r="L3749" s="122">
        <v>0</v>
      </c>
      <c r="M3749" s="122">
        <v>0</v>
      </c>
      <c r="N3749" s="122">
        <v>0</v>
      </c>
      <c r="O3749" s="122">
        <v>0</v>
      </c>
      <c r="P3749" s="76">
        <v>0</v>
      </c>
      <c r="Q3749" s="122" t="s">
        <v>154</v>
      </c>
    </row>
    <row r="3750" spans="1:17" ht="77.25" x14ac:dyDescent="0.25">
      <c r="A3750" s="119">
        <v>40493</v>
      </c>
      <c r="B3750" s="119">
        <v>40493</v>
      </c>
      <c r="C3750" s="122">
        <v>2010</v>
      </c>
      <c r="D3750" s="35" t="s">
        <v>28</v>
      </c>
      <c r="E3750" s="22" t="s">
        <v>2933</v>
      </c>
      <c r="F3750" s="7" t="s">
        <v>75</v>
      </c>
      <c r="G3750" s="120" t="s">
        <v>2781</v>
      </c>
      <c r="H3750" s="151" t="s">
        <v>5552</v>
      </c>
      <c r="I3750" s="122">
        <v>3</v>
      </c>
      <c r="J3750" s="122">
        <v>5</v>
      </c>
      <c r="K3750" s="122">
        <v>0</v>
      </c>
      <c r="L3750" s="122">
        <v>0</v>
      </c>
      <c r="M3750" s="122">
        <v>0</v>
      </c>
      <c r="N3750" s="122">
        <v>0</v>
      </c>
      <c r="O3750" s="122">
        <v>0</v>
      </c>
      <c r="P3750" s="76">
        <v>0</v>
      </c>
      <c r="Q3750" s="122" t="s">
        <v>154</v>
      </c>
    </row>
    <row r="3751" spans="1:17" ht="166.5" x14ac:dyDescent="0.25">
      <c r="A3751" s="119">
        <v>40493</v>
      </c>
      <c r="B3751" s="119">
        <v>40493</v>
      </c>
      <c r="C3751" s="122">
        <v>2010</v>
      </c>
      <c r="D3751" s="35" t="s">
        <v>28</v>
      </c>
      <c r="E3751" s="145" t="s">
        <v>369</v>
      </c>
      <c r="F3751" s="7" t="s">
        <v>40</v>
      </c>
      <c r="G3751" s="120" t="s">
        <v>2097</v>
      </c>
      <c r="H3751" s="151" t="s">
        <v>5553</v>
      </c>
      <c r="I3751" s="122">
        <v>0</v>
      </c>
      <c r="J3751" s="122">
        <v>100</v>
      </c>
      <c r="K3751" s="122">
        <v>0</v>
      </c>
      <c r="L3751" s="122">
        <v>0</v>
      </c>
      <c r="M3751" s="122">
        <v>0</v>
      </c>
      <c r="N3751" s="122">
        <v>0</v>
      </c>
      <c r="O3751" s="122">
        <v>0</v>
      </c>
      <c r="P3751" s="76">
        <v>2.5000000000000001E-4</v>
      </c>
      <c r="Q3751" s="122" t="s">
        <v>154</v>
      </c>
    </row>
    <row r="3752" spans="1:17" ht="64.5" x14ac:dyDescent="0.25">
      <c r="A3752" s="119">
        <v>40493</v>
      </c>
      <c r="B3752" s="119">
        <v>40493</v>
      </c>
      <c r="C3752" s="122">
        <v>2010</v>
      </c>
      <c r="D3752" s="35" t="s">
        <v>28</v>
      </c>
      <c r="E3752" s="145" t="s">
        <v>5508</v>
      </c>
      <c r="F3752" s="7" t="s">
        <v>53</v>
      </c>
      <c r="G3752" s="120" t="s">
        <v>5554</v>
      </c>
      <c r="H3752" s="151" t="s">
        <v>5555</v>
      </c>
      <c r="I3752" s="122">
        <v>0</v>
      </c>
      <c r="J3752" s="122">
        <v>0</v>
      </c>
      <c r="K3752" s="122">
        <v>0</v>
      </c>
      <c r="L3752" s="122">
        <v>0</v>
      </c>
      <c r="M3752" s="122">
        <v>0</v>
      </c>
      <c r="N3752" s="122">
        <v>1</v>
      </c>
      <c r="O3752" s="122">
        <v>0</v>
      </c>
      <c r="P3752" s="76">
        <v>0.01</v>
      </c>
      <c r="Q3752" s="122" t="s">
        <v>154</v>
      </c>
    </row>
    <row r="3753" spans="1:17" ht="115.5" x14ac:dyDescent="0.25">
      <c r="A3753" s="119">
        <v>40493</v>
      </c>
      <c r="B3753" s="119">
        <v>40493</v>
      </c>
      <c r="C3753" s="122">
        <v>2010</v>
      </c>
      <c r="D3753" s="35" t="s">
        <v>28</v>
      </c>
      <c r="E3753" s="145" t="s">
        <v>5508</v>
      </c>
      <c r="F3753" s="7" t="s">
        <v>101</v>
      </c>
      <c r="G3753" s="120" t="s">
        <v>101</v>
      </c>
      <c r="H3753" s="151" t="s">
        <v>5556</v>
      </c>
      <c r="I3753" s="122">
        <v>0</v>
      </c>
      <c r="J3753" s="122">
        <v>15</v>
      </c>
      <c r="K3753" s="122">
        <v>0</v>
      </c>
      <c r="L3753" s="122">
        <v>0</v>
      </c>
      <c r="M3753" s="122">
        <v>0</v>
      </c>
      <c r="N3753" s="122">
        <v>1</v>
      </c>
      <c r="O3753" s="122">
        <v>0</v>
      </c>
      <c r="P3753" s="76">
        <v>0.01</v>
      </c>
      <c r="Q3753" s="122" t="s">
        <v>154</v>
      </c>
    </row>
    <row r="3754" spans="1:17" ht="90" x14ac:dyDescent="0.25">
      <c r="A3754" s="119">
        <v>40495</v>
      </c>
      <c r="B3754" s="119">
        <v>40495</v>
      </c>
      <c r="C3754" s="122">
        <v>2010</v>
      </c>
      <c r="D3754" s="35" t="s">
        <v>28</v>
      </c>
      <c r="E3754" s="145" t="s">
        <v>5508</v>
      </c>
      <c r="F3754" s="7" t="s">
        <v>56</v>
      </c>
      <c r="G3754" s="120" t="s">
        <v>2786</v>
      </c>
      <c r="H3754" s="151" t="s">
        <v>5557</v>
      </c>
      <c r="I3754" s="122">
        <v>0</v>
      </c>
      <c r="J3754" s="122">
        <v>0</v>
      </c>
      <c r="K3754" s="122">
        <v>0</v>
      </c>
      <c r="L3754" s="122">
        <v>0</v>
      </c>
      <c r="M3754" s="122">
        <v>0</v>
      </c>
      <c r="N3754" s="122">
        <v>1</v>
      </c>
      <c r="O3754" s="122">
        <v>0</v>
      </c>
      <c r="P3754" s="76">
        <v>0.01</v>
      </c>
      <c r="Q3754" s="122" t="s">
        <v>154</v>
      </c>
    </row>
    <row r="3755" spans="1:17" ht="115.5" x14ac:dyDescent="0.25">
      <c r="A3755" s="119">
        <v>40496</v>
      </c>
      <c r="B3755" s="119">
        <v>40496</v>
      </c>
      <c r="C3755" s="122">
        <v>2010</v>
      </c>
      <c r="D3755" s="35" t="s">
        <v>28</v>
      </c>
      <c r="E3755" s="22" t="s">
        <v>2933</v>
      </c>
      <c r="F3755" s="7" t="s">
        <v>80</v>
      </c>
      <c r="G3755" s="120" t="s">
        <v>5558</v>
      </c>
      <c r="H3755" s="151" t="s">
        <v>5559</v>
      </c>
      <c r="I3755" s="122">
        <v>7</v>
      </c>
      <c r="J3755" s="122">
        <v>25</v>
      </c>
      <c r="K3755" s="122">
        <v>0</v>
      </c>
      <c r="L3755" s="122">
        <v>0</v>
      </c>
      <c r="M3755" s="122">
        <v>0</v>
      </c>
      <c r="N3755" s="122">
        <v>0</v>
      </c>
      <c r="O3755" s="122">
        <v>0</v>
      </c>
      <c r="P3755" s="76">
        <v>0</v>
      </c>
      <c r="Q3755" s="122" t="s">
        <v>154</v>
      </c>
    </row>
    <row r="3756" spans="1:17" ht="294" x14ac:dyDescent="0.25">
      <c r="A3756" s="119">
        <v>40498</v>
      </c>
      <c r="B3756" s="119">
        <v>40498</v>
      </c>
      <c r="C3756" s="122">
        <v>2010</v>
      </c>
      <c r="D3756" s="35" t="s">
        <v>28</v>
      </c>
      <c r="E3756" s="145" t="s">
        <v>5508</v>
      </c>
      <c r="F3756" s="7" t="s">
        <v>36</v>
      </c>
      <c r="G3756" s="120" t="s">
        <v>854</v>
      </c>
      <c r="H3756" s="151" t="s">
        <v>5560</v>
      </c>
      <c r="I3756" s="122">
        <v>0</v>
      </c>
      <c r="J3756" s="122">
        <v>2</v>
      </c>
      <c r="K3756" s="122">
        <v>0</v>
      </c>
      <c r="L3756" s="122">
        <v>0</v>
      </c>
      <c r="M3756" s="122">
        <v>0</v>
      </c>
      <c r="N3756" s="122">
        <v>1</v>
      </c>
      <c r="O3756" s="122">
        <v>0</v>
      </c>
      <c r="P3756" s="76">
        <v>0.01</v>
      </c>
      <c r="Q3756" s="122" t="s">
        <v>154</v>
      </c>
    </row>
    <row r="3757" spans="1:17" ht="153.75" x14ac:dyDescent="0.25">
      <c r="A3757" s="119">
        <v>40498</v>
      </c>
      <c r="B3757" s="119">
        <v>40498</v>
      </c>
      <c r="C3757" s="122">
        <v>2010</v>
      </c>
      <c r="D3757" s="35" t="s">
        <v>28</v>
      </c>
      <c r="E3757" s="145" t="s">
        <v>5508</v>
      </c>
      <c r="F3757" s="28" t="s">
        <v>157</v>
      </c>
      <c r="G3757" s="120" t="s">
        <v>5545</v>
      </c>
      <c r="H3757" s="151" t="s">
        <v>5561</v>
      </c>
      <c r="I3757" s="122">
        <v>0</v>
      </c>
      <c r="J3757" s="122">
        <v>0</v>
      </c>
      <c r="K3757" s="122">
        <v>0</v>
      </c>
      <c r="L3757" s="122">
        <v>0</v>
      </c>
      <c r="M3757" s="122">
        <v>0</v>
      </c>
      <c r="N3757" s="122">
        <v>1</v>
      </c>
      <c r="O3757" s="122">
        <v>0</v>
      </c>
      <c r="P3757" s="76">
        <v>0.01</v>
      </c>
      <c r="Q3757" s="122" t="s">
        <v>154</v>
      </c>
    </row>
    <row r="3758" spans="1:17" ht="102.75" x14ac:dyDescent="0.25">
      <c r="A3758" s="119">
        <v>40503</v>
      </c>
      <c r="B3758" s="119">
        <v>40503</v>
      </c>
      <c r="C3758" s="122">
        <v>2010</v>
      </c>
      <c r="D3758" s="35" t="s">
        <v>28</v>
      </c>
      <c r="E3758" s="145" t="s">
        <v>5508</v>
      </c>
      <c r="F3758" s="7" t="s">
        <v>60</v>
      </c>
      <c r="G3758" s="120" t="s">
        <v>908</v>
      </c>
      <c r="H3758" s="151" t="s">
        <v>5562</v>
      </c>
      <c r="I3758" s="122">
        <v>0</v>
      </c>
      <c r="J3758" s="122">
        <v>60</v>
      </c>
      <c r="K3758" s="122">
        <v>0</v>
      </c>
      <c r="L3758" s="122">
        <v>0</v>
      </c>
      <c r="M3758" s="122">
        <v>0</v>
      </c>
      <c r="N3758" s="122">
        <v>60</v>
      </c>
      <c r="O3758" s="122">
        <v>0</v>
      </c>
      <c r="P3758" s="76">
        <v>0.6</v>
      </c>
      <c r="Q3758" s="122" t="s">
        <v>154</v>
      </c>
    </row>
    <row r="3759" spans="1:17" ht="102.75" x14ac:dyDescent="0.25">
      <c r="A3759" s="119">
        <v>40502</v>
      </c>
      <c r="B3759" s="119">
        <v>40502</v>
      </c>
      <c r="C3759" s="122">
        <v>2010</v>
      </c>
      <c r="D3759" s="35" t="s">
        <v>28</v>
      </c>
      <c r="E3759" s="22" t="s">
        <v>2933</v>
      </c>
      <c r="F3759" s="7" t="s">
        <v>53</v>
      </c>
      <c r="G3759" s="120" t="s">
        <v>460</v>
      </c>
      <c r="H3759" s="151" t="s">
        <v>5563</v>
      </c>
      <c r="I3759" s="122">
        <v>0</v>
      </c>
      <c r="J3759" s="122">
        <v>30</v>
      </c>
      <c r="K3759" s="122">
        <v>0</v>
      </c>
      <c r="L3759" s="122">
        <v>0</v>
      </c>
      <c r="M3759" s="122">
        <v>0</v>
      </c>
      <c r="N3759" s="122">
        <v>0</v>
      </c>
      <c r="O3759" s="122">
        <v>0</v>
      </c>
      <c r="P3759" s="76">
        <v>3.7240000000000002E-2</v>
      </c>
      <c r="Q3759" s="122" t="s">
        <v>154</v>
      </c>
    </row>
    <row r="3760" spans="1:17" ht="192" x14ac:dyDescent="0.25">
      <c r="A3760" s="119">
        <v>40503</v>
      </c>
      <c r="B3760" s="119">
        <v>40503</v>
      </c>
      <c r="C3760" s="122">
        <v>2010</v>
      </c>
      <c r="D3760" s="35" t="s">
        <v>28</v>
      </c>
      <c r="E3760" s="145" t="s">
        <v>125</v>
      </c>
      <c r="F3760" s="7" t="s">
        <v>68</v>
      </c>
      <c r="G3760" s="120" t="s">
        <v>1121</v>
      </c>
      <c r="H3760" s="151" t="s">
        <v>5564</v>
      </c>
      <c r="I3760" s="122">
        <v>0</v>
      </c>
      <c r="J3760" s="122">
        <v>150</v>
      </c>
      <c r="K3760" s="122">
        <v>0</v>
      </c>
      <c r="L3760" s="122">
        <v>0</v>
      </c>
      <c r="M3760" s="122">
        <v>0</v>
      </c>
      <c r="N3760" s="122">
        <v>0</v>
      </c>
      <c r="O3760" s="122">
        <v>0</v>
      </c>
      <c r="P3760" s="76">
        <v>0</v>
      </c>
      <c r="Q3760" s="122" t="s">
        <v>154</v>
      </c>
    </row>
    <row r="3761" spans="1:17" ht="115.5" x14ac:dyDescent="0.25">
      <c r="A3761" s="119">
        <v>40505</v>
      </c>
      <c r="B3761" s="119">
        <v>40505</v>
      </c>
      <c r="C3761" s="122">
        <v>2010</v>
      </c>
      <c r="D3761" s="35" t="s">
        <v>28</v>
      </c>
      <c r="E3761" s="145" t="s">
        <v>5508</v>
      </c>
      <c r="F3761" s="28" t="s">
        <v>157</v>
      </c>
      <c r="G3761" s="120" t="s">
        <v>5565</v>
      </c>
      <c r="H3761" s="151" t="s">
        <v>5566</v>
      </c>
      <c r="I3761" s="122">
        <v>0</v>
      </c>
      <c r="J3761" s="122">
        <v>2</v>
      </c>
      <c r="K3761" s="122">
        <v>0</v>
      </c>
      <c r="L3761" s="122">
        <v>0</v>
      </c>
      <c r="M3761" s="122">
        <v>0</v>
      </c>
      <c r="N3761" s="122">
        <v>0</v>
      </c>
      <c r="O3761" s="122">
        <v>0</v>
      </c>
      <c r="P3761" s="76">
        <v>0</v>
      </c>
      <c r="Q3761" s="122" t="s">
        <v>154</v>
      </c>
    </row>
    <row r="3762" spans="1:17" ht="51.75" x14ac:dyDescent="0.25">
      <c r="A3762" s="119">
        <v>40505</v>
      </c>
      <c r="B3762" s="119">
        <v>40505</v>
      </c>
      <c r="C3762" s="122">
        <v>2010</v>
      </c>
      <c r="D3762" s="35" t="s">
        <v>28</v>
      </c>
      <c r="E3762" s="145" t="s">
        <v>5508</v>
      </c>
      <c r="F3762" s="7" t="s">
        <v>56</v>
      </c>
      <c r="G3762" s="120" t="s">
        <v>56</v>
      </c>
      <c r="H3762" s="151" t="s">
        <v>5567</v>
      </c>
      <c r="I3762" s="122">
        <v>0</v>
      </c>
      <c r="J3762" s="122">
        <v>1</v>
      </c>
      <c r="K3762" s="122">
        <v>0</v>
      </c>
      <c r="L3762" s="122">
        <v>0</v>
      </c>
      <c r="M3762" s="122">
        <v>0</v>
      </c>
      <c r="N3762" s="122">
        <v>0</v>
      </c>
      <c r="O3762" s="122">
        <v>0</v>
      </c>
      <c r="P3762" s="76">
        <v>0</v>
      </c>
      <c r="Q3762" s="122" t="s">
        <v>154</v>
      </c>
    </row>
    <row r="3763" spans="1:17" ht="102.75" x14ac:dyDescent="0.25">
      <c r="A3763" s="119">
        <v>40505</v>
      </c>
      <c r="B3763" s="119">
        <v>40505</v>
      </c>
      <c r="C3763" s="122">
        <v>2010</v>
      </c>
      <c r="D3763" s="35" t="s">
        <v>28</v>
      </c>
      <c r="E3763" s="145" t="s">
        <v>125</v>
      </c>
      <c r="F3763" s="7" t="s">
        <v>58</v>
      </c>
      <c r="G3763" s="120" t="s">
        <v>1194</v>
      </c>
      <c r="H3763" s="151" t="s">
        <v>5568</v>
      </c>
      <c r="I3763" s="122">
        <v>0</v>
      </c>
      <c r="J3763" s="122">
        <v>7</v>
      </c>
      <c r="K3763" s="122">
        <v>0</v>
      </c>
      <c r="L3763" s="122">
        <v>0</v>
      </c>
      <c r="M3763" s="122">
        <v>0</v>
      </c>
      <c r="N3763" s="122">
        <v>0</v>
      </c>
      <c r="O3763" s="122">
        <v>0</v>
      </c>
      <c r="P3763" s="76">
        <v>0</v>
      </c>
      <c r="Q3763" s="122" t="s">
        <v>154</v>
      </c>
    </row>
    <row r="3764" spans="1:17" ht="306.75" x14ac:dyDescent="0.25">
      <c r="A3764" s="119">
        <v>40505</v>
      </c>
      <c r="B3764" s="119">
        <v>40505</v>
      </c>
      <c r="C3764" s="122">
        <v>2010</v>
      </c>
      <c r="D3764" s="35" t="s">
        <v>28</v>
      </c>
      <c r="E3764" s="145" t="s">
        <v>5508</v>
      </c>
      <c r="F3764" s="7" t="s">
        <v>53</v>
      </c>
      <c r="G3764" s="120" t="s">
        <v>2888</v>
      </c>
      <c r="H3764" s="151" t="s">
        <v>5569</v>
      </c>
      <c r="I3764" s="122">
        <v>0</v>
      </c>
      <c r="J3764" s="122">
        <v>1</v>
      </c>
      <c r="K3764" s="122">
        <v>0</v>
      </c>
      <c r="L3764" s="122">
        <v>0</v>
      </c>
      <c r="M3764" s="122">
        <v>0</v>
      </c>
      <c r="N3764" s="122">
        <v>0</v>
      </c>
      <c r="O3764" s="122">
        <v>0</v>
      </c>
      <c r="P3764" s="76">
        <v>0</v>
      </c>
      <c r="Q3764" s="122" t="s">
        <v>154</v>
      </c>
    </row>
    <row r="3765" spans="1:17" ht="115.5" x14ac:dyDescent="0.25">
      <c r="A3765" s="119">
        <v>40507</v>
      </c>
      <c r="B3765" s="119">
        <v>40507</v>
      </c>
      <c r="C3765" s="122">
        <v>2010</v>
      </c>
      <c r="D3765" s="35" t="s">
        <v>28</v>
      </c>
      <c r="E3765" s="145" t="s">
        <v>149</v>
      </c>
      <c r="F3765" s="28" t="s">
        <v>157</v>
      </c>
      <c r="G3765" s="120" t="s">
        <v>5570</v>
      </c>
      <c r="H3765" s="151" t="s">
        <v>5571</v>
      </c>
      <c r="I3765" s="122">
        <v>0</v>
      </c>
      <c r="J3765" s="122">
        <v>1</v>
      </c>
      <c r="K3765" s="122">
        <v>0</v>
      </c>
      <c r="L3765" s="122">
        <v>0</v>
      </c>
      <c r="M3765" s="122">
        <v>0</v>
      </c>
      <c r="N3765" s="122">
        <v>1</v>
      </c>
      <c r="O3765" s="122">
        <v>0</v>
      </c>
      <c r="P3765" s="76">
        <v>0.01</v>
      </c>
      <c r="Q3765" s="122" t="s">
        <v>154</v>
      </c>
    </row>
    <row r="3766" spans="1:17" ht="128.25" x14ac:dyDescent="0.25">
      <c r="A3766" s="119">
        <v>40507</v>
      </c>
      <c r="B3766" s="119">
        <v>40507</v>
      </c>
      <c r="C3766" s="122">
        <v>2010</v>
      </c>
      <c r="D3766" s="35" t="s">
        <v>28</v>
      </c>
      <c r="E3766" s="145" t="s">
        <v>149</v>
      </c>
      <c r="F3766" s="7" t="s">
        <v>58</v>
      </c>
      <c r="G3766" s="120" t="s">
        <v>5572</v>
      </c>
      <c r="H3766" s="151" t="s">
        <v>5573</v>
      </c>
      <c r="I3766" s="122">
        <v>0</v>
      </c>
      <c r="J3766" s="122">
        <v>1</v>
      </c>
      <c r="K3766" s="122">
        <v>0</v>
      </c>
      <c r="L3766" s="122">
        <v>0</v>
      </c>
      <c r="M3766" s="122">
        <v>0</v>
      </c>
      <c r="N3766" s="122">
        <v>1</v>
      </c>
      <c r="O3766" s="122">
        <v>0</v>
      </c>
      <c r="P3766" s="76">
        <v>0.01</v>
      </c>
      <c r="Q3766" s="122" t="s">
        <v>154</v>
      </c>
    </row>
    <row r="3767" spans="1:17" ht="64.5" x14ac:dyDescent="0.25">
      <c r="A3767" s="119">
        <v>40508</v>
      </c>
      <c r="B3767" s="119">
        <v>40508</v>
      </c>
      <c r="C3767" s="122">
        <v>2010</v>
      </c>
      <c r="D3767" s="35" t="s">
        <v>28</v>
      </c>
      <c r="E3767" s="145" t="s">
        <v>125</v>
      </c>
      <c r="F3767" s="28" t="s">
        <v>160</v>
      </c>
      <c r="G3767" s="120" t="s">
        <v>3424</v>
      </c>
      <c r="H3767" s="151" t="s">
        <v>5574</v>
      </c>
      <c r="I3767" s="122">
        <v>0</v>
      </c>
      <c r="J3767" s="122">
        <v>6</v>
      </c>
      <c r="K3767" s="122">
        <v>0</v>
      </c>
      <c r="L3767" s="122">
        <v>0</v>
      </c>
      <c r="M3767" s="122">
        <v>0</v>
      </c>
      <c r="N3767" s="122">
        <v>0</v>
      </c>
      <c r="O3767" s="122">
        <v>0</v>
      </c>
      <c r="P3767" s="76">
        <v>0</v>
      </c>
      <c r="Q3767" s="122" t="s">
        <v>154</v>
      </c>
    </row>
    <row r="3768" spans="1:17" ht="77.25" x14ac:dyDescent="0.25">
      <c r="A3768" s="119">
        <v>40508</v>
      </c>
      <c r="B3768" s="119">
        <v>40508</v>
      </c>
      <c r="C3768" s="122">
        <v>2010</v>
      </c>
      <c r="D3768" s="35" t="s">
        <v>28</v>
      </c>
      <c r="E3768" s="145" t="s">
        <v>5508</v>
      </c>
      <c r="F3768" s="7" t="s">
        <v>58</v>
      </c>
      <c r="G3768" s="120" t="s">
        <v>5285</v>
      </c>
      <c r="H3768" s="151" t="s">
        <v>5575</v>
      </c>
      <c r="I3768" s="122">
        <v>0</v>
      </c>
      <c r="J3768" s="122">
        <v>5</v>
      </c>
      <c r="K3768" s="122">
        <v>1</v>
      </c>
      <c r="L3768" s="122">
        <v>0</v>
      </c>
      <c r="M3768" s="122">
        <v>0</v>
      </c>
      <c r="N3768" s="122">
        <v>0</v>
      </c>
      <c r="O3768" s="122">
        <v>0</v>
      </c>
      <c r="P3768" s="76">
        <v>3.7686999999999998E-2</v>
      </c>
      <c r="Q3768" s="122" t="s">
        <v>154</v>
      </c>
    </row>
    <row r="3769" spans="1:17" ht="51.75" x14ac:dyDescent="0.25">
      <c r="A3769" s="119">
        <v>40516</v>
      </c>
      <c r="B3769" s="119">
        <v>40516</v>
      </c>
      <c r="C3769" s="122">
        <v>2010</v>
      </c>
      <c r="D3769" s="35" t="s">
        <v>28</v>
      </c>
      <c r="E3769" s="145" t="s">
        <v>5508</v>
      </c>
      <c r="F3769" s="7" t="s">
        <v>53</v>
      </c>
      <c r="G3769" s="120" t="s">
        <v>5576</v>
      </c>
      <c r="H3769" s="151" t="s">
        <v>5577</v>
      </c>
      <c r="I3769" s="122">
        <v>0</v>
      </c>
      <c r="J3769" s="122">
        <v>100</v>
      </c>
      <c r="K3769" s="122">
        <v>0</v>
      </c>
      <c r="L3769" s="122">
        <v>0</v>
      </c>
      <c r="M3769" s="122">
        <v>0</v>
      </c>
      <c r="N3769" s="122">
        <v>0</v>
      </c>
      <c r="O3769" s="122">
        <v>0</v>
      </c>
      <c r="P3769" s="76">
        <v>0</v>
      </c>
      <c r="Q3769" s="122" t="s">
        <v>154</v>
      </c>
    </row>
    <row r="3770" spans="1:17" ht="409.6" x14ac:dyDescent="0.25">
      <c r="A3770" s="119">
        <v>40515</v>
      </c>
      <c r="B3770" s="119">
        <v>40515</v>
      </c>
      <c r="C3770" s="122">
        <v>2010</v>
      </c>
      <c r="D3770" s="35" t="s">
        <v>28</v>
      </c>
      <c r="E3770" s="145" t="s">
        <v>125</v>
      </c>
      <c r="F3770" s="28" t="s">
        <v>210</v>
      </c>
      <c r="G3770" s="120" t="s">
        <v>1662</v>
      </c>
      <c r="H3770" s="151" t="s">
        <v>5578</v>
      </c>
      <c r="I3770" s="122">
        <v>0</v>
      </c>
      <c r="J3770" s="122">
        <v>5</v>
      </c>
      <c r="K3770" s="122">
        <v>0</v>
      </c>
      <c r="L3770" s="122">
        <v>0</v>
      </c>
      <c r="M3770" s="122">
        <v>0</v>
      </c>
      <c r="N3770" s="122">
        <v>0</v>
      </c>
      <c r="O3770" s="122">
        <v>0</v>
      </c>
      <c r="P3770" s="76">
        <v>1.7840000000000002E-2</v>
      </c>
      <c r="Q3770" s="122" t="s">
        <v>154</v>
      </c>
    </row>
    <row r="3771" spans="1:17" ht="281.25" x14ac:dyDescent="0.25">
      <c r="A3771" s="119">
        <v>40518</v>
      </c>
      <c r="B3771" s="119">
        <v>40518</v>
      </c>
      <c r="C3771" s="122">
        <v>2010</v>
      </c>
      <c r="D3771" s="35" t="s">
        <v>28</v>
      </c>
      <c r="E3771" s="22" t="s">
        <v>2933</v>
      </c>
      <c r="F3771" s="28" t="s">
        <v>151</v>
      </c>
      <c r="G3771" s="120" t="s">
        <v>5579</v>
      </c>
      <c r="H3771" s="151" t="s">
        <v>5580</v>
      </c>
      <c r="I3771" s="122">
        <v>4</v>
      </c>
      <c r="J3771" s="122">
        <v>85</v>
      </c>
      <c r="K3771" s="122">
        <v>17</v>
      </c>
      <c r="L3771" s="122">
        <v>0</v>
      </c>
      <c r="M3771" s="122">
        <v>0</v>
      </c>
      <c r="N3771" s="122">
        <v>0</v>
      </c>
      <c r="O3771" s="122">
        <v>0</v>
      </c>
      <c r="P3771" s="76">
        <v>0.640679</v>
      </c>
      <c r="Q3771" s="122" t="s">
        <v>154</v>
      </c>
    </row>
    <row r="3772" spans="1:17" ht="243" x14ac:dyDescent="0.25">
      <c r="A3772" s="119">
        <v>40519</v>
      </c>
      <c r="B3772" s="119">
        <v>40519</v>
      </c>
      <c r="C3772" s="122">
        <v>2010</v>
      </c>
      <c r="D3772" s="35" t="s">
        <v>28</v>
      </c>
      <c r="E3772" s="22" t="s">
        <v>2933</v>
      </c>
      <c r="F3772" s="7" t="s">
        <v>101</v>
      </c>
      <c r="G3772" s="120" t="s">
        <v>5581</v>
      </c>
      <c r="H3772" s="151" t="s">
        <v>5582</v>
      </c>
      <c r="I3772" s="122">
        <v>1</v>
      </c>
      <c r="J3772" s="122">
        <v>25</v>
      </c>
      <c r="K3772" s="122">
        <v>5</v>
      </c>
      <c r="L3772" s="122">
        <v>0</v>
      </c>
      <c r="M3772" s="122">
        <v>0</v>
      </c>
      <c r="N3772" s="122">
        <v>0</v>
      </c>
      <c r="O3772" s="122">
        <v>0</v>
      </c>
      <c r="P3772" s="76">
        <v>0.52951999999999999</v>
      </c>
      <c r="Q3772" s="122" t="s">
        <v>154</v>
      </c>
    </row>
    <row r="3773" spans="1:17" ht="39" x14ac:dyDescent="0.25">
      <c r="A3773" s="119">
        <v>40522</v>
      </c>
      <c r="B3773" s="119">
        <v>40522</v>
      </c>
      <c r="C3773" s="122">
        <v>2010</v>
      </c>
      <c r="D3773" s="35" t="s">
        <v>28</v>
      </c>
      <c r="E3773" s="145" t="s">
        <v>5508</v>
      </c>
      <c r="F3773" s="7" t="s">
        <v>56</v>
      </c>
      <c r="G3773" s="120" t="s">
        <v>56</v>
      </c>
      <c r="H3773" s="151" t="s">
        <v>5583</v>
      </c>
      <c r="I3773" s="122">
        <v>0</v>
      </c>
      <c r="J3773" s="122">
        <v>0</v>
      </c>
      <c r="K3773" s="122">
        <v>0</v>
      </c>
      <c r="L3773" s="122">
        <v>0</v>
      </c>
      <c r="M3773" s="122">
        <v>0</v>
      </c>
      <c r="N3773" s="122">
        <v>0</v>
      </c>
      <c r="O3773" s="122">
        <v>2</v>
      </c>
      <c r="P3773" s="76">
        <v>0</v>
      </c>
      <c r="Q3773" s="122" t="s">
        <v>154</v>
      </c>
    </row>
    <row r="3774" spans="1:17" ht="102.75" x14ac:dyDescent="0.25">
      <c r="A3774" s="119">
        <v>40525</v>
      </c>
      <c r="B3774" s="119">
        <v>40525</v>
      </c>
      <c r="C3774" s="122">
        <v>2010</v>
      </c>
      <c r="D3774" s="35" t="s">
        <v>28</v>
      </c>
      <c r="E3774" s="145" t="s">
        <v>5508</v>
      </c>
      <c r="F3774" s="28" t="s">
        <v>157</v>
      </c>
      <c r="G3774" s="120" t="s">
        <v>5570</v>
      </c>
      <c r="H3774" s="151" t="s">
        <v>5584</v>
      </c>
      <c r="I3774" s="122">
        <v>0</v>
      </c>
      <c r="J3774" s="122">
        <v>170</v>
      </c>
      <c r="K3774" s="122">
        <v>0</v>
      </c>
      <c r="L3774" s="122">
        <v>0</v>
      </c>
      <c r="M3774" s="122">
        <v>0</v>
      </c>
      <c r="N3774" s="122">
        <v>0</v>
      </c>
      <c r="O3774" s="122">
        <v>0</v>
      </c>
      <c r="P3774" s="76">
        <v>0</v>
      </c>
      <c r="Q3774" s="122" t="s">
        <v>154</v>
      </c>
    </row>
    <row r="3775" spans="1:17" ht="409.6" x14ac:dyDescent="0.25">
      <c r="A3775" s="119">
        <v>40531</v>
      </c>
      <c r="B3775" s="119">
        <v>40531</v>
      </c>
      <c r="C3775" s="122">
        <v>2010</v>
      </c>
      <c r="D3775" s="35" t="s">
        <v>28</v>
      </c>
      <c r="E3775" s="22" t="s">
        <v>2933</v>
      </c>
      <c r="F3775" s="7" t="s">
        <v>75</v>
      </c>
      <c r="G3775" s="120" t="s">
        <v>5585</v>
      </c>
      <c r="H3775" s="151" t="s">
        <v>5586</v>
      </c>
      <c r="I3775" s="122">
        <v>29</v>
      </c>
      <c r="J3775" s="122">
        <v>5000</v>
      </c>
      <c r="K3775" s="122">
        <v>140</v>
      </c>
      <c r="L3775" s="122">
        <v>12</v>
      </c>
      <c r="M3775" s="122">
        <v>0</v>
      </c>
      <c r="N3775" s="122">
        <v>0</v>
      </c>
      <c r="O3775" s="122">
        <v>0</v>
      </c>
      <c r="P3775" s="76">
        <v>800</v>
      </c>
      <c r="Q3775" s="122" t="s">
        <v>5587</v>
      </c>
    </row>
    <row r="3776" spans="1:17" ht="166.5" x14ac:dyDescent="0.25">
      <c r="A3776" s="119">
        <v>40529</v>
      </c>
      <c r="B3776" s="119">
        <v>40529</v>
      </c>
      <c r="C3776" s="122">
        <v>2010</v>
      </c>
      <c r="D3776" s="35" t="s">
        <v>28</v>
      </c>
      <c r="E3776" s="145" t="s">
        <v>149</v>
      </c>
      <c r="F3776" s="7" t="s">
        <v>68</v>
      </c>
      <c r="G3776" s="120" t="s">
        <v>752</v>
      </c>
      <c r="H3776" s="151" t="s">
        <v>5588</v>
      </c>
      <c r="I3776" s="122">
        <v>0</v>
      </c>
      <c r="J3776" s="122">
        <v>0</v>
      </c>
      <c r="K3776" s="122">
        <v>0</v>
      </c>
      <c r="L3776" s="122">
        <v>0</v>
      </c>
      <c r="M3776" s="122">
        <v>0</v>
      </c>
      <c r="N3776" s="122">
        <v>1</v>
      </c>
      <c r="O3776" s="122">
        <v>0</v>
      </c>
      <c r="P3776" s="76">
        <v>0.01</v>
      </c>
      <c r="Q3776" s="122" t="s">
        <v>154</v>
      </c>
    </row>
    <row r="3777" spans="1:17" ht="179.25" x14ac:dyDescent="0.25">
      <c r="A3777" s="119">
        <v>40532</v>
      </c>
      <c r="B3777" s="119">
        <v>40532</v>
      </c>
      <c r="C3777" s="122">
        <v>2010</v>
      </c>
      <c r="D3777" s="35" t="s">
        <v>28</v>
      </c>
      <c r="E3777" s="22" t="s">
        <v>2933</v>
      </c>
      <c r="F3777" s="28" t="s">
        <v>160</v>
      </c>
      <c r="G3777" s="120" t="s">
        <v>3649</v>
      </c>
      <c r="H3777" s="151" t="s">
        <v>5589</v>
      </c>
      <c r="I3777" s="122">
        <v>1</v>
      </c>
      <c r="J3777" s="122">
        <v>2</v>
      </c>
      <c r="K3777" s="122">
        <v>0</v>
      </c>
      <c r="L3777" s="122">
        <v>0</v>
      </c>
      <c r="M3777" s="122">
        <v>0</v>
      </c>
      <c r="N3777" s="122">
        <v>0</v>
      </c>
      <c r="O3777" s="122">
        <v>0</v>
      </c>
      <c r="P3777" s="76">
        <v>0</v>
      </c>
      <c r="Q3777" s="122" t="s">
        <v>154</v>
      </c>
    </row>
    <row r="3778" spans="1:17" ht="128.25" x14ac:dyDescent="0.25">
      <c r="A3778" s="119">
        <v>40533</v>
      </c>
      <c r="B3778" s="119">
        <v>40533</v>
      </c>
      <c r="C3778" s="122">
        <v>2010</v>
      </c>
      <c r="D3778" s="35" t="s">
        <v>28</v>
      </c>
      <c r="E3778" s="145" t="s">
        <v>5508</v>
      </c>
      <c r="F3778" s="28" t="s">
        <v>157</v>
      </c>
      <c r="G3778" s="120" t="s">
        <v>4449</v>
      </c>
      <c r="H3778" s="151" t="s">
        <v>5590</v>
      </c>
      <c r="I3778" s="122">
        <v>0</v>
      </c>
      <c r="J3778" s="122">
        <v>300</v>
      </c>
      <c r="K3778" s="122">
        <v>10</v>
      </c>
      <c r="L3778" s="122">
        <v>0</v>
      </c>
      <c r="M3778" s="122">
        <v>0</v>
      </c>
      <c r="N3778" s="122">
        <v>4</v>
      </c>
      <c r="O3778" s="122">
        <v>0</v>
      </c>
      <c r="P3778" s="76">
        <v>1.06904</v>
      </c>
      <c r="Q3778" s="122" t="s">
        <v>154</v>
      </c>
    </row>
    <row r="3779" spans="1:17" ht="179.25" x14ac:dyDescent="0.25">
      <c r="A3779" s="119">
        <v>40535</v>
      </c>
      <c r="B3779" s="119">
        <v>40535</v>
      </c>
      <c r="C3779" s="122">
        <v>2010</v>
      </c>
      <c r="D3779" s="35" t="s">
        <v>28</v>
      </c>
      <c r="E3779" s="145" t="s">
        <v>149</v>
      </c>
      <c r="F3779" s="7" t="s">
        <v>77</v>
      </c>
      <c r="G3779" s="120" t="s">
        <v>1731</v>
      </c>
      <c r="H3779" s="151" t="s">
        <v>5591</v>
      </c>
      <c r="I3779" s="122">
        <v>0</v>
      </c>
      <c r="J3779" s="122">
        <v>88</v>
      </c>
      <c r="K3779" s="122">
        <v>0</v>
      </c>
      <c r="L3779" s="122">
        <v>0</v>
      </c>
      <c r="M3779" s="122">
        <v>0</v>
      </c>
      <c r="N3779" s="122">
        <v>1</v>
      </c>
      <c r="O3779" s="122">
        <v>0</v>
      </c>
      <c r="P3779" s="76">
        <v>0.01</v>
      </c>
      <c r="Q3779" s="122" t="s">
        <v>154</v>
      </c>
    </row>
    <row r="3780" spans="1:17" ht="115.5" x14ac:dyDescent="0.25">
      <c r="A3780" s="119">
        <v>40533</v>
      </c>
      <c r="B3780" s="119">
        <v>40533</v>
      </c>
      <c r="C3780" s="122">
        <v>2010</v>
      </c>
      <c r="D3780" s="35" t="s">
        <v>28</v>
      </c>
      <c r="E3780" s="22" t="s">
        <v>2933</v>
      </c>
      <c r="F3780" s="7" t="s">
        <v>68</v>
      </c>
      <c r="G3780" s="120" t="s">
        <v>752</v>
      </c>
      <c r="H3780" s="151" t="s">
        <v>5592</v>
      </c>
      <c r="I3780" s="122">
        <v>0</v>
      </c>
      <c r="J3780" s="122">
        <v>3</v>
      </c>
      <c r="K3780" s="122">
        <v>0</v>
      </c>
      <c r="L3780" s="122">
        <v>0</v>
      </c>
      <c r="M3780" s="122">
        <v>0</v>
      </c>
      <c r="N3780" s="122">
        <v>0</v>
      </c>
      <c r="O3780" s="122">
        <v>0</v>
      </c>
      <c r="P3780" s="76">
        <v>0</v>
      </c>
      <c r="Q3780" s="122" t="s">
        <v>154</v>
      </c>
    </row>
    <row r="3781" spans="1:17" ht="115.5" x14ac:dyDescent="0.25">
      <c r="A3781" s="119">
        <v>40542</v>
      </c>
      <c r="B3781" s="119">
        <v>40542</v>
      </c>
      <c r="C3781" s="122">
        <v>2010</v>
      </c>
      <c r="D3781" s="35" t="s">
        <v>28</v>
      </c>
      <c r="E3781" s="22" t="s">
        <v>2933</v>
      </c>
      <c r="F3781" s="28" t="s">
        <v>157</v>
      </c>
      <c r="G3781" s="120" t="s">
        <v>5593</v>
      </c>
      <c r="H3781" s="151" t="s">
        <v>5594</v>
      </c>
      <c r="I3781" s="122">
        <v>5</v>
      </c>
      <c r="J3781" s="122">
        <v>51</v>
      </c>
      <c r="K3781" s="122">
        <v>7</v>
      </c>
      <c r="L3781" s="122">
        <v>0</v>
      </c>
      <c r="M3781" s="122">
        <v>0</v>
      </c>
      <c r="N3781" s="122">
        <v>0</v>
      </c>
      <c r="O3781" s="122">
        <v>0</v>
      </c>
      <c r="P3781" s="76">
        <v>0.26202599999999998</v>
      </c>
      <c r="Q3781" s="122" t="s">
        <v>154</v>
      </c>
    </row>
    <row r="3782" spans="1:17" ht="166.5" x14ac:dyDescent="0.25">
      <c r="A3782" s="119">
        <v>40542</v>
      </c>
      <c r="B3782" s="119">
        <v>40542</v>
      </c>
      <c r="C3782" s="122">
        <v>2010</v>
      </c>
      <c r="D3782" s="35" t="s">
        <v>28</v>
      </c>
      <c r="E3782" s="22" t="s">
        <v>2933</v>
      </c>
      <c r="F3782" s="7" t="s">
        <v>56</v>
      </c>
      <c r="G3782" s="120" t="s">
        <v>358</v>
      </c>
      <c r="H3782" s="151" t="s">
        <v>5595</v>
      </c>
      <c r="I3782" s="122">
        <v>1</v>
      </c>
      <c r="J3782" s="122">
        <v>700</v>
      </c>
      <c r="K3782" s="122">
        <v>140</v>
      </c>
      <c r="L3782" s="122">
        <v>0</v>
      </c>
      <c r="M3782" s="122">
        <v>0</v>
      </c>
      <c r="N3782" s="122">
        <v>0</v>
      </c>
      <c r="O3782" s="122">
        <v>0</v>
      </c>
      <c r="P3782" s="76">
        <v>4.7973400000000002</v>
      </c>
      <c r="Q3782" s="122" t="s">
        <v>154</v>
      </c>
    </row>
    <row r="3783" spans="1:17" ht="268.5" x14ac:dyDescent="0.25">
      <c r="A3783" s="119">
        <v>40540</v>
      </c>
      <c r="B3783" s="119">
        <v>40540</v>
      </c>
      <c r="C3783" s="122">
        <v>2010</v>
      </c>
      <c r="D3783" s="35" t="s">
        <v>28</v>
      </c>
      <c r="E3783" s="145" t="s">
        <v>125</v>
      </c>
      <c r="F3783" s="7" t="s">
        <v>53</v>
      </c>
      <c r="G3783" s="120" t="s">
        <v>3073</v>
      </c>
      <c r="H3783" s="151" t="s">
        <v>5596</v>
      </c>
      <c r="I3783" s="122">
        <v>0</v>
      </c>
      <c r="J3783" s="122">
        <v>0</v>
      </c>
      <c r="K3783" s="122">
        <v>0</v>
      </c>
      <c r="L3783" s="122">
        <v>0</v>
      </c>
      <c r="M3783" s="122">
        <v>0</v>
      </c>
      <c r="N3783" s="122">
        <v>0</v>
      </c>
      <c r="O3783" s="122">
        <v>0</v>
      </c>
      <c r="P3783" s="76">
        <v>0</v>
      </c>
      <c r="Q3783" s="122" t="s">
        <v>154</v>
      </c>
    </row>
    <row r="3784" spans="1:17" ht="153.75" x14ac:dyDescent="0.25">
      <c r="A3784" s="119">
        <v>40179</v>
      </c>
      <c r="B3784" s="119">
        <v>40179</v>
      </c>
      <c r="C3784" s="122">
        <v>2010</v>
      </c>
      <c r="D3784" s="35" t="s">
        <v>28</v>
      </c>
      <c r="E3784" s="145" t="s">
        <v>5508</v>
      </c>
      <c r="F3784" s="7" t="s">
        <v>97</v>
      </c>
      <c r="G3784" s="120" t="s">
        <v>5597</v>
      </c>
      <c r="H3784" s="151" t="s">
        <v>5598</v>
      </c>
      <c r="I3784" s="122">
        <v>0</v>
      </c>
      <c r="J3784" s="122">
        <v>0</v>
      </c>
      <c r="K3784" s="122">
        <v>0</v>
      </c>
      <c r="L3784" s="122">
        <v>0</v>
      </c>
      <c r="M3784" s="122">
        <v>0</v>
      </c>
      <c r="N3784" s="122">
        <v>1</v>
      </c>
      <c r="O3784" s="122">
        <v>0</v>
      </c>
      <c r="P3784" s="76">
        <v>0.01</v>
      </c>
      <c r="Q3784" s="122" t="s">
        <v>154</v>
      </c>
    </row>
    <row r="3785" spans="1:17" ht="153.75" x14ac:dyDescent="0.25">
      <c r="A3785" s="119">
        <v>40344</v>
      </c>
      <c r="B3785" s="119">
        <v>40344</v>
      </c>
      <c r="C3785" s="122">
        <v>2010</v>
      </c>
      <c r="D3785" s="24" t="s">
        <v>141</v>
      </c>
      <c r="E3785" s="145" t="s">
        <v>5055</v>
      </c>
      <c r="F3785" s="7" t="s">
        <v>47</v>
      </c>
      <c r="G3785" s="120" t="s">
        <v>5158</v>
      </c>
      <c r="H3785" s="151" t="s">
        <v>5599</v>
      </c>
      <c r="I3785" s="122">
        <v>2</v>
      </c>
      <c r="J3785" s="122">
        <v>402</v>
      </c>
      <c r="K3785" s="122">
        <v>10</v>
      </c>
      <c r="L3785" s="122">
        <v>0</v>
      </c>
      <c r="M3785" s="122">
        <v>0</v>
      </c>
      <c r="N3785" s="122">
        <v>0</v>
      </c>
      <c r="O3785" s="122">
        <v>0</v>
      </c>
      <c r="P3785" s="76">
        <v>2.3258960000000002</v>
      </c>
      <c r="Q3785" s="122" t="s">
        <v>154</v>
      </c>
    </row>
    <row r="3786" spans="1:17" ht="77.25" x14ac:dyDescent="0.25">
      <c r="A3786" s="119">
        <v>40232</v>
      </c>
      <c r="B3786" s="119">
        <v>40232</v>
      </c>
      <c r="C3786" s="122">
        <v>2010</v>
      </c>
      <c r="D3786" s="24" t="s">
        <v>141</v>
      </c>
      <c r="E3786" s="30" t="s">
        <v>142</v>
      </c>
      <c r="F3786" s="7" t="s">
        <v>30</v>
      </c>
      <c r="G3786" s="120" t="s">
        <v>395</v>
      </c>
      <c r="H3786" s="151" t="s">
        <v>5600</v>
      </c>
      <c r="I3786" s="122">
        <v>3</v>
      </c>
      <c r="J3786" s="122">
        <v>3</v>
      </c>
      <c r="K3786" s="122">
        <v>0</v>
      </c>
      <c r="L3786" s="122">
        <v>0</v>
      </c>
      <c r="M3786" s="122">
        <v>0</v>
      </c>
      <c r="N3786" s="122">
        <v>0</v>
      </c>
      <c r="O3786" s="122">
        <v>0</v>
      </c>
      <c r="P3786" s="76">
        <v>1.5</v>
      </c>
      <c r="Q3786" s="122" t="s">
        <v>154</v>
      </c>
    </row>
    <row r="3787" spans="1:17" ht="90" x14ac:dyDescent="0.25">
      <c r="A3787" s="119">
        <v>40180</v>
      </c>
      <c r="B3787" s="119">
        <v>40180</v>
      </c>
      <c r="C3787" s="122">
        <v>2010</v>
      </c>
      <c r="D3787" s="24" t="s">
        <v>141</v>
      </c>
      <c r="E3787" s="30" t="s">
        <v>142</v>
      </c>
      <c r="F3787" s="7" t="s">
        <v>30</v>
      </c>
      <c r="G3787" s="120" t="s">
        <v>901</v>
      </c>
      <c r="H3787" s="151" t="s">
        <v>5601</v>
      </c>
      <c r="I3787" s="122">
        <v>14</v>
      </c>
      <c r="J3787" s="122">
        <v>35</v>
      </c>
      <c r="K3787" s="122">
        <v>0</v>
      </c>
      <c r="L3787" s="122">
        <v>0</v>
      </c>
      <c r="M3787" s="122">
        <v>0</v>
      </c>
      <c r="N3787" s="122">
        <v>0</v>
      </c>
      <c r="O3787" s="122">
        <v>0</v>
      </c>
      <c r="P3787" s="76">
        <v>0.4</v>
      </c>
      <c r="Q3787" s="122" t="s">
        <v>154</v>
      </c>
    </row>
    <row r="3788" spans="1:17" ht="64.5" x14ac:dyDescent="0.25">
      <c r="A3788" s="119">
        <v>40237</v>
      </c>
      <c r="B3788" s="119">
        <v>40237</v>
      </c>
      <c r="C3788" s="122">
        <v>2010</v>
      </c>
      <c r="D3788" s="24" t="s">
        <v>141</v>
      </c>
      <c r="E3788" s="30" t="s">
        <v>142</v>
      </c>
      <c r="F3788" s="7" t="s">
        <v>36</v>
      </c>
      <c r="G3788" s="120" t="s">
        <v>5310</v>
      </c>
      <c r="H3788" s="151" t="s">
        <v>5602</v>
      </c>
      <c r="I3788" s="122">
        <v>9</v>
      </c>
      <c r="J3788" s="122">
        <v>26</v>
      </c>
      <c r="K3788" s="122">
        <v>0</v>
      </c>
      <c r="L3788" s="122">
        <v>0</v>
      </c>
      <c r="M3788" s="122">
        <v>0</v>
      </c>
      <c r="N3788" s="122">
        <v>0</v>
      </c>
      <c r="O3788" s="122">
        <v>0</v>
      </c>
      <c r="P3788" s="76">
        <v>0.4</v>
      </c>
      <c r="Q3788" s="122" t="s">
        <v>154</v>
      </c>
    </row>
    <row r="3789" spans="1:17" ht="102.75" x14ac:dyDescent="0.25">
      <c r="A3789" s="119">
        <v>40265</v>
      </c>
      <c r="B3789" s="119">
        <v>40265</v>
      </c>
      <c r="C3789" s="122">
        <v>2010</v>
      </c>
      <c r="D3789" s="24" t="s">
        <v>141</v>
      </c>
      <c r="E3789" s="30" t="s">
        <v>142</v>
      </c>
      <c r="F3789" s="7" t="s">
        <v>36</v>
      </c>
      <c r="G3789" s="120" t="s">
        <v>3014</v>
      </c>
      <c r="H3789" s="151" t="s">
        <v>5603</v>
      </c>
      <c r="I3789" s="122">
        <v>2</v>
      </c>
      <c r="J3789" s="122">
        <v>3</v>
      </c>
      <c r="K3789" s="122">
        <v>0</v>
      </c>
      <c r="L3789" s="122">
        <v>0</v>
      </c>
      <c r="M3789" s="122">
        <v>0</v>
      </c>
      <c r="N3789" s="122">
        <v>0</v>
      </c>
      <c r="O3789" s="122">
        <v>0</v>
      </c>
      <c r="P3789" s="76">
        <v>1.5</v>
      </c>
      <c r="Q3789" s="122" t="s">
        <v>154</v>
      </c>
    </row>
    <row r="3790" spans="1:17" ht="39" x14ac:dyDescent="0.25">
      <c r="A3790" s="119">
        <v>40202</v>
      </c>
      <c r="B3790" s="119">
        <v>40202</v>
      </c>
      <c r="C3790" s="122">
        <v>2010</v>
      </c>
      <c r="D3790" s="24" t="s">
        <v>141</v>
      </c>
      <c r="E3790" s="30" t="s">
        <v>142</v>
      </c>
      <c r="F3790" s="7" t="s">
        <v>40</v>
      </c>
      <c r="G3790" s="120" t="s">
        <v>1943</v>
      </c>
      <c r="H3790" s="151" t="s">
        <v>5604</v>
      </c>
      <c r="I3790" s="122">
        <v>0</v>
      </c>
      <c r="J3790" s="122">
        <v>1</v>
      </c>
      <c r="K3790" s="122">
        <v>0</v>
      </c>
      <c r="L3790" s="122">
        <v>0</v>
      </c>
      <c r="M3790" s="122">
        <v>0</v>
      </c>
      <c r="N3790" s="122">
        <v>0</v>
      </c>
      <c r="O3790" s="122">
        <v>0</v>
      </c>
      <c r="P3790" s="76">
        <v>1.5</v>
      </c>
      <c r="Q3790" s="122" t="s">
        <v>154</v>
      </c>
    </row>
    <row r="3791" spans="1:17" ht="64.5" x14ac:dyDescent="0.25">
      <c r="A3791" s="119">
        <v>40267</v>
      </c>
      <c r="B3791" s="119">
        <v>40267</v>
      </c>
      <c r="C3791" s="122">
        <v>2010</v>
      </c>
      <c r="D3791" s="24" t="s">
        <v>141</v>
      </c>
      <c r="E3791" s="30" t="s">
        <v>142</v>
      </c>
      <c r="F3791" s="7" t="s">
        <v>40</v>
      </c>
      <c r="G3791" s="120" t="s">
        <v>1479</v>
      </c>
      <c r="H3791" s="151" t="s">
        <v>5605</v>
      </c>
      <c r="I3791" s="122">
        <v>2</v>
      </c>
      <c r="J3791" s="122">
        <v>13</v>
      </c>
      <c r="K3791" s="122">
        <v>0</v>
      </c>
      <c r="L3791" s="122">
        <v>0</v>
      </c>
      <c r="M3791" s="122">
        <v>0</v>
      </c>
      <c r="N3791" s="122">
        <v>0</v>
      </c>
      <c r="O3791" s="122">
        <v>0</v>
      </c>
      <c r="P3791" s="76">
        <v>0.4</v>
      </c>
      <c r="Q3791" s="122" t="s">
        <v>154</v>
      </c>
    </row>
    <row r="3792" spans="1:17" ht="39" x14ac:dyDescent="0.25">
      <c r="A3792" s="119">
        <v>40258</v>
      </c>
      <c r="B3792" s="119">
        <v>40258</v>
      </c>
      <c r="C3792" s="122">
        <v>2010</v>
      </c>
      <c r="D3792" s="24" t="s">
        <v>141</v>
      </c>
      <c r="E3792" s="30" t="s">
        <v>142</v>
      </c>
      <c r="F3792" s="7" t="s">
        <v>40</v>
      </c>
      <c r="G3792" s="120" t="s">
        <v>5606</v>
      </c>
      <c r="H3792" s="151" t="s">
        <v>5607</v>
      </c>
      <c r="I3792" s="122">
        <v>1</v>
      </c>
      <c r="J3792" s="122">
        <v>21</v>
      </c>
      <c r="K3792" s="122">
        <v>0</v>
      </c>
      <c r="L3792" s="122">
        <v>0</v>
      </c>
      <c r="M3792" s="122">
        <v>0</v>
      </c>
      <c r="N3792" s="122">
        <v>0</v>
      </c>
      <c r="O3792" s="122">
        <v>0</v>
      </c>
      <c r="P3792" s="76">
        <v>0.4</v>
      </c>
      <c r="Q3792" s="122" t="s">
        <v>154</v>
      </c>
    </row>
    <row r="3793" spans="1:17" ht="51.75" x14ac:dyDescent="0.25">
      <c r="A3793" s="119">
        <v>40259</v>
      </c>
      <c r="B3793" s="119">
        <v>40259</v>
      </c>
      <c r="C3793" s="122">
        <v>2010</v>
      </c>
      <c r="D3793" s="24" t="s">
        <v>141</v>
      </c>
      <c r="E3793" s="145" t="s">
        <v>4978</v>
      </c>
      <c r="F3793" s="7" t="s">
        <v>40</v>
      </c>
      <c r="G3793" s="120" t="s">
        <v>40</v>
      </c>
      <c r="H3793" s="151" t="s">
        <v>5608</v>
      </c>
      <c r="I3793" s="122">
        <v>0</v>
      </c>
      <c r="J3793" s="122">
        <v>2500</v>
      </c>
      <c r="K3793" s="122">
        <v>0</v>
      </c>
      <c r="L3793" s="122">
        <v>0</v>
      </c>
      <c r="M3793" s="122">
        <v>0</v>
      </c>
      <c r="N3793" s="122">
        <v>0</v>
      </c>
      <c r="O3793" s="122">
        <v>0</v>
      </c>
      <c r="P3793" s="76">
        <v>0</v>
      </c>
      <c r="Q3793" s="122" t="s">
        <v>154</v>
      </c>
    </row>
    <row r="3794" spans="1:17" ht="115.5" x14ac:dyDescent="0.25">
      <c r="A3794" s="119">
        <v>40214</v>
      </c>
      <c r="B3794" s="119">
        <v>40214</v>
      </c>
      <c r="C3794" s="122">
        <v>2010</v>
      </c>
      <c r="D3794" s="24" t="s">
        <v>141</v>
      </c>
      <c r="E3794" s="30" t="s">
        <v>142</v>
      </c>
      <c r="F3794" s="7" t="s">
        <v>56</v>
      </c>
      <c r="G3794" s="120" t="s">
        <v>1933</v>
      </c>
      <c r="H3794" s="151" t="s">
        <v>5609</v>
      </c>
      <c r="I3794" s="122">
        <v>1</v>
      </c>
      <c r="J3794" s="122">
        <v>1</v>
      </c>
      <c r="K3794" s="122">
        <v>0</v>
      </c>
      <c r="L3794" s="122">
        <v>0</v>
      </c>
      <c r="M3794" s="122">
        <v>0</v>
      </c>
      <c r="N3794" s="122">
        <v>0</v>
      </c>
      <c r="O3794" s="122">
        <v>0</v>
      </c>
      <c r="P3794" s="76">
        <v>0.65</v>
      </c>
      <c r="Q3794" s="122" t="s">
        <v>154</v>
      </c>
    </row>
    <row r="3795" spans="1:17" ht="64.5" x14ac:dyDescent="0.25">
      <c r="A3795" s="119">
        <v>40394</v>
      </c>
      <c r="B3795" s="119">
        <v>40394</v>
      </c>
      <c r="C3795" s="122">
        <v>2010</v>
      </c>
      <c r="D3795" s="24" t="s">
        <v>141</v>
      </c>
      <c r="E3795" s="30" t="s">
        <v>142</v>
      </c>
      <c r="F3795" s="7" t="s">
        <v>45</v>
      </c>
      <c r="G3795" s="120" t="s">
        <v>1601</v>
      </c>
      <c r="H3795" s="151" t="s">
        <v>5610</v>
      </c>
      <c r="I3795" s="122">
        <v>1</v>
      </c>
      <c r="J3795" s="122">
        <v>30</v>
      </c>
      <c r="K3795" s="122"/>
      <c r="L3795" s="122">
        <v>0</v>
      </c>
      <c r="M3795" s="122">
        <v>0</v>
      </c>
      <c r="N3795" s="122">
        <v>0</v>
      </c>
      <c r="O3795" s="122">
        <v>0</v>
      </c>
      <c r="P3795" s="76">
        <v>0.4</v>
      </c>
      <c r="Q3795" s="122" t="s">
        <v>154</v>
      </c>
    </row>
    <row r="3796" spans="1:17" ht="90" x14ac:dyDescent="0.25">
      <c r="A3796" s="119">
        <v>40398</v>
      </c>
      <c r="B3796" s="119">
        <v>40398</v>
      </c>
      <c r="C3796" s="122">
        <v>2010</v>
      </c>
      <c r="D3796" s="24" t="s">
        <v>141</v>
      </c>
      <c r="E3796" s="30" t="s">
        <v>142</v>
      </c>
      <c r="F3796" s="7" t="s">
        <v>60</v>
      </c>
      <c r="G3796" s="120" t="s">
        <v>908</v>
      </c>
      <c r="H3796" s="151" t="s">
        <v>5611</v>
      </c>
      <c r="I3796" s="122">
        <v>2</v>
      </c>
      <c r="J3796" s="122">
        <v>8</v>
      </c>
      <c r="K3796" s="122"/>
      <c r="L3796" s="122">
        <v>0</v>
      </c>
      <c r="M3796" s="122">
        <v>0</v>
      </c>
      <c r="N3796" s="122">
        <v>0</v>
      </c>
      <c r="O3796" s="122">
        <v>0</v>
      </c>
      <c r="P3796" s="76">
        <v>0</v>
      </c>
      <c r="Q3796" s="122" t="s">
        <v>154</v>
      </c>
    </row>
    <row r="3797" spans="1:17" ht="77.25" x14ac:dyDescent="0.25">
      <c r="A3797" s="119">
        <v>40402</v>
      </c>
      <c r="B3797" s="119">
        <v>40402</v>
      </c>
      <c r="C3797" s="122">
        <v>2010</v>
      </c>
      <c r="D3797" s="24" t="s">
        <v>141</v>
      </c>
      <c r="E3797" s="30" t="s">
        <v>142</v>
      </c>
      <c r="F3797" s="7" t="s">
        <v>62</v>
      </c>
      <c r="G3797" s="120" t="s">
        <v>1011</v>
      </c>
      <c r="H3797" s="151" t="s">
        <v>5612</v>
      </c>
      <c r="I3797" s="122">
        <v>1</v>
      </c>
      <c r="J3797" s="122">
        <v>1</v>
      </c>
      <c r="K3797" s="122">
        <v>0</v>
      </c>
      <c r="L3797" s="122">
        <v>0</v>
      </c>
      <c r="M3797" s="122">
        <v>0</v>
      </c>
      <c r="N3797" s="122">
        <v>0</v>
      </c>
      <c r="O3797" s="122">
        <v>0</v>
      </c>
      <c r="P3797" s="76">
        <v>1.5</v>
      </c>
      <c r="Q3797" s="122" t="s">
        <v>154</v>
      </c>
    </row>
    <row r="3798" spans="1:17" ht="102.75" x14ac:dyDescent="0.25">
      <c r="A3798" s="119">
        <v>40402</v>
      </c>
      <c r="B3798" s="119">
        <v>40402</v>
      </c>
      <c r="C3798" s="122">
        <v>2010</v>
      </c>
      <c r="D3798" s="24" t="s">
        <v>141</v>
      </c>
      <c r="E3798" s="145" t="s">
        <v>4978</v>
      </c>
      <c r="F3798" s="7" t="s">
        <v>58</v>
      </c>
      <c r="G3798" s="120" t="s">
        <v>168</v>
      </c>
      <c r="H3798" s="151" t="s">
        <v>5613</v>
      </c>
      <c r="I3798" s="122">
        <v>0</v>
      </c>
      <c r="J3798" s="122">
        <v>0</v>
      </c>
      <c r="K3798" s="122">
        <v>0</v>
      </c>
      <c r="L3798" s="122">
        <v>0</v>
      </c>
      <c r="M3798" s="122">
        <v>0</v>
      </c>
      <c r="N3798" s="122">
        <v>0</v>
      </c>
      <c r="O3798" s="122">
        <v>0</v>
      </c>
      <c r="P3798" s="76">
        <v>0</v>
      </c>
      <c r="Q3798" s="122" t="s">
        <v>154</v>
      </c>
    </row>
    <row r="3799" spans="1:17" ht="77.25" x14ac:dyDescent="0.25">
      <c r="A3799" s="119">
        <v>40405</v>
      </c>
      <c r="B3799" s="119">
        <v>40405</v>
      </c>
      <c r="C3799" s="122">
        <v>2010</v>
      </c>
      <c r="D3799" s="24" t="s">
        <v>141</v>
      </c>
      <c r="E3799" s="145" t="s">
        <v>4978</v>
      </c>
      <c r="F3799" s="7" t="s">
        <v>68</v>
      </c>
      <c r="G3799" s="120" t="s">
        <v>1121</v>
      </c>
      <c r="H3799" s="151" t="s">
        <v>5614</v>
      </c>
      <c r="I3799" s="122">
        <v>0</v>
      </c>
      <c r="J3799" s="122">
        <v>0</v>
      </c>
      <c r="K3799" s="122">
        <v>0</v>
      </c>
      <c r="L3799" s="122">
        <v>0</v>
      </c>
      <c r="M3799" s="122">
        <v>0</v>
      </c>
      <c r="N3799" s="122">
        <v>0</v>
      </c>
      <c r="O3799" s="122">
        <v>0</v>
      </c>
      <c r="P3799" s="76">
        <v>0</v>
      </c>
      <c r="Q3799" s="122" t="s">
        <v>154</v>
      </c>
    </row>
    <row r="3800" spans="1:17" ht="51.75" x14ac:dyDescent="0.25">
      <c r="A3800" s="119">
        <v>40405</v>
      </c>
      <c r="B3800" s="119">
        <v>40405</v>
      </c>
      <c r="C3800" s="122">
        <v>2010</v>
      </c>
      <c r="D3800" s="24" t="s">
        <v>141</v>
      </c>
      <c r="E3800" s="22" t="s">
        <v>2933</v>
      </c>
      <c r="F3800" s="28" t="s">
        <v>157</v>
      </c>
      <c r="G3800" s="120" t="s">
        <v>5550</v>
      </c>
      <c r="H3800" s="151" t="s">
        <v>5615</v>
      </c>
      <c r="I3800" s="122">
        <v>0</v>
      </c>
      <c r="J3800" s="122">
        <v>4</v>
      </c>
      <c r="K3800" s="122">
        <v>0</v>
      </c>
      <c r="L3800" s="122">
        <v>0</v>
      </c>
      <c r="M3800" s="122">
        <v>0</v>
      </c>
      <c r="N3800" s="122">
        <v>0</v>
      </c>
      <c r="O3800" s="122">
        <v>0</v>
      </c>
      <c r="P3800" s="76">
        <v>0</v>
      </c>
      <c r="Q3800" s="122" t="s">
        <v>154</v>
      </c>
    </row>
    <row r="3801" spans="1:17" ht="153.75" x14ac:dyDescent="0.25">
      <c r="A3801" s="119">
        <v>40406</v>
      </c>
      <c r="B3801" s="119">
        <v>40406</v>
      </c>
      <c r="C3801" s="122">
        <v>2010</v>
      </c>
      <c r="D3801" s="24" t="s">
        <v>141</v>
      </c>
      <c r="E3801" s="30" t="s">
        <v>142</v>
      </c>
      <c r="F3801" s="7" t="s">
        <v>58</v>
      </c>
      <c r="G3801" s="120" t="s">
        <v>1194</v>
      </c>
      <c r="H3801" s="151" t="s">
        <v>5616</v>
      </c>
      <c r="I3801" s="122">
        <v>4</v>
      </c>
      <c r="J3801" s="122">
        <v>6</v>
      </c>
      <c r="K3801" s="122">
        <v>0</v>
      </c>
      <c r="L3801" s="122">
        <v>0</v>
      </c>
      <c r="M3801" s="122">
        <v>0</v>
      </c>
      <c r="N3801" s="122">
        <v>0</v>
      </c>
      <c r="O3801" s="122">
        <v>0</v>
      </c>
      <c r="P3801" s="76">
        <v>0.4</v>
      </c>
      <c r="Q3801" s="122" t="s">
        <v>154</v>
      </c>
    </row>
    <row r="3802" spans="1:17" ht="128.25" x14ac:dyDescent="0.25">
      <c r="A3802" s="119">
        <v>40409</v>
      </c>
      <c r="B3802" s="119">
        <v>40409</v>
      </c>
      <c r="C3802" s="122">
        <v>2010</v>
      </c>
      <c r="D3802" s="24" t="s">
        <v>141</v>
      </c>
      <c r="E3802" s="145" t="s">
        <v>5055</v>
      </c>
      <c r="F3802" s="28" t="s">
        <v>157</v>
      </c>
      <c r="G3802" s="120" t="s">
        <v>857</v>
      </c>
      <c r="H3802" s="151" t="s">
        <v>5617</v>
      </c>
      <c r="I3802" s="122">
        <v>0</v>
      </c>
      <c r="J3802" s="122">
        <v>16</v>
      </c>
      <c r="K3802" s="122">
        <v>0</v>
      </c>
      <c r="L3802" s="122">
        <v>0</v>
      </c>
      <c r="M3802" s="122">
        <v>0</v>
      </c>
      <c r="N3802" s="122">
        <v>0</v>
      </c>
      <c r="O3802" s="122">
        <v>0</v>
      </c>
      <c r="P3802" s="76">
        <v>0.4</v>
      </c>
      <c r="Q3802" s="122" t="s">
        <v>154</v>
      </c>
    </row>
    <row r="3803" spans="1:17" ht="51.75" x14ac:dyDescent="0.25">
      <c r="A3803" s="119">
        <v>40415</v>
      </c>
      <c r="B3803" s="119">
        <v>40415</v>
      </c>
      <c r="C3803" s="122">
        <v>2010</v>
      </c>
      <c r="D3803" s="24" t="s">
        <v>141</v>
      </c>
      <c r="E3803" s="145" t="s">
        <v>4978</v>
      </c>
      <c r="F3803" s="7" t="s">
        <v>56</v>
      </c>
      <c r="G3803" s="120" t="s">
        <v>1160</v>
      </c>
      <c r="H3803" s="151" t="s">
        <v>5618</v>
      </c>
      <c r="I3803" s="122">
        <v>0</v>
      </c>
      <c r="J3803" s="122">
        <v>120</v>
      </c>
      <c r="K3803" s="122">
        <v>0</v>
      </c>
      <c r="L3803" s="122">
        <v>0</v>
      </c>
      <c r="M3803" s="122">
        <v>0</v>
      </c>
      <c r="N3803" s="122">
        <v>0</v>
      </c>
      <c r="O3803" s="122">
        <v>0</v>
      </c>
      <c r="P3803" s="76">
        <v>0</v>
      </c>
      <c r="Q3803" s="122" t="s">
        <v>154</v>
      </c>
    </row>
    <row r="3804" spans="1:17" ht="64.5" x14ac:dyDescent="0.25">
      <c r="A3804" s="119">
        <v>40415</v>
      </c>
      <c r="B3804" s="119">
        <v>40415</v>
      </c>
      <c r="C3804" s="122">
        <v>2010</v>
      </c>
      <c r="D3804" s="24" t="s">
        <v>141</v>
      </c>
      <c r="E3804" s="30" t="s">
        <v>142</v>
      </c>
      <c r="F3804" s="7" t="s">
        <v>62</v>
      </c>
      <c r="G3804" s="120" t="s">
        <v>230</v>
      </c>
      <c r="H3804" s="151" t="s">
        <v>5619</v>
      </c>
      <c r="I3804" s="122">
        <v>0</v>
      </c>
      <c r="J3804" s="122">
        <v>8</v>
      </c>
      <c r="K3804" s="122">
        <v>0</v>
      </c>
      <c r="L3804" s="122">
        <v>0</v>
      </c>
      <c r="M3804" s="122">
        <v>0</v>
      </c>
      <c r="N3804" s="122">
        <v>0</v>
      </c>
      <c r="O3804" s="122">
        <v>0</v>
      </c>
      <c r="P3804" s="76">
        <v>0.4</v>
      </c>
      <c r="Q3804" s="122" t="s">
        <v>154</v>
      </c>
    </row>
    <row r="3805" spans="1:17" ht="192" x14ac:dyDescent="0.25">
      <c r="A3805" s="119">
        <v>40414</v>
      </c>
      <c r="B3805" s="119">
        <v>40414</v>
      </c>
      <c r="C3805" s="122">
        <v>2010</v>
      </c>
      <c r="D3805" s="24" t="s">
        <v>141</v>
      </c>
      <c r="E3805" s="30" t="s">
        <v>142</v>
      </c>
      <c r="F3805" s="7" t="s">
        <v>53</v>
      </c>
      <c r="G3805" s="120" t="s">
        <v>847</v>
      </c>
      <c r="H3805" s="151" t="s">
        <v>5620</v>
      </c>
      <c r="I3805" s="122">
        <v>1</v>
      </c>
      <c r="J3805" s="122">
        <v>8</v>
      </c>
      <c r="K3805" s="122">
        <v>0</v>
      </c>
      <c r="L3805" s="122">
        <v>0</v>
      </c>
      <c r="M3805" s="122">
        <v>0</v>
      </c>
      <c r="N3805" s="122">
        <v>0</v>
      </c>
      <c r="O3805" s="122">
        <v>0</v>
      </c>
      <c r="P3805" s="76">
        <v>0.79400000000000004</v>
      </c>
      <c r="Q3805" s="122" t="s">
        <v>154</v>
      </c>
    </row>
    <row r="3806" spans="1:17" ht="141" x14ac:dyDescent="0.25">
      <c r="A3806" s="119">
        <v>40414</v>
      </c>
      <c r="B3806" s="119">
        <v>40414</v>
      </c>
      <c r="C3806" s="122">
        <v>2010</v>
      </c>
      <c r="D3806" s="24" t="s">
        <v>141</v>
      </c>
      <c r="E3806" s="145" t="s">
        <v>5055</v>
      </c>
      <c r="F3806" s="7" t="s">
        <v>56</v>
      </c>
      <c r="G3806" s="120" t="s">
        <v>358</v>
      </c>
      <c r="H3806" s="152" t="s">
        <v>5621</v>
      </c>
      <c r="I3806" s="122">
        <v>0</v>
      </c>
      <c r="J3806" s="122">
        <v>25</v>
      </c>
      <c r="K3806" s="122">
        <v>0</v>
      </c>
      <c r="L3806" s="122">
        <v>0</v>
      </c>
      <c r="M3806" s="122">
        <v>0</v>
      </c>
      <c r="N3806" s="122">
        <v>0</v>
      </c>
      <c r="O3806" s="122">
        <v>0</v>
      </c>
      <c r="P3806" s="76">
        <v>0.8</v>
      </c>
      <c r="Q3806" s="122" t="s">
        <v>154</v>
      </c>
    </row>
    <row r="3807" spans="1:17" ht="102.75" x14ac:dyDescent="0.25">
      <c r="A3807" s="119">
        <v>40415</v>
      </c>
      <c r="B3807" s="119">
        <v>40415</v>
      </c>
      <c r="C3807" s="122">
        <v>2010</v>
      </c>
      <c r="D3807" s="24" t="s">
        <v>141</v>
      </c>
      <c r="E3807" s="30" t="s">
        <v>142</v>
      </c>
      <c r="F3807" s="28" t="s">
        <v>210</v>
      </c>
      <c r="G3807" s="120" t="s">
        <v>4296</v>
      </c>
      <c r="H3807" s="152" t="s">
        <v>5622</v>
      </c>
      <c r="I3807" s="122">
        <v>0</v>
      </c>
      <c r="J3807" s="122">
        <v>0</v>
      </c>
      <c r="K3807" s="122">
        <v>0</v>
      </c>
      <c r="L3807" s="122">
        <v>0</v>
      </c>
      <c r="M3807" s="122">
        <v>0</v>
      </c>
      <c r="N3807" s="122">
        <v>0</v>
      </c>
      <c r="O3807" s="122">
        <v>0</v>
      </c>
      <c r="P3807" s="76">
        <v>0.65</v>
      </c>
      <c r="Q3807" s="122" t="s">
        <v>154</v>
      </c>
    </row>
    <row r="3808" spans="1:17" ht="51.75" x14ac:dyDescent="0.25">
      <c r="A3808" s="119">
        <v>40416</v>
      </c>
      <c r="B3808" s="119">
        <v>40416</v>
      </c>
      <c r="C3808" s="122">
        <v>2010</v>
      </c>
      <c r="D3808" s="24" t="s">
        <v>141</v>
      </c>
      <c r="E3808" s="22" t="s">
        <v>2933</v>
      </c>
      <c r="F3808" s="28" t="s">
        <v>157</v>
      </c>
      <c r="G3808" s="120" t="s">
        <v>5550</v>
      </c>
      <c r="H3808" s="152" t="s">
        <v>5623</v>
      </c>
      <c r="I3808" s="122">
        <v>1</v>
      </c>
      <c r="J3808" s="122">
        <v>3</v>
      </c>
      <c r="K3808" s="122">
        <v>0</v>
      </c>
      <c r="L3808" s="122">
        <v>0</v>
      </c>
      <c r="M3808" s="122">
        <v>0</v>
      </c>
      <c r="N3808" s="122">
        <v>0</v>
      </c>
      <c r="O3808" s="122">
        <v>0</v>
      </c>
      <c r="P3808" s="76">
        <v>0</v>
      </c>
      <c r="Q3808" s="122" t="s">
        <v>154</v>
      </c>
    </row>
    <row r="3809" spans="1:17" ht="51.75" x14ac:dyDescent="0.25">
      <c r="A3809" s="119">
        <v>40417</v>
      </c>
      <c r="B3809" s="119">
        <v>40417</v>
      </c>
      <c r="C3809" s="122">
        <v>2010</v>
      </c>
      <c r="D3809" s="24" t="s">
        <v>141</v>
      </c>
      <c r="E3809" s="22" t="s">
        <v>2933</v>
      </c>
      <c r="F3809" s="7" t="s">
        <v>91</v>
      </c>
      <c r="G3809" s="120" t="s">
        <v>5624</v>
      </c>
      <c r="H3809" s="152" t="s">
        <v>5625</v>
      </c>
      <c r="I3809" s="122">
        <v>0</v>
      </c>
      <c r="J3809" s="122">
        <v>0</v>
      </c>
      <c r="K3809" s="122">
        <v>0</v>
      </c>
      <c r="L3809" s="122">
        <v>0</v>
      </c>
      <c r="M3809" s="122">
        <v>0</v>
      </c>
      <c r="N3809" s="122">
        <v>0</v>
      </c>
      <c r="O3809" s="122">
        <v>0</v>
      </c>
      <c r="P3809" s="76">
        <v>0</v>
      </c>
      <c r="Q3809" s="122" t="s">
        <v>154</v>
      </c>
    </row>
    <row r="3810" spans="1:17" ht="77.25" x14ac:dyDescent="0.25">
      <c r="A3810" s="119">
        <v>40416</v>
      </c>
      <c r="B3810" s="119">
        <v>40416</v>
      </c>
      <c r="C3810" s="122">
        <v>2010</v>
      </c>
      <c r="D3810" s="24" t="s">
        <v>141</v>
      </c>
      <c r="E3810" s="30" t="s">
        <v>142</v>
      </c>
      <c r="F3810" s="7" t="s">
        <v>58</v>
      </c>
      <c r="G3810" s="120" t="s">
        <v>168</v>
      </c>
      <c r="H3810" s="152" t="s">
        <v>5626</v>
      </c>
      <c r="I3810" s="122">
        <v>0</v>
      </c>
      <c r="J3810" s="122">
        <v>8</v>
      </c>
      <c r="K3810" s="122">
        <v>0</v>
      </c>
      <c r="L3810" s="122">
        <v>0</v>
      </c>
      <c r="M3810" s="122">
        <v>0</v>
      </c>
      <c r="N3810" s="122">
        <v>0</v>
      </c>
      <c r="O3810" s="122">
        <v>0</v>
      </c>
      <c r="P3810" s="76">
        <v>0.47199999999999998</v>
      </c>
      <c r="Q3810" s="122" t="s">
        <v>154</v>
      </c>
    </row>
    <row r="3811" spans="1:17" ht="90" x14ac:dyDescent="0.25">
      <c r="A3811" s="119">
        <v>40416</v>
      </c>
      <c r="B3811" s="119">
        <v>40416</v>
      </c>
      <c r="C3811" s="122">
        <v>2010</v>
      </c>
      <c r="D3811" s="24" t="s">
        <v>141</v>
      </c>
      <c r="E3811" s="145" t="s">
        <v>5055</v>
      </c>
      <c r="F3811" s="7" t="s">
        <v>60</v>
      </c>
      <c r="G3811" s="120" t="s">
        <v>908</v>
      </c>
      <c r="H3811" s="152" t="s">
        <v>5627</v>
      </c>
      <c r="I3811" s="122">
        <v>1</v>
      </c>
      <c r="J3811" s="122">
        <v>5</v>
      </c>
      <c r="K3811" s="122">
        <v>0</v>
      </c>
      <c r="L3811" s="122">
        <v>0</v>
      </c>
      <c r="M3811" s="122">
        <v>0</v>
      </c>
      <c r="N3811" s="122">
        <v>0</v>
      </c>
      <c r="O3811" s="122">
        <v>0</v>
      </c>
      <c r="P3811" s="76">
        <v>0</v>
      </c>
      <c r="Q3811" s="122" t="s">
        <v>154</v>
      </c>
    </row>
    <row r="3812" spans="1:17" ht="90" x14ac:dyDescent="0.25">
      <c r="A3812" s="119">
        <v>40420</v>
      </c>
      <c r="B3812" s="119">
        <v>40420</v>
      </c>
      <c r="C3812" s="122">
        <v>2010</v>
      </c>
      <c r="D3812" s="24" t="s">
        <v>141</v>
      </c>
      <c r="E3812" s="30" t="s">
        <v>142</v>
      </c>
      <c r="F3812" s="7" t="s">
        <v>56</v>
      </c>
      <c r="G3812" s="120" t="s">
        <v>1666</v>
      </c>
      <c r="H3812" s="152" t="s">
        <v>5628</v>
      </c>
      <c r="I3812" s="122">
        <v>0</v>
      </c>
      <c r="J3812" s="122">
        <v>5</v>
      </c>
      <c r="K3812" s="122">
        <v>0</v>
      </c>
      <c r="L3812" s="122">
        <v>0</v>
      </c>
      <c r="M3812" s="122">
        <v>0</v>
      </c>
      <c r="N3812" s="122">
        <v>0</v>
      </c>
      <c r="O3812" s="122">
        <v>0</v>
      </c>
      <c r="P3812" s="76">
        <v>0.4</v>
      </c>
      <c r="Q3812" s="122" t="s">
        <v>154</v>
      </c>
    </row>
    <row r="3813" spans="1:17" ht="77.25" x14ac:dyDescent="0.25">
      <c r="A3813" s="119">
        <v>40421</v>
      </c>
      <c r="B3813" s="119">
        <v>40421</v>
      </c>
      <c r="C3813" s="122">
        <v>2010</v>
      </c>
      <c r="D3813" s="24" t="s">
        <v>141</v>
      </c>
      <c r="E3813" s="30" t="s">
        <v>142</v>
      </c>
      <c r="F3813" s="7" t="s">
        <v>77</v>
      </c>
      <c r="G3813" s="120" t="s">
        <v>5629</v>
      </c>
      <c r="H3813" s="152" t="s">
        <v>5630</v>
      </c>
      <c r="I3813" s="122">
        <v>0</v>
      </c>
      <c r="J3813" s="122">
        <v>10</v>
      </c>
      <c r="K3813" s="122">
        <v>0</v>
      </c>
      <c r="L3813" s="122">
        <v>0</v>
      </c>
      <c r="M3813" s="122">
        <v>0</v>
      </c>
      <c r="N3813" s="122">
        <v>0</v>
      </c>
      <c r="O3813" s="122">
        <v>0</v>
      </c>
      <c r="P3813" s="76">
        <v>1.05</v>
      </c>
      <c r="Q3813" s="122" t="s">
        <v>154</v>
      </c>
    </row>
    <row r="3814" spans="1:17" ht="51.75" x14ac:dyDescent="0.25">
      <c r="A3814" s="119">
        <v>40422</v>
      </c>
      <c r="B3814" s="119">
        <v>40422</v>
      </c>
      <c r="C3814" s="122">
        <v>2010</v>
      </c>
      <c r="D3814" s="24" t="s">
        <v>141</v>
      </c>
      <c r="E3814" s="145" t="s">
        <v>4978</v>
      </c>
      <c r="F3814" s="7" t="s">
        <v>40</v>
      </c>
      <c r="G3814" s="120" t="s">
        <v>40</v>
      </c>
      <c r="H3814" s="152" t="s">
        <v>5631</v>
      </c>
      <c r="I3814" s="122">
        <v>0</v>
      </c>
      <c r="J3814" s="122">
        <v>900</v>
      </c>
      <c r="K3814" s="122">
        <v>0</v>
      </c>
      <c r="L3814" s="122">
        <v>0</v>
      </c>
      <c r="M3814" s="122">
        <v>0</v>
      </c>
      <c r="N3814" s="122">
        <v>0</v>
      </c>
      <c r="O3814" s="122">
        <v>0</v>
      </c>
      <c r="P3814" s="76">
        <v>0</v>
      </c>
      <c r="Q3814" s="122" t="s">
        <v>154</v>
      </c>
    </row>
    <row r="3815" spans="1:17" ht="192" x14ac:dyDescent="0.25">
      <c r="A3815" s="119">
        <v>40424</v>
      </c>
      <c r="B3815" s="119">
        <v>40424</v>
      </c>
      <c r="C3815" s="122">
        <v>2010</v>
      </c>
      <c r="D3815" s="24" t="s">
        <v>141</v>
      </c>
      <c r="E3815" s="30" t="s">
        <v>142</v>
      </c>
      <c r="F3815" s="7" t="s">
        <v>60</v>
      </c>
      <c r="G3815" s="120" t="s">
        <v>5632</v>
      </c>
      <c r="H3815" s="152" t="s">
        <v>5633</v>
      </c>
      <c r="I3815" s="122">
        <v>0</v>
      </c>
      <c r="J3815" s="122">
        <v>8</v>
      </c>
      <c r="K3815" s="122">
        <v>0</v>
      </c>
      <c r="L3815" s="122">
        <v>0</v>
      </c>
      <c r="M3815" s="122">
        <v>0</v>
      </c>
      <c r="N3815" s="122">
        <v>0</v>
      </c>
      <c r="O3815" s="122">
        <v>0</v>
      </c>
      <c r="P3815" s="76">
        <v>1.2784800000000001</v>
      </c>
      <c r="Q3815" s="122" t="s">
        <v>154</v>
      </c>
    </row>
    <row r="3816" spans="1:17" ht="230.25" x14ac:dyDescent="0.25">
      <c r="A3816" s="119">
        <v>40425</v>
      </c>
      <c r="B3816" s="119">
        <v>40425</v>
      </c>
      <c r="C3816" s="122">
        <v>2010</v>
      </c>
      <c r="D3816" s="24" t="s">
        <v>141</v>
      </c>
      <c r="E3816" s="30" t="s">
        <v>142</v>
      </c>
      <c r="F3816" s="7" t="s">
        <v>56</v>
      </c>
      <c r="G3816" s="120" t="s">
        <v>711</v>
      </c>
      <c r="H3816" s="152" t="s">
        <v>5634</v>
      </c>
      <c r="I3816" s="122">
        <v>0</v>
      </c>
      <c r="J3816" s="122">
        <v>1</v>
      </c>
      <c r="K3816" s="122">
        <v>0</v>
      </c>
      <c r="L3816" s="122">
        <v>0</v>
      </c>
      <c r="M3816" s="122">
        <v>0</v>
      </c>
      <c r="N3816" s="122">
        <v>0</v>
      </c>
      <c r="O3816" s="122">
        <v>0</v>
      </c>
      <c r="P3816" s="76">
        <v>0.57199999999999995</v>
      </c>
      <c r="Q3816" s="122" t="s">
        <v>154</v>
      </c>
    </row>
    <row r="3817" spans="1:17" ht="153.75" x14ac:dyDescent="0.25">
      <c r="A3817" s="119">
        <v>40424</v>
      </c>
      <c r="B3817" s="119">
        <v>40424</v>
      </c>
      <c r="C3817" s="122">
        <v>2010</v>
      </c>
      <c r="D3817" s="24" t="s">
        <v>141</v>
      </c>
      <c r="E3817" s="30" t="s">
        <v>142</v>
      </c>
      <c r="F3817" s="7" t="s">
        <v>45</v>
      </c>
      <c r="G3817" s="120" t="s">
        <v>259</v>
      </c>
      <c r="H3817" s="152" t="s">
        <v>5635</v>
      </c>
      <c r="I3817" s="122">
        <v>0</v>
      </c>
      <c r="J3817" s="122">
        <v>0</v>
      </c>
      <c r="K3817" s="122">
        <v>0</v>
      </c>
      <c r="L3817" s="122">
        <v>0</v>
      </c>
      <c r="M3817" s="122">
        <v>0</v>
      </c>
      <c r="N3817" s="122">
        <v>0</v>
      </c>
      <c r="O3817" s="122">
        <v>0</v>
      </c>
      <c r="P3817" s="76">
        <v>0.45</v>
      </c>
      <c r="Q3817" s="122" t="s">
        <v>154</v>
      </c>
    </row>
    <row r="3818" spans="1:17" ht="102.75" x14ac:dyDescent="0.25">
      <c r="A3818" s="119">
        <v>40424</v>
      </c>
      <c r="B3818" s="119">
        <v>40424</v>
      </c>
      <c r="C3818" s="122">
        <v>2010</v>
      </c>
      <c r="D3818" s="24" t="s">
        <v>141</v>
      </c>
      <c r="E3818" s="30" t="s">
        <v>142</v>
      </c>
      <c r="F3818" s="7" t="s">
        <v>72</v>
      </c>
      <c r="G3818" s="120" t="s">
        <v>2000</v>
      </c>
      <c r="H3818" s="152" t="s">
        <v>5636</v>
      </c>
      <c r="I3818" s="122">
        <v>6</v>
      </c>
      <c r="J3818" s="122">
        <v>6</v>
      </c>
      <c r="K3818" s="122">
        <v>0</v>
      </c>
      <c r="L3818" s="122">
        <v>0</v>
      </c>
      <c r="M3818" s="122">
        <v>0</v>
      </c>
      <c r="N3818" s="122">
        <v>0</v>
      </c>
      <c r="O3818" s="122">
        <v>0</v>
      </c>
      <c r="P3818" s="76">
        <v>1.5</v>
      </c>
      <c r="Q3818" s="122" t="s">
        <v>154</v>
      </c>
    </row>
    <row r="3819" spans="1:17" ht="128.25" x14ac:dyDescent="0.25">
      <c r="A3819" s="119">
        <v>40427</v>
      </c>
      <c r="B3819" s="119">
        <v>40427</v>
      </c>
      <c r="C3819" s="122">
        <v>2010</v>
      </c>
      <c r="D3819" s="24" t="s">
        <v>141</v>
      </c>
      <c r="E3819" s="41" t="s">
        <v>1965</v>
      </c>
      <c r="F3819" s="7" t="s">
        <v>53</v>
      </c>
      <c r="G3819" s="120" t="s">
        <v>1119</v>
      </c>
      <c r="H3819" s="152" t="s">
        <v>5637</v>
      </c>
      <c r="I3819" s="122">
        <v>3</v>
      </c>
      <c r="J3819" s="122">
        <v>3</v>
      </c>
      <c r="K3819" s="122">
        <v>0</v>
      </c>
      <c r="L3819" s="122">
        <v>0</v>
      </c>
      <c r="M3819" s="122">
        <v>0</v>
      </c>
      <c r="N3819" s="122">
        <v>0</v>
      </c>
      <c r="O3819" s="122">
        <v>0</v>
      </c>
      <c r="P3819" s="76">
        <v>0</v>
      </c>
      <c r="Q3819" s="122" t="s">
        <v>154</v>
      </c>
    </row>
    <row r="3820" spans="1:17" ht="217.5" x14ac:dyDescent="0.25">
      <c r="A3820" s="119">
        <v>40429</v>
      </c>
      <c r="B3820" s="119">
        <v>40429</v>
      </c>
      <c r="C3820" s="122">
        <v>2010</v>
      </c>
      <c r="D3820" s="24" t="s">
        <v>141</v>
      </c>
      <c r="E3820" s="30" t="s">
        <v>142</v>
      </c>
      <c r="F3820" s="7" t="s">
        <v>56</v>
      </c>
      <c r="G3820" s="120" t="s">
        <v>495</v>
      </c>
      <c r="H3820" s="152" t="s">
        <v>5638</v>
      </c>
      <c r="I3820" s="122">
        <v>0</v>
      </c>
      <c r="J3820" s="122">
        <v>132</v>
      </c>
      <c r="K3820" s="122">
        <v>0</v>
      </c>
      <c r="L3820" s="122">
        <v>0</v>
      </c>
      <c r="M3820" s="122">
        <v>0</v>
      </c>
      <c r="N3820" s="122">
        <v>0</v>
      </c>
      <c r="O3820" s="122">
        <v>0</v>
      </c>
      <c r="P3820" s="76">
        <v>5.5617999999999999</v>
      </c>
      <c r="Q3820" s="122" t="s">
        <v>154</v>
      </c>
    </row>
    <row r="3821" spans="1:17" ht="90" x14ac:dyDescent="0.25">
      <c r="A3821" s="119">
        <v>40429</v>
      </c>
      <c r="B3821" s="119">
        <v>40429</v>
      </c>
      <c r="C3821" s="122">
        <v>2010</v>
      </c>
      <c r="D3821" s="24" t="s">
        <v>141</v>
      </c>
      <c r="E3821" s="30" t="s">
        <v>142</v>
      </c>
      <c r="F3821" s="7" t="s">
        <v>56</v>
      </c>
      <c r="G3821" s="120" t="s">
        <v>5519</v>
      </c>
      <c r="H3821" s="152" t="s">
        <v>5639</v>
      </c>
      <c r="I3821" s="122">
        <v>0</v>
      </c>
      <c r="J3821" s="122">
        <v>1</v>
      </c>
      <c r="K3821" s="122">
        <v>0</v>
      </c>
      <c r="L3821" s="122">
        <v>0</v>
      </c>
      <c r="M3821" s="122">
        <v>0</v>
      </c>
      <c r="N3821" s="122">
        <v>0</v>
      </c>
      <c r="O3821" s="122">
        <v>0</v>
      </c>
      <c r="P3821" s="76">
        <v>0.4</v>
      </c>
      <c r="Q3821" s="122" t="s">
        <v>154</v>
      </c>
    </row>
    <row r="3822" spans="1:17" ht="64.5" x14ac:dyDescent="0.25">
      <c r="A3822" s="119">
        <v>40430</v>
      </c>
      <c r="B3822" s="119">
        <v>40430</v>
      </c>
      <c r="C3822" s="122">
        <v>2010</v>
      </c>
      <c r="D3822" s="24" t="s">
        <v>141</v>
      </c>
      <c r="E3822" s="30" t="s">
        <v>142</v>
      </c>
      <c r="F3822" s="7" t="s">
        <v>56</v>
      </c>
      <c r="G3822" s="120" t="s">
        <v>351</v>
      </c>
      <c r="H3822" s="152" t="s">
        <v>5640</v>
      </c>
      <c r="I3822" s="122">
        <v>0</v>
      </c>
      <c r="J3822" s="122">
        <v>4</v>
      </c>
      <c r="K3822" s="122">
        <v>0</v>
      </c>
      <c r="L3822" s="122">
        <v>0</v>
      </c>
      <c r="M3822" s="122">
        <v>0</v>
      </c>
      <c r="N3822" s="122">
        <v>0</v>
      </c>
      <c r="O3822" s="122">
        <v>0</v>
      </c>
      <c r="P3822" s="76">
        <v>0.65</v>
      </c>
      <c r="Q3822" s="122" t="s">
        <v>154</v>
      </c>
    </row>
    <row r="3823" spans="1:17" ht="141" x14ac:dyDescent="0.25">
      <c r="A3823" s="119">
        <v>40429</v>
      </c>
      <c r="B3823" s="119">
        <v>40429</v>
      </c>
      <c r="C3823" s="122">
        <v>2010</v>
      </c>
      <c r="D3823" s="24" t="s">
        <v>141</v>
      </c>
      <c r="E3823" s="30" t="s">
        <v>142</v>
      </c>
      <c r="F3823" s="28" t="s">
        <v>157</v>
      </c>
      <c r="G3823" s="120" t="s">
        <v>158</v>
      </c>
      <c r="H3823" s="152" t="s">
        <v>5641</v>
      </c>
      <c r="I3823" s="122">
        <v>0</v>
      </c>
      <c r="J3823" s="122">
        <v>0</v>
      </c>
      <c r="K3823" s="122">
        <v>0</v>
      </c>
      <c r="L3823" s="122">
        <v>0</v>
      </c>
      <c r="M3823" s="122">
        <v>0</v>
      </c>
      <c r="N3823" s="122">
        <v>0</v>
      </c>
      <c r="O3823" s="122">
        <v>0</v>
      </c>
      <c r="P3823" s="76">
        <v>0.45</v>
      </c>
      <c r="Q3823" s="122" t="s">
        <v>154</v>
      </c>
    </row>
    <row r="3824" spans="1:17" ht="51.75" x14ac:dyDescent="0.25">
      <c r="A3824" s="119">
        <v>40430</v>
      </c>
      <c r="B3824" s="119">
        <v>40430</v>
      </c>
      <c r="C3824" s="122">
        <v>2010</v>
      </c>
      <c r="D3824" s="24" t="s">
        <v>141</v>
      </c>
      <c r="E3824" s="22" t="s">
        <v>2933</v>
      </c>
      <c r="F3824" s="28" t="s">
        <v>157</v>
      </c>
      <c r="G3824" s="120" t="s">
        <v>876</v>
      </c>
      <c r="H3824" s="152" t="s">
        <v>5642</v>
      </c>
      <c r="I3824" s="122">
        <v>3</v>
      </c>
      <c r="J3824" s="122">
        <v>6</v>
      </c>
      <c r="K3824" s="122">
        <v>0</v>
      </c>
      <c r="L3824" s="122">
        <v>0</v>
      </c>
      <c r="M3824" s="122">
        <v>0</v>
      </c>
      <c r="N3824" s="122">
        <v>0</v>
      </c>
      <c r="O3824" s="122">
        <v>0</v>
      </c>
      <c r="P3824" s="76">
        <v>0</v>
      </c>
      <c r="Q3824" s="122" t="s">
        <v>154</v>
      </c>
    </row>
    <row r="3825" spans="1:17" ht="102.75" x14ac:dyDescent="0.25">
      <c r="A3825" s="119">
        <v>40430</v>
      </c>
      <c r="B3825" s="119">
        <v>40430</v>
      </c>
      <c r="C3825" s="122">
        <v>2010</v>
      </c>
      <c r="D3825" s="24" t="s">
        <v>141</v>
      </c>
      <c r="E3825" s="30" t="s">
        <v>142</v>
      </c>
      <c r="F3825" s="7" t="s">
        <v>58</v>
      </c>
      <c r="G3825" s="120" t="s">
        <v>168</v>
      </c>
      <c r="H3825" s="152" t="s">
        <v>5643</v>
      </c>
      <c r="I3825" s="122">
        <v>0</v>
      </c>
      <c r="J3825" s="122">
        <v>2</v>
      </c>
      <c r="K3825" s="122">
        <v>0</v>
      </c>
      <c r="L3825" s="122">
        <v>0</v>
      </c>
      <c r="M3825" s="122">
        <v>0</v>
      </c>
      <c r="N3825" s="122">
        <v>0</v>
      </c>
      <c r="O3825" s="122">
        <v>0</v>
      </c>
      <c r="P3825" s="76">
        <v>1.5</v>
      </c>
      <c r="Q3825" s="122" t="s">
        <v>154</v>
      </c>
    </row>
    <row r="3826" spans="1:17" ht="64.5" x14ac:dyDescent="0.25">
      <c r="A3826" s="119">
        <v>40430</v>
      </c>
      <c r="B3826" s="119">
        <v>40430</v>
      </c>
      <c r="C3826" s="122">
        <v>2010</v>
      </c>
      <c r="D3826" s="24" t="s">
        <v>141</v>
      </c>
      <c r="E3826" s="30" t="s">
        <v>142</v>
      </c>
      <c r="F3826" s="7" t="s">
        <v>60</v>
      </c>
      <c r="G3826" s="120" t="s">
        <v>1993</v>
      </c>
      <c r="H3826" s="152" t="s">
        <v>5644</v>
      </c>
      <c r="I3826" s="122">
        <v>1</v>
      </c>
      <c r="J3826" s="122">
        <v>3</v>
      </c>
      <c r="K3826" s="122">
        <v>0</v>
      </c>
      <c r="L3826" s="122">
        <v>0</v>
      </c>
      <c r="M3826" s="122">
        <v>0</v>
      </c>
      <c r="N3826" s="122">
        <v>0</v>
      </c>
      <c r="O3826" s="122">
        <v>0</v>
      </c>
      <c r="P3826" s="76">
        <v>0</v>
      </c>
      <c r="Q3826" s="122" t="s">
        <v>154</v>
      </c>
    </row>
    <row r="3827" spans="1:17" ht="77.25" x14ac:dyDescent="0.25">
      <c r="A3827" s="119">
        <v>40433</v>
      </c>
      <c r="B3827" s="119">
        <v>40433</v>
      </c>
      <c r="C3827" s="122">
        <v>2010</v>
      </c>
      <c r="D3827" s="24" t="s">
        <v>141</v>
      </c>
      <c r="E3827" s="30" t="s">
        <v>142</v>
      </c>
      <c r="F3827" s="7" t="s">
        <v>58</v>
      </c>
      <c r="G3827" s="120" t="s">
        <v>3643</v>
      </c>
      <c r="H3827" s="152" t="s">
        <v>5645</v>
      </c>
      <c r="I3827" s="122">
        <v>1</v>
      </c>
      <c r="J3827" s="122">
        <v>5</v>
      </c>
      <c r="K3827" s="122">
        <v>0</v>
      </c>
      <c r="L3827" s="122">
        <v>0</v>
      </c>
      <c r="M3827" s="122">
        <v>0</v>
      </c>
      <c r="N3827" s="122">
        <v>0</v>
      </c>
      <c r="O3827" s="122">
        <v>0</v>
      </c>
      <c r="P3827" s="76">
        <v>0</v>
      </c>
      <c r="Q3827" s="122" t="s">
        <v>154</v>
      </c>
    </row>
    <row r="3828" spans="1:17" ht="77.25" x14ac:dyDescent="0.25">
      <c r="A3828" s="119">
        <v>40434</v>
      </c>
      <c r="B3828" s="119">
        <v>40434</v>
      </c>
      <c r="C3828" s="122">
        <v>2010</v>
      </c>
      <c r="D3828" s="24" t="s">
        <v>141</v>
      </c>
      <c r="E3828" s="145" t="s">
        <v>4978</v>
      </c>
      <c r="F3828" s="7" t="s">
        <v>62</v>
      </c>
      <c r="G3828" s="120" t="s">
        <v>165</v>
      </c>
      <c r="H3828" s="152" t="s">
        <v>5646</v>
      </c>
      <c r="I3828" s="122">
        <v>0</v>
      </c>
      <c r="J3828" s="122">
        <v>15</v>
      </c>
      <c r="K3828" s="122">
        <v>0</v>
      </c>
      <c r="L3828" s="122">
        <v>0</v>
      </c>
      <c r="M3828" s="122">
        <v>0</v>
      </c>
      <c r="N3828" s="122">
        <v>0</v>
      </c>
      <c r="O3828" s="122">
        <v>0</v>
      </c>
      <c r="P3828" s="76">
        <v>0</v>
      </c>
      <c r="Q3828" s="122" t="s">
        <v>154</v>
      </c>
    </row>
    <row r="3829" spans="1:17" ht="64.5" x14ac:dyDescent="0.25">
      <c r="A3829" s="119">
        <v>40434</v>
      </c>
      <c r="B3829" s="119">
        <v>40434</v>
      </c>
      <c r="C3829" s="122">
        <v>2010</v>
      </c>
      <c r="D3829" s="24" t="s">
        <v>141</v>
      </c>
      <c r="E3829" s="145" t="s">
        <v>4978</v>
      </c>
      <c r="F3829" s="7" t="s">
        <v>60</v>
      </c>
      <c r="G3829" s="120" t="s">
        <v>908</v>
      </c>
      <c r="H3829" s="152" t="s">
        <v>5647</v>
      </c>
      <c r="I3829" s="122">
        <v>0</v>
      </c>
      <c r="J3829" s="122">
        <v>2500</v>
      </c>
      <c r="K3829" s="122">
        <v>0</v>
      </c>
      <c r="L3829" s="122">
        <v>0</v>
      </c>
      <c r="M3829" s="122">
        <v>0</v>
      </c>
      <c r="N3829" s="122">
        <v>0</v>
      </c>
      <c r="O3829" s="122">
        <v>0</v>
      </c>
      <c r="P3829" s="76">
        <v>0</v>
      </c>
      <c r="Q3829" s="122" t="s">
        <v>154</v>
      </c>
    </row>
    <row r="3830" spans="1:17" ht="90" x14ac:dyDescent="0.25">
      <c r="A3830" s="119">
        <v>40434</v>
      </c>
      <c r="B3830" s="119">
        <v>40434</v>
      </c>
      <c r="C3830" s="122">
        <v>2010</v>
      </c>
      <c r="D3830" s="24" t="s">
        <v>141</v>
      </c>
      <c r="E3830" s="145" t="s">
        <v>4978</v>
      </c>
      <c r="F3830" s="7" t="s">
        <v>56</v>
      </c>
      <c r="G3830" s="120" t="s">
        <v>646</v>
      </c>
      <c r="H3830" s="152" t="s">
        <v>5648</v>
      </c>
      <c r="I3830" s="122">
        <v>0</v>
      </c>
      <c r="J3830" s="122">
        <v>55</v>
      </c>
      <c r="K3830" s="122">
        <v>0</v>
      </c>
      <c r="L3830" s="122">
        <v>0</v>
      </c>
      <c r="M3830" s="122">
        <v>0</v>
      </c>
      <c r="N3830" s="122">
        <v>0</v>
      </c>
      <c r="O3830" s="122">
        <v>0</v>
      </c>
      <c r="P3830" s="76">
        <v>0</v>
      </c>
      <c r="Q3830" s="122" t="s">
        <v>154</v>
      </c>
    </row>
    <row r="3831" spans="1:17" ht="90" x14ac:dyDescent="0.25">
      <c r="A3831" s="119">
        <v>40438</v>
      </c>
      <c r="B3831" s="119">
        <v>40438</v>
      </c>
      <c r="C3831" s="122">
        <v>2010</v>
      </c>
      <c r="D3831" s="24" t="s">
        <v>141</v>
      </c>
      <c r="E3831" s="145" t="s">
        <v>5055</v>
      </c>
      <c r="F3831" s="28" t="s">
        <v>157</v>
      </c>
      <c r="G3831" s="120" t="s">
        <v>1062</v>
      </c>
      <c r="H3831" s="152" t="s">
        <v>5649</v>
      </c>
      <c r="I3831" s="122">
        <v>0</v>
      </c>
      <c r="J3831" s="122">
        <v>15</v>
      </c>
      <c r="K3831" s="122">
        <v>0</v>
      </c>
      <c r="L3831" s="122">
        <v>0</v>
      </c>
      <c r="M3831" s="122">
        <v>0</v>
      </c>
      <c r="N3831" s="122">
        <v>0</v>
      </c>
      <c r="O3831" s="122">
        <v>0</v>
      </c>
      <c r="P3831" s="76">
        <v>0</v>
      </c>
      <c r="Q3831" s="122" t="s">
        <v>154</v>
      </c>
    </row>
    <row r="3832" spans="1:17" ht="102.75" x14ac:dyDescent="0.25">
      <c r="A3832" s="119">
        <v>40436</v>
      </c>
      <c r="B3832" s="119">
        <v>40436</v>
      </c>
      <c r="C3832" s="122">
        <v>2010</v>
      </c>
      <c r="D3832" s="24" t="s">
        <v>141</v>
      </c>
      <c r="E3832" s="145" t="s">
        <v>5055</v>
      </c>
      <c r="F3832" s="28" t="s">
        <v>210</v>
      </c>
      <c r="G3832" s="120" t="s">
        <v>5650</v>
      </c>
      <c r="H3832" s="152" t="s">
        <v>5651</v>
      </c>
      <c r="I3832" s="122">
        <v>6</v>
      </c>
      <c r="J3832" s="122">
        <v>26</v>
      </c>
      <c r="K3832" s="122">
        <v>0</v>
      </c>
      <c r="L3832" s="122">
        <v>0</v>
      </c>
      <c r="M3832" s="122">
        <v>0</v>
      </c>
      <c r="N3832" s="122">
        <v>0</v>
      </c>
      <c r="O3832" s="122">
        <v>0</v>
      </c>
      <c r="P3832" s="76">
        <v>0.4</v>
      </c>
      <c r="Q3832" s="122" t="s">
        <v>154</v>
      </c>
    </row>
    <row r="3833" spans="1:17" ht="64.5" x14ac:dyDescent="0.25">
      <c r="A3833" s="119">
        <v>40436</v>
      </c>
      <c r="B3833" s="119">
        <v>40436</v>
      </c>
      <c r="C3833" s="122">
        <v>2010</v>
      </c>
      <c r="D3833" s="24" t="s">
        <v>141</v>
      </c>
      <c r="E3833" s="22" t="s">
        <v>2933</v>
      </c>
      <c r="F3833" s="28" t="s">
        <v>157</v>
      </c>
      <c r="G3833" s="120" t="s">
        <v>5652</v>
      </c>
      <c r="H3833" s="152" t="s">
        <v>5653</v>
      </c>
      <c r="I3833" s="122">
        <v>0</v>
      </c>
      <c r="J3833" s="122">
        <v>0</v>
      </c>
      <c r="K3833" s="122">
        <v>0</v>
      </c>
      <c r="L3833" s="122">
        <v>0</v>
      </c>
      <c r="M3833" s="122">
        <v>0</v>
      </c>
      <c r="N3833" s="122">
        <v>0</v>
      </c>
      <c r="O3833" s="122">
        <v>0</v>
      </c>
      <c r="P3833" s="76">
        <v>0</v>
      </c>
      <c r="Q3833" s="122" t="s">
        <v>154</v>
      </c>
    </row>
    <row r="3834" spans="1:17" ht="153.75" x14ac:dyDescent="0.25">
      <c r="A3834" s="119">
        <v>40435</v>
      </c>
      <c r="B3834" s="119">
        <v>40435</v>
      </c>
      <c r="C3834" s="122">
        <v>2010</v>
      </c>
      <c r="D3834" s="24" t="s">
        <v>141</v>
      </c>
      <c r="E3834" s="145" t="s">
        <v>5055</v>
      </c>
      <c r="F3834" s="7" t="s">
        <v>60</v>
      </c>
      <c r="G3834" s="120" t="s">
        <v>1605</v>
      </c>
      <c r="H3834" s="152" t="s">
        <v>5654</v>
      </c>
      <c r="I3834" s="122">
        <v>2</v>
      </c>
      <c r="J3834" s="122">
        <v>2</v>
      </c>
      <c r="K3834" s="122">
        <v>0</v>
      </c>
      <c r="L3834" s="122">
        <v>0</v>
      </c>
      <c r="M3834" s="122">
        <v>0</v>
      </c>
      <c r="N3834" s="122">
        <v>0</v>
      </c>
      <c r="O3834" s="122">
        <v>0</v>
      </c>
      <c r="P3834" s="76">
        <v>0</v>
      </c>
      <c r="Q3834" s="122" t="s">
        <v>154</v>
      </c>
    </row>
    <row r="3835" spans="1:17" ht="64.5" x14ac:dyDescent="0.25">
      <c r="A3835" s="119">
        <v>40439</v>
      </c>
      <c r="B3835" s="119">
        <v>40439</v>
      </c>
      <c r="C3835" s="122">
        <v>2010</v>
      </c>
      <c r="D3835" s="24" t="s">
        <v>141</v>
      </c>
      <c r="E3835" s="145" t="s">
        <v>5055</v>
      </c>
      <c r="F3835" s="7" t="s">
        <v>58</v>
      </c>
      <c r="G3835" s="120" t="s">
        <v>336</v>
      </c>
      <c r="H3835" s="152" t="s">
        <v>5655</v>
      </c>
      <c r="I3835" s="122">
        <v>2</v>
      </c>
      <c r="J3835" s="122">
        <v>2</v>
      </c>
      <c r="K3835" s="122">
        <v>0</v>
      </c>
      <c r="L3835" s="122">
        <v>0</v>
      </c>
      <c r="M3835" s="122">
        <v>0</v>
      </c>
      <c r="N3835" s="122">
        <v>0</v>
      </c>
      <c r="O3835" s="122">
        <v>0</v>
      </c>
      <c r="P3835" s="76">
        <v>0</v>
      </c>
      <c r="Q3835" s="122" t="s">
        <v>154</v>
      </c>
    </row>
    <row r="3836" spans="1:17" ht="39" x14ac:dyDescent="0.25">
      <c r="A3836" s="119">
        <v>40442</v>
      </c>
      <c r="B3836" s="119">
        <v>40442</v>
      </c>
      <c r="C3836" s="122">
        <v>2010</v>
      </c>
      <c r="D3836" s="24" t="s">
        <v>141</v>
      </c>
      <c r="E3836" s="145" t="s">
        <v>5055</v>
      </c>
      <c r="F3836" s="7" t="s">
        <v>56</v>
      </c>
      <c r="G3836" s="120" t="s">
        <v>711</v>
      </c>
      <c r="H3836" s="152" t="s">
        <v>5656</v>
      </c>
      <c r="I3836" s="122">
        <v>1</v>
      </c>
      <c r="J3836" s="122">
        <v>1</v>
      </c>
      <c r="K3836" s="122">
        <v>0</v>
      </c>
      <c r="L3836" s="122">
        <v>0</v>
      </c>
      <c r="M3836" s="122">
        <v>0</v>
      </c>
      <c r="N3836" s="122">
        <v>0</v>
      </c>
      <c r="O3836" s="122">
        <v>0</v>
      </c>
      <c r="P3836" s="76">
        <v>0</v>
      </c>
      <c r="Q3836" s="122" t="s">
        <v>154</v>
      </c>
    </row>
    <row r="3837" spans="1:17" ht="141" x14ac:dyDescent="0.25">
      <c r="A3837" s="119">
        <v>40258</v>
      </c>
      <c r="B3837" s="119">
        <v>40258</v>
      </c>
      <c r="C3837" s="122">
        <v>2010</v>
      </c>
      <c r="D3837" s="24" t="s">
        <v>141</v>
      </c>
      <c r="E3837" s="30" t="s">
        <v>142</v>
      </c>
      <c r="F3837" s="7" t="s">
        <v>82</v>
      </c>
      <c r="G3837" s="120" t="s">
        <v>5657</v>
      </c>
      <c r="H3837" s="152" t="s">
        <v>5658</v>
      </c>
      <c r="I3837" s="122">
        <v>1</v>
      </c>
      <c r="J3837" s="122">
        <v>2</v>
      </c>
      <c r="K3837" s="122">
        <v>0</v>
      </c>
      <c r="L3837" s="122">
        <v>0</v>
      </c>
      <c r="M3837" s="122">
        <v>0</v>
      </c>
      <c r="N3837" s="122">
        <v>0</v>
      </c>
      <c r="O3837" s="122">
        <v>0</v>
      </c>
      <c r="P3837" s="76">
        <v>1.04</v>
      </c>
      <c r="Q3837" s="122" t="s">
        <v>154</v>
      </c>
    </row>
    <row r="3838" spans="1:17" ht="332.25" x14ac:dyDescent="0.25">
      <c r="A3838" s="119">
        <v>40444</v>
      </c>
      <c r="B3838" s="119">
        <v>40444</v>
      </c>
      <c r="C3838" s="122">
        <v>2010</v>
      </c>
      <c r="D3838" s="24" t="s">
        <v>141</v>
      </c>
      <c r="E3838" s="145" t="s">
        <v>5055</v>
      </c>
      <c r="F3838" s="7" t="s">
        <v>60</v>
      </c>
      <c r="G3838" s="120" t="s">
        <v>5659</v>
      </c>
      <c r="H3838" s="152" t="s">
        <v>5660</v>
      </c>
      <c r="I3838" s="122">
        <v>9</v>
      </c>
      <c r="J3838" s="122">
        <v>12</v>
      </c>
      <c r="K3838" s="122">
        <v>0</v>
      </c>
      <c r="L3838" s="122">
        <v>0</v>
      </c>
      <c r="M3838" s="122">
        <v>0</v>
      </c>
      <c r="N3838" s="122">
        <v>0</v>
      </c>
      <c r="O3838" s="122">
        <v>0</v>
      </c>
      <c r="P3838" s="76">
        <v>0</v>
      </c>
      <c r="Q3838" s="122" t="s">
        <v>154</v>
      </c>
    </row>
    <row r="3839" spans="1:17" ht="64.5" x14ac:dyDescent="0.25">
      <c r="A3839" s="119">
        <v>40443</v>
      </c>
      <c r="B3839" s="119">
        <v>40443</v>
      </c>
      <c r="C3839" s="122">
        <v>2010</v>
      </c>
      <c r="D3839" s="24" t="s">
        <v>141</v>
      </c>
      <c r="E3839" s="30" t="s">
        <v>142</v>
      </c>
      <c r="F3839" s="7" t="s">
        <v>87</v>
      </c>
      <c r="G3839" s="120" t="s">
        <v>5661</v>
      </c>
      <c r="H3839" s="152" t="s">
        <v>5662</v>
      </c>
      <c r="I3839" s="122">
        <v>1</v>
      </c>
      <c r="J3839" s="122">
        <v>2</v>
      </c>
      <c r="K3839" s="122">
        <v>0</v>
      </c>
      <c r="L3839" s="122">
        <v>0</v>
      </c>
      <c r="M3839" s="122">
        <v>0</v>
      </c>
      <c r="N3839" s="122">
        <v>0</v>
      </c>
      <c r="O3839" s="122">
        <v>0</v>
      </c>
      <c r="P3839" s="76">
        <v>0</v>
      </c>
      <c r="Q3839" s="122" t="s">
        <v>154</v>
      </c>
    </row>
    <row r="3840" spans="1:17" ht="39" x14ac:dyDescent="0.25">
      <c r="A3840" s="119">
        <v>40443</v>
      </c>
      <c r="B3840" s="119">
        <v>40443</v>
      </c>
      <c r="C3840" s="122">
        <v>2010</v>
      </c>
      <c r="D3840" s="24" t="s">
        <v>141</v>
      </c>
      <c r="E3840" s="30" t="s">
        <v>142</v>
      </c>
      <c r="F3840" s="7" t="s">
        <v>58</v>
      </c>
      <c r="G3840" s="120" t="s">
        <v>5285</v>
      </c>
      <c r="H3840" s="152" t="s">
        <v>5663</v>
      </c>
      <c r="I3840" s="122">
        <v>0</v>
      </c>
      <c r="J3840" s="122">
        <v>1</v>
      </c>
      <c r="K3840" s="122">
        <v>0</v>
      </c>
      <c r="L3840" s="122">
        <v>0</v>
      </c>
      <c r="M3840" s="122">
        <v>0</v>
      </c>
      <c r="N3840" s="122">
        <v>0</v>
      </c>
      <c r="O3840" s="122">
        <v>0</v>
      </c>
      <c r="P3840" s="76">
        <v>0</v>
      </c>
      <c r="Q3840" s="122" t="s">
        <v>154</v>
      </c>
    </row>
    <row r="3841" spans="1:17" ht="64.5" x14ac:dyDescent="0.25">
      <c r="A3841" s="119">
        <v>40443</v>
      </c>
      <c r="B3841" s="119">
        <v>40443</v>
      </c>
      <c r="C3841" s="122">
        <v>2010</v>
      </c>
      <c r="D3841" s="24" t="s">
        <v>141</v>
      </c>
      <c r="E3841" s="145" t="s">
        <v>5055</v>
      </c>
      <c r="F3841" s="7" t="s">
        <v>58</v>
      </c>
      <c r="G3841" s="120" t="s">
        <v>5664</v>
      </c>
      <c r="H3841" s="152" t="s">
        <v>5665</v>
      </c>
      <c r="I3841" s="122">
        <v>1</v>
      </c>
      <c r="J3841" s="122">
        <v>4</v>
      </c>
      <c r="K3841" s="122">
        <v>0</v>
      </c>
      <c r="L3841" s="122">
        <v>0</v>
      </c>
      <c r="M3841" s="122">
        <v>0</v>
      </c>
      <c r="N3841" s="122">
        <v>0</v>
      </c>
      <c r="O3841" s="122">
        <v>0</v>
      </c>
      <c r="P3841" s="76">
        <v>0</v>
      </c>
      <c r="Q3841" s="122" t="s">
        <v>154</v>
      </c>
    </row>
    <row r="3842" spans="1:17" ht="128.25" x14ac:dyDescent="0.25">
      <c r="A3842" s="119">
        <v>40445</v>
      </c>
      <c r="B3842" s="119">
        <v>40445</v>
      </c>
      <c r="C3842" s="122">
        <v>2010</v>
      </c>
      <c r="D3842" s="24" t="s">
        <v>141</v>
      </c>
      <c r="E3842" s="30" t="s">
        <v>142</v>
      </c>
      <c r="F3842" s="7" t="s">
        <v>97</v>
      </c>
      <c r="G3842" s="120" t="s">
        <v>5666</v>
      </c>
      <c r="H3842" s="152" t="s">
        <v>5667</v>
      </c>
      <c r="I3842" s="122">
        <v>0</v>
      </c>
      <c r="J3842" s="122">
        <v>0</v>
      </c>
      <c r="K3842" s="122">
        <v>0</v>
      </c>
      <c r="L3842" s="122">
        <v>0</v>
      </c>
      <c r="M3842" s="122">
        <v>0</v>
      </c>
      <c r="N3842" s="122">
        <v>0</v>
      </c>
      <c r="O3842" s="122">
        <v>0</v>
      </c>
      <c r="P3842" s="76">
        <v>0.69084000000000001</v>
      </c>
      <c r="Q3842" s="122" t="s">
        <v>154</v>
      </c>
    </row>
    <row r="3843" spans="1:17" ht="102.75" x14ac:dyDescent="0.25">
      <c r="A3843" s="119">
        <v>40444</v>
      </c>
      <c r="B3843" s="119">
        <v>40444</v>
      </c>
      <c r="C3843" s="122">
        <v>2010</v>
      </c>
      <c r="D3843" s="24" t="s">
        <v>141</v>
      </c>
      <c r="E3843" s="30" t="s">
        <v>142</v>
      </c>
      <c r="F3843" s="7" t="s">
        <v>60</v>
      </c>
      <c r="G3843" s="120" t="s">
        <v>1605</v>
      </c>
      <c r="H3843" s="152" t="s">
        <v>5668</v>
      </c>
      <c r="I3843" s="122">
        <v>0</v>
      </c>
      <c r="J3843" s="122">
        <v>1</v>
      </c>
      <c r="K3843" s="122">
        <v>0</v>
      </c>
      <c r="L3843" s="122">
        <v>0</v>
      </c>
      <c r="M3843" s="122">
        <v>0</v>
      </c>
      <c r="N3843" s="122">
        <v>0</v>
      </c>
      <c r="O3843" s="122">
        <v>0</v>
      </c>
      <c r="P3843" s="76">
        <v>0.45</v>
      </c>
      <c r="Q3843" s="122" t="s">
        <v>154</v>
      </c>
    </row>
    <row r="3844" spans="1:17" ht="128.25" x14ac:dyDescent="0.25">
      <c r="A3844" s="119">
        <v>40447</v>
      </c>
      <c r="B3844" s="119">
        <v>40447</v>
      </c>
      <c r="C3844" s="122">
        <v>2010</v>
      </c>
      <c r="D3844" s="24" t="s">
        <v>141</v>
      </c>
      <c r="E3844" s="30" t="s">
        <v>142</v>
      </c>
      <c r="F3844" s="7" t="s">
        <v>58</v>
      </c>
      <c r="G3844" s="120" t="s">
        <v>1194</v>
      </c>
      <c r="H3844" s="152" t="s">
        <v>5669</v>
      </c>
      <c r="I3844" s="122">
        <v>1</v>
      </c>
      <c r="J3844" s="122">
        <v>11</v>
      </c>
      <c r="K3844" s="122">
        <v>0</v>
      </c>
      <c r="L3844" s="122">
        <v>0</v>
      </c>
      <c r="M3844" s="122">
        <v>0</v>
      </c>
      <c r="N3844" s="122">
        <v>0</v>
      </c>
      <c r="O3844" s="122">
        <v>0</v>
      </c>
      <c r="P3844" s="76">
        <v>0</v>
      </c>
      <c r="Q3844" s="122" t="s">
        <v>154</v>
      </c>
    </row>
    <row r="3845" spans="1:17" ht="115.5" x14ac:dyDescent="0.25">
      <c r="A3845" s="119">
        <v>40448</v>
      </c>
      <c r="B3845" s="119">
        <v>40448</v>
      </c>
      <c r="C3845" s="122">
        <v>2010</v>
      </c>
      <c r="D3845" s="24" t="s">
        <v>141</v>
      </c>
      <c r="E3845" s="30" t="s">
        <v>142</v>
      </c>
      <c r="F3845" s="7" t="s">
        <v>58</v>
      </c>
      <c r="G3845" s="120" t="s">
        <v>168</v>
      </c>
      <c r="H3845" s="152" t="s">
        <v>5670</v>
      </c>
      <c r="I3845" s="122">
        <v>0</v>
      </c>
      <c r="J3845" s="122">
        <v>50</v>
      </c>
      <c r="K3845" s="122">
        <v>0</v>
      </c>
      <c r="L3845" s="122">
        <v>0</v>
      </c>
      <c r="M3845" s="122">
        <v>0</v>
      </c>
      <c r="N3845" s="122">
        <v>0</v>
      </c>
      <c r="O3845" s="122">
        <v>0</v>
      </c>
      <c r="P3845" s="76">
        <v>0.4</v>
      </c>
      <c r="Q3845" s="122" t="s">
        <v>154</v>
      </c>
    </row>
    <row r="3846" spans="1:17" ht="39" x14ac:dyDescent="0.25">
      <c r="A3846" s="119">
        <v>40447</v>
      </c>
      <c r="B3846" s="119">
        <v>40447</v>
      </c>
      <c r="C3846" s="122">
        <v>2010</v>
      </c>
      <c r="D3846" s="24" t="s">
        <v>141</v>
      </c>
      <c r="E3846" s="145" t="s">
        <v>5055</v>
      </c>
      <c r="F3846" s="7" t="s">
        <v>36</v>
      </c>
      <c r="G3846" s="120" t="s">
        <v>5671</v>
      </c>
      <c r="H3846" s="152" t="s">
        <v>5672</v>
      </c>
      <c r="I3846" s="122">
        <v>2</v>
      </c>
      <c r="J3846" s="122">
        <v>2</v>
      </c>
      <c r="K3846" s="122">
        <v>0</v>
      </c>
      <c r="L3846" s="122">
        <v>0</v>
      </c>
      <c r="M3846" s="122">
        <v>0</v>
      </c>
      <c r="N3846" s="122">
        <v>0</v>
      </c>
      <c r="O3846" s="122">
        <v>0</v>
      </c>
      <c r="P3846" s="76">
        <v>0</v>
      </c>
      <c r="Q3846" s="122" t="s">
        <v>154</v>
      </c>
    </row>
    <row r="3847" spans="1:17" ht="51.75" x14ac:dyDescent="0.25">
      <c r="A3847" s="119">
        <v>40447</v>
      </c>
      <c r="B3847" s="119">
        <v>40447</v>
      </c>
      <c r="C3847" s="122">
        <v>2010</v>
      </c>
      <c r="D3847" s="24" t="s">
        <v>141</v>
      </c>
      <c r="E3847" s="30" t="s">
        <v>142</v>
      </c>
      <c r="F3847" s="7" t="s">
        <v>36</v>
      </c>
      <c r="G3847" s="120" t="s">
        <v>5673</v>
      </c>
      <c r="H3847" s="152" t="s">
        <v>5674</v>
      </c>
      <c r="I3847" s="122">
        <v>3</v>
      </c>
      <c r="J3847" s="122">
        <v>7</v>
      </c>
      <c r="K3847" s="122">
        <v>0</v>
      </c>
      <c r="L3847" s="122">
        <v>0</v>
      </c>
      <c r="M3847" s="122">
        <v>0</v>
      </c>
      <c r="N3847" s="122">
        <v>0</v>
      </c>
      <c r="O3847" s="122">
        <v>0</v>
      </c>
      <c r="P3847" s="76">
        <v>0</v>
      </c>
      <c r="Q3847" s="122" t="s">
        <v>154</v>
      </c>
    </row>
    <row r="3848" spans="1:17" ht="51.75" x14ac:dyDescent="0.25">
      <c r="A3848" s="119">
        <v>40448</v>
      </c>
      <c r="B3848" s="119">
        <v>40448</v>
      </c>
      <c r="C3848" s="122">
        <v>2010</v>
      </c>
      <c r="D3848" s="24" t="s">
        <v>141</v>
      </c>
      <c r="E3848" s="145" t="s">
        <v>4427</v>
      </c>
      <c r="F3848" s="7" t="s">
        <v>56</v>
      </c>
      <c r="G3848" s="120" t="s">
        <v>218</v>
      </c>
      <c r="H3848" s="152" t="s">
        <v>5675</v>
      </c>
      <c r="I3848" s="122">
        <v>1</v>
      </c>
      <c r="J3848" s="122">
        <v>1</v>
      </c>
      <c r="K3848" s="122">
        <v>0</v>
      </c>
      <c r="L3848" s="122">
        <v>0</v>
      </c>
      <c r="M3848" s="122">
        <v>0</v>
      </c>
      <c r="N3848" s="122">
        <v>0</v>
      </c>
      <c r="O3848" s="122">
        <v>0</v>
      </c>
      <c r="P3848" s="76">
        <v>0</v>
      </c>
      <c r="Q3848" s="122" t="s">
        <v>154</v>
      </c>
    </row>
    <row r="3849" spans="1:17" ht="102.75" x14ac:dyDescent="0.25">
      <c r="A3849" s="119">
        <v>40453</v>
      </c>
      <c r="B3849" s="119">
        <v>40453</v>
      </c>
      <c r="C3849" s="122">
        <v>2010</v>
      </c>
      <c r="D3849" s="24" t="s">
        <v>141</v>
      </c>
      <c r="E3849" s="30" t="s">
        <v>142</v>
      </c>
      <c r="F3849" s="7" t="s">
        <v>60</v>
      </c>
      <c r="G3849" s="120" t="s">
        <v>5676</v>
      </c>
      <c r="H3849" s="152" t="s">
        <v>5677</v>
      </c>
      <c r="I3849" s="122">
        <v>1</v>
      </c>
      <c r="J3849" s="122">
        <v>15</v>
      </c>
      <c r="K3849" s="122">
        <v>0</v>
      </c>
      <c r="L3849" s="122">
        <v>0</v>
      </c>
      <c r="M3849" s="122">
        <v>0</v>
      </c>
      <c r="N3849" s="122">
        <v>0</v>
      </c>
      <c r="O3849" s="122">
        <v>0</v>
      </c>
      <c r="P3849" s="76">
        <v>0</v>
      </c>
      <c r="Q3849" s="122" t="s">
        <v>154</v>
      </c>
    </row>
    <row r="3850" spans="1:17" ht="115.5" x14ac:dyDescent="0.25">
      <c r="A3850" s="119">
        <v>40449</v>
      </c>
      <c r="B3850" s="119">
        <v>40449</v>
      </c>
      <c r="C3850" s="122">
        <v>2010</v>
      </c>
      <c r="D3850" s="24" t="s">
        <v>141</v>
      </c>
      <c r="E3850" s="30" t="s">
        <v>142</v>
      </c>
      <c r="F3850" s="7" t="s">
        <v>87</v>
      </c>
      <c r="G3850" s="120" t="s">
        <v>4751</v>
      </c>
      <c r="H3850" s="152" t="s">
        <v>5678</v>
      </c>
      <c r="I3850" s="122">
        <v>0</v>
      </c>
      <c r="J3850" s="122">
        <v>2300</v>
      </c>
      <c r="K3850" s="122">
        <v>0</v>
      </c>
      <c r="L3850" s="122">
        <v>0</v>
      </c>
      <c r="M3850" s="122">
        <v>0</v>
      </c>
      <c r="N3850" s="122">
        <v>0</v>
      </c>
      <c r="O3850" s="122">
        <v>0</v>
      </c>
      <c r="P3850" s="76">
        <v>0</v>
      </c>
      <c r="Q3850" s="122" t="s">
        <v>154</v>
      </c>
    </row>
    <row r="3851" spans="1:17" ht="77.25" x14ac:dyDescent="0.25">
      <c r="A3851" s="119">
        <v>40451</v>
      </c>
      <c r="B3851" s="119">
        <v>40451</v>
      </c>
      <c r="C3851" s="122">
        <v>2010</v>
      </c>
      <c r="D3851" s="24" t="s">
        <v>141</v>
      </c>
      <c r="E3851" s="30" t="s">
        <v>142</v>
      </c>
      <c r="F3851" s="7" t="s">
        <v>75</v>
      </c>
      <c r="G3851" s="120" t="s">
        <v>75</v>
      </c>
      <c r="H3851" s="152" t="s">
        <v>5679</v>
      </c>
      <c r="I3851" s="122">
        <v>0</v>
      </c>
      <c r="J3851" s="122">
        <v>16</v>
      </c>
      <c r="K3851" s="122">
        <v>0</v>
      </c>
      <c r="L3851" s="122">
        <v>0</v>
      </c>
      <c r="M3851" s="122">
        <v>0</v>
      </c>
      <c r="N3851" s="122">
        <v>0</v>
      </c>
      <c r="O3851" s="122">
        <v>0</v>
      </c>
      <c r="P3851" s="76">
        <v>0</v>
      </c>
      <c r="Q3851" s="122" t="s">
        <v>154</v>
      </c>
    </row>
    <row r="3852" spans="1:17" x14ac:dyDescent="0.25">
      <c r="A3852" s="119">
        <v>40449</v>
      </c>
      <c r="B3852" s="119">
        <v>40449</v>
      </c>
      <c r="C3852" s="122">
        <v>2010</v>
      </c>
      <c r="D3852" s="24" t="s">
        <v>141</v>
      </c>
      <c r="E3852" s="30" t="s">
        <v>142</v>
      </c>
      <c r="F3852" s="7" t="s">
        <v>33</v>
      </c>
      <c r="G3852" s="120" t="s">
        <v>5680</v>
      </c>
      <c r="H3852" s="152" t="s">
        <v>5681</v>
      </c>
      <c r="I3852" s="122">
        <v>2</v>
      </c>
      <c r="J3852" s="122">
        <v>2</v>
      </c>
      <c r="K3852" s="122">
        <v>0</v>
      </c>
      <c r="L3852" s="122">
        <v>0</v>
      </c>
      <c r="M3852" s="122">
        <v>0</v>
      </c>
      <c r="N3852" s="122">
        <v>0</v>
      </c>
      <c r="O3852" s="122">
        <v>0</v>
      </c>
      <c r="P3852" s="76">
        <v>1.5</v>
      </c>
      <c r="Q3852" s="122" t="s">
        <v>154</v>
      </c>
    </row>
    <row r="3853" spans="1:17" ht="77.25" x14ac:dyDescent="0.25">
      <c r="A3853" s="119">
        <v>40456</v>
      </c>
      <c r="B3853" s="119">
        <v>40456</v>
      </c>
      <c r="C3853" s="122">
        <v>2010</v>
      </c>
      <c r="D3853" s="24" t="s">
        <v>141</v>
      </c>
      <c r="E3853" s="41" t="s">
        <v>1965</v>
      </c>
      <c r="F3853" s="7" t="s">
        <v>82</v>
      </c>
      <c r="G3853" s="120" t="s">
        <v>3491</v>
      </c>
      <c r="H3853" s="152" t="s">
        <v>5682</v>
      </c>
      <c r="I3853" s="122">
        <v>2</v>
      </c>
      <c r="J3853" s="122">
        <v>2</v>
      </c>
      <c r="K3853" s="122">
        <v>0</v>
      </c>
      <c r="L3853" s="122">
        <v>0</v>
      </c>
      <c r="M3853" s="122">
        <v>0</v>
      </c>
      <c r="N3853" s="122">
        <v>0</v>
      </c>
      <c r="O3853" s="122">
        <v>0</v>
      </c>
      <c r="P3853" s="76">
        <v>0</v>
      </c>
      <c r="Q3853" s="122" t="s">
        <v>154</v>
      </c>
    </row>
    <row r="3854" spans="1:17" ht="128.25" x14ac:dyDescent="0.25">
      <c r="A3854" s="119">
        <v>40456</v>
      </c>
      <c r="B3854" s="119">
        <v>40456</v>
      </c>
      <c r="C3854" s="122">
        <v>2010</v>
      </c>
      <c r="D3854" s="24" t="s">
        <v>141</v>
      </c>
      <c r="E3854" s="30" t="s">
        <v>142</v>
      </c>
      <c r="F3854" s="7" t="s">
        <v>62</v>
      </c>
      <c r="G3854" s="120" t="s">
        <v>5683</v>
      </c>
      <c r="H3854" s="152" t="s">
        <v>5684</v>
      </c>
      <c r="I3854" s="122">
        <v>0</v>
      </c>
      <c r="J3854" s="122">
        <v>2</v>
      </c>
      <c r="K3854" s="122">
        <v>0</v>
      </c>
      <c r="L3854" s="122">
        <v>0</v>
      </c>
      <c r="M3854" s="122">
        <v>0</v>
      </c>
      <c r="N3854" s="122">
        <v>0</v>
      </c>
      <c r="O3854" s="122">
        <v>0</v>
      </c>
      <c r="P3854" s="76">
        <v>3.2120000000000002</v>
      </c>
      <c r="Q3854" s="122" t="s">
        <v>154</v>
      </c>
    </row>
    <row r="3855" spans="1:17" ht="90" x14ac:dyDescent="0.25">
      <c r="A3855" s="119">
        <v>40426</v>
      </c>
      <c r="B3855" s="119">
        <v>40426</v>
      </c>
      <c r="C3855" s="122">
        <v>2010</v>
      </c>
      <c r="D3855" s="24" t="s">
        <v>141</v>
      </c>
      <c r="E3855" s="30" t="s">
        <v>142</v>
      </c>
      <c r="F3855" s="7" t="s">
        <v>53</v>
      </c>
      <c r="G3855" s="120" t="s">
        <v>5685</v>
      </c>
      <c r="H3855" s="152" t="s">
        <v>5686</v>
      </c>
      <c r="I3855" s="122">
        <v>2</v>
      </c>
      <c r="J3855" s="122">
        <v>37</v>
      </c>
      <c r="K3855" s="122">
        <v>0</v>
      </c>
      <c r="L3855" s="122">
        <v>0</v>
      </c>
      <c r="M3855" s="122">
        <v>0</v>
      </c>
      <c r="N3855" s="122">
        <v>0</v>
      </c>
      <c r="O3855" s="122">
        <v>0</v>
      </c>
      <c r="P3855" s="76">
        <v>0.4</v>
      </c>
      <c r="Q3855" s="122" t="s">
        <v>154</v>
      </c>
    </row>
    <row r="3856" spans="1:17" ht="39" x14ac:dyDescent="0.25">
      <c r="A3856" s="119">
        <v>40427</v>
      </c>
      <c r="B3856" s="119">
        <v>40427</v>
      </c>
      <c r="C3856" s="122">
        <v>2010</v>
      </c>
      <c r="D3856" s="24" t="s">
        <v>141</v>
      </c>
      <c r="E3856" s="30" t="s">
        <v>142</v>
      </c>
      <c r="F3856" s="7" t="s">
        <v>58</v>
      </c>
      <c r="G3856" s="120" t="s">
        <v>168</v>
      </c>
      <c r="H3856" s="152" t="s">
        <v>5687</v>
      </c>
      <c r="I3856" s="122">
        <v>2</v>
      </c>
      <c r="J3856" s="122">
        <v>2</v>
      </c>
      <c r="K3856" s="122">
        <v>0</v>
      </c>
      <c r="L3856" s="122">
        <v>0</v>
      </c>
      <c r="M3856" s="122">
        <v>0</v>
      </c>
      <c r="N3856" s="122">
        <v>0</v>
      </c>
      <c r="O3856" s="122">
        <v>0</v>
      </c>
      <c r="P3856" s="76">
        <v>1.5</v>
      </c>
      <c r="Q3856" s="122" t="s">
        <v>154</v>
      </c>
    </row>
    <row r="3857" spans="1:17" ht="77.25" x14ac:dyDescent="0.25">
      <c r="A3857" s="119">
        <v>40458</v>
      </c>
      <c r="B3857" s="119">
        <v>40458</v>
      </c>
      <c r="C3857" s="122">
        <v>2010</v>
      </c>
      <c r="D3857" s="24" t="s">
        <v>141</v>
      </c>
      <c r="E3857" s="30" t="s">
        <v>142</v>
      </c>
      <c r="F3857" s="28" t="s">
        <v>210</v>
      </c>
      <c r="G3857" s="120" t="s">
        <v>1245</v>
      </c>
      <c r="H3857" s="152" t="s">
        <v>5688</v>
      </c>
      <c r="I3857" s="122">
        <v>6</v>
      </c>
      <c r="J3857" s="122">
        <v>6</v>
      </c>
      <c r="K3857" s="122">
        <v>0</v>
      </c>
      <c r="L3857" s="122">
        <v>0</v>
      </c>
      <c r="M3857" s="122">
        <v>0</v>
      </c>
      <c r="N3857" s="122">
        <v>0</v>
      </c>
      <c r="O3857" s="122">
        <v>0</v>
      </c>
      <c r="P3857" s="76">
        <v>1.5</v>
      </c>
      <c r="Q3857" s="122" t="s">
        <v>154</v>
      </c>
    </row>
    <row r="3858" spans="1:17" ht="39" x14ac:dyDescent="0.25">
      <c r="A3858" s="119">
        <v>40458</v>
      </c>
      <c r="B3858" s="119">
        <v>40458</v>
      </c>
      <c r="C3858" s="122">
        <v>2010</v>
      </c>
      <c r="D3858" s="24" t="s">
        <v>141</v>
      </c>
      <c r="E3858" s="145" t="s">
        <v>5055</v>
      </c>
      <c r="F3858" s="7" t="s">
        <v>58</v>
      </c>
      <c r="G3858" s="120" t="s">
        <v>4232</v>
      </c>
      <c r="H3858" s="152" t="s">
        <v>5689</v>
      </c>
      <c r="I3858" s="122">
        <v>1</v>
      </c>
      <c r="J3858" s="122">
        <v>1</v>
      </c>
      <c r="K3858" s="122">
        <v>0</v>
      </c>
      <c r="L3858" s="122">
        <v>0</v>
      </c>
      <c r="M3858" s="122">
        <v>0</v>
      </c>
      <c r="N3858" s="122">
        <v>0</v>
      </c>
      <c r="O3858" s="122">
        <v>0</v>
      </c>
      <c r="P3858" s="76">
        <v>0</v>
      </c>
      <c r="Q3858" s="122" t="s">
        <v>154</v>
      </c>
    </row>
    <row r="3859" spans="1:17" ht="141" x14ac:dyDescent="0.25">
      <c r="A3859" s="119">
        <v>40441</v>
      </c>
      <c r="B3859" s="119">
        <v>40441</v>
      </c>
      <c r="C3859" s="122">
        <v>2010</v>
      </c>
      <c r="D3859" s="24" t="s">
        <v>141</v>
      </c>
      <c r="E3859" s="30" t="s">
        <v>142</v>
      </c>
      <c r="F3859" s="7" t="s">
        <v>58</v>
      </c>
      <c r="G3859" s="120" t="s">
        <v>724</v>
      </c>
      <c r="H3859" s="152" t="s">
        <v>5690</v>
      </c>
      <c r="I3859" s="122">
        <v>0</v>
      </c>
      <c r="J3859" s="122">
        <v>3</v>
      </c>
      <c r="K3859" s="122">
        <v>0</v>
      </c>
      <c r="L3859" s="122">
        <v>0</v>
      </c>
      <c r="M3859" s="122">
        <v>0</v>
      </c>
      <c r="N3859" s="122">
        <v>0</v>
      </c>
      <c r="O3859" s="122">
        <v>0</v>
      </c>
      <c r="P3859" s="76">
        <v>0.14168765</v>
      </c>
      <c r="Q3859" s="122" t="s">
        <v>154</v>
      </c>
    </row>
    <row r="3860" spans="1:17" ht="115.5" x14ac:dyDescent="0.25">
      <c r="A3860" s="119">
        <v>40464</v>
      </c>
      <c r="B3860" s="119">
        <v>40464</v>
      </c>
      <c r="C3860" s="122">
        <v>2010</v>
      </c>
      <c r="D3860" s="24" t="s">
        <v>141</v>
      </c>
      <c r="E3860" s="145" t="s">
        <v>4427</v>
      </c>
      <c r="F3860" s="7" t="s">
        <v>80</v>
      </c>
      <c r="G3860" s="120" t="s">
        <v>4222</v>
      </c>
      <c r="H3860" s="152" t="s">
        <v>5691</v>
      </c>
      <c r="I3860" s="122">
        <v>0</v>
      </c>
      <c r="J3860" s="122">
        <v>15</v>
      </c>
      <c r="K3860" s="122">
        <v>0</v>
      </c>
      <c r="L3860" s="122">
        <v>0</v>
      </c>
      <c r="M3860" s="122">
        <v>0</v>
      </c>
      <c r="N3860" s="122">
        <v>0</v>
      </c>
      <c r="O3860" s="122">
        <v>0</v>
      </c>
      <c r="P3860" s="76">
        <v>0.4</v>
      </c>
      <c r="Q3860" s="122" t="s">
        <v>154</v>
      </c>
    </row>
    <row r="3861" spans="1:17" ht="77.25" x14ac:dyDescent="0.25">
      <c r="A3861" s="119">
        <v>40463</v>
      </c>
      <c r="B3861" s="119">
        <v>40463</v>
      </c>
      <c r="C3861" s="122">
        <v>2010</v>
      </c>
      <c r="D3861" s="24" t="s">
        <v>141</v>
      </c>
      <c r="E3861" s="145" t="s">
        <v>5055</v>
      </c>
      <c r="F3861" s="28" t="s">
        <v>157</v>
      </c>
      <c r="G3861" s="120" t="s">
        <v>5652</v>
      </c>
      <c r="H3861" s="152" t="s">
        <v>5692</v>
      </c>
      <c r="I3861" s="122">
        <v>0</v>
      </c>
      <c r="J3861" s="122">
        <v>1236</v>
      </c>
      <c r="K3861" s="122">
        <v>0</v>
      </c>
      <c r="L3861" s="122">
        <v>0</v>
      </c>
      <c r="M3861" s="122">
        <v>0</v>
      </c>
      <c r="N3861" s="122">
        <v>0</v>
      </c>
      <c r="O3861" s="122">
        <v>0</v>
      </c>
      <c r="P3861" s="76">
        <v>0</v>
      </c>
      <c r="Q3861" s="122" t="s">
        <v>154</v>
      </c>
    </row>
    <row r="3862" spans="1:17" ht="64.5" x14ac:dyDescent="0.25">
      <c r="A3862" s="119">
        <v>40465</v>
      </c>
      <c r="B3862" s="119">
        <v>40465</v>
      </c>
      <c r="C3862" s="122">
        <v>2010</v>
      </c>
      <c r="D3862" s="24" t="s">
        <v>141</v>
      </c>
      <c r="E3862" s="30" t="s">
        <v>142</v>
      </c>
      <c r="F3862" s="7" t="s">
        <v>68</v>
      </c>
      <c r="G3862" s="120" t="s">
        <v>2512</v>
      </c>
      <c r="H3862" s="152" t="s">
        <v>5693</v>
      </c>
      <c r="I3862" s="122">
        <v>0</v>
      </c>
      <c r="J3862" s="122">
        <v>5</v>
      </c>
      <c r="K3862" s="122">
        <v>0</v>
      </c>
      <c r="L3862" s="122">
        <v>0</v>
      </c>
      <c r="M3862" s="122">
        <v>0</v>
      </c>
      <c r="N3862" s="122">
        <v>0</v>
      </c>
      <c r="O3862" s="122">
        <v>0</v>
      </c>
      <c r="P3862" s="76">
        <v>2.0259999999999998</v>
      </c>
      <c r="Q3862" s="122" t="s">
        <v>154</v>
      </c>
    </row>
    <row r="3863" spans="1:17" ht="102.75" x14ac:dyDescent="0.25">
      <c r="A3863" s="119">
        <v>40466</v>
      </c>
      <c r="B3863" s="119">
        <v>40466</v>
      </c>
      <c r="C3863" s="122">
        <v>2010</v>
      </c>
      <c r="D3863" s="24" t="s">
        <v>141</v>
      </c>
      <c r="E3863" s="30" t="s">
        <v>142</v>
      </c>
      <c r="F3863" s="28" t="s">
        <v>210</v>
      </c>
      <c r="G3863" s="120" t="s">
        <v>5694</v>
      </c>
      <c r="H3863" s="152" t="s">
        <v>5695</v>
      </c>
      <c r="I3863" s="122">
        <v>8</v>
      </c>
      <c r="J3863" s="122">
        <v>16</v>
      </c>
      <c r="K3863" s="122">
        <v>0</v>
      </c>
      <c r="L3863" s="122">
        <v>0</v>
      </c>
      <c r="M3863" s="122">
        <v>0</v>
      </c>
      <c r="N3863" s="122">
        <v>0</v>
      </c>
      <c r="O3863" s="122">
        <v>0</v>
      </c>
      <c r="P3863" s="76">
        <v>1</v>
      </c>
      <c r="Q3863" s="122" t="s">
        <v>154</v>
      </c>
    </row>
    <row r="3864" spans="1:17" ht="77.25" x14ac:dyDescent="0.25">
      <c r="A3864" s="119">
        <v>40467</v>
      </c>
      <c r="B3864" s="119">
        <v>40467</v>
      </c>
      <c r="C3864" s="122">
        <v>2010</v>
      </c>
      <c r="D3864" s="24" t="s">
        <v>141</v>
      </c>
      <c r="E3864" s="30" t="s">
        <v>142</v>
      </c>
      <c r="F3864" s="28" t="s">
        <v>210</v>
      </c>
      <c r="G3864" s="120" t="s">
        <v>395</v>
      </c>
      <c r="H3864" s="152" t="s">
        <v>5696</v>
      </c>
      <c r="I3864" s="122">
        <v>4</v>
      </c>
      <c r="J3864" s="122">
        <v>4</v>
      </c>
      <c r="K3864" s="122">
        <v>0</v>
      </c>
      <c r="L3864" s="122">
        <v>0</v>
      </c>
      <c r="M3864" s="122">
        <v>0</v>
      </c>
      <c r="N3864" s="122">
        <v>0</v>
      </c>
      <c r="O3864" s="122">
        <v>0</v>
      </c>
      <c r="P3864" s="76">
        <v>1.5</v>
      </c>
      <c r="Q3864" s="122" t="s">
        <v>154</v>
      </c>
    </row>
    <row r="3865" spans="1:17" ht="90" x14ac:dyDescent="0.25">
      <c r="A3865" s="119">
        <v>40468</v>
      </c>
      <c r="B3865" s="119">
        <v>40468</v>
      </c>
      <c r="C3865" s="122">
        <v>2010</v>
      </c>
      <c r="D3865" s="24" t="s">
        <v>141</v>
      </c>
      <c r="E3865" s="30" t="s">
        <v>142</v>
      </c>
      <c r="F3865" s="7" t="s">
        <v>58</v>
      </c>
      <c r="G3865" s="120" t="s">
        <v>5697</v>
      </c>
      <c r="H3865" s="152" t="s">
        <v>5698</v>
      </c>
      <c r="I3865" s="122">
        <v>3</v>
      </c>
      <c r="J3865" s="122">
        <v>9</v>
      </c>
      <c r="K3865" s="122">
        <v>0</v>
      </c>
      <c r="L3865" s="122">
        <v>0</v>
      </c>
      <c r="M3865" s="122">
        <v>0</v>
      </c>
      <c r="N3865" s="122">
        <v>0</v>
      </c>
      <c r="O3865" s="122">
        <v>0</v>
      </c>
      <c r="P3865" s="76">
        <v>0</v>
      </c>
      <c r="Q3865" s="122" t="s">
        <v>154</v>
      </c>
    </row>
    <row r="3866" spans="1:17" ht="204.75" x14ac:dyDescent="0.25">
      <c r="A3866" s="119">
        <v>40469</v>
      </c>
      <c r="B3866" s="119">
        <v>40469</v>
      </c>
      <c r="C3866" s="122">
        <v>2010</v>
      </c>
      <c r="D3866" s="24" t="s">
        <v>141</v>
      </c>
      <c r="E3866" s="30" t="s">
        <v>142</v>
      </c>
      <c r="F3866" s="7" t="s">
        <v>77</v>
      </c>
      <c r="G3866" s="120" t="s">
        <v>1731</v>
      </c>
      <c r="H3866" s="152" t="s">
        <v>5699</v>
      </c>
      <c r="I3866" s="122">
        <v>19</v>
      </c>
      <c r="J3866" s="122">
        <v>19</v>
      </c>
      <c r="K3866" s="122">
        <v>0</v>
      </c>
      <c r="L3866" s="122">
        <v>0</v>
      </c>
      <c r="M3866" s="122">
        <v>0</v>
      </c>
      <c r="N3866" s="122">
        <v>0</v>
      </c>
      <c r="O3866" s="122">
        <v>0</v>
      </c>
      <c r="P3866" s="76">
        <v>1.05</v>
      </c>
      <c r="Q3866" s="122" t="s">
        <v>154</v>
      </c>
    </row>
    <row r="3867" spans="1:17" ht="64.5" x14ac:dyDescent="0.25">
      <c r="A3867" s="119">
        <v>40469</v>
      </c>
      <c r="B3867" s="119">
        <v>40469</v>
      </c>
      <c r="C3867" s="122">
        <v>2010</v>
      </c>
      <c r="D3867" s="24" t="s">
        <v>141</v>
      </c>
      <c r="E3867" s="145" t="s">
        <v>4427</v>
      </c>
      <c r="F3867" s="7" t="s">
        <v>56</v>
      </c>
      <c r="G3867" s="120" t="s">
        <v>351</v>
      </c>
      <c r="H3867" s="152" t="s">
        <v>5700</v>
      </c>
      <c r="I3867" s="122">
        <v>0</v>
      </c>
      <c r="J3867" s="122">
        <v>35</v>
      </c>
      <c r="K3867" s="122">
        <v>0</v>
      </c>
      <c r="L3867" s="122">
        <v>0</v>
      </c>
      <c r="M3867" s="122">
        <v>0</v>
      </c>
      <c r="N3867" s="122">
        <v>0</v>
      </c>
      <c r="O3867" s="122">
        <v>0</v>
      </c>
      <c r="P3867" s="76">
        <v>0</v>
      </c>
      <c r="Q3867" s="122" t="s">
        <v>154</v>
      </c>
    </row>
    <row r="3868" spans="1:17" ht="51.75" x14ac:dyDescent="0.25">
      <c r="A3868" s="119">
        <v>40468</v>
      </c>
      <c r="B3868" s="119">
        <v>40468</v>
      </c>
      <c r="C3868" s="122">
        <v>2010</v>
      </c>
      <c r="D3868" s="24" t="s">
        <v>141</v>
      </c>
      <c r="E3868" s="30" t="s">
        <v>142</v>
      </c>
      <c r="F3868" s="7" t="s">
        <v>56</v>
      </c>
      <c r="G3868" s="120" t="s">
        <v>358</v>
      </c>
      <c r="H3868" s="152" t="s">
        <v>5701</v>
      </c>
      <c r="I3868" s="122">
        <v>0</v>
      </c>
      <c r="J3868" s="122">
        <v>1</v>
      </c>
      <c r="K3868" s="122">
        <v>0</v>
      </c>
      <c r="L3868" s="122">
        <v>0</v>
      </c>
      <c r="M3868" s="122">
        <v>0</v>
      </c>
      <c r="N3868" s="122">
        <v>0</v>
      </c>
      <c r="O3868" s="122">
        <v>0</v>
      </c>
      <c r="P3868" s="76">
        <v>0.65</v>
      </c>
      <c r="Q3868" s="122" t="s">
        <v>154</v>
      </c>
    </row>
    <row r="3869" spans="1:17" ht="141" x14ac:dyDescent="0.25">
      <c r="A3869" s="119">
        <v>40469</v>
      </c>
      <c r="B3869" s="119">
        <v>40469</v>
      </c>
      <c r="C3869" s="122">
        <v>2010</v>
      </c>
      <c r="D3869" s="24" t="s">
        <v>141</v>
      </c>
      <c r="E3869" s="30" t="s">
        <v>142</v>
      </c>
      <c r="F3869" s="7" t="s">
        <v>58</v>
      </c>
      <c r="G3869" s="120" t="s">
        <v>5664</v>
      </c>
      <c r="H3869" s="152" t="s">
        <v>5702</v>
      </c>
      <c r="I3869" s="122">
        <v>0</v>
      </c>
      <c r="J3869" s="122">
        <v>0</v>
      </c>
      <c r="K3869" s="122">
        <v>0</v>
      </c>
      <c r="L3869" s="122">
        <v>0</v>
      </c>
      <c r="M3869" s="122">
        <v>0</v>
      </c>
      <c r="N3869" s="122">
        <v>0</v>
      </c>
      <c r="O3869" s="122">
        <v>0</v>
      </c>
      <c r="P3869" s="76">
        <v>0.68713999999999997</v>
      </c>
      <c r="Q3869" s="122" t="s">
        <v>154</v>
      </c>
    </row>
    <row r="3870" spans="1:17" ht="115.5" x14ac:dyDescent="0.25">
      <c r="A3870" s="119">
        <v>40467</v>
      </c>
      <c r="B3870" s="119">
        <v>40467</v>
      </c>
      <c r="C3870" s="122">
        <v>2010</v>
      </c>
      <c r="D3870" s="24" t="s">
        <v>141</v>
      </c>
      <c r="E3870" s="30" t="s">
        <v>142</v>
      </c>
      <c r="F3870" s="7" t="s">
        <v>30</v>
      </c>
      <c r="G3870" s="120" t="s">
        <v>395</v>
      </c>
      <c r="H3870" s="152" t="s">
        <v>5703</v>
      </c>
      <c r="I3870" s="122">
        <v>4</v>
      </c>
      <c r="J3870" s="122">
        <v>4</v>
      </c>
      <c r="K3870" s="122">
        <v>0</v>
      </c>
      <c r="L3870" s="122">
        <v>0</v>
      </c>
      <c r="M3870" s="122">
        <v>0</v>
      </c>
      <c r="N3870" s="122">
        <v>0</v>
      </c>
      <c r="O3870" s="122">
        <v>0</v>
      </c>
      <c r="P3870" s="76">
        <v>1.5</v>
      </c>
      <c r="Q3870" s="122" t="s">
        <v>154</v>
      </c>
    </row>
    <row r="3871" spans="1:17" ht="77.25" x14ac:dyDescent="0.25">
      <c r="A3871" s="119">
        <v>40471</v>
      </c>
      <c r="B3871" s="119">
        <v>40471</v>
      </c>
      <c r="C3871" s="122">
        <v>2010</v>
      </c>
      <c r="D3871" s="24" t="s">
        <v>141</v>
      </c>
      <c r="E3871" s="30" t="s">
        <v>142</v>
      </c>
      <c r="F3871" s="7" t="s">
        <v>56</v>
      </c>
      <c r="G3871" s="120" t="s">
        <v>5704</v>
      </c>
      <c r="H3871" s="152" t="s">
        <v>5705</v>
      </c>
      <c r="I3871" s="122">
        <v>1</v>
      </c>
      <c r="J3871" s="122">
        <v>3</v>
      </c>
      <c r="K3871" s="122">
        <v>0</v>
      </c>
      <c r="L3871" s="122">
        <v>0</v>
      </c>
      <c r="M3871" s="122">
        <v>0</v>
      </c>
      <c r="N3871" s="122">
        <v>0</v>
      </c>
      <c r="O3871" s="122">
        <v>0</v>
      </c>
      <c r="P3871" s="76">
        <v>0</v>
      </c>
      <c r="Q3871" s="122" t="s">
        <v>154</v>
      </c>
    </row>
    <row r="3872" spans="1:17" ht="102.75" x14ac:dyDescent="0.25">
      <c r="A3872" s="119">
        <v>40472</v>
      </c>
      <c r="B3872" s="119">
        <v>40472</v>
      </c>
      <c r="C3872" s="122">
        <v>2010</v>
      </c>
      <c r="D3872" s="24" t="s">
        <v>141</v>
      </c>
      <c r="E3872" s="30" t="s">
        <v>142</v>
      </c>
      <c r="F3872" s="7" t="s">
        <v>60</v>
      </c>
      <c r="G3872" s="120" t="s">
        <v>5706</v>
      </c>
      <c r="H3872" s="152" t="s">
        <v>5707</v>
      </c>
      <c r="I3872" s="122">
        <v>0</v>
      </c>
      <c r="J3872" s="122">
        <v>0</v>
      </c>
      <c r="K3872" s="122">
        <v>0</v>
      </c>
      <c r="L3872" s="122">
        <v>0</v>
      </c>
      <c r="M3872" s="122">
        <v>0</v>
      </c>
      <c r="N3872" s="122">
        <v>0</v>
      </c>
      <c r="O3872" s="122">
        <v>0</v>
      </c>
      <c r="P3872" s="76">
        <v>0.78359999999999996</v>
      </c>
      <c r="Q3872" s="122" t="s">
        <v>154</v>
      </c>
    </row>
    <row r="3873" spans="1:17" ht="192" x14ac:dyDescent="0.25">
      <c r="A3873" s="119">
        <v>40414</v>
      </c>
      <c r="B3873" s="119">
        <v>40414</v>
      </c>
      <c r="C3873" s="122">
        <v>2010</v>
      </c>
      <c r="D3873" s="24" t="s">
        <v>141</v>
      </c>
      <c r="E3873" s="30" t="s">
        <v>142</v>
      </c>
      <c r="F3873" s="7" t="s">
        <v>65</v>
      </c>
      <c r="G3873" s="120" t="s">
        <v>1511</v>
      </c>
      <c r="H3873" s="152" t="s">
        <v>5708</v>
      </c>
      <c r="I3873" s="122">
        <v>0</v>
      </c>
      <c r="J3873" s="122">
        <v>100</v>
      </c>
      <c r="K3873" s="122">
        <v>20</v>
      </c>
      <c r="L3873" s="122">
        <v>0</v>
      </c>
      <c r="M3873" s="122">
        <v>0</v>
      </c>
      <c r="N3873" s="122">
        <v>15</v>
      </c>
      <c r="O3873" s="122">
        <v>0</v>
      </c>
      <c r="P3873" s="76">
        <v>2.0680800000000001</v>
      </c>
      <c r="Q3873" s="122" t="s">
        <v>154</v>
      </c>
    </row>
    <row r="3874" spans="1:17" ht="179.25" x14ac:dyDescent="0.25">
      <c r="A3874" s="119">
        <v>40476</v>
      </c>
      <c r="B3874" s="119">
        <v>40476</v>
      </c>
      <c r="C3874" s="122">
        <v>2010</v>
      </c>
      <c r="D3874" s="24" t="s">
        <v>141</v>
      </c>
      <c r="E3874" s="30" t="s">
        <v>142</v>
      </c>
      <c r="F3874" s="7" t="s">
        <v>60</v>
      </c>
      <c r="G3874" s="120" t="s">
        <v>3418</v>
      </c>
      <c r="H3874" s="152" t="s">
        <v>5709</v>
      </c>
      <c r="I3874" s="122">
        <v>0</v>
      </c>
      <c r="J3874" s="122">
        <v>55</v>
      </c>
      <c r="K3874" s="122">
        <v>0</v>
      </c>
      <c r="L3874" s="122">
        <v>0</v>
      </c>
      <c r="M3874" s="122">
        <v>0</v>
      </c>
      <c r="N3874" s="122">
        <v>0</v>
      </c>
      <c r="O3874" s="122">
        <v>0</v>
      </c>
      <c r="P3874" s="76">
        <v>1.2200034</v>
      </c>
      <c r="Q3874" s="122" t="s">
        <v>154</v>
      </c>
    </row>
    <row r="3875" spans="1:17" ht="102.75" x14ac:dyDescent="0.25">
      <c r="A3875" s="119">
        <v>40477</v>
      </c>
      <c r="B3875" s="119">
        <v>40477</v>
      </c>
      <c r="C3875" s="122">
        <v>2010</v>
      </c>
      <c r="D3875" s="24" t="s">
        <v>141</v>
      </c>
      <c r="E3875" s="30" t="s">
        <v>142</v>
      </c>
      <c r="F3875" s="7" t="s">
        <v>101</v>
      </c>
      <c r="G3875" s="120" t="s">
        <v>5710</v>
      </c>
      <c r="H3875" s="152" t="s">
        <v>5711</v>
      </c>
      <c r="I3875" s="122">
        <v>1</v>
      </c>
      <c r="J3875" s="122">
        <v>7</v>
      </c>
      <c r="K3875" s="122">
        <v>0</v>
      </c>
      <c r="L3875" s="122">
        <v>0</v>
      </c>
      <c r="M3875" s="122">
        <v>0</v>
      </c>
      <c r="N3875" s="122">
        <v>0</v>
      </c>
      <c r="O3875" s="122">
        <v>0</v>
      </c>
      <c r="P3875" s="76">
        <v>0.45</v>
      </c>
      <c r="Q3875" s="122" t="s">
        <v>154</v>
      </c>
    </row>
    <row r="3876" spans="1:17" ht="153.75" x14ac:dyDescent="0.25">
      <c r="A3876" s="119">
        <v>40478</v>
      </c>
      <c r="B3876" s="119">
        <v>40478</v>
      </c>
      <c r="C3876" s="122">
        <v>2010</v>
      </c>
      <c r="D3876" s="24" t="s">
        <v>141</v>
      </c>
      <c r="E3876" s="30" t="s">
        <v>142</v>
      </c>
      <c r="F3876" s="7" t="s">
        <v>40</v>
      </c>
      <c r="G3876" s="120" t="s">
        <v>2097</v>
      </c>
      <c r="H3876" s="152" t="s">
        <v>5712</v>
      </c>
      <c r="I3876" s="122">
        <v>0</v>
      </c>
      <c r="J3876" s="122">
        <v>0</v>
      </c>
      <c r="K3876" s="122">
        <v>0</v>
      </c>
      <c r="L3876" s="122">
        <v>0</v>
      </c>
      <c r="M3876" s="122">
        <v>0</v>
      </c>
      <c r="N3876" s="122">
        <v>0</v>
      </c>
      <c r="O3876" s="122">
        <v>0</v>
      </c>
      <c r="P3876" s="76">
        <v>0</v>
      </c>
      <c r="Q3876" s="122" t="s">
        <v>154</v>
      </c>
    </row>
    <row r="3877" spans="1:17" ht="153.75" x14ac:dyDescent="0.25">
      <c r="A3877" s="119">
        <v>40478</v>
      </c>
      <c r="B3877" s="119">
        <v>40478</v>
      </c>
      <c r="C3877" s="122">
        <v>2010</v>
      </c>
      <c r="D3877" s="24" t="s">
        <v>141</v>
      </c>
      <c r="E3877" s="30" t="s">
        <v>142</v>
      </c>
      <c r="F3877" s="7" t="s">
        <v>58</v>
      </c>
      <c r="G3877" s="120" t="s">
        <v>5487</v>
      </c>
      <c r="H3877" s="152" t="s">
        <v>5713</v>
      </c>
      <c r="I3877" s="122">
        <v>2</v>
      </c>
      <c r="J3877" s="122">
        <v>2</v>
      </c>
      <c r="K3877" s="122">
        <v>0</v>
      </c>
      <c r="L3877" s="122">
        <v>0</v>
      </c>
      <c r="M3877" s="122">
        <v>0</v>
      </c>
      <c r="N3877" s="122">
        <v>0</v>
      </c>
      <c r="O3877" s="122">
        <v>0</v>
      </c>
      <c r="P3877" s="76">
        <v>0.4</v>
      </c>
      <c r="Q3877" s="122" t="s">
        <v>154</v>
      </c>
    </row>
    <row r="3878" spans="1:17" ht="77.25" x14ac:dyDescent="0.25">
      <c r="A3878" s="119">
        <v>40479</v>
      </c>
      <c r="B3878" s="119">
        <v>40479</v>
      </c>
      <c r="C3878" s="122">
        <v>2010</v>
      </c>
      <c r="D3878" s="24" t="s">
        <v>141</v>
      </c>
      <c r="E3878" s="22" t="s">
        <v>2933</v>
      </c>
      <c r="F3878" s="7" t="s">
        <v>60</v>
      </c>
      <c r="G3878" s="120" t="s">
        <v>1605</v>
      </c>
      <c r="H3878" s="152" t="s">
        <v>5714</v>
      </c>
      <c r="I3878" s="122">
        <v>0</v>
      </c>
      <c r="J3878" s="122">
        <v>6</v>
      </c>
      <c r="K3878" s="122">
        <v>0</v>
      </c>
      <c r="L3878" s="122">
        <v>0</v>
      </c>
      <c r="M3878" s="122">
        <v>0</v>
      </c>
      <c r="N3878" s="122">
        <v>0</v>
      </c>
      <c r="O3878" s="122">
        <v>0</v>
      </c>
      <c r="P3878" s="76">
        <v>0</v>
      </c>
      <c r="Q3878" s="122" t="s">
        <v>154</v>
      </c>
    </row>
    <row r="3879" spans="1:17" ht="128.25" x14ac:dyDescent="0.25">
      <c r="A3879" s="119">
        <v>40479</v>
      </c>
      <c r="B3879" s="119">
        <v>40479</v>
      </c>
      <c r="C3879" s="122">
        <v>2010</v>
      </c>
      <c r="D3879" s="24" t="s">
        <v>141</v>
      </c>
      <c r="E3879" s="30" t="s">
        <v>142</v>
      </c>
      <c r="F3879" s="7" t="s">
        <v>58</v>
      </c>
      <c r="G3879" s="120" t="s">
        <v>724</v>
      </c>
      <c r="H3879" s="152" t="s">
        <v>5715</v>
      </c>
      <c r="I3879" s="122">
        <v>0</v>
      </c>
      <c r="J3879" s="122">
        <v>0</v>
      </c>
      <c r="K3879" s="122">
        <v>0</v>
      </c>
      <c r="L3879" s="122">
        <v>0</v>
      </c>
      <c r="M3879" s="122">
        <v>0</v>
      </c>
      <c r="N3879" s="122">
        <v>0</v>
      </c>
      <c r="O3879" s="122">
        <v>0</v>
      </c>
      <c r="P3879" s="76">
        <v>0.45</v>
      </c>
      <c r="Q3879" s="122" t="s">
        <v>154</v>
      </c>
    </row>
    <row r="3880" spans="1:17" ht="90" x14ac:dyDescent="0.25">
      <c r="A3880" s="119">
        <v>40480</v>
      </c>
      <c r="B3880" s="119">
        <v>40480</v>
      </c>
      <c r="C3880" s="122">
        <v>2010</v>
      </c>
      <c r="D3880" s="24" t="s">
        <v>141</v>
      </c>
      <c r="E3880" s="30" t="s">
        <v>142</v>
      </c>
      <c r="F3880" s="7" t="s">
        <v>40</v>
      </c>
      <c r="G3880" s="120" t="s">
        <v>3935</v>
      </c>
      <c r="H3880" s="152" t="s">
        <v>5716</v>
      </c>
      <c r="I3880" s="122">
        <v>0</v>
      </c>
      <c r="J3880" s="122">
        <v>20</v>
      </c>
      <c r="K3880" s="122">
        <v>0</v>
      </c>
      <c r="L3880" s="122">
        <v>0</v>
      </c>
      <c r="M3880" s="122">
        <v>0</v>
      </c>
      <c r="N3880" s="122">
        <v>0</v>
      </c>
      <c r="O3880" s="122">
        <v>0</v>
      </c>
      <c r="P3880" s="76">
        <v>0.8</v>
      </c>
      <c r="Q3880" s="122" t="s">
        <v>154</v>
      </c>
    </row>
    <row r="3881" spans="1:17" ht="102.75" x14ac:dyDescent="0.25">
      <c r="A3881" s="119">
        <v>40484</v>
      </c>
      <c r="B3881" s="119">
        <v>40484</v>
      </c>
      <c r="C3881" s="122">
        <v>2010</v>
      </c>
      <c r="D3881" s="24" t="s">
        <v>141</v>
      </c>
      <c r="E3881" s="145" t="s">
        <v>4427</v>
      </c>
      <c r="F3881" s="7" t="s">
        <v>68</v>
      </c>
      <c r="G3881" s="120" t="s">
        <v>2203</v>
      </c>
      <c r="H3881" s="152" t="s">
        <v>5717</v>
      </c>
      <c r="I3881" s="122">
        <v>0</v>
      </c>
      <c r="J3881" s="122">
        <v>10</v>
      </c>
      <c r="K3881" s="122">
        <v>0</v>
      </c>
      <c r="L3881" s="122">
        <v>0</v>
      </c>
      <c r="M3881" s="122">
        <v>0</v>
      </c>
      <c r="N3881" s="122">
        <v>0</v>
      </c>
      <c r="O3881" s="122">
        <v>0</v>
      </c>
      <c r="P3881" s="76">
        <v>0.4</v>
      </c>
      <c r="Q3881" s="122" t="s">
        <v>154</v>
      </c>
    </row>
    <row r="3882" spans="1:17" ht="64.5" x14ac:dyDescent="0.25">
      <c r="A3882" s="119">
        <v>40484</v>
      </c>
      <c r="B3882" s="119">
        <v>40484</v>
      </c>
      <c r="C3882" s="122">
        <v>2010</v>
      </c>
      <c r="D3882" s="24" t="s">
        <v>141</v>
      </c>
      <c r="E3882" s="41" t="s">
        <v>1965</v>
      </c>
      <c r="F3882" s="28" t="s">
        <v>157</v>
      </c>
      <c r="G3882" s="120" t="s">
        <v>5570</v>
      </c>
      <c r="H3882" s="152" t="s">
        <v>5718</v>
      </c>
      <c r="I3882" s="122">
        <v>0</v>
      </c>
      <c r="J3882" s="122">
        <v>1</v>
      </c>
      <c r="K3882" s="122">
        <v>0</v>
      </c>
      <c r="L3882" s="122">
        <v>0</v>
      </c>
      <c r="M3882" s="122">
        <v>0</v>
      </c>
      <c r="N3882" s="122">
        <v>0</v>
      </c>
      <c r="O3882" s="122">
        <v>0</v>
      </c>
      <c r="P3882" s="76">
        <v>0</v>
      </c>
      <c r="Q3882" s="122" t="s">
        <v>154</v>
      </c>
    </row>
    <row r="3883" spans="1:17" ht="128.25" x14ac:dyDescent="0.25">
      <c r="A3883" s="119">
        <v>40485</v>
      </c>
      <c r="B3883" s="119">
        <v>40485</v>
      </c>
      <c r="C3883" s="122">
        <v>2010</v>
      </c>
      <c r="D3883" s="24" t="s">
        <v>141</v>
      </c>
      <c r="E3883" s="30" t="s">
        <v>142</v>
      </c>
      <c r="F3883" s="7" t="s">
        <v>36</v>
      </c>
      <c r="G3883" s="120" t="s">
        <v>5719</v>
      </c>
      <c r="H3883" s="152" t="s">
        <v>5720</v>
      </c>
      <c r="I3883" s="122">
        <v>4</v>
      </c>
      <c r="J3883" s="122">
        <v>9</v>
      </c>
      <c r="K3883" s="122">
        <v>0</v>
      </c>
      <c r="L3883" s="122">
        <v>0</v>
      </c>
      <c r="M3883" s="122">
        <v>0</v>
      </c>
      <c r="N3883" s="122">
        <v>0</v>
      </c>
      <c r="O3883" s="122">
        <v>0</v>
      </c>
      <c r="P3883" s="76">
        <v>0</v>
      </c>
      <c r="Q3883" s="122" t="s">
        <v>154</v>
      </c>
    </row>
    <row r="3884" spans="1:17" ht="153.75" x14ac:dyDescent="0.25">
      <c r="A3884" s="119">
        <v>40486</v>
      </c>
      <c r="B3884" s="119">
        <v>40486</v>
      </c>
      <c r="C3884" s="122">
        <v>2010</v>
      </c>
      <c r="D3884" s="24" t="s">
        <v>141</v>
      </c>
      <c r="E3884" s="30" t="s">
        <v>142</v>
      </c>
      <c r="F3884" s="7" t="s">
        <v>62</v>
      </c>
      <c r="G3884" s="120" t="s">
        <v>474</v>
      </c>
      <c r="H3884" s="152" t="s">
        <v>5721</v>
      </c>
      <c r="I3884" s="122">
        <v>2</v>
      </c>
      <c r="J3884" s="122">
        <v>2</v>
      </c>
      <c r="K3884" s="122">
        <v>0</v>
      </c>
      <c r="L3884" s="122">
        <v>0</v>
      </c>
      <c r="M3884" s="122">
        <v>0</v>
      </c>
      <c r="N3884" s="122">
        <v>0</v>
      </c>
      <c r="O3884" s="122">
        <v>0</v>
      </c>
      <c r="P3884" s="76">
        <v>0.65</v>
      </c>
      <c r="Q3884" s="122" t="s">
        <v>154</v>
      </c>
    </row>
    <row r="3885" spans="1:17" ht="128.25" x14ac:dyDescent="0.25">
      <c r="A3885" s="119">
        <v>40486</v>
      </c>
      <c r="B3885" s="119">
        <v>40486</v>
      </c>
      <c r="C3885" s="122">
        <v>2010</v>
      </c>
      <c r="D3885" s="24" t="s">
        <v>141</v>
      </c>
      <c r="E3885" s="145" t="s">
        <v>369</v>
      </c>
      <c r="F3885" s="25" t="s">
        <v>781</v>
      </c>
      <c r="G3885" s="120" t="s">
        <v>3061</v>
      </c>
      <c r="H3885" s="152" t="s">
        <v>5722</v>
      </c>
      <c r="I3885" s="122">
        <v>0</v>
      </c>
      <c r="J3885" s="122">
        <v>2</v>
      </c>
      <c r="K3885" s="122">
        <v>0</v>
      </c>
      <c r="L3885" s="122">
        <v>0</v>
      </c>
      <c r="M3885" s="122">
        <v>0</v>
      </c>
      <c r="N3885" s="122">
        <v>0</v>
      </c>
      <c r="O3885" s="122">
        <v>0</v>
      </c>
      <c r="P3885" s="76">
        <v>0.46666666666666667</v>
      </c>
      <c r="Q3885" s="122" t="s">
        <v>154</v>
      </c>
    </row>
    <row r="3886" spans="1:17" ht="192" x14ac:dyDescent="0.25">
      <c r="A3886" s="119">
        <v>40486</v>
      </c>
      <c r="B3886" s="119">
        <v>40486</v>
      </c>
      <c r="C3886" s="122">
        <v>2010</v>
      </c>
      <c r="D3886" s="24" t="s">
        <v>141</v>
      </c>
      <c r="E3886" s="30" t="s">
        <v>142</v>
      </c>
      <c r="F3886" s="7" t="s">
        <v>60</v>
      </c>
      <c r="G3886" s="120" t="s">
        <v>307</v>
      </c>
      <c r="H3886" s="152" t="s">
        <v>5723</v>
      </c>
      <c r="I3886" s="122">
        <v>0</v>
      </c>
      <c r="J3886" s="122">
        <v>56</v>
      </c>
      <c r="K3886" s="122">
        <v>0</v>
      </c>
      <c r="L3886" s="122">
        <v>0</v>
      </c>
      <c r="M3886" s="122">
        <v>0</v>
      </c>
      <c r="N3886" s="122">
        <v>0</v>
      </c>
      <c r="O3886" s="122">
        <v>0</v>
      </c>
      <c r="P3886" s="76">
        <v>0</v>
      </c>
      <c r="Q3886" s="122" t="s">
        <v>154</v>
      </c>
    </row>
    <row r="3887" spans="1:17" ht="268.5" x14ac:dyDescent="0.25">
      <c r="A3887" s="119">
        <v>40487</v>
      </c>
      <c r="B3887" s="119">
        <v>40487</v>
      </c>
      <c r="C3887" s="122">
        <v>2010</v>
      </c>
      <c r="D3887" s="24" t="s">
        <v>141</v>
      </c>
      <c r="E3887" s="30" t="s">
        <v>142</v>
      </c>
      <c r="F3887" s="7" t="s">
        <v>84</v>
      </c>
      <c r="G3887" s="120" t="s">
        <v>2844</v>
      </c>
      <c r="H3887" s="152" t="s">
        <v>5724</v>
      </c>
      <c r="I3887" s="122">
        <v>21</v>
      </c>
      <c r="J3887" s="122">
        <v>23</v>
      </c>
      <c r="K3887" s="122">
        <v>0</v>
      </c>
      <c r="L3887" s="122">
        <v>0</v>
      </c>
      <c r="M3887" s="122">
        <v>0</v>
      </c>
      <c r="N3887" s="122">
        <v>0</v>
      </c>
      <c r="O3887" s="122">
        <v>0</v>
      </c>
      <c r="P3887" s="76">
        <v>1.4076</v>
      </c>
      <c r="Q3887" s="122" t="s">
        <v>154</v>
      </c>
    </row>
    <row r="3888" spans="1:17" ht="102.75" x14ac:dyDescent="0.25">
      <c r="A3888" s="119">
        <v>40487</v>
      </c>
      <c r="B3888" s="119">
        <v>40487</v>
      </c>
      <c r="C3888" s="122">
        <v>2010</v>
      </c>
      <c r="D3888" s="24" t="s">
        <v>141</v>
      </c>
      <c r="E3888" s="30" t="s">
        <v>142</v>
      </c>
      <c r="F3888" s="7" t="s">
        <v>84</v>
      </c>
      <c r="G3888" s="120" t="s">
        <v>939</v>
      </c>
      <c r="H3888" s="152" t="s">
        <v>5725</v>
      </c>
      <c r="I3888" s="122">
        <v>0</v>
      </c>
      <c r="J3888" s="122">
        <v>0</v>
      </c>
      <c r="K3888" s="122">
        <v>0</v>
      </c>
      <c r="L3888" s="122">
        <v>0</v>
      </c>
      <c r="M3888" s="122">
        <v>0</v>
      </c>
      <c r="N3888" s="122">
        <v>0</v>
      </c>
      <c r="O3888" s="122">
        <v>0</v>
      </c>
      <c r="P3888" s="76">
        <v>1.5</v>
      </c>
      <c r="Q3888" s="122" t="s">
        <v>154</v>
      </c>
    </row>
    <row r="3889" spans="1:17" ht="51.75" x14ac:dyDescent="0.25">
      <c r="A3889" s="119">
        <v>40488</v>
      </c>
      <c r="B3889" s="119">
        <v>40488</v>
      </c>
      <c r="C3889" s="122">
        <v>2010</v>
      </c>
      <c r="D3889" s="24" t="s">
        <v>141</v>
      </c>
      <c r="E3889" s="145" t="s">
        <v>4427</v>
      </c>
      <c r="F3889" s="7" t="s">
        <v>68</v>
      </c>
      <c r="G3889" s="120" t="s">
        <v>1121</v>
      </c>
      <c r="H3889" s="152" t="s">
        <v>5726</v>
      </c>
      <c r="I3889" s="122">
        <v>0</v>
      </c>
      <c r="J3889" s="122">
        <v>13</v>
      </c>
      <c r="K3889" s="122">
        <v>0</v>
      </c>
      <c r="L3889" s="122">
        <v>0</v>
      </c>
      <c r="M3889" s="122">
        <v>0</v>
      </c>
      <c r="N3889" s="122">
        <v>0</v>
      </c>
      <c r="O3889" s="122">
        <v>0</v>
      </c>
      <c r="P3889" s="76">
        <v>0</v>
      </c>
      <c r="Q3889" s="122" t="s">
        <v>154</v>
      </c>
    </row>
    <row r="3890" spans="1:17" ht="409.6" x14ac:dyDescent="0.25">
      <c r="A3890" s="119">
        <v>40488</v>
      </c>
      <c r="B3890" s="119">
        <v>40488</v>
      </c>
      <c r="C3890" s="122">
        <v>2010</v>
      </c>
      <c r="D3890" s="24" t="s">
        <v>141</v>
      </c>
      <c r="E3890" s="145" t="s">
        <v>4427</v>
      </c>
      <c r="F3890" s="7" t="s">
        <v>62</v>
      </c>
      <c r="G3890" s="120" t="s">
        <v>5727</v>
      </c>
      <c r="H3890" s="152" t="s">
        <v>5728</v>
      </c>
      <c r="I3890" s="122">
        <v>0</v>
      </c>
      <c r="J3890" s="122">
        <v>10</v>
      </c>
      <c r="K3890" s="122">
        <v>0</v>
      </c>
      <c r="L3890" s="122">
        <v>0</v>
      </c>
      <c r="M3890" s="122">
        <v>0</v>
      </c>
      <c r="N3890" s="122">
        <v>0</v>
      </c>
      <c r="O3890" s="122">
        <v>0</v>
      </c>
      <c r="P3890" s="76">
        <v>0</v>
      </c>
      <c r="Q3890" s="122" t="s">
        <v>154</v>
      </c>
    </row>
    <row r="3891" spans="1:17" ht="102.75" x14ac:dyDescent="0.25">
      <c r="A3891" s="119">
        <v>40487</v>
      </c>
      <c r="B3891" s="119">
        <v>40487</v>
      </c>
      <c r="C3891" s="122">
        <v>2010</v>
      </c>
      <c r="D3891" s="24" t="s">
        <v>141</v>
      </c>
      <c r="E3891" s="30" t="s">
        <v>142</v>
      </c>
      <c r="F3891" s="7" t="s">
        <v>60</v>
      </c>
      <c r="G3891" s="120" t="s">
        <v>425</v>
      </c>
      <c r="H3891" s="152" t="s">
        <v>5729</v>
      </c>
      <c r="I3891" s="122">
        <v>0</v>
      </c>
      <c r="J3891" s="122">
        <v>2</v>
      </c>
      <c r="K3891" s="122">
        <v>0</v>
      </c>
      <c r="L3891" s="122">
        <v>0</v>
      </c>
      <c r="M3891" s="122">
        <v>0</v>
      </c>
      <c r="N3891" s="122">
        <v>0</v>
      </c>
      <c r="O3891" s="122">
        <v>0</v>
      </c>
      <c r="P3891" s="76">
        <v>0.65</v>
      </c>
      <c r="Q3891" s="122" t="s">
        <v>154</v>
      </c>
    </row>
    <row r="3892" spans="1:17" ht="102.75" x14ac:dyDescent="0.25">
      <c r="A3892" s="119">
        <v>40488</v>
      </c>
      <c r="B3892" s="119">
        <v>40488</v>
      </c>
      <c r="C3892" s="122">
        <v>2010</v>
      </c>
      <c r="D3892" s="24" t="s">
        <v>141</v>
      </c>
      <c r="E3892" s="30" t="s">
        <v>142</v>
      </c>
      <c r="F3892" s="7" t="s">
        <v>56</v>
      </c>
      <c r="G3892" s="120" t="s">
        <v>5704</v>
      </c>
      <c r="H3892" s="152" t="s">
        <v>5730</v>
      </c>
      <c r="I3892" s="122">
        <v>0</v>
      </c>
      <c r="J3892" s="122">
        <v>17</v>
      </c>
      <c r="K3892" s="122">
        <v>0</v>
      </c>
      <c r="L3892" s="122">
        <v>0</v>
      </c>
      <c r="M3892" s="122">
        <v>0</v>
      </c>
      <c r="N3892" s="122">
        <v>0</v>
      </c>
      <c r="O3892" s="122">
        <v>0</v>
      </c>
      <c r="P3892" s="76">
        <v>1.2</v>
      </c>
      <c r="Q3892" s="122" t="s">
        <v>154</v>
      </c>
    </row>
    <row r="3893" spans="1:17" ht="166.5" x14ac:dyDescent="0.25">
      <c r="A3893" s="119">
        <v>40493</v>
      </c>
      <c r="B3893" s="119">
        <v>40493</v>
      </c>
      <c r="C3893" s="122">
        <v>2010</v>
      </c>
      <c r="D3893" s="24" t="s">
        <v>141</v>
      </c>
      <c r="E3893" s="22" t="s">
        <v>2933</v>
      </c>
      <c r="F3893" s="28" t="s">
        <v>157</v>
      </c>
      <c r="G3893" s="120" t="s">
        <v>5565</v>
      </c>
      <c r="H3893" s="152" t="s">
        <v>5731</v>
      </c>
      <c r="I3893" s="122">
        <v>0</v>
      </c>
      <c r="J3893" s="122">
        <v>12</v>
      </c>
      <c r="K3893" s="122">
        <v>0</v>
      </c>
      <c r="L3893" s="122">
        <v>0</v>
      </c>
      <c r="M3893" s="122">
        <v>0</v>
      </c>
      <c r="N3893" s="122">
        <v>0</v>
      </c>
      <c r="O3893" s="122">
        <v>0</v>
      </c>
      <c r="P3893" s="76">
        <v>0</v>
      </c>
      <c r="Q3893" s="122" t="s">
        <v>154</v>
      </c>
    </row>
    <row r="3894" spans="1:17" ht="90" x14ac:dyDescent="0.25">
      <c r="A3894" s="119">
        <v>40493</v>
      </c>
      <c r="B3894" s="119">
        <v>40493</v>
      </c>
      <c r="C3894" s="122">
        <v>2010</v>
      </c>
      <c r="D3894" s="24" t="s">
        <v>141</v>
      </c>
      <c r="E3894" s="30" t="s">
        <v>142</v>
      </c>
      <c r="F3894" s="7" t="s">
        <v>62</v>
      </c>
      <c r="G3894" s="120" t="s">
        <v>1410</v>
      </c>
      <c r="H3894" s="152" t="s">
        <v>5732</v>
      </c>
      <c r="I3894" s="122">
        <v>1</v>
      </c>
      <c r="J3894" s="122">
        <v>14</v>
      </c>
      <c r="K3894" s="122">
        <v>0</v>
      </c>
      <c r="L3894" s="122">
        <v>0</v>
      </c>
      <c r="M3894" s="122">
        <v>0</v>
      </c>
      <c r="N3894" s="122">
        <v>0</v>
      </c>
      <c r="O3894" s="122">
        <v>0</v>
      </c>
      <c r="P3894" s="76">
        <v>1.05</v>
      </c>
      <c r="Q3894" s="122" t="s">
        <v>154</v>
      </c>
    </row>
    <row r="3895" spans="1:17" ht="179.25" x14ac:dyDescent="0.25">
      <c r="A3895" s="119">
        <v>40492</v>
      </c>
      <c r="B3895" s="119">
        <v>40492</v>
      </c>
      <c r="C3895" s="122">
        <v>2010</v>
      </c>
      <c r="D3895" s="24" t="s">
        <v>141</v>
      </c>
      <c r="E3895" s="30" t="s">
        <v>142</v>
      </c>
      <c r="F3895" s="7" t="s">
        <v>45</v>
      </c>
      <c r="G3895" s="120" t="s">
        <v>2789</v>
      </c>
      <c r="H3895" s="152" t="s">
        <v>5733</v>
      </c>
      <c r="I3895" s="122">
        <v>0</v>
      </c>
      <c r="J3895" s="122">
        <v>2</v>
      </c>
      <c r="K3895" s="122">
        <v>0</v>
      </c>
      <c r="L3895" s="122">
        <v>0</v>
      </c>
      <c r="M3895" s="122">
        <v>0</v>
      </c>
      <c r="N3895" s="122">
        <v>0</v>
      </c>
      <c r="O3895" s="122">
        <v>0</v>
      </c>
      <c r="P3895" s="76">
        <v>0</v>
      </c>
      <c r="Q3895" s="122" t="s">
        <v>154</v>
      </c>
    </row>
    <row r="3896" spans="1:17" ht="102.75" x14ac:dyDescent="0.25">
      <c r="A3896" s="119">
        <v>40494</v>
      </c>
      <c r="B3896" s="119">
        <v>40494</v>
      </c>
      <c r="C3896" s="122">
        <v>2010</v>
      </c>
      <c r="D3896" s="24" t="s">
        <v>141</v>
      </c>
      <c r="E3896" s="145" t="s">
        <v>5734</v>
      </c>
      <c r="F3896" s="7" t="s">
        <v>68</v>
      </c>
      <c r="G3896" s="120" t="s">
        <v>2512</v>
      </c>
      <c r="H3896" s="152" t="s">
        <v>5735</v>
      </c>
      <c r="I3896" s="122">
        <v>0</v>
      </c>
      <c r="J3896" s="122">
        <v>780</v>
      </c>
      <c r="K3896" s="122">
        <v>0</v>
      </c>
      <c r="L3896" s="122">
        <v>0</v>
      </c>
      <c r="M3896" s="122">
        <v>0</v>
      </c>
      <c r="N3896" s="122">
        <v>0</v>
      </c>
      <c r="O3896" s="122">
        <v>0</v>
      </c>
      <c r="P3896" s="76">
        <v>0</v>
      </c>
      <c r="Q3896" s="122" t="s">
        <v>154</v>
      </c>
    </row>
    <row r="3897" spans="1:17" ht="64.5" x14ac:dyDescent="0.25">
      <c r="A3897" s="119">
        <v>40494</v>
      </c>
      <c r="B3897" s="119">
        <v>40494</v>
      </c>
      <c r="C3897" s="122">
        <v>2010</v>
      </c>
      <c r="D3897" s="24" t="s">
        <v>141</v>
      </c>
      <c r="E3897" s="145" t="s">
        <v>5734</v>
      </c>
      <c r="F3897" s="7" t="s">
        <v>53</v>
      </c>
      <c r="G3897" s="120" t="s">
        <v>847</v>
      </c>
      <c r="H3897" s="152" t="s">
        <v>5736</v>
      </c>
      <c r="I3897" s="122">
        <v>0</v>
      </c>
      <c r="J3897" s="122">
        <v>200</v>
      </c>
      <c r="K3897" s="122">
        <v>0</v>
      </c>
      <c r="L3897" s="122">
        <v>0</v>
      </c>
      <c r="M3897" s="122">
        <v>0</v>
      </c>
      <c r="N3897" s="122">
        <v>0</v>
      </c>
      <c r="O3897" s="122">
        <v>0</v>
      </c>
      <c r="P3897" s="76">
        <v>0</v>
      </c>
      <c r="Q3897" s="122" t="s">
        <v>154</v>
      </c>
    </row>
    <row r="3898" spans="1:17" ht="141" x14ac:dyDescent="0.25">
      <c r="A3898" s="119">
        <v>40496</v>
      </c>
      <c r="B3898" s="119">
        <v>40496</v>
      </c>
      <c r="C3898" s="122">
        <v>2010</v>
      </c>
      <c r="D3898" s="24" t="s">
        <v>141</v>
      </c>
      <c r="E3898" s="22" t="s">
        <v>2933</v>
      </c>
      <c r="F3898" s="7" t="s">
        <v>80</v>
      </c>
      <c r="G3898" s="120" t="s">
        <v>5737</v>
      </c>
      <c r="H3898" s="152" t="s">
        <v>5738</v>
      </c>
      <c r="I3898" s="122">
        <v>1</v>
      </c>
      <c r="J3898" s="122">
        <v>6</v>
      </c>
      <c r="K3898" s="122">
        <v>0</v>
      </c>
      <c r="L3898" s="122">
        <v>0</v>
      </c>
      <c r="M3898" s="122">
        <v>0</v>
      </c>
      <c r="N3898" s="122">
        <v>0</v>
      </c>
      <c r="O3898" s="122">
        <v>0</v>
      </c>
      <c r="P3898" s="76">
        <v>0</v>
      </c>
      <c r="Q3898" s="122" t="s">
        <v>154</v>
      </c>
    </row>
    <row r="3899" spans="1:17" ht="153.75" x14ac:dyDescent="0.25">
      <c r="A3899" s="119">
        <v>40497</v>
      </c>
      <c r="B3899" s="119">
        <v>40497</v>
      </c>
      <c r="C3899" s="122">
        <v>2010</v>
      </c>
      <c r="D3899" s="24" t="s">
        <v>141</v>
      </c>
      <c r="E3899" s="30" t="s">
        <v>142</v>
      </c>
      <c r="F3899" s="7" t="s">
        <v>56</v>
      </c>
      <c r="G3899" s="120" t="s">
        <v>2462</v>
      </c>
      <c r="H3899" s="152" t="s">
        <v>5739</v>
      </c>
      <c r="I3899" s="122">
        <v>0</v>
      </c>
      <c r="J3899" s="122">
        <v>13</v>
      </c>
      <c r="K3899" s="122">
        <v>0</v>
      </c>
      <c r="L3899" s="122">
        <v>0</v>
      </c>
      <c r="M3899" s="122">
        <v>0</v>
      </c>
      <c r="N3899" s="122">
        <v>0</v>
      </c>
      <c r="O3899" s="122">
        <v>0</v>
      </c>
      <c r="P3899" s="76">
        <v>1.05</v>
      </c>
      <c r="Q3899" s="122" t="s">
        <v>154</v>
      </c>
    </row>
    <row r="3900" spans="1:17" ht="141" x14ac:dyDescent="0.25">
      <c r="A3900" s="119">
        <v>40496</v>
      </c>
      <c r="B3900" s="119">
        <v>40496</v>
      </c>
      <c r="C3900" s="122">
        <v>2010</v>
      </c>
      <c r="D3900" s="24" t="s">
        <v>141</v>
      </c>
      <c r="E3900" s="30" t="s">
        <v>142</v>
      </c>
      <c r="F3900" s="7" t="s">
        <v>56</v>
      </c>
      <c r="G3900" s="120" t="s">
        <v>351</v>
      </c>
      <c r="H3900" s="152" t="s">
        <v>5740</v>
      </c>
      <c r="I3900" s="122">
        <v>2</v>
      </c>
      <c r="J3900" s="122">
        <v>9</v>
      </c>
      <c r="K3900" s="122">
        <v>0</v>
      </c>
      <c r="L3900" s="122">
        <v>0</v>
      </c>
      <c r="M3900" s="122">
        <v>0</v>
      </c>
      <c r="N3900" s="122">
        <v>0</v>
      </c>
      <c r="O3900" s="122">
        <v>0</v>
      </c>
      <c r="P3900" s="76">
        <v>0.4</v>
      </c>
      <c r="Q3900" s="122" t="s">
        <v>154</v>
      </c>
    </row>
    <row r="3901" spans="1:17" ht="306.75" x14ac:dyDescent="0.25">
      <c r="A3901" s="119">
        <v>40497</v>
      </c>
      <c r="B3901" s="119">
        <v>40497</v>
      </c>
      <c r="C3901" s="122">
        <v>2010</v>
      </c>
      <c r="D3901" s="24" t="s">
        <v>141</v>
      </c>
      <c r="E3901" s="30" t="s">
        <v>142</v>
      </c>
      <c r="F3901" s="7" t="s">
        <v>75</v>
      </c>
      <c r="G3901" s="120" t="s">
        <v>75</v>
      </c>
      <c r="H3901" s="152" t="s">
        <v>5741</v>
      </c>
      <c r="I3901" s="122">
        <v>2</v>
      </c>
      <c r="J3901" s="122">
        <v>15</v>
      </c>
      <c r="K3901" s="122">
        <v>0</v>
      </c>
      <c r="L3901" s="122">
        <v>0</v>
      </c>
      <c r="M3901" s="122">
        <v>0</v>
      </c>
      <c r="N3901" s="122">
        <v>0</v>
      </c>
      <c r="O3901" s="122">
        <v>0</v>
      </c>
      <c r="P3901" s="76">
        <v>0.8</v>
      </c>
      <c r="Q3901" s="122" t="s">
        <v>154</v>
      </c>
    </row>
    <row r="3902" spans="1:17" ht="166.5" x14ac:dyDescent="0.25">
      <c r="A3902" s="119">
        <v>40500</v>
      </c>
      <c r="B3902" s="119">
        <v>40500</v>
      </c>
      <c r="C3902" s="122">
        <v>2010</v>
      </c>
      <c r="D3902" s="24" t="s">
        <v>141</v>
      </c>
      <c r="E3902" s="145" t="s">
        <v>5734</v>
      </c>
      <c r="F3902" s="28" t="s">
        <v>157</v>
      </c>
      <c r="G3902" s="120" t="s">
        <v>5565</v>
      </c>
      <c r="H3902" s="152" t="s">
        <v>5742</v>
      </c>
      <c r="I3902" s="122">
        <v>0</v>
      </c>
      <c r="J3902" s="122">
        <v>50</v>
      </c>
      <c r="K3902" s="122">
        <v>0</v>
      </c>
      <c r="L3902" s="122">
        <v>0</v>
      </c>
      <c r="M3902" s="122">
        <v>0</v>
      </c>
      <c r="N3902" s="122">
        <v>0</v>
      </c>
      <c r="O3902" s="122">
        <v>0</v>
      </c>
      <c r="P3902" s="76">
        <v>0</v>
      </c>
      <c r="Q3902" s="122" t="s">
        <v>154</v>
      </c>
    </row>
    <row r="3903" spans="1:17" ht="306.75" x14ac:dyDescent="0.25">
      <c r="A3903" s="119">
        <v>40500</v>
      </c>
      <c r="B3903" s="119">
        <v>40500</v>
      </c>
      <c r="C3903" s="122">
        <v>2010</v>
      </c>
      <c r="D3903" s="24" t="s">
        <v>141</v>
      </c>
      <c r="E3903" s="145" t="s">
        <v>5743</v>
      </c>
      <c r="F3903" s="28" t="s">
        <v>157</v>
      </c>
      <c r="G3903" s="120" t="s">
        <v>5744</v>
      </c>
      <c r="H3903" s="152" t="s">
        <v>5745</v>
      </c>
      <c r="I3903" s="122">
        <v>2</v>
      </c>
      <c r="J3903" s="122">
        <v>6</v>
      </c>
      <c r="K3903" s="122">
        <v>0</v>
      </c>
      <c r="L3903" s="122">
        <v>0</v>
      </c>
      <c r="M3903" s="122">
        <v>0</v>
      </c>
      <c r="N3903" s="122">
        <v>0</v>
      </c>
      <c r="O3903" s="122">
        <v>0</v>
      </c>
      <c r="P3903" s="76">
        <v>1.05</v>
      </c>
      <c r="Q3903" s="122" t="s">
        <v>154</v>
      </c>
    </row>
    <row r="3904" spans="1:17" ht="319.5" x14ac:dyDescent="0.25">
      <c r="A3904" s="119">
        <v>40499</v>
      </c>
      <c r="B3904" s="119">
        <v>40499</v>
      </c>
      <c r="C3904" s="122">
        <v>2010</v>
      </c>
      <c r="D3904" s="24" t="s">
        <v>141</v>
      </c>
      <c r="E3904" s="145" t="s">
        <v>5743</v>
      </c>
      <c r="F3904" s="28" t="s">
        <v>210</v>
      </c>
      <c r="G3904" s="120" t="s">
        <v>5694</v>
      </c>
      <c r="H3904" s="152" t="s">
        <v>5746</v>
      </c>
      <c r="I3904" s="122">
        <v>0</v>
      </c>
      <c r="J3904" s="122">
        <v>0</v>
      </c>
      <c r="K3904" s="122">
        <v>0</v>
      </c>
      <c r="L3904" s="122">
        <v>0</v>
      </c>
      <c r="M3904" s="122">
        <v>0</v>
      </c>
      <c r="N3904" s="122">
        <v>0</v>
      </c>
      <c r="O3904" s="122">
        <v>0</v>
      </c>
      <c r="P3904" s="76">
        <v>0.68197249999999998</v>
      </c>
      <c r="Q3904" s="122" t="s">
        <v>154</v>
      </c>
    </row>
    <row r="3905" spans="1:17" ht="217.5" x14ac:dyDescent="0.25">
      <c r="A3905" s="119">
        <v>40499</v>
      </c>
      <c r="B3905" s="119">
        <v>40499</v>
      </c>
      <c r="C3905" s="122">
        <v>2010</v>
      </c>
      <c r="D3905" s="24" t="s">
        <v>141</v>
      </c>
      <c r="E3905" s="30" t="s">
        <v>142</v>
      </c>
      <c r="F3905" s="28" t="s">
        <v>160</v>
      </c>
      <c r="G3905" s="120" t="s">
        <v>5747</v>
      </c>
      <c r="H3905" s="152" t="s">
        <v>5748</v>
      </c>
      <c r="I3905" s="122">
        <v>0</v>
      </c>
      <c r="J3905" s="122">
        <v>54</v>
      </c>
      <c r="K3905" s="122">
        <v>0</v>
      </c>
      <c r="L3905" s="122">
        <v>0</v>
      </c>
      <c r="M3905" s="122">
        <v>0</v>
      </c>
      <c r="N3905" s="122">
        <v>0</v>
      </c>
      <c r="O3905" s="122">
        <v>0</v>
      </c>
      <c r="P3905" s="76">
        <v>1.05</v>
      </c>
      <c r="Q3905" s="122" t="s">
        <v>154</v>
      </c>
    </row>
    <row r="3906" spans="1:17" ht="141" x14ac:dyDescent="0.25">
      <c r="A3906" s="119">
        <v>40501</v>
      </c>
      <c r="B3906" s="119">
        <v>40501</v>
      </c>
      <c r="C3906" s="122">
        <v>2010</v>
      </c>
      <c r="D3906" s="24" t="s">
        <v>141</v>
      </c>
      <c r="E3906" s="30" t="s">
        <v>142</v>
      </c>
      <c r="F3906" s="28" t="s">
        <v>160</v>
      </c>
      <c r="G3906" s="120" t="s">
        <v>3424</v>
      </c>
      <c r="H3906" s="152" t="s">
        <v>5749</v>
      </c>
      <c r="I3906" s="122">
        <v>1</v>
      </c>
      <c r="J3906" s="122">
        <v>1</v>
      </c>
      <c r="K3906" s="122">
        <v>0</v>
      </c>
      <c r="L3906" s="122">
        <v>0</v>
      </c>
      <c r="M3906" s="122">
        <v>0</v>
      </c>
      <c r="N3906" s="122">
        <v>0</v>
      </c>
      <c r="O3906" s="122">
        <v>0</v>
      </c>
      <c r="P3906" s="76">
        <v>0.78493999999999997</v>
      </c>
      <c r="Q3906" s="122" t="s">
        <v>154</v>
      </c>
    </row>
    <row r="3907" spans="1:17" ht="243" x14ac:dyDescent="0.25">
      <c r="A3907" s="119">
        <v>40506</v>
      </c>
      <c r="B3907" s="119">
        <v>40506</v>
      </c>
      <c r="C3907" s="122">
        <v>2010</v>
      </c>
      <c r="D3907" s="24" t="s">
        <v>141</v>
      </c>
      <c r="E3907" s="30" t="s">
        <v>142</v>
      </c>
      <c r="F3907" s="7" t="s">
        <v>68</v>
      </c>
      <c r="G3907" s="120" t="s">
        <v>1121</v>
      </c>
      <c r="H3907" s="152" t="s">
        <v>5750</v>
      </c>
      <c r="I3907" s="122">
        <v>5</v>
      </c>
      <c r="J3907" s="122">
        <v>5</v>
      </c>
      <c r="K3907" s="122">
        <v>0</v>
      </c>
      <c r="L3907" s="122">
        <v>0</v>
      </c>
      <c r="M3907" s="122">
        <v>0</v>
      </c>
      <c r="N3907" s="122">
        <v>0</v>
      </c>
      <c r="O3907" s="122">
        <v>0</v>
      </c>
      <c r="P3907" s="76">
        <v>1.5</v>
      </c>
      <c r="Q3907" s="122" t="s">
        <v>154</v>
      </c>
    </row>
    <row r="3908" spans="1:17" ht="230.25" x14ac:dyDescent="0.25">
      <c r="A3908" s="119">
        <v>40507</v>
      </c>
      <c r="B3908" s="119">
        <v>40507</v>
      </c>
      <c r="C3908" s="122">
        <v>2010</v>
      </c>
      <c r="D3908" s="24" t="s">
        <v>141</v>
      </c>
      <c r="E3908" s="30" t="s">
        <v>142</v>
      </c>
      <c r="F3908" s="7" t="s">
        <v>60</v>
      </c>
      <c r="G3908" s="120" t="s">
        <v>5751</v>
      </c>
      <c r="H3908" s="152" t="s">
        <v>5752</v>
      </c>
      <c r="I3908" s="122">
        <v>0</v>
      </c>
      <c r="J3908" s="122">
        <v>2</v>
      </c>
      <c r="K3908" s="122">
        <v>0</v>
      </c>
      <c r="L3908" s="122">
        <v>0</v>
      </c>
      <c r="M3908" s="122">
        <v>0</v>
      </c>
      <c r="N3908" s="122">
        <v>0</v>
      </c>
      <c r="O3908" s="122">
        <v>0</v>
      </c>
      <c r="P3908" s="76">
        <v>1.5</v>
      </c>
      <c r="Q3908" s="122" t="s">
        <v>154</v>
      </c>
    </row>
    <row r="3909" spans="1:17" ht="153.75" x14ac:dyDescent="0.25">
      <c r="A3909" s="119">
        <v>40511</v>
      </c>
      <c r="B3909" s="119">
        <v>40511</v>
      </c>
      <c r="C3909" s="122">
        <v>2010</v>
      </c>
      <c r="D3909" s="24" t="s">
        <v>141</v>
      </c>
      <c r="E3909" s="30" t="s">
        <v>142</v>
      </c>
      <c r="F3909" s="7" t="s">
        <v>56</v>
      </c>
      <c r="G3909" s="120" t="s">
        <v>4511</v>
      </c>
      <c r="H3909" s="152" t="s">
        <v>5753</v>
      </c>
      <c r="I3909" s="122">
        <v>2</v>
      </c>
      <c r="J3909" s="122">
        <v>4</v>
      </c>
      <c r="K3909" s="122">
        <v>0</v>
      </c>
      <c r="L3909" s="122">
        <v>0</v>
      </c>
      <c r="M3909" s="122">
        <v>0</v>
      </c>
      <c r="N3909" s="122">
        <v>0</v>
      </c>
      <c r="O3909" s="122">
        <v>0</v>
      </c>
      <c r="P3909" s="76">
        <v>0</v>
      </c>
      <c r="Q3909" s="122" t="s">
        <v>154</v>
      </c>
    </row>
    <row r="3910" spans="1:17" ht="77.25" x14ac:dyDescent="0.25">
      <c r="A3910" s="119">
        <v>40516</v>
      </c>
      <c r="B3910" s="119">
        <v>40516</v>
      </c>
      <c r="C3910" s="122">
        <v>2010</v>
      </c>
      <c r="D3910" s="24" t="s">
        <v>141</v>
      </c>
      <c r="E3910" s="145" t="s">
        <v>5754</v>
      </c>
      <c r="F3910" s="28" t="s">
        <v>157</v>
      </c>
      <c r="G3910" s="120" t="s">
        <v>5755</v>
      </c>
      <c r="H3910" s="152" t="s">
        <v>5756</v>
      </c>
      <c r="I3910" s="122">
        <v>0</v>
      </c>
      <c r="J3910" s="122">
        <v>20</v>
      </c>
      <c r="K3910" s="122">
        <v>0</v>
      </c>
      <c r="L3910" s="122">
        <v>0</v>
      </c>
      <c r="M3910" s="122">
        <v>0</v>
      </c>
      <c r="N3910" s="122">
        <v>0</v>
      </c>
      <c r="O3910" s="122">
        <v>0</v>
      </c>
      <c r="P3910" s="76">
        <v>0</v>
      </c>
      <c r="Q3910" s="122" t="s">
        <v>154</v>
      </c>
    </row>
    <row r="3911" spans="1:17" ht="141" x14ac:dyDescent="0.25">
      <c r="A3911" s="119">
        <v>40517</v>
      </c>
      <c r="B3911" s="119">
        <v>40517</v>
      </c>
      <c r="C3911" s="122">
        <v>2010</v>
      </c>
      <c r="D3911" s="24" t="s">
        <v>141</v>
      </c>
      <c r="E3911" s="30" t="s">
        <v>142</v>
      </c>
      <c r="F3911" s="7" t="s">
        <v>56</v>
      </c>
      <c r="G3911" s="120" t="s">
        <v>2786</v>
      </c>
      <c r="H3911" s="152" t="s">
        <v>5757</v>
      </c>
      <c r="I3911" s="122">
        <v>0</v>
      </c>
      <c r="J3911" s="122">
        <v>1</v>
      </c>
      <c r="K3911" s="122">
        <v>0</v>
      </c>
      <c r="L3911" s="122">
        <v>0</v>
      </c>
      <c r="M3911" s="122">
        <v>0</v>
      </c>
      <c r="N3911" s="122">
        <v>0</v>
      </c>
      <c r="O3911" s="122">
        <v>0</v>
      </c>
      <c r="P3911" s="76">
        <v>0.82843288000000004</v>
      </c>
      <c r="Q3911" s="122" t="s">
        <v>154</v>
      </c>
    </row>
    <row r="3912" spans="1:17" ht="179.25" x14ac:dyDescent="0.25">
      <c r="A3912" s="119">
        <v>40516</v>
      </c>
      <c r="B3912" s="119">
        <v>40516</v>
      </c>
      <c r="C3912" s="122">
        <v>2010</v>
      </c>
      <c r="D3912" s="24" t="s">
        <v>141</v>
      </c>
      <c r="E3912" s="30" t="s">
        <v>142</v>
      </c>
      <c r="F3912" s="7" t="s">
        <v>58</v>
      </c>
      <c r="G3912" s="120" t="s">
        <v>5758</v>
      </c>
      <c r="H3912" s="152" t="s">
        <v>5759</v>
      </c>
      <c r="I3912" s="122">
        <v>0</v>
      </c>
      <c r="J3912" s="122">
        <v>1</v>
      </c>
      <c r="K3912" s="122">
        <v>0</v>
      </c>
      <c r="L3912" s="122">
        <v>0</v>
      </c>
      <c r="M3912" s="122">
        <v>0</v>
      </c>
      <c r="N3912" s="122">
        <v>0</v>
      </c>
      <c r="O3912" s="122">
        <v>0</v>
      </c>
      <c r="P3912" s="76">
        <v>0.19178000000000001</v>
      </c>
      <c r="Q3912" s="122" t="s">
        <v>154</v>
      </c>
    </row>
    <row r="3913" spans="1:17" ht="166.5" x14ac:dyDescent="0.25">
      <c r="A3913" s="119">
        <v>40518</v>
      </c>
      <c r="B3913" s="119">
        <v>40518</v>
      </c>
      <c r="C3913" s="122">
        <v>2010</v>
      </c>
      <c r="D3913" s="24" t="s">
        <v>141</v>
      </c>
      <c r="E3913" s="30" t="s">
        <v>142</v>
      </c>
      <c r="F3913" s="7" t="s">
        <v>60</v>
      </c>
      <c r="G3913" s="120" t="s">
        <v>425</v>
      </c>
      <c r="H3913" s="152" t="s">
        <v>5760</v>
      </c>
      <c r="I3913" s="122">
        <v>0</v>
      </c>
      <c r="J3913" s="122">
        <v>18</v>
      </c>
      <c r="K3913" s="122">
        <v>0</v>
      </c>
      <c r="L3913" s="122">
        <v>0</v>
      </c>
      <c r="M3913" s="122">
        <v>0</v>
      </c>
      <c r="N3913" s="122">
        <v>0</v>
      </c>
      <c r="O3913" s="122">
        <v>0</v>
      </c>
      <c r="P3913" s="76">
        <v>1.05</v>
      </c>
      <c r="Q3913" s="122" t="s">
        <v>154</v>
      </c>
    </row>
    <row r="3914" spans="1:17" ht="281.25" x14ac:dyDescent="0.25">
      <c r="A3914" s="119">
        <v>40518</v>
      </c>
      <c r="B3914" s="119">
        <v>40518</v>
      </c>
      <c r="C3914" s="122">
        <v>2010</v>
      </c>
      <c r="D3914" s="24" t="s">
        <v>141</v>
      </c>
      <c r="E3914" s="30" t="s">
        <v>142</v>
      </c>
      <c r="F3914" s="7" t="s">
        <v>53</v>
      </c>
      <c r="G3914" s="120" t="s">
        <v>2516</v>
      </c>
      <c r="H3914" s="152" t="s">
        <v>5761</v>
      </c>
      <c r="I3914" s="122">
        <v>0</v>
      </c>
      <c r="J3914" s="122">
        <v>300</v>
      </c>
      <c r="K3914" s="122">
        <v>0</v>
      </c>
      <c r="L3914" s="122">
        <v>0</v>
      </c>
      <c r="M3914" s="122">
        <v>0</v>
      </c>
      <c r="N3914" s="122">
        <v>0</v>
      </c>
      <c r="O3914" s="122">
        <v>0</v>
      </c>
      <c r="P3914" s="76">
        <v>0</v>
      </c>
      <c r="Q3914" s="122" t="s">
        <v>154</v>
      </c>
    </row>
    <row r="3915" spans="1:17" ht="115.5" x14ac:dyDescent="0.25">
      <c r="A3915" s="119">
        <v>40520</v>
      </c>
      <c r="B3915" s="119">
        <v>40520</v>
      </c>
      <c r="C3915" s="122">
        <v>2010</v>
      </c>
      <c r="D3915" s="24" t="s">
        <v>141</v>
      </c>
      <c r="E3915" s="30" t="s">
        <v>142</v>
      </c>
      <c r="F3915" s="28" t="s">
        <v>210</v>
      </c>
      <c r="G3915" s="120" t="s">
        <v>5762</v>
      </c>
      <c r="H3915" s="152" t="s">
        <v>5763</v>
      </c>
      <c r="I3915" s="122">
        <v>3</v>
      </c>
      <c r="J3915" s="122">
        <v>6</v>
      </c>
      <c r="K3915" s="122">
        <v>0</v>
      </c>
      <c r="L3915" s="122">
        <v>0</v>
      </c>
      <c r="M3915" s="122">
        <v>0</v>
      </c>
      <c r="N3915" s="122">
        <v>0</v>
      </c>
      <c r="O3915" s="122">
        <v>0</v>
      </c>
      <c r="P3915" s="76">
        <v>1</v>
      </c>
      <c r="Q3915" s="122" t="s">
        <v>154</v>
      </c>
    </row>
    <row r="3916" spans="1:17" ht="51.75" x14ac:dyDescent="0.25">
      <c r="A3916" s="119">
        <v>40521</v>
      </c>
      <c r="B3916" s="119">
        <v>40521</v>
      </c>
      <c r="C3916" s="122">
        <v>2010</v>
      </c>
      <c r="D3916" s="24" t="s">
        <v>141</v>
      </c>
      <c r="E3916" s="145" t="s">
        <v>4978</v>
      </c>
      <c r="F3916" s="7" t="s">
        <v>56</v>
      </c>
      <c r="G3916" s="120" t="s">
        <v>1160</v>
      </c>
      <c r="H3916" s="152" t="s">
        <v>5764</v>
      </c>
      <c r="I3916" s="122">
        <v>0</v>
      </c>
      <c r="J3916" s="122">
        <v>30</v>
      </c>
      <c r="K3916" s="122">
        <v>0</v>
      </c>
      <c r="L3916" s="122">
        <v>0</v>
      </c>
      <c r="M3916" s="122">
        <v>0</v>
      </c>
      <c r="N3916" s="122">
        <v>0</v>
      </c>
      <c r="O3916" s="122">
        <v>0</v>
      </c>
      <c r="P3916" s="76">
        <v>0</v>
      </c>
      <c r="Q3916" s="122" t="s">
        <v>154</v>
      </c>
    </row>
    <row r="3917" spans="1:17" ht="179.25" x14ac:dyDescent="0.25">
      <c r="A3917" s="119">
        <v>40525</v>
      </c>
      <c r="B3917" s="119">
        <v>40525</v>
      </c>
      <c r="C3917" s="122">
        <v>2010</v>
      </c>
      <c r="D3917" s="24" t="s">
        <v>141</v>
      </c>
      <c r="E3917" s="30" t="s">
        <v>142</v>
      </c>
      <c r="F3917" s="7" t="s">
        <v>56</v>
      </c>
      <c r="G3917" s="120" t="s">
        <v>5765</v>
      </c>
      <c r="H3917" s="152" t="s">
        <v>5766</v>
      </c>
      <c r="I3917" s="122">
        <v>1</v>
      </c>
      <c r="J3917" s="122">
        <v>2</v>
      </c>
      <c r="K3917" s="122">
        <v>0</v>
      </c>
      <c r="L3917" s="122">
        <v>0</v>
      </c>
      <c r="M3917" s="122">
        <v>0</v>
      </c>
      <c r="N3917" s="122">
        <v>0</v>
      </c>
      <c r="O3917" s="122">
        <v>0</v>
      </c>
      <c r="P3917" s="76">
        <v>0</v>
      </c>
      <c r="Q3917" s="122" t="s">
        <v>154</v>
      </c>
    </row>
    <row r="3918" spans="1:17" ht="268.5" x14ac:dyDescent="0.25">
      <c r="A3918" s="119">
        <v>40527</v>
      </c>
      <c r="B3918" s="119">
        <v>40527</v>
      </c>
      <c r="C3918" s="122">
        <v>2010</v>
      </c>
      <c r="D3918" s="24" t="s">
        <v>141</v>
      </c>
      <c r="E3918" s="30" t="s">
        <v>142</v>
      </c>
      <c r="F3918" s="7" t="s">
        <v>53</v>
      </c>
      <c r="G3918" s="120" t="s">
        <v>5082</v>
      </c>
      <c r="H3918" s="152" t="s">
        <v>5767</v>
      </c>
      <c r="I3918" s="122">
        <v>0</v>
      </c>
      <c r="J3918" s="122">
        <v>15</v>
      </c>
      <c r="K3918" s="122">
        <v>0</v>
      </c>
      <c r="L3918" s="122">
        <v>0</v>
      </c>
      <c r="M3918" s="122">
        <v>0</v>
      </c>
      <c r="N3918" s="122">
        <v>0</v>
      </c>
      <c r="O3918" s="122">
        <v>0</v>
      </c>
      <c r="P3918" s="76">
        <v>1.1311199999999999</v>
      </c>
      <c r="Q3918" s="122" t="s">
        <v>154</v>
      </c>
    </row>
    <row r="3919" spans="1:17" ht="141" x14ac:dyDescent="0.25">
      <c r="A3919" s="119">
        <v>40527</v>
      </c>
      <c r="B3919" s="119">
        <v>40527</v>
      </c>
      <c r="C3919" s="122">
        <v>2010</v>
      </c>
      <c r="D3919" s="24" t="s">
        <v>141</v>
      </c>
      <c r="E3919" s="30" t="s">
        <v>142</v>
      </c>
      <c r="F3919" s="7" t="s">
        <v>53</v>
      </c>
      <c r="G3919" s="120" t="s">
        <v>4816</v>
      </c>
      <c r="H3919" s="152" t="s">
        <v>5768</v>
      </c>
      <c r="I3919" s="122">
        <v>1</v>
      </c>
      <c r="J3919" s="122">
        <v>11</v>
      </c>
      <c r="K3919" s="122">
        <v>0</v>
      </c>
      <c r="L3919" s="122">
        <v>0</v>
      </c>
      <c r="M3919" s="122">
        <v>0</v>
      </c>
      <c r="N3919" s="122">
        <v>0</v>
      </c>
      <c r="O3919" s="122">
        <v>0</v>
      </c>
      <c r="P3919" s="76">
        <v>0.4</v>
      </c>
      <c r="Q3919" s="122" t="s">
        <v>154</v>
      </c>
    </row>
    <row r="3920" spans="1:17" ht="128.25" x14ac:dyDescent="0.25">
      <c r="A3920" s="119">
        <v>40531</v>
      </c>
      <c r="B3920" s="119">
        <v>40531</v>
      </c>
      <c r="C3920" s="122">
        <v>2010</v>
      </c>
      <c r="D3920" s="24" t="s">
        <v>141</v>
      </c>
      <c r="E3920" s="30" t="s">
        <v>142</v>
      </c>
      <c r="F3920" s="7" t="s">
        <v>87</v>
      </c>
      <c r="G3920" s="120" t="s">
        <v>2608</v>
      </c>
      <c r="H3920" s="152" t="s">
        <v>5769</v>
      </c>
      <c r="I3920" s="122">
        <v>0</v>
      </c>
      <c r="J3920" s="122">
        <v>17</v>
      </c>
      <c r="K3920" s="122">
        <v>0</v>
      </c>
      <c r="L3920" s="122">
        <v>0</v>
      </c>
      <c r="M3920" s="122">
        <v>0</v>
      </c>
      <c r="N3920" s="122">
        <v>0</v>
      </c>
      <c r="O3920" s="122">
        <v>0</v>
      </c>
      <c r="P3920" s="76">
        <v>0.4</v>
      </c>
      <c r="Q3920" s="122" t="s">
        <v>154</v>
      </c>
    </row>
    <row r="3921" spans="1:17" ht="345" x14ac:dyDescent="0.25">
      <c r="A3921" s="119">
        <v>40529</v>
      </c>
      <c r="B3921" s="119">
        <v>40529</v>
      </c>
      <c r="C3921" s="122">
        <v>2010</v>
      </c>
      <c r="D3921" s="24" t="s">
        <v>141</v>
      </c>
      <c r="E3921" s="30" t="s">
        <v>142</v>
      </c>
      <c r="F3921" s="7" t="s">
        <v>58</v>
      </c>
      <c r="G3921" s="120" t="s">
        <v>5770</v>
      </c>
      <c r="H3921" s="152" t="s">
        <v>5771</v>
      </c>
      <c r="I3921" s="122">
        <v>0</v>
      </c>
      <c r="J3921" s="122">
        <v>2</v>
      </c>
      <c r="K3921" s="122">
        <v>0</v>
      </c>
      <c r="L3921" s="122">
        <v>0</v>
      </c>
      <c r="M3921" s="122">
        <v>0</v>
      </c>
      <c r="N3921" s="122">
        <v>0</v>
      </c>
      <c r="O3921" s="122">
        <v>0</v>
      </c>
      <c r="P3921" s="76">
        <v>0.45</v>
      </c>
      <c r="Q3921" s="122" t="s">
        <v>154</v>
      </c>
    </row>
    <row r="3922" spans="1:17" ht="179.25" x14ac:dyDescent="0.25">
      <c r="A3922" s="119">
        <v>40528</v>
      </c>
      <c r="B3922" s="119">
        <v>40528</v>
      </c>
      <c r="C3922" s="122">
        <v>2010</v>
      </c>
      <c r="D3922" s="24" t="s">
        <v>141</v>
      </c>
      <c r="E3922" s="30" t="s">
        <v>142</v>
      </c>
      <c r="F3922" s="7" t="s">
        <v>56</v>
      </c>
      <c r="G3922" s="120" t="s">
        <v>5772</v>
      </c>
      <c r="H3922" s="152" t="s">
        <v>5773</v>
      </c>
      <c r="I3922" s="122">
        <v>0</v>
      </c>
      <c r="J3922" s="122">
        <v>1</v>
      </c>
      <c r="K3922" s="122">
        <v>0</v>
      </c>
      <c r="L3922" s="122">
        <v>0</v>
      </c>
      <c r="M3922" s="122">
        <v>0</v>
      </c>
      <c r="N3922" s="122">
        <v>0</v>
      </c>
      <c r="O3922" s="122">
        <v>0</v>
      </c>
      <c r="P3922" s="76">
        <v>0.76219999999999999</v>
      </c>
      <c r="Q3922" s="122" t="s">
        <v>154</v>
      </c>
    </row>
    <row r="3923" spans="1:17" ht="230.25" x14ac:dyDescent="0.25">
      <c r="A3923" s="119">
        <v>40529</v>
      </c>
      <c r="B3923" s="119">
        <v>40529</v>
      </c>
      <c r="C3923" s="122">
        <v>2010</v>
      </c>
      <c r="D3923" s="24" t="s">
        <v>141</v>
      </c>
      <c r="E3923" s="145" t="s">
        <v>5055</v>
      </c>
      <c r="F3923" s="7" t="s">
        <v>60</v>
      </c>
      <c r="G3923" s="120" t="s">
        <v>908</v>
      </c>
      <c r="H3923" s="152" t="s">
        <v>5774</v>
      </c>
      <c r="I3923" s="122">
        <v>2</v>
      </c>
      <c r="J3923" s="122">
        <v>2</v>
      </c>
      <c r="K3923" s="122">
        <v>0</v>
      </c>
      <c r="L3923" s="122">
        <v>0</v>
      </c>
      <c r="M3923" s="122">
        <v>0</v>
      </c>
      <c r="N3923" s="122">
        <v>0</v>
      </c>
      <c r="O3923" s="122">
        <v>0</v>
      </c>
      <c r="P3923" s="76">
        <v>0</v>
      </c>
      <c r="Q3923" s="122" t="s">
        <v>154</v>
      </c>
    </row>
    <row r="3924" spans="1:17" ht="294" x14ac:dyDescent="0.25">
      <c r="A3924" s="119">
        <v>40533</v>
      </c>
      <c r="B3924" s="119">
        <v>40533</v>
      </c>
      <c r="C3924" s="122">
        <v>2010</v>
      </c>
      <c r="D3924" s="24" t="s">
        <v>141</v>
      </c>
      <c r="E3924" s="30" t="s">
        <v>142</v>
      </c>
      <c r="F3924" s="7" t="s">
        <v>53</v>
      </c>
      <c r="G3924" s="120" t="s">
        <v>1502</v>
      </c>
      <c r="H3924" s="152" t="s">
        <v>5775</v>
      </c>
      <c r="I3924" s="122">
        <v>12</v>
      </c>
      <c r="J3924" s="122">
        <v>25</v>
      </c>
      <c r="K3924" s="122">
        <v>0</v>
      </c>
      <c r="L3924" s="122">
        <v>0</v>
      </c>
      <c r="M3924" s="122">
        <v>0</v>
      </c>
      <c r="N3924" s="122">
        <v>0</v>
      </c>
      <c r="O3924" s="122">
        <v>0</v>
      </c>
      <c r="P3924" s="76">
        <v>0.91600000000000004</v>
      </c>
      <c r="Q3924" s="122" t="s">
        <v>154</v>
      </c>
    </row>
    <row r="3925" spans="1:17" ht="243" x14ac:dyDescent="0.25">
      <c r="A3925" s="119">
        <v>40536</v>
      </c>
      <c r="B3925" s="119">
        <v>40536</v>
      </c>
      <c r="C3925" s="122">
        <v>2010</v>
      </c>
      <c r="D3925" s="24" t="s">
        <v>141</v>
      </c>
      <c r="E3925" s="30" t="s">
        <v>142</v>
      </c>
      <c r="F3925" s="7" t="s">
        <v>68</v>
      </c>
      <c r="G3925" s="120" t="s">
        <v>2071</v>
      </c>
      <c r="H3925" s="152" t="s">
        <v>5776</v>
      </c>
      <c r="I3925" s="122">
        <v>0</v>
      </c>
      <c r="J3925" s="122">
        <v>19</v>
      </c>
      <c r="K3925" s="122">
        <v>0</v>
      </c>
      <c r="L3925" s="122">
        <v>0</v>
      </c>
      <c r="M3925" s="122">
        <v>0</v>
      </c>
      <c r="N3925" s="122">
        <v>0</v>
      </c>
      <c r="O3925" s="122">
        <v>0</v>
      </c>
      <c r="P3925" s="76">
        <v>1.85</v>
      </c>
      <c r="Q3925" s="122" t="s">
        <v>154</v>
      </c>
    </row>
    <row r="3926" spans="1:17" ht="255.75" x14ac:dyDescent="0.25">
      <c r="A3926" s="119">
        <v>40535</v>
      </c>
      <c r="B3926" s="119">
        <v>40535</v>
      </c>
      <c r="C3926" s="122">
        <v>2010</v>
      </c>
      <c r="D3926" s="24" t="s">
        <v>141</v>
      </c>
      <c r="E3926" s="30" t="s">
        <v>142</v>
      </c>
      <c r="F3926" s="7" t="s">
        <v>60</v>
      </c>
      <c r="G3926" s="120" t="s">
        <v>5777</v>
      </c>
      <c r="H3926" s="152" t="s">
        <v>5778</v>
      </c>
      <c r="I3926" s="122">
        <v>2</v>
      </c>
      <c r="J3926" s="122">
        <v>6</v>
      </c>
      <c r="K3926" s="122">
        <v>0</v>
      </c>
      <c r="L3926" s="122">
        <v>0</v>
      </c>
      <c r="M3926" s="122">
        <v>0</v>
      </c>
      <c r="N3926" s="122">
        <v>0</v>
      </c>
      <c r="O3926" s="122">
        <v>0</v>
      </c>
      <c r="P3926" s="76">
        <v>0.65</v>
      </c>
      <c r="Q3926" s="122" t="s">
        <v>154</v>
      </c>
    </row>
    <row r="3927" spans="1:17" ht="166.5" x14ac:dyDescent="0.25">
      <c r="A3927" s="119">
        <v>40535</v>
      </c>
      <c r="B3927" s="119">
        <v>40535</v>
      </c>
      <c r="C3927" s="122">
        <v>2010</v>
      </c>
      <c r="D3927" s="24" t="s">
        <v>141</v>
      </c>
      <c r="E3927" s="30" t="s">
        <v>142</v>
      </c>
      <c r="F3927" s="7" t="s">
        <v>60</v>
      </c>
      <c r="G3927" s="120" t="s">
        <v>908</v>
      </c>
      <c r="H3927" s="152" t="s">
        <v>5779</v>
      </c>
      <c r="I3927" s="122">
        <v>2</v>
      </c>
      <c r="J3927" s="122">
        <v>4</v>
      </c>
      <c r="K3927" s="122">
        <v>0</v>
      </c>
      <c r="L3927" s="122">
        <v>0</v>
      </c>
      <c r="M3927" s="122">
        <v>0</v>
      </c>
      <c r="N3927" s="122">
        <v>0</v>
      </c>
      <c r="O3927" s="122">
        <v>0</v>
      </c>
      <c r="P3927" s="76">
        <v>0.85000337999999998</v>
      </c>
      <c r="Q3927" s="122" t="s">
        <v>154</v>
      </c>
    </row>
    <row r="3928" spans="1:17" ht="153.75" x14ac:dyDescent="0.25">
      <c r="A3928" s="119">
        <v>40534</v>
      </c>
      <c r="B3928" s="119">
        <v>40534</v>
      </c>
      <c r="C3928" s="122">
        <v>2010</v>
      </c>
      <c r="D3928" s="24" t="s">
        <v>141</v>
      </c>
      <c r="E3928" s="30" t="s">
        <v>142</v>
      </c>
      <c r="F3928" s="28" t="s">
        <v>160</v>
      </c>
      <c r="G3928" s="120" t="s">
        <v>5780</v>
      </c>
      <c r="H3928" s="152" t="s">
        <v>5781</v>
      </c>
      <c r="I3928" s="122">
        <v>0</v>
      </c>
      <c r="J3928" s="122">
        <v>24</v>
      </c>
      <c r="K3928" s="122">
        <v>0</v>
      </c>
      <c r="L3928" s="122">
        <v>0</v>
      </c>
      <c r="M3928" s="122">
        <v>0</v>
      </c>
      <c r="N3928" s="122">
        <v>0</v>
      </c>
      <c r="O3928" s="122">
        <v>0</v>
      </c>
      <c r="P3928" s="76">
        <v>1.05</v>
      </c>
      <c r="Q3928" s="122" t="s">
        <v>154</v>
      </c>
    </row>
    <row r="3929" spans="1:17" ht="128.25" x14ac:dyDescent="0.25">
      <c r="A3929" s="119">
        <v>40534</v>
      </c>
      <c r="B3929" s="119">
        <v>40534</v>
      </c>
      <c r="C3929" s="122">
        <v>2010</v>
      </c>
      <c r="D3929" s="24" t="s">
        <v>141</v>
      </c>
      <c r="E3929" s="30" t="s">
        <v>142</v>
      </c>
      <c r="F3929" s="7" t="s">
        <v>53</v>
      </c>
      <c r="G3929" s="120" t="s">
        <v>460</v>
      </c>
      <c r="H3929" s="152" t="s">
        <v>5782</v>
      </c>
      <c r="I3929" s="122">
        <v>1</v>
      </c>
      <c r="J3929" s="122">
        <v>15</v>
      </c>
      <c r="K3929" s="122">
        <v>0</v>
      </c>
      <c r="L3929" s="122">
        <v>0</v>
      </c>
      <c r="M3929" s="122">
        <v>0</v>
      </c>
      <c r="N3929" s="122">
        <v>0</v>
      </c>
      <c r="O3929" s="122">
        <v>0</v>
      </c>
      <c r="P3929" s="76">
        <v>0.4</v>
      </c>
      <c r="Q3929" s="122" t="s">
        <v>154</v>
      </c>
    </row>
    <row r="3930" spans="1:17" ht="192" x14ac:dyDescent="0.25">
      <c r="A3930" s="119">
        <v>40535</v>
      </c>
      <c r="B3930" s="119">
        <v>40535</v>
      </c>
      <c r="C3930" s="122">
        <v>2010</v>
      </c>
      <c r="D3930" s="24" t="s">
        <v>141</v>
      </c>
      <c r="E3930" s="30" t="s">
        <v>142</v>
      </c>
      <c r="F3930" s="7" t="s">
        <v>58</v>
      </c>
      <c r="G3930" s="120" t="s">
        <v>5783</v>
      </c>
      <c r="H3930" s="152" t="s">
        <v>5784</v>
      </c>
      <c r="I3930" s="122">
        <v>0</v>
      </c>
      <c r="J3930" s="122">
        <v>41</v>
      </c>
      <c r="K3930" s="122">
        <v>0</v>
      </c>
      <c r="L3930" s="122">
        <v>0</v>
      </c>
      <c r="M3930" s="122">
        <v>0</v>
      </c>
      <c r="N3930" s="122">
        <v>0</v>
      </c>
      <c r="O3930" s="122">
        <v>0</v>
      </c>
      <c r="P3930" s="76">
        <v>1.05</v>
      </c>
      <c r="Q3930" s="122" t="s">
        <v>154</v>
      </c>
    </row>
    <row r="3931" spans="1:17" ht="51.75" x14ac:dyDescent="0.25">
      <c r="A3931" s="119">
        <v>40541</v>
      </c>
      <c r="B3931" s="119">
        <v>40541</v>
      </c>
      <c r="C3931" s="122">
        <v>2010</v>
      </c>
      <c r="D3931" s="24" t="s">
        <v>141</v>
      </c>
      <c r="E3931" s="30" t="s">
        <v>142</v>
      </c>
      <c r="F3931" s="7" t="s">
        <v>82</v>
      </c>
      <c r="G3931" s="120" t="s">
        <v>3981</v>
      </c>
      <c r="H3931" s="152" t="s">
        <v>5785</v>
      </c>
      <c r="I3931" s="122">
        <v>0</v>
      </c>
      <c r="J3931" s="122">
        <v>5</v>
      </c>
      <c r="K3931" s="122">
        <v>0</v>
      </c>
      <c r="L3931" s="122">
        <v>0</v>
      </c>
      <c r="M3931" s="122">
        <v>0</v>
      </c>
      <c r="N3931" s="122">
        <v>0</v>
      </c>
      <c r="O3931" s="122">
        <v>0</v>
      </c>
      <c r="P3931" s="76">
        <v>1.5</v>
      </c>
      <c r="Q3931" s="122" t="s">
        <v>154</v>
      </c>
    </row>
    <row r="3932" spans="1:17" ht="153.75" x14ac:dyDescent="0.25">
      <c r="A3932" s="119">
        <v>40541</v>
      </c>
      <c r="B3932" s="119">
        <v>40541</v>
      </c>
      <c r="C3932" s="122">
        <v>2010</v>
      </c>
      <c r="D3932" s="24" t="s">
        <v>141</v>
      </c>
      <c r="E3932" s="30" t="s">
        <v>142</v>
      </c>
      <c r="F3932" s="7" t="s">
        <v>53</v>
      </c>
      <c r="G3932" s="120" t="s">
        <v>5069</v>
      </c>
      <c r="H3932" s="152" t="s">
        <v>5786</v>
      </c>
      <c r="I3932" s="122">
        <v>1</v>
      </c>
      <c r="J3932" s="122">
        <v>17</v>
      </c>
      <c r="K3932" s="122">
        <v>0</v>
      </c>
      <c r="L3932" s="122">
        <v>0</v>
      </c>
      <c r="M3932" s="122">
        <v>0</v>
      </c>
      <c r="N3932" s="122">
        <v>0</v>
      </c>
      <c r="O3932" s="122">
        <v>0</v>
      </c>
      <c r="P3932" s="76">
        <v>0.4</v>
      </c>
      <c r="Q3932" s="122" t="s">
        <v>154</v>
      </c>
    </row>
    <row r="3933" spans="1:17" ht="141" x14ac:dyDescent="0.25">
      <c r="A3933" s="119">
        <v>40181</v>
      </c>
      <c r="B3933" s="119">
        <v>40181</v>
      </c>
      <c r="C3933" s="122">
        <v>2010</v>
      </c>
      <c r="D3933" s="24" t="s">
        <v>141</v>
      </c>
      <c r="E3933" s="30" t="s">
        <v>142</v>
      </c>
      <c r="F3933" s="7" t="s">
        <v>84</v>
      </c>
      <c r="G3933" s="120" t="s">
        <v>4988</v>
      </c>
      <c r="H3933" s="152" t="s">
        <v>5787</v>
      </c>
      <c r="I3933" s="122">
        <v>0</v>
      </c>
      <c r="J3933" s="122">
        <v>22</v>
      </c>
      <c r="K3933" s="122">
        <v>0</v>
      </c>
      <c r="L3933" s="122">
        <v>0</v>
      </c>
      <c r="M3933" s="122">
        <v>0</v>
      </c>
      <c r="N3933" s="122">
        <v>0</v>
      </c>
      <c r="O3933" s="122">
        <v>0</v>
      </c>
      <c r="P3933" s="76">
        <v>0.4</v>
      </c>
      <c r="Q3933" s="122" t="s">
        <v>154</v>
      </c>
    </row>
    <row r="3934" spans="1:17" ht="48" x14ac:dyDescent="0.25">
      <c r="A3934" s="119">
        <v>40179</v>
      </c>
      <c r="B3934" s="119">
        <v>40543</v>
      </c>
      <c r="C3934" s="122">
        <v>2010</v>
      </c>
      <c r="D3934" s="35" t="s">
        <v>28</v>
      </c>
      <c r="E3934" s="145" t="s">
        <v>29</v>
      </c>
      <c r="F3934" s="7" t="s">
        <v>25</v>
      </c>
      <c r="G3934" s="120" t="s">
        <v>2109</v>
      </c>
      <c r="H3934" s="153" t="s">
        <v>5788</v>
      </c>
      <c r="I3934" s="122">
        <v>0</v>
      </c>
      <c r="J3934" s="122">
        <v>0</v>
      </c>
      <c r="K3934" s="122">
        <v>0</v>
      </c>
      <c r="L3934" s="122">
        <v>0</v>
      </c>
      <c r="M3934" s="122">
        <v>0</v>
      </c>
      <c r="N3934" s="122">
        <v>0</v>
      </c>
      <c r="O3934" s="154">
        <v>45</v>
      </c>
      <c r="P3934" s="76">
        <v>4.4999999999999998E-2</v>
      </c>
      <c r="Q3934" s="122" t="s">
        <v>2387</v>
      </c>
    </row>
    <row r="3935" spans="1:17" ht="60.75" x14ac:dyDescent="0.25">
      <c r="A3935" s="119">
        <v>40179</v>
      </c>
      <c r="B3935" s="119">
        <v>40543</v>
      </c>
      <c r="C3935" s="122">
        <v>2010</v>
      </c>
      <c r="D3935" s="35" t="s">
        <v>28</v>
      </c>
      <c r="E3935" s="145" t="s">
        <v>29</v>
      </c>
      <c r="F3935" s="7" t="s">
        <v>30</v>
      </c>
      <c r="G3935" s="120" t="s">
        <v>2109</v>
      </c>
      <c r="H3935" s="155" t="s">
        <v>5789</v>
      </c>
      <c r="I3935" s="122">
        <v>0</v>
      </c>
      <c r="J3935" s="122">
        <v>0</v>
      </c>
      <c r="K3935" s="122">
        <v>0</v>
      </c>
      <c r="L3935" s="122">
        <v>0</v>
      </c>
      <c r="M3935" s="122">
        <v>0</v>
      </c>
      <c r="N3935" s="122">
        <v>0</v>
      </c>
      <c r="O3935" s="154">
        <v>14064.45</v>
      </c>
      <c r="P3935" s="76">
        <v>14.064450000000001</v>
      </c>
      <c r="Q3935" s="122" t="s">
        <v>2387</v>
      </c>
    </row>
    <row r="3936" spans="1:17" ht="48" x14ac:dyDescent="0.25">
      <c r="A3936" s="119">
        <v>40179</v>
      </c>
      <c r="B3936" s="119">
        <v>40543</v>
      </c>
      <c r="C3936" s="122">
        <v>2010</v>
      </c>
      <c r="D3936" s="35" t="s">
        <v>28</v>
      </c>
      <c r="E3936" s="145" t="s">
        <v>29</v>
      </c>
      <c r="F3936" s="7" t="s">
        <v>33</v>
      </c>
      <c r="G3936" s="120" t="s">
        <v>2109</v>
      </c>
      <c r="H3936" s="153" t="s">
        <v>5790</v>
      </c>
      <c r="I3936" s="122">
        <v>0</v>
      </c>
      <c r="J3936" s="122">
        <v>0</v>
      </c>
      <c r="K3936" s="122">
        <v>0</v>
      </c>
      <c r="L3936" s="122">
        <v>0</v>
      </c>
      <c r="M3936" s="122">
        <v>0</v>
      </c>
      <c r="N3936" s="122">
        <v>0</v>
      </c>
      <c r="O3936" s="154">
        <v>1165</v>
      </c>
      <c r="P3936" s="76">
        <v>1.165</v>
      </c>
      <c r="Q3936" s="122" t="s">
        <v>2387</v>
      </c>
    </row>
    <row r="3937" spans="1:17" ht="48" x14ac:dyDescent="0.25">
      <c r="A3937" s="119">
        <v>40179</v>
      </c>
      <c r="B3937" s="119">
        <v>40543</v>
      </c>
      <c r="C3937" s="122">
        <v>2010</v>
      </c>
      <c r="D3937" s="35" t="s">
        <v>28</v>
      </c>
      <c r="E3937" s="145" t="s">
        <v>29</v>
      </c>
      <c r="F3937" s="28" t="s">
        <v>151</v>
      </c>
      <c r="G3937" s="120" t="s">
        <v>2109</v>
      </c>
      <c r="H3937" s="153" t="s">
        <v>5791</v>
      </c>
      <c r="I3937" s="122">
        <v>0</v>
      </c>
      <c r="J3937" s="122">
        <v>0</v>
      </c>
      <c r="K3937" s="122">
        <v>0</v>
      </c>
      <c r="L3937" s="122">
        <v>0</v>
      </c>
      <c r="M3937" s="122">
        <v>0</v>
      </c>
      <c r="N3937" s="122">
        <v>0</v>
      </c>
      <c r="O3937" s="154">
        <v>400</v>
      </c>
      <c r="P3937" s="76">
        <v>0.4</v>
      </c>
      <c r="Q3937" s="122" t="s">
        <v>2387</v>
      </c>
    </row>
    <row r="3938" spans="1:17" ht="48" x14ac:dyDescent="0.25">
      <c r="A3938" s="119">
        <v>40179</v>
      </c>
      <c r="B3938" s="119">
        <v>40543</v>
      </c>
      <c r="C3938" s="122">
        <v>2010</v>
      </c>
      <c r="D3938" s="35" t="s">
        <v>28</v>
      </c>
      <c r="E3938" s="145" t="s">
        <v>29</v>
      </c>
      <c r="F3938" s="7" t="s">
        <v>45</v>
      </c>
      <c r="G3938" s="120" t="s">
        <v>2109</v>
      </c>
      <c r="H3938" s="153" t="s">
        <v>5792</v>
      </c>
      <c r="I3938" s="122">
        <v>0</v>
      </c>
      <c r="J3938" s="122">
        <v>0</v>
      </c>
      <c r="K3938" s="122">
        <v>0</v>
      </c>
      <c r="L3938" s="122">
        <v>0</v>
      </c>
      <c r="M3938" s="122">
        <v>0</v>
      </c>
      <c r="N3938" s="122">
        <v>0</v>
      </c>
      <c r="O3938" s="154">
        <v>4610.5</v>
      </c>
      <c r="P3938" s="76">
        <v>4.6105</v>
      </c>
      <c r="Q3938" s="122" t="s">
        <v>2387</v>
      </c>
    </row>
    <row r="3939" spans="1:17" ht="48" x14ac:dyDescent="0.25">
      <c r="A3939" s="119">
        <v>40179</v>
      </c>
      <c r="B3939" s="119">
        <v>40543</v>
      </c>
      <c r="C3939" s="122">
        <v>2010</v>
      </c>
      <c r="D3939" s="35" t="s">
        <v>28</v>
      </c>
      <c r="E3939" s="145" t="s">
        <v>29</v>
      </c>
      <c r="F3939" s="7" t="s">
        <v>47</v>
      </c>
      <c r="G3939" s="120" t="s">
        <v>2109</v>
      </c>
      <c r="H3939" s="153" t="s">
        <v>5793</v>
      </c>
      <c r="I3939" s="122">
        <v>0</v>
      </c>
      <c r="J3939" s="122">
        <v>0</v>
      </c>
      <c r="K3939" s="122">
        <v>0</v>
      </c>
      <c r="L3939" s="122">
        <v>0</v>
      </c>
      <c r="M3939" s="122">
        <v>0</v>
      </c>
      <c r="N3939" s="122">
        <v>0</v>
      </c>
      <c r="O3939" s="154">
        <v>637</v>
      </c>
      <c r="P3939" s="76">
        <v>0.63700000000000001</v>
      </c>
      <c r="Q3939" s="122" t="s">
        <v>2387</v>
      </c>
    </row>
    <row r="3940" spans="1:17" ht="48" x14ac:dyDescent="0.25">
      <c r="A3940" s="119">
        <v>40179</v>
      </c>
      <c r="B3940" s="119">
        <v>40543</v>
      </c>
      <c r="C3940" s="122">
        <v>2010</v>
      </c>
      <c r="D3940" s="35" t="s">
        <v>28</v>
      </c>
      <c r="E3940" s="145" t="s">
        <v>29</v>
      </c>
      <c r="F3940" s="7" t="s">
        <v>36</v>
      </c>
      <c r="G3940" s="120" t="s">
        <v>2109</v>
      </c>
      <c r="H3940" s="153" t="s">
        <v>5794</v>
      </c>
      <c r="I3940" s="122">
        <v>0</v>
      </c>
      <c r="J3940" s="122">
        <v>0</v>
      </c>
      <c r="K3940" s="122">
        <v>0</v>
      </c>
      <c r="L3940" s="122">
        <v>0</v>
      </c>
      <c r="M3940" s="122">
        <v>0</v>
      </c>
      <c r="N3940" s="122">
        <v>0</v>
      </c>
      <c r="O3940" s="154">
        <v>7698.39</v>
      </c>
      <c r="P3940" s="76">
        <v>7.6983899999999998</v>
      </c>
      <c r="Q3940" s="122" t="s">
        <v>2387</v>
      </c>
    </row>
    <row r="3941" spans="1:17" ht="60" x14ac:dyDescent="0.25">
      <c r="A3941" s="119">
        <v>40179</v>
      </c>
      <c r="B3941" s="119">
        <v>40543</v>
      </c>
      <c r="C3941" s="122">
        <v>2010</v>
      </c>
      <c r="D3941" s="35" t="s">
        <v>28</v>
      </c>
      <c r="E3941" s="145" t="s">
        <v>29</v>
      </c>
      <c r="F3941" s="7" t="s">
        <v>40</v>
      </c>
      <c r="G3941" s="120" t="s">
        <v>2109</v>
      </c>
      <c r="H3941" s="153" t="s">
        <v>5795</v>
      </c>
      <c r="I3941" s="122">
        <v>0</v>
      </c>
      <c r="J3941" s="122">
        <v>0</v>
      </c>
      <c r="K3941" s="122">
        <v>0</v>
      </c>
      <c r="L3941" s="122">
        <v>0</v>
      </c>
      <c r="M3941" s="122">
        <v>0</v>
      </c>
      <c r="N3941" s="122">
        <v>0</v>
      </c>
      <c r="O3941" s="154">
        <v>7688.98</v>
      </c>
      <c r="P3941" s="76">
        <v>7.6889799999999999</v>
      </c>
      <c r="Q3941" s="122" t="s">
        <v>2387</v>
      </c>
    </row>
    <row r="3942" spans="1:17" ht="48.75" x14ac:dyDescent="0.25">
      <c r="A3942" s="119">
        <v>40179</v>
      </c>
      <c r="B3942" s="119">
        <v>40543</v>
      </c>
      <c r="C3942" s="122">
        <v>2010</v>
      </c>
      <c r="D3942" s="35" t="s">
        <v>28</v>
      </c>
      <c r="E3942" s="145" t="s">
        <v>29</v>
      </c>
      <c r="F3942" s="28" t="s">
        <v>157</v>
      </c>
      <c r="G3942" s="120" t="s">
        <v>2109</v>
      </c>
      <c r="H3942" s="155" t="s">
        <v>5796</v>
      </c>
      <c r="I3942" s="122">
        <v>0</v>
      </c>
      <c r="J3942" s="122">
        <v>0</v>
      </c>
      <c r="K3942" s="122">
        <v>0</v>
      </c>
      <c r="L3942" s="122">
        <v>0</v>
      </c>
      <c r="M3942" s="122">
        <v>0</v>
      </c>
      <c r="N3942" s="122">
        <v>0</v>
      </c>
      <c r="O3942" s="154">
        <v>1160.01</v>
      </c>
      <c r="P3942" s="76">
        <v>1.16001</v>
      </c>
      <c r="Q3942" s="122" t="s">
        <v>2387</v>
      </c>
    </row>
    <row r="3943" spans="1:17" ht="48.75" x14ac:dyDescent="0.25">
      <c r="A3943" s="119">
        <v>40179</v>
      </c>
      <c r="B3943" s="119">
        <v>40543</v>
      </c>
      <c r="C3943" s="122">
        <v>2010</v>
      </c>
      <c r="D3943" s="35" t="s">
        <v>28</v>
      </c>
      <c r="E3943" s="145" t="s">
        <v>29</v>
      </c>
      <c r="F3943" s="7" t="s">
        <v>49</v>
      </c>
      <c r="G3943" s="120" t="s">
        <v>2109</v>
      </c>
      <c r="H3943" s="155" t="s">
        <v>5797</v>
      </c>
      <c r="I3943" s="122">
        <v>0</v>
      </c>
      <c r="J3943" s="122">
        <v>0</v>
      </c>
      <c r="K3943" s="122">
        <v>0</v>
      </c>
      <c r="L3943" s="122">
        <v>0</v>
      </c>
      <c r="M3943" s="122">
        <v>0</v>
      </c>
      <c r="N3943" s="122">
        <v>0</v>
      </c>
      <c r="O3943" s="154">
        <v>5084</v>
      </c>
      <c r="P3943" s="76">
        <v>5.0839999999999996</v>
      </c>
      <c r="Q3943" s="122" t="s">
        <v>2387</v>
      </c>
    </row>
    <row r="3944" spans="1:17" ht="36.75" x14ac:dyDescent="0.25">
      <c r="A3944" s="119">
        <v>40179</v>
      </c>
      <c r="B3944" s="119">
        <v>40543</v>
      </c>
      <c r="C3944" s="122">
        <v>2010</v>
      </c>
      <c r="D3944" s="35" t="s">
        <v>28</v>
      </c>
      <c r="E3944" s="145" t="s">
        <v>29</v>
      </c>
      <c r="F3944" s="7" t="s">
        <v>56</v>
      </c>
      <c r="G3944" s="120" t="s">
        <v>2109</v>
      </c>
      <c r="H3944" s="155" t="s">
        <v>5798</v>
      </c>
      <c r="I3944" s="122">
        <v>0</v>
      </c>
      <c r="J3944" s="122">
        <v>0</v>
      </c>
      <c r="K3944" s="122">
        <v>0</v>
      </c>
      <c r="L3944" s="122">
        <v>0</v>
      </c>
      <c r="M3944" s="122">
        <v>0</v>
      </c>
      <c r="N3944" s="122">
        <v>0</v>
      </c>
      <c r="O3944" s="154">
        <v>65</v>
      </c>
      <c r="P3944" s="76">
        <v>6.5000000000000002E-2</v>
      </c>
      <c r="Q3944" s="122" t="s">
        <v>2387</v>
      </c>
    </row>
    <row r="3945" spans="1:17" ht="60.75" x14ac:dyDescent="0.25">
      <c r="A3945" s="119">
        <v>40179</v>
      </c>
      <c r="B3945" s="119">
        <v>40543</v>
      </c>
      <c r="C3945" s="122">
        <v>2010</v>
      </c>
      <c r="D3945" s="35" t="s">
        <v>28</v>
      </c>
      <c r="E3945" s="145" t="s">
        <v>29</v>
      </c>
      <c r="F3945" s="7" t="s">
        <v>58</v>
      </c>
      <c r="G3945" s="120" t="s">
        <v>2109</v>
      </c>
      <c r="H3945" s="155" t="s">
        <v>5799</v>
      </c>
      <c r="I3945" s="122">
        <v>0</v>
      </c>
      <c r="J3945" s="122">
        <v>0</v>
      </c>
      <c r="K3945" s="122">
        <v>0</v>
      </c>
      <c r="L3945" s="122">
        <v>0</v>
      </c>
      <c r="M3945" s="122">
        <v>0</v>
      </c>
      <c r="N3945" s="122">
        <v>0</v>
      </c>
      <c r="O3945" s="154">
        <v>10711.93</v>
      </c>
      <c r="P3945" s="76">
        <v>10.711930000000001</v>
      </c>
      <c r="Q3945" s="122" t="s">
        <v>2387</v>
      </c>
    </row>
    <row r="3946" spans="1:17" ht="48.75" x14ac:dyDescent="0.25">
      <c r="A3946" s="119">
        <v>40179</v>
      </c>
      <c r="B3946" s="119">
        <v>40543</v>
      </c>
      <c r="C3946" s="122">
        <v>2010</v>
      </c>
      <c r="D3946" s="35" t="s">
        <v>28</v>
      </c>
      <c r="E3946" s="145" t="s">
        <v>29</v>
      </c>
      <c r="F3946" s="28" t="s">
        <v>160</v>
      </c>
      <c r="G3946" s="120" t="s">
        <v>2109</v>
      </c>
      <c r="H3946" s="155" t="s">
        <v>5800</v>
      </c>
      <c r="I3946" s="122">
        <v>0</v>
      </c>
      <c r="J3946" s="122">
        <v>0</v>
      </c>
      <c r="K3946" s="122">
        <v>0</v>
      </c>
      <c r="L3946" s="122">
        <v>0</v>
      </c>
      <c r="M3946" s="122">
        <v>0</v>
      </c>
      <c r="N3946" s="122">
        <v>0</v>
      </c>
      <c r="O3946" s="154">
        <v>310.39999999999998</v>
      </c>
      <c r="P3946" s="76">
        <v>0.31040000000000001</v>
      </c>
      <c r="Q3946" s="122" t="s">
        <v>2387</v>
      </c>
    </row>
    <row r="3947" spans="1:17" ht="60.75" x14ac:dyDescent="0.25">
      <c r="A3947" s="119">
        <v>40179</v>
      </c>
      <c r="B3947" s="119">
        <v>40543</v>
      </c>
      <c r="C3947" s="122">
        <v>2010</v>
      </c>
      <c r="D3947" s="35" t="s">
        <v>28</v>
      </c>
      <c r="E3947" s="145" t="s">
        <v>29</v>
      </c>
      <c r="F3947" s="7" t="s">
        <v>60</v>
      </c>
      <c r="G3947" s="120" t="s">
        <v>2109</v>
      </c>
      <c r="H3947" s="155" t="s">
        <v>5801</v>
      </c>
      <c r="I3947" s="122">
        <v>0</v>
      </c>
      <c r="J3947" s="122">
        <v>0</v>
      </c>
      <c r="K3947" s="122">
        <v>0</v>
      </c>
      <c r="L3947" s="122">
        <v>0</v>
      </c>
      <c r="M3947" s="122">
        <v>0</v>
      </c>
      <c r="N3947" s="122">
        <v>0</v>
      </c>
      <c r="O3947" s="154">
        <v>6299</v>
      </c>
      <c r="P3947" s="76">
        <v>6.2990000000000004</v>
      </c>
      <c r="Q3947" s="122" t="s">
        <v>2387</v>
      </c>
    </row>
    <row r="3948" spans="1:17" ht="60" x14ac:dyDescent="0.25">
      <c r="A3948" s="119">
        <v>40179</v>
      </c>
      <c r="B3948" s="119">
        <v>40543</v>
      </c>
      <c r="C3948" s="122">
        <v>2010</v>
      </c>
      <c r="D3948" s="35" t="s">
        <v>28</v>
      </c>
      <c r="E3948" s="145" t="s">
        <v>29</v>
      </c>
      <c r="F3948" s="7" t="s">
        <v>53</v>
      </c>
      <c r="G3948" s="120" t="s">
        <v>2109</v>
      </c>
      <c r="H3948" s="153" t="s">
        <v>5802</v>
      </c>
      <c r="I3948" s="122">
        <v>0</v>
      </c>
      <c r="J3948" s="122">
        <v>0</v>
      </c>
      <c r="K3948" s="122">
        <v>0</v>
      </c>
      <c r="L3948" s="122">
        <v>0</v>
      </c>
      <c r="M3948" s="122">
        <v>0</v>
      </c>
      <c r="N3948" s="122">
        <v>0</v>
      </c>
      <c r="O3948" s="154">
        <v>3127.15</v>
      </c>
      <c r="P3948" s="76">
        <v>3.1271499999999999</v>
      </c>
      <c r="Q3948" s="122" t="s">
        <v>2387</v>
      </c>
    </row>
    <row r="3949" spans="1:17" ht="48" x14ac:dyDescent="0.25">
      <c r="A3949" s="119">
        <v>40179</v>
      </c>
      <c r="B3949" s="119">
        <v>40543</v>
      </c>
      <c r="C3949" s="122">
        <v>2010</v>
      </c>
      <c r="D3949" s="35" t="s">
        <v>28</v>
      </c>
      <c r="E3949" s="145" t="s">
        <v>29</v>
      </c>
      <c r="F3949" s="7" t="s">
        <v>62</v>
      </c>
      <c r="G3949" s="120" t="s">
        <v>2109</v>
      </c>
      <c r="H3949" s="153" t="s">
        <v>5803</v>
      </c>
      <c r="I3949" s="122">
        <v>0</v>
      </c>
      <c r="J3949" s="122">
        <v>0</v>
      </c>
      <c r="K3949" s="122">
        <v>0</v>
      </c>
      <c r="L3949" s="122">
        <v>0</v>
      </c>
      <c r="M3949" s="122">
        <v>0</v>
      </c>
      <c r="N3949" s="122">
        <v>0</v>
      </c>
      <c r="O3949" s="154">
        <v>6778.5</v>
      </c>
      <c r="P3949" s="76">
        <v>6.7785000000000002</v>
      </c>
      <c r="Q3949" s="122" t="s">
        <v>2387</v>
      </c>
    </row>
    <row r="3950" spans="1:17" ht="48.75" x14ac:dyDescent="0.25">
      <c r="A3950" s="119">
        <v>40179</v>
      </c>
      <c r="B3950" s="119">
        <v>40543</v>
      </c>
      <c r="C3950" s="122">
        <v>2010</v>
      </c>
      <c r="D3950" s="35" t="s">
        <v>28</v>
      </c>
      <c r="E3950" s="145" t="s">
        <v>29</v>
      </c>
      <c r="F3950" s="7" t="s">
        <v>65</v>
      </c>
      <c r="G3950" s="120" t="s">
        <v>2109</v>
      </c>
      <c r="H3950" s="156" t="s">
        <v>5804</v>
      </c>
      <c r="I3950" s="122">
        <v>0</v>
      </c>
      <c r="J3950" s="122">
        <v>0</v>
      </c>
      <c r="K3950" s="122">
        <v>0</v>
      </c>
      <c r="L3950" s="122">
        <v>0</v>
      </c>
      <c r="M3950" s="122">
        <v>0</v>
      </c>
      <c r="N3950" s="122">
        <v>0</v>
      </c>
      <c r="O3950" s="154">
        <v>276.63</v>
      </c>
      <c r="P3950" s="76">
        <v>0.27662999999999999</v>
      </c>
      <c r="Q3950" s="122" t="s">
        <v>2387</v>
      </c>
    </row>
    <row r="3951" spans="1:17" ht="48" x14ac:dyDescent="0.25">
      <c r="A3951" s="119">
        <v>40179</v>
      </c>
      <c r="B3951" s="119">
        <v>40543</v>
      </c>
      <c r="C3951" s="122">
        <v>2010</v>
      </c>
      <c r="D3951" s="35" t="s">
        <v>28</v>
      </c>
      <c r="E3951" s="145" t="s">
        <v>29</v>
      </c>
      <c r="F3951" s="7" t="s">
        <v>67</v>
      </c>
      <c r="G3951" s="120" t="s">
        <v>2109</v>
      </c>
      <c r="H3951" s="153" t="s">
        <v>5805</v>
      </c>
      <c r="I3951" s="122">
        <v>0</v>
      </c>
      <c r="J3951" s="122">
        <v>0</v>
      </c>
      <c r="K3951" s="122">
        <v>0</v>
      </c>
      <c r="L3951" s="122">
        <v>0</v>
      </c>
      <c r="M3951" s="122">
        <v>0</v>
      </c>
      <c r="N3951" s="122">
        <v>0</v>
      </c>
      <c r="O3951" s="154">
        <v>2421</v>
      </c>
      <c r="P3951" s="76">
        <v>2.4209999999999998</v>
      </c>
      <c r="Q3951" s="122" t="s">
        <v>2387</v>
      </c>
    </row>
    <row r="3952" spans="1:17" ht="60" x14ac:dyDescent="0.25">
      <c r="A3952" s="119">
        <v>40179</v>
      </c>
      <c r="B3952" s="119">
        <v>40543</v>
      </c>
      <c r="C3952" s="122">
        <v>2010</v>
      </c>
      <c r="D3952" s="35" t="s">
        <v>28</v>
      </c>
      <c r="E3952" s="145" t="s">
        <v>29</v>
      </c>
      <c r="F3952" s="7" t="s">
        <v>68</v>
      </c>
      <c r="G3952" s="120" t="s">
        <v>2109</v>
      </c>
      <c r="H3952" s="153" t="s">
        <v>5806</v>
      </c>
      <c r="I3952" s="122">
        <v>0</v>
      </c>
      <c r="J3952" s="122">
        <v>0</v>
      </c>
      <c r="K3952" s="122">
        <v>0</v>
      </c>
      <c r="L3952" s="122">
        <v>0</v>
      </c>
      <c r="M3952" s="122">
        <v>0</v>
      </c>
      <c r="N3952" s="122">
        <v>0</v>
      </c>
      <c r="O3952" s="154">
        <v>613.17999999999995</v>
      </c>
      <c r="P3952" s="76">
        <v>0.61317999999999995</v>
      </c>
      <c r="Q3952" s="122" t="s">
        <v>2387</v>
      </c>
    </row>
    <row r="3953" spans="1:17" ht="60" x14ac:dyDescent="0.25">
      <c r="A3953" s="119">
        <v>40179</v>
      </c>
      <c r="B3953" s="119">
        <v>40543</v>
      </c>
      <c r="C3953" s="122">
        <v>2010</v>
      </c>
      <c r="D3953" s="35" t="s">
        <v>28</v>
      </c>
      <c r="E3953" s="145" t="s">
        <v>29</v>
      </c>
      <c r="F3953" s="7" t="s">
        <v>72</v>
      </c>
      <c r="G3953" s="120" t="s">
        <v>2109</v>
      </c>
      <c r="H3953" s="153" t="s">
        <v>5807</v>
      </c>
      <c r="I3953" s="122">
        <v>0</v>
      </c>
      <c r="J3953" s="122">
        <v>0</v>
      </c>
      <c r="K3953" s="122">
        <v>0</v>
      </c>
      <c r="L3953" s="122">
        <v>0</v>
      </c>
      <c r="M3953" s="122">
        <v>0</v>
      </c>
      <c r="N3953" s="122">
        <v>0</v>
      </c>
      <c r="O3953" s="154">
        <v>13180.31</v>
      </c>
      <c r="P3953" s="76">
        <v>13.18031</v>
      </c>
      <c r="Q3953" s="122" t="s">
        <v>2387</v>
      </c>
    </row>
    <row r="3954" spans="1:17" ht="60" x14ac:dyDescent="0.25">
      <c r="A3954" s="119">
        <v>40179</v>
      </c>
      <c r="B3954" s="119">
        <v>40543</v>
      </c>
      <c r="C3954" s="122">
        <v>2010</v>
      </c>
      <c r="D3954" s="35" t="s">
        <v>28</v>
      </c>
      <c r="E3954" s="145" t="s">
        <v>29</v>
      </c>
      <c r="F3954" s="7" t="s">
        <v>75</v>
      </c>
      <c r="G3954" s="120" t="s">
        <v>2109</v>
      </c>
      <c r="H3954" s="153" t="s">
        <v>5808</v>
      </c>
      <c r="I3954" s="122">
        <v>0</v>
      </c>
      <c r="J3954" s="122">
        <v>0</v>
      </c>
      <c r="K3954" s="122">
        <v>0</v>
      </c>
      <c r="L3954" s="122">
        <v>0</v>
      </c>
      <c r="M3954" s="122">
        <v>0</v>
      </c>
      <c r="N3954" s="122">
        <v>0</v>
      </c>
      <c r="O3954" s="154">
        <v>5823.15</v>
      </c>
      <c r="P3954" s="76">
        <v>5.82315</v>
      </c>
      <c r="Q3954" s="122" t="s">
        <v>2387</v>
      </c>
    </row>
    <row r="3955" spans="1:17" ht="48" x14ac:dyDescent="0.25">
      <c r="A3955" s="119">
        <v>40179</v>
      </c>
      <c r="B3955" s="119">
        <v>40543</v>
      </c>
      <c r="C3955" s="122">
        <v>2010</v>
      </c>
      <c r="D3955" s="35" t="s">
        <v>28</v>
      </c>
      <c r="E3955" s="145" t="s">
        <v>29</v>
      </c>
      <c r="F3955" s="7" t="s">
        <v>77</v>
      </c>
      <c r="G3955" s="120" t="s">
        <v>2109</v>
      </c>
      <c r="H3955" s="153" t="s">
        <v>5809</v>
      </c>
      <c r="I3955" s="122">
        <v>0</v>
      </c>
      <c r="J3955" s="122">
        <v>0</v>
      </c>
      <c r="K3955" s="122">
        <v>0</v>
      </c>
      <c r="L3955" s="122">
        <v>0</v>
      </c>
      <c r="M3955" s="122">
        <v>0</v>
      </c>
      <c r="N3955" s="122">
        <v>0</v>
      </c>
      <c r="O3955" s="154">
        <v>528.5</v>
      </c>
      <c r="P3955" s="76">
        <v>0.52849999999999997</v>
      </c>
      <c r="Q3955" s="122" t="s">
        <v>2387</v>
      </c>
    </row>
    <row r="3956" spans="1:17" ht="60" x14ac:dyDescent="0.25">
      <c r="A3956" s="119">
        <v>40179</v>
      </c>
      <c r="B3956" s="119">
        <v>40543</v>
      </c>
      <c r="C3956" s="122">
        <v>2010</v>
      </c>
      <c r="D3956" s="35" t="s">
        <v>28</v>
      </c>
      <c r="E3956" s="145" t="s">
        <v>29</v>
      </c>
      <c r="F3956" s="7" t="s">
        <v>80</v>
      </c>
      <c r="G3956" s="120" t="s">
        <v>2109</v>
      </c>
      <c r="H3956" s="153" t="s">
        <v>5810</v>
      </c>
      <c r="I3956" s="122">
        <v>0</v>
      </c>
      <c r="J3956" s="122">
        <v>0</v>
      </c>
      <c r="K3956" s="122">
        <v>0</v>
      </c>
      <c r="L3956" s="122">
        <v>0</v>
      </c>
      <c r="M3956" s="122">
        <v>0</v>
      </c>
      <c r="N3956" s="122">
        <v>0</v>
      </c>
      <c r="O3956" s="154">
        <v>5738.5</v>
      </c>
      <c r="P3956" s="76">
        <v>5.7385000000000002</v>
      </c>
      <c r="Q3956" s="122" t="s">
        <v>2387</v>
      </c>
    </row>
    <row r="3957" spans="1:17" ht="60.75" x14ac:dyDescent="0.25">
      <c r="A3957" s="119">
        <v>40179</v>
      </c>
      <c r="B3957" s="119">
        <v>40543</v>
      </c>
      <c r="C3957" s="122">
        <v>2010</v>
      </c>
      <c r="D3957" s="35" t="s">
        <v>28</v>
      </c>
      <c r="E3957" s="145" t="s">
        <v>29</v>
      </c>
      <c r="F3957" s="7" t="s">
        <v>82</v>
      </c>
      <c r="G3957" s="120" t="s">
        <v>2109</v>
      </c>
      <c r="H3957" s="155" t="s">
        <v>5811</v>
      </c>
      <c r="I3957" s="122">
        <v>0</v>
      </c>
      <c r="J3957" s="122">
        <v>0</v>
      </c>
      <c r="K3957" s="122">
        <v>0</v>
      </c>
      <c r="L3957" s="122">
        <v>0</v>
      </c>
      <c r="M3957" s="122">
        <v>0</v>
      </c>
      <c r="N3957" s="122">
        <v>0</v>
      </c>
      <c r="O3957" s="154">
        <v>499</v>
      </c>
      <c r="P3957" s="76">
        <v>0.499</v>
      </c>
      <c r="Q3957" s="122" t="s">
        <v>2387</v>
      </c>
    </row>
    <row r="3958" spans="1:17" ht="60" x14ac:dyDescent="0.25">
      <c r="A3958" s="119">
        <v>40179</v>
      </c>
      <c r="B3958" s="119">
        <v>40543</v>
      </c>
      <c r="C3958" s="122">
        <v>2010</v>
      </c>
      <c r="D3958" s="35" t="s">
        <v>28</v>
      </c>
      <c r="E3958" s="145" t="s">
        <v>29</v>
      </c>
      <c r="F3958" s="7" t="s">
        <v>84</v>
      </c>
      <c r="G3958" s="120" t="s">
        <v>2109</v>
      </c>
      <c r="H3958" s="153" t="s">
        <v>5812</v>
      </c>
      <c r="I3958" s="122">
        <v>0</v>
      </c>
      <c r="J3958" s="122">
        <v>0</v>
      </c>
      <c r="K3958" s="122">
        <v>0</v>
      </c>
      <c r="L3958" s="122">
        <v>0</v>
      </c>
      <c r="M3958" s="122">
        <v>0</v>
      </c>
      <c r="N3958" s="122">
        <v>0</v>
      </c>
      <c r="O3958" s="154">
        <v>1820</v>
      </c>
      <c r="P3958" s="76">
        <v>1.82</v>
      </c>
      <c r="Q3958" s="122" t="s">
        <v>2387</v>
      </c>
    </row>
    <row r="3959" spans="1:17" ht="36" x14ac:dyDescent="0.25">
      <c r="A3959" s="119">
        <v>40179</v>
      </c>
      <c r="B3959" s="119">
        <v>40543</v>
      </c>
      <c r="C3959" s="122">
        <v>2010</v>
      </c>
      <c r="D3959" s="35" t="s">
        <v>28</v>
      </c>
      <c r="E3959" s="145" t="s">
        <v>29</v>
      </c>
      <c r="F3959" s="7" t="s">
        <v>87</v>
      </c>
      <c r="G3959" s="120" t="s">
        <v>2109</v>
      </c>
      <c r="H3959" s="153" t="s">
        <v>5813</v>
      </c>
      <c r="I3959" s="122">
        <v>0</v>
      </c>
      <c r="J3959" s="122">
        <v>0</v>
      </c>
      <c r="K3959" s="122">
        <v>0</v>
      </c>
      <c r="L3959" s="122">
        <v>0</v>
      </c>
      <c r="M3959" s="122">
        <v>0</v>
      </c>
      <c r="N3959" s="122">
        <v>0</v>
      </c>
      <c r="O3959" s="154">
        <v>5306.2</v>
      </c>
      <c r="P3959" s="76">
        <v>5.3061999999999996</v>
      </c>
      <c r="Q3959" s="122" t="s">
        <v>2387</v>
      </c>
    </row>
    <row r="3960" spans="1:17" ht="24" x14ac:dyDescent="0.25">
      <c r="A3960" s="119">
        <v>40179</v>
      </c>
      <c r="B3960" s="119">
        <v>40543</v>
      </c>
      <c r="C3960" s="122">
        <v>2010</v>
      </c>
      <c r="D3960" s="35" t="s">
        <v>28</v>
      </c>
      <c r="E3960" s="145" t="s">
        <v>29</v>
      </c>
      <c r="F3960" s="25" t="s">
        <v>781</v>
      </c>
      <c r="G3960" s="120" t="s">
        <v>2109</v>
      </c>
      <c r="H3960" s="153" t="s">
        <v>5814</v>
      </c>
      <c r="I3960" s="122">
        <v>0</v>
      </c>
      <c r="J3960" s="122">
        <v>0</v>
      </c>
      <c r="K3960" s="122">
        <v>0</v>
      </c>
      <c r="L3960" s="122">
        <v>0</v>
      </c>
      <c r="M3960" s="122">
        <v>0</v>
      </c>
      <c r="N3960" s="122">
        <v>0</v>
      </c>
      <c r="O3960" s="154">
        <v>1230</v>
      </c>
      <c r="P3960" s="76">
        <v>1.23</v>
      </c>
      <c r="Q3960" s="122" t="s">
        <v>2387</v>
      </c>
    </row>
    <row r="3961" spans="1:17" ht="48" x14ac:dyDescent="0.25">
      <c r="A3961" s="119">
        <v>40179</v>
      </c>
      <c r="B3961" s="119">
        <v>40543</v>
      </c>
      <c r="C3961" s="122">
        <v>2010</v>
      </c>
      <c r="D3961" s="35" t="s">
        <v>28</v>
      </c>
      <c r="E3961" s="145" t="s">
        <v>29</v>
      </c>
      <c r="F3961" s="7" t="s">
        <v>91</v>
      </c>
      <c r="G3961" s="120" t="s">
        <v>2109</v>
      </c>
      <c r="H3961" s="153" t="s">
        <v>5815</v>
      </c>
      <c r="I3961" s="122">
        <v>0</v>
      </c>
      <c r="J3961" s="122">
        <v>0</v>
      </c>
      <c r="K3961" s="122">
        <v>0</v>
      </c>
      <c r="L3961" s="122">
        <v>0</v>
      </c>
      <c r="M3961" s="122">
        <v>0</v>
      </c>
      <c r="N3961" s="122">
        <v>0</v>
      </c>
      <c r="O3961" s="154">
        <v>545</v>
      </c>
      <c r="P3961" s="76">
        <v>0.54500000000000004</v>
      </c>
      <c r="Q3961" s="122" t="s">
        <v>2387</v>
      </c>
    </row>
    <row r="3962" spans="1:17" ht="48" x14ac:dyDescent="0.25">
      <c r="A3962" s="119">
        <v>40179</v>
      </c>
      <c r="B3962" s="119">
        <v>40543</v>
      </c>
      <c r="C3962" s="122">
        <v>2010</v>
      </c>
      <c r="D3962" s="35" t="s">
        <v>28</v>
      </c>
      <c r="E3962" s="145" t="s">
        <v>29</v>
      </c>
      <c r="F3962" s="7" t="s">
        <v>97</v>
      </c>
      <c r="G3962" s="120" t="s">
        <v>2109</v>
      </c>
      <c r="H3962" s="153" t="s">
        <v>5816</v>
      </c>
      <c r="I3962" s="122">
        <v>0</v>
      </c>
      <c r="J3962" s="122">
        <v>0</v>
      </c>
      <c r="K3962" s="122">
        <v>0</v>
      </c>
      <c r="L3962" s="122">
        <v>0</v>
      </c>
      <c r="M3962" s="122">
        <v>0</v>
      </c>
      <c r="N3962" s="122">
        <v>0</v>
      </c>
      <c r="O3962" s="154">
        <v>500.25</v>
      </c>
      <c r="P3962" s="76">
        <v>0.50024999999999997</v>
      </c>
      <c r="Q3962" s="122" t="s">
        <v>2387</v>
      </c>
    </row>
    <row r="3963" spans="1:17" ht="60" x14ac:dyDescent="0.25">
      <c r="A3963" s="119">
        <v>40179</v>
      </c>
      <c r="B3963" s="119">
        <v>40543</v>
      </c>
      <c r="C3963" s="122">
        <v>2010</v>
      </c>
      <c r="D3963" s="35" t="s">
        <v>28</v>
      </c>
      <c r="E3963" s="145" t="s">
        <v>29</v>
      </c>
      <c r="F3963" s="28" t="s">
        <v>210</v>
      </c>
      <c r="G3963" s="120" t="s">
        <v>2109</v>
      </c>
      <c r="H3963" s="153" t="s">
        <v>5817</v>
      </c>
      <c r="I3963" s="122">
        <v>0</v>
      </c>
      <c r="J3963" s="122">
        <v>0</v>
      </c>
      <c r="K3963" s="122">
        <v>0</v>
      </c>
      <c r="L3963" s="122">
        <v>0</v>
      </c>
      <c r="M3963" s="122">
        <v>0</v>
      </c>
      <c r="N3963" s="122">
        <v>0</v>
      </c>
      <c r="O3963" s="154">
        <v>1233.45</v>
      </c>
      <c r="P3963" s="76">
        <v>1.2334499999999999</v>
      </c>
      <c r="Q3963" s="122" t="s">
        <v>2387</v>
      </c>
    </row>
    <row r="3964" spans="1:17" ht="60" x14ac:dyDescent="0.25">
      <c r="A3964" s="119">
        <v>40179</v>
      </c>
      <c r="B3964" s="119">
        <v>40543</v>
      </c>
      <c r="C3964" s="122">
        <v>2010</v>
      </c>
      <c r="D3964" s="35" t="s">
        <v>28</v>
      </c>
      <c r="E3964" s="145" t="s">
        <v>29</v>
      </c>
      <c r="F3964" s="28" t="s">
        <v>163</v>
      </c>
      <c r="G3964" s="120" t="s">
        <v>2109</v>
      </c>
      <c r="H3964" s="153" t="s">
        <v>5818</v>
      </c>
      <c r="I3964" s="122">
        <v>0</v>
      </c>
      <c r="J3964" s="122">
        <v>0</v>
      </c>
      <c r="K3964" s="122">
        <v>0</v>
      </c>
      <c r="L3964" s="122">
        <v>0</v>
      </c>
      <c r="M3964" s="122">
        <v>0</v>
      </c>
      <c r="N3964" s="122">
        <v>0</v>
      </c>
      <c r="O3964" s="154">
        <v>3463.4</v>
      </c>
      <c r="P3964" s="76">
        <v>3.4634</v>
      </c>
      <c r="Q3964" s="122" t="s">
        <v>2387</v>
      </c>
    </row>
    <row r="3965" spans="1:17" ht="48" x14ac:dyDescent="0.25">
      <c r="A3965" s="119">
        <v>40179</v>
      </c>
      <c r="B3965" s="119">
        <v>40543</v>
      </c>
      <c r="C3965" s="122">
        <v>2010</v>
      </c>
      <c r="D3965" s="35" t="s">
        <v>28</v>
      </c>
      <c r="E3965" s="145" t="s">
        <v>29</v>
      </c>
      <c r="F3965" s="7" t="s">
        <v>101</v>
      </c>
      <c r="G3965" s="120" t="s">
        <v>2109</v>
      </c>
      <c r="H3965" s="153" t="s">
        <v>5819</v>
      </c>
      <c r="I3965" s="122">
        <v>0</v>
      </c>
      <c r="J3965" s="122">
        <v>0</v>
      </c>
      <c r="K3965" s="122">
        <v>0</v>
      </c>
      <c r="L3965" s="122">
        <v>0</v>
      </c>
      <c r="M3965" s="122">
        <v>0</v>
      </c>
      <c r="N3965" s="122">
        <v>0</v>
      </c>
      <c r="O3965" s="154">
        <v>1699.5</v>
      </c>
      <c r="P3965" s="76">
        <v>1.6995</v>
      </c>
      <c r="Q3965" s="122" t="s">
        <v>2387</v>
      </c>
    </row>
    <row r="3966" spans="1:17" ht="96" x14ac:dyDescent="0.25">
      <c r="A3966" s="48">
        <v>40832</v>
      </c>
      <c r="B3966" s="48">
        <v>40832</v>
      </c>
      <c r="C3966" s="344">
        <v>2011</v>
      </c>
      <c r="D3966" s="24" t="s">
        <v>141</v>
      </c>
      <c r="E3966" s="30" t="s">
        <v>142</v>
      </c>
      <c r="F3966" s="7" t="s">
        <v>60</v>
      </c>
      <c r="G3966" s="33" t="s">
        <v>924</v>
      </c>
      <c r="H3966" s="126" t="s">
        <v>5820</v>
      </c>
      <c r="I3966" s="50">
        <v>1</v>
      </c>
      <c r="J3966" s="31">
        <v>1</v>
      </c>
      <c r="K3966" s="31">
        <v>0</v>
      </c>
      <c r="L3966" s="31">
        <v>0</v>
      </c>
      <c r="M3966" s="31">
        <v>0</v>
      </c>
      <c r="N3966" s="31">
        <v>0</v>
      </c>
      <c r="O3966" s="31">
        <v>0</v>
      </c>
      <c r="P3966" s="32">
        <v>0.27500000000000002</v>
      </c>
      <c r="Q3966" s="50" t="s">
        <v>154</v>
      </c>
    </row>
    <row r="3967" spans="1:17" ht="48" x14ac:dyDescent="0.25">
      <c r="A3967" s="48">
        <v>40831</v>
      </c>
      <c r="B3967" s="48">
        <v>40831</v>
      </c>
      <c r="C3967" s="344">
        <v>2011</v>
      </c>
      <c r="D3967" s="24" t="s">
        <v>130</v>
      </c>
      <c r="E3967" s="30" t="s">
        <v>136</v>
      </c>
      <c r="F3967" s="28" t="s">
        <v>160</v>
      </c>
      <c r="G3967" s="33" t="s">
        <v>5821</v>
      </c>
      <c r="H3967" s="33" t="s">
        <v>5822</v>
      </c>
      <c r="I3967" s="50">
        <v>1</v>
      </c>
      <c r="J3967" s="31">
        <v>46</v>
      </c>
      <c r="K3967" s="31">
        <v>0</v>
      </c>
      <c r="L3967" s="31">
        <v>0</v>
      </c>
      <c r="M3967" s="31">
        <v>0</v>
      </c>
      <c r="N3967" s="31">
        <v>0</v>
      </c>
      <c r="O3967" s="31">
        <v>0</v>
      </c>
      <c r="P3967" s="32">
        <v>0</v>
      </c>
      <c r="Q3967" s="50" t="s">
        <v>154</v>
      </c>
    </row>
    <row r="3968" spans="1:17" ht="228" x14ac:dyDescent="0.25">
      <c r="A3968" s="48">
        <v>40830</v>
      </c>
      <c r="B3968" s="48">
        <v>40830</v>
      </c>
      <c r="C3968" s="344">
        <v>2011</v>
      </c>
      <c r="D3968" s="351" t="s">
        <v>23</v>
      </c>
      <c r="E3968" s="14" t="s">
        <v>52</v>
      </c>
      <c r="F3968" s="7" t="s">
        <v>58</v>
      </c>
      <c r="G3968" s="33" t="s">
        <v>5823</v>
      </c>
      <c r="H3968" s="33" t="s">
        <v>5824</v>
      </c>
      <c r="I3968" s="50">
        <v>0</v>
      </c>
      <c r="J3968" s="31">
        <v>15</v>
      </c>
      <c r="K3968" s="31">
        <v>3</v>
      </c>
      <c r="L3968" s="31">
        <v>0</v>
      </c>
      <c r="M3968" s="31">
        <v>0</v>
      </c>
      <c r="N3968" s="31">
        <v>0</v>
      </c>
      <c r="O3968" s="31">
        <v>0</v>
      </c>
      <c r="P3968" s="32">
        <v>0.326214</v>
      </c>
      <c r="Q3968" s="50" t="s">
        <v>154</v>
      </c>
    </row>
    <row r="3969" spans="1:17" ht="108" x14ac:dyDescent="0.25">
      <c r="A3969" s="48">
        <v>40829</v>
      </c>
      <c r="B3969" s="48">
        <v>40829</v>
      </c>
      <c r="C3969" s="344">
        <v>2011</v>
      </c>
      <c r="D3969" s="24" t="s">
        <v>141</v>
      </c>
      <c r="E3969" s="30" t="s">
        <v>142</v>
      </c>
      <c r="F3969" s="7" t="s">
        <v>58</v>
      </c>
      <c r="G3969" s="33" t="s">
        <v>5825</v>
      </c>
      <c r="H3969" s="33" t="s">
        <v>5826</v>
      </c>
      <c r="I3969" s="50">
        <v>4</v>
      </c>
      <c r="J3969" s="31">
        <v>9</v>
      </c>
      <c r="K3969" s="31">
        <v>0</v>
      </c>
      <c r="L3969" s="31">
        <v>0</v>
      </c>
      <c r="M3969" s="31">
        <v>0</v>
      </c>
      <c r="N3969" s="31">
        <v>0</v>
      </c>
      <c r="O3969" s="31">
        <v>0</v>
      </c>
      <c r="P3969" s="32">
        <v>0.35060000000000002</v>
      </c>
      <c r="Q3969" s="50" t="s">
        <v>154</v>
      </c>
    </row>
    <row r="3970" spans="1:17" ht="72" x14ac:dyDescent="0.25">
      <c r="A3970" s="48">
        <v>40829</v>
      </c>
      <c r="B3970" s="48">
        <v>40829</v>
      </c>
      <c r="C3970" s="344">
        <v>2011</v>
      </c>
      <c r="D3970" s="24" t="s">
        <v>141</v>
      </c>
      <c r="E3970" s="30" t="s">
        <v>142</v>
      </c>
      <c r="F3970" s="7" t="s">
        <v>58</v>
      </c>
      <c r="G3970" s="33" t="s">
        <v>1194</v>
      </c>
      <c r="H3970" s="33" t="s">
        <v>5827</v>
      </c>
      <c r="I3970" s="50">
        <v>2</v>
      </c>
      <c r="J3970" s="31">
        <v>13</v>
      </c>
      <c r="K3970" s="31">
        <v>0</v>
      </c>
      <c r="L3970" s="31">
        <v>0</v>
      </c>
      <c r="M3970" s="31">
        <v>0</v>
      </c>
      <c r="N3970" s="31">
        <v>0</v>
      </c>
      <c r="O3970" s="31">
        <v>0</v>
      </c>
      <c r="P3970" s="32">
        <v>0.4</v>
      </c>
      <c r="Q3970" s="50" t="s">
        <v>154</v>
      </c>
    </row>
    <row r="3971" spans="1:17" ht="252" x14ac:dyDescent="0.25">
      <c r="A3971" s="48">
        <v>40827</v>
      </c>
      <c r="B3971" s="48">
        <v>40827</v>
      </c>
      <c r="C3971" s="344">
        <v>2011</v>
      </c>
      <c r="D3971" s="351" t="s">
        <v>23</v>
      </c>
      <c r="E3971" s="22" t="s">
        <v>86</v>
      </c>
      <c r="F3971" s="7" t="s">
        <v>56</v>
      </c>
      <c r="G3971" s="33" t="s">
        <v>5828</v>
      </c>
      <c r="H3971" s="33" t="s">
        <v>5829</v>
      </c>
      <c r="I3971" s="50">
        <v>0</v>
      </c>
      <c r="J3971" s="31">
        <v>135</v>
      </c>
      <c r="K3971" s="31">
        <v>27</v>
      </c>
      <c r="L3971" s="31">
        <v>0</v>
      </c>
      <c r="M3971" s="31">
        <v>0</v>
      </c>
      <c r="N3971" s="31">
        <v>0</v>
      </c>
      <c r="O3971" s="31">
        <v>0</v>
      </c>
      <c r="P3971" s="32">
        <v>0.13824</v>
      </c>
      <c r="Q3971" s="50" t="s">
        <v>154</v>
      </c>
    </row>
    <row r="3972" spans="1:17" ht="108" x14ac:dyDescent="0.25">
      <c r="A3972" s="48">
        <v>40826</v>
      </c>
      <c r="B3972" s="48">
        <v>40826</v>
      </c>
      <c r="C3972" s="344">
        <v>2011</v>
      </c>
      <c r="D3972" s="24" t="s">
        <v>141</v>
      </c>
      <c r="E3972" s="30" t="s">
        <v>142</v>
      </c>
      <c r="F3972" s="7" t="s">
        <v>56</v>
      </c>
      <c r="G3972" s="33" t="s">
        <v>5830</v>
      </c>
      <c r="H3972" s="33" t="s">
        <v>5831</v>
      </c>
      <c r="I3972" s="157">
        <v>0</v>
      </c>
      <c r="J3972" s="142">
        <v>25</v>
      </c>
      <c r="K3972" s="142">
        <v>0</v>
      </c>
      <c r="L3972" s="142">
        <v>0</v>
      </c>
      <c r="M3972" s="142">
        <v>0</v>
      </c>
      <c r="N3972" s="31">
        <v>0</v>
      </c>
      <c r="O3972" s="142">
        <v>0</v>
      </c>
      <c r="P3972" s="158">
        <v>0.67500000000000004</v>
      </c>
      <c r="Q3972" s="157" t="s">
        <v>154</v>
      </c>
    </row>
    <row r="3973" spans="1:17" ht="120" x14ac:dyDescent="0.25">
      <c r="A3973" s="48">
        <v>40575</v>
      </c>
      <c r="B3973" s="48">
        <v>40575</v>
      </c>
      <c r="C3973" s="344">
        <v>2011</v>
      </c>
      <c r="D3973" s="351" t="s">
        <v>23</v>
      </c>
      <c r="E3973" s="14" t="s">
        <v>52</v>
      </c>
      <c r="F3973" s="28" t="s">
        <v>157</v>
      </c>
      <c r="G3973" s="33" t="s">
        <v>5832</v>
      </c>
      <c r="H3973" s="33" t="s">
        <v>5833</v>
      </c>
      <c r="I3973" s="157">
        <v>0</v>
      </c>
      <c r="J3973" s="142">
        <v>50</v>
      </c>
      <c r="K3973" s="142">
        <v>10</v>
      </c>
      <c r="L3973" s="142">
        <v>0</v>
      </c>
      <c r="M3973" s="142">
        <v>0</v>
      </c>
      <c r="N3973" s="31">
        <v>0</v>
      </c>
      <c r="O3973" s="142">
        <v>0</v>
      </c>
      <c r="P3973" s="158">
        <v>6.1199999999999997E-2</v>
      </c>
      <c r="Q3973" s="157" t="s">
        <v>154</v>
      </c>
    </row>
    <row r="3974" spans="1:17" ht="96" x14ac:dyDescent="0.25">
      <c r="A3974" s="48">
        <v>40821</v>
      </c>
      <c r="B3974" s="48">
        <v>40821</v>
      </c>
      <c r="C3974" s="344">
        <v>2011</v>
      </c>
      <c r="D3974" s="35" t="s">
        <v>28</v>
      </c>
      <c r="E3974" s="6" t="s">
        <v>149</v>
      </c>
      <c r="F3974" s="7" t="s">
        <v>40</v>
      </c>
      <c r="G3974" s="33" t="s">
        <v>5834</v>
      </c>
      <c r="H3974" s="33" t="s">
        <v>5835</v>
      </c>
      <c r="I3974" s="157">
        <v>0</v>
      </c>
      <c r="J3974" s="142">
        <v>240</v>
      </c>
      <c r="K3974" s="142">
        <v>0</v>
      </c>
      <c r="L3974" s="142">
        <v>0</v>
      </c>
      <c r="M3974" s="142">
        <v>0</v>
      </c>
      <c r="N3974" s="31">
        <v>0</v>
      </c>
      <c r="O3974" s="142">
        <v>0</v>
      </c>
      <c r="P3974" s="158">
        <v>0</v>
      </c>
      <c r="Q3974" s="157" t="s">
        <v>154</v>
      </c>
    </row>
    <row r="3975" spans="1:17" ht="96" x14ac:dyDescent="0.25">
      <c r="A3975" s="48">
        <v>40821</v>
      </c>
      <c r="B3975" s="48">
        <v>40821</v>
      </c>
      <c r="C3975" s="344">
        <v>2011</v>
      </c>
      <c r="D3975" s="24" t="s">
        <v>141</v>
      </c>
      <c r="E3975" s="30" t="s">
        <v>142</v>
      </c>
      <c r="F3975" s="7" t="s">
        <v>40</v>
      </c>
      <c r="G3975" s="33" t="s">
        <v>2716</v>
      </c>
      <c r="H3975" s="33" t="s">
        <v>5836</v>
      </c>
      <c r="I3975" s="157">
        <v>3</v>
      </c>
      <c r="J3975" s="142">
        <v>4</v>
      </c>
      <c r="K3975" s="142">
        <v>0</v>
      </c>
      <c r="L3975" s="142">
        <v>0</v>
      </c>
      <c r="M3975" s="142">
        <v>0</v>
      </c>
      <c r="N3975" s="31">
        <v>0</v>
      </c>
      <c r="O3975" s="142">
        <v>0</v>
      </c>
      <c r="P3975" s="158">
        <v>1.5</v>
      </c>
      <c r="Q3975" s="157" t="s">
        <v>154</v>
      </c>
    </row>
    <row r="3976" spans="1:17" ht="84" x14ac:dyDescent="0.25">
      <c r="A3976" s="48">
        <v>40816</v>
      </c>
      <c r="B3976" s="48">
        <v>40816</v>
      </c>
      <c r="C3976" s="344">
        <v>2011</v>
      </c>
      <c r="D3976" s="24" t="s">
        <v>141</v>
      </c>
      <c r="E3976" s="30" t="s">
        <v>142</v>
      </c>
      <c r="F3976" s="28" t="s">
        <v>210</v>
      </c>
      <c r="G3976" s="33" t="s">
        <v>5837</v>
      </c>
      <c r="H3976" s="33" t="s">
        <v>5838</v>
      </c>
      <c r="I3976" s="157">
        <v>0</v>
      </c>
      <c r="J3976" s="142">
        <v>2</v>
      </c>
      <c r="K3976" s="142">
        <v>0</v>
      </c>
      <c r="L3976" s="142">
        <v>0</v>
      </c>
      <c r="M3976" s="142">
        <v>0</v>
      </c>
      <c r="N3976" s="31">
        <v>0</v>
      </c>
      <c r="O3976" s="142">
        <v>0</v>
      </c>
      <c r="P3976" s="158">
        <v>0.25298379999999998</v>
      </c>
      <c r="Q3976" s="157" t="s">
        <v>154</v>
      </c>
    </row>
    <row r="3977" spans="1:17" ht="84" x14ac:dyDescent="0.25">
      <c r="A3977" s="48">
        <v>40813</v>
      </c>
      <c r="B3977" s="48">
        <v>40813</v>
      </c>
      <c r="C3977" s="344">
        <v>2011</v>
      </c>
      <c r="D3977" s="24" t="s">
        <v>141</v>
      </c>
      <c r="E3977" s="30" t="s">
        <v>142</v>
      </c>
      <c r="F3977" s="25" t="s">
        <v>781</v>
      </c>
      <c r="G3977" s="33" t="s">
        <v>2337</v>
      </c>
      <c r="H3977" s="33" t="s">
        <v>5839</v>
      </c>
      <c r="I3977" s="157">
        <v>0</v>
      </c>
      <c r="J3977" s="142">
        <v>0</v>
      </c>
      <c r="K3977" s="142">
        <v>0</v>
      </c>
      <c r="L3977" s="142">
        <v>0</v>
      </c>
      <c r="M3977" s="142">
        <v>0</v>
      </c>
      <c r="N3977" s="31">
        <v>0</v>
      </c>
      <c r="O3977" s="142">
        <v>0</v>
      </c>
      <c r="P3977" s="158">
        <v>0.82199999999999995</v>
      </c>
      <c r="Q3977" s="157" t="s">
        <v>154</v>
      </c>
    </row>
    <row r="3978" spans="1:17" ht="96" x14ac:dyDescent="0.25">
      <c r="A3978" s="48">
        <v>40625</v>
      </c>
      <c r="B3978" s="48">
        <v>40625</v>
      </c>
      <c r="C3978" s="344">
        <v>2011</v>
      </c>
      <c r="D3978" s="24" t="s">
        <v>141</v>
      </c>
      <c r="E3978" s="49" t="s">
        <v>1600</v>
      </c>
      <c r="F3978" s="25" t="s">
        <v>781</v>
      </c>
      <c r="G3978" s="33" t="s">
        <v>1995</v>
      </c>
      <c r="H3978" s="33" t="s">
        <v>5840</v>
      </c>
      <c r="I3978" s="157">
        <v>0</v>
      </c>
      <c r="J3978" s="142">
        <v>300</v>
      </c>
      <c r="K3978" s="142">
        <v>0</v>
      </c>
      <c r="L3978" s="142">
        <v>0</v>
      </c>
      <c r="M3978" s="142">
        <v>0</v>
      </c>
      <c r="N3978" s="31">
        <v>0</v>
      </c>
      <c r="O3978" s="142">
        <v>0</v>
      </c>
      <c r="P3978" s="158">
        <v>0.15</v>
      </c>
      <c r="Q3978" s="157" t="s">
        <v>154</v>
      </c>
    </row>
    <row r="3979" spans="1:17" ht="60" x14ac:dyDescent="0.25">
      <c r="A3979" s="48">
        <v>40832</v>
      </c>
      <c r="B3979" s="48">
        <v>40832</v>
      </c>
      <c r="C3979" s="344">
        <v>2011</v>
      </c>
      <c r="D3979" s="351" t="s">
        <v>23</v>
      </c>
      <c r="E3979" s="14" t="s">
        <v>52</v>
      </c>
      <c r="F3979" s="25" t="s">
        <v>781</v>
      </c>
      <c r="G3979" s="33" t="s">
        <v>5841</v>
      </c>
      <c r="H3979" s="33" t="s">
        <v>5842</v>
      </c>
      <c r="I3979" s="157">
        <v>0</v>
      </c>
      <c r="J3979" s="142">
        <v>347925</v>
      </c>
      <c r="K3979" s="142">
        <v>2289</v>
      </c>
      <c r="L3979" s="142">
        <v>3723</v>
      </c>
      <c r="M3979" s="142">
        <v>34</v>
      </c>
      <c r="N3979" s="142">
        <v>6878</v>
      </c>
      <c r="O3979" s="142">
        <v>342769</v>
      </c>
      <c r="P3979" s="158">
        <v>10304.5</v>
      </c>
      <c r="Q3979" s="157" t="s">
        <v>22</v>
      </c>
    </row>
    <row r="3980" spans="1:17" ht="156" x14ac:dyDescent="0.25">
      <c r="A3980" s="48">
        <v>40812</v>
      </c>
      <c r="B3980" s="48">
        <v>40812</v>
      </c>
      <c r="C3980" s="344">
        <v>2011</v>
      </c>
      <c r="D3980" s="24" t="s">
        <v>141</v>
      </c>
      <c r="E3980" s="30" t="s">
        <v>142</v>
      </c>
      <c r="F3980" s="7" t="s">
        <v>87</v>
      </c>
      <c r="G3980" s="33" t="s">
        <v>2608</v>
      </c>
      <c r="H3980" s="33" t="s">
        <v>5843</v>
      </c>
      <c r="I3980" s="157">
        <v>0</v>
      </c>
      <c r="J3980" s="142">
        <v>2</v>
      </c>
      <c r="K3980" s="142">
        <v>0</v>
      </c>
      <c r="L3980" s="142">
        <v>0</v>
      </c>
      <c r="M3980" s="142">
        <v>0</v>
      </c>
      <c r="N3980" s="142">
        <v>0</v>
      </c>
      <c r="O3980" s="142">
        <v>0</v>
      </c>
      <c r="P3980" s="158">
        <v>1.5</v>
      </c>
      <c r="Q3980" s="157" t="s">
        <v>154</v>
      </c>
    </row>
    <row r="3981" spans="1:17" ht="48" x14ac:dyDescent="0.25">
      <c r="A3981" s="48">
        <v>40812</v>
      </c>
      <c r="B3981" s="48">
        <v>40812</v>
      </c>
      <c r="C3981" s="344">
        <v>2011</v>
      </c>
      <c r="D3981" s="24" t="s">
        <v>141</v>
      </c>
      <c r="E3981" s="30" t="s">
        <v>142</v>
      </c>
      <c r="F3981" s="7" t="s">
        <v>87</v>
      </c>
      <c r="G3981" s="33" t="s">
        <v>4751</v>
      </c>
      <c r="H3981" s="33" t="s">
        <v>5844</v>
      </c>
      <c r="I3981" s="157">
        <v>1</v>
      </c>
      <c r="J3981" s="142">
        <v>1</v>
      </c>
      <c r="K3981" s="142">
        <v>0</v>
      </c>
      <c r="L3981" s="142">
        <v>0</v>
      </c>
      <c r="M3981" s="142">
        <v>0</v>
      </c>
      <c r="N3981" s="142">
        <v>0</v>
      </c>
      <c r="O3981" s="142">
        <v>0</v>
      </c>
      <c r="P3981" s="158">
        <v>1.5</v>
      </c>
      <c r="Q3981" s="157" t="s">
        <v>154</v>
      </c>
    </row>
    <row r="3982" spans="1:17" ht="84" x14ac:dyDescent="0.25">
      <c r="A3982" s="23">
        <v>40718</v>
      </c>
      <c r="B3982" s="23">
        <v>40718</v>
      </c>
      <c r="C3982" s="24">
        <v>2011</v>
      </c>
      <c r="D3982" s="351" t="s">
        <v>23</v>
      </c>
      <c r="E3982" s="22" t="s">
        <v>86</v>
      </c>
      <c r="F3982" s="7" t="s">
        <v>84</v>
      </c>
      <c r="G3982" s="44" t="s">
        <v>2143</v>
      </c>
      <c r="H3982" s="44" t="s">
        <v>5845</v>
      </c>
      <c r="I3982" s="20">
        <v>2</v>
      </c>
      <c r="J3982" s="20">
        <f>(2958*5)</f>
        <v>14790</v>
      </c>
      <c r="K3982" s="20">
        <v>3004</v>
      </c>
      <c r="L3982" s="20">
        <v>0</v>
      </c>
      <c r="M3982" s="20">
        <v>0</v>
      </c>
      <c r="N3982" s="142">
        <v>0</v>
      </c>
      <c r="O3982" s="20">
        <v>0</v>
      </c>
      <c r="P3982" s="26">
        <v>0.94</v>
      </c>
      <c r="Q3982" s="45" t="s">
        <v>154</v>
      </c>
    </row>
    <row r="3983" spans="1:17" ht="156" x14ac:dyDescent="0.25">
      <c r="A3983" s="48">
        <v>40809</v>
      </c>
      <c r="B3983" s="48">
        <v>40809</v>
      </c>
      <c r="C3983" s="344">
        <v>2011</v>
      </c>
      <c r="D3983" s="24" t="s">
        <v>141</v>
      </c>
      <c r="E3983" s="30" t="s">
        <v>142</v>
      </c>
      <c r="F3983" s="7" t="s">
        <v>75</v>
      </c>
      <c r="G3983" s="33" t="s">
        <v>4791</v>
      </c>
      <c r="H3983" s="33" t="s">
        <v>5846</v>
      </c>
      <c r="I3983" s="157">
        <v>1</v>
      </c>
      <c r="J3983" s="142">
        <v>2</v>
      </c>
      <c r="K3983" s="142">
        <v>0</v>
      </c>
      <c r="L3983" s="142">
        <v>0</v>
      </c>
      <c r="M3983" s="142">
        <v>0</v>
      </c>
      <c r="N3983" s="142">
        <v>0</v>
      </c>
      <c r="O3983" s="142">
        <v>0</v>
      </c>
      <c r="P3983" s="158">
        <v>0.62272000000000005</v>
      </c>
      <c r="Q3983" s="157" t="s">
        <v>154</v>
      </c>
    </row>
    <row r="3984" spans="1:17" ht="24" x14ac:dyDescent="0.25">
      <c r="A3984" s="48">
        <v>40808</v>
      </c>
      <c r="B3984" s="48">
        <v>40808</v>
      </c>
      <c r="C3984" s="344">
        <v>2011</v>
      </c>
      <c r="D3984" s="351" t="s">
        <v>23</v>
      </c>
      <c r="E3984" s="22" t="s">
        <v>86</v>
      </c>
      <c r="F3984" s="7" t="s">
        <v>72</v>
      </c>
      <c r="G3984" s="33" t="s">
        <v>5847</v>
      </c>
      <c r="H3984" s="33" t="s">
        <v>5848</v>
      </c>
      <c r="I3984" s="157">
        <v>1</v>
      </c>
      <c r="J3984" s="142">
        <v>1</v>
      </c>
      <c r="K3984" s="142">
        <v>0</v>
      </c>
      <c r="L3984" s="142">
        <v>0</v>
      </c>
      <c r="M3984" s="142">
        <v>0</v>
      </c>
      <c r="N3984" s="142">
        <v>0</v>
      </c>
      <c r="O3984" s="142">
        <v>0</v>
      </c>
      <c r="P3984" s="158">
        <v>0</v>
      </c>
      <c r="Q3984" s="157" t="s">
        <v>154</v>
      </c>
    </row>
    <row r="3985" spans="1:17" ht="72" x14ac:dyDescent="0.25">
      <c r="A3985" s="48">
        <v>40774</v>
      </c>
      <c r="B3985" s="48">
        <v>40774</v>
      </c>
      <c r="C3985" s="344">
        <v>2011</v>
      </c>
      <c r="D3985" s="24" t="s">
        <v>141</v>
      </c>
      <c r="E3985" s="49" t="s">
        <v>1600</v>
      </c>
      <c r="F3985" s="7" t="s">
        <v>72</v>
      </c>
      <c r="G3985" s="33" t="s">
        <v>2180</v>
      </c>
      <c r="H3985" s="33" t="s">
        <v>5849</v>
      </c>
      <c r="I3985" s="157">
        <v>2</v>
      </c>
      <c r="J3985" s="142">
        <v>3</v>
      </c>
      <c r="K3985" s="142">
        <v>0</v>
      </c>
      <c r="L3985" s="142">
        <v>0</v>
      </c>
      <c r="M3985" s="142">
        <v>0</v>
      </c>
      <c r="N3985" s="142">
        <v>0</v>
      </c>
      <c r="O3985" s="142">
        <v>0</v>
      </c>
      <c r="P3985" s="158">
        <v>0</v>
      </c>
      <c r="Q3985" s="157" t="s">
        <v>154</v>
      </c>
    </row>
    <row r="3986" spans="1:17" ht="120" x14ac:dyDescent="0.25">
      <c r="A3986" s="48">
        <v>40808</v>
      </c>
      <c r="B3986" s="48">
        <v>40808</v>
      </c>
      <c r="C3986" s="344">
        <v>2011</v>
      </c>
      <c r="D3986" s="351" t="s">
        <v>23</v>
      </c>
      <c r="E3986" s="22" t="s">
        <v>86</v>
      </c>
      <c r="F3986" s="7" t="s">
        <v>72</v>
      </c>
      <c r="G3986" s="33" t="s">
        <v>5850</v>
      </c>
      <c r="H3986" s="33" t="s">
        <v>5851</v>
      </c>
      <c r="I3986" s="157">
        <v>1</v>
      </c>
      <c r="J3986" s="142">
        <v>7</v>
      </c>
      <c r="K3986" s="142">
        <v>1</v>
      </c>
      <c r="L3986" s="142">
        <v>0</v>
      </c>
      <c r="M3986" s="142">
        <v>0</v>
      </c>
      <c r="N3986" s="142">
        <v>0</v>
      </c>
      <c r="O3986" s="142">
        <v>0</v>
      </c>
      <c r="P3986" s="158">
        <v>9.5904000000000003E-2</v>
      </c>
      <c r="Q3986" s="157" t="s">
        <v>154</v>
      </c>
    </row>
    <row r="3987" spans="1:17" ht="96" x14ac:dyDescent="0.25">
      <c r="A3987" s="48">
        <v>40807</v>
      </c>
      <c r="B3987" s="48">
        <v>40807</v>
      </c>
      <c r="C3987" s="344">
        <v>2011</v>
      </c>
      <c r="D3987" s="24" t="s">
        <v>141</v>
      </c>
      <c r="E3987" s="30" t="s">
        <v>142</v>
      </c>
      <c r="F3987" s="7" t="s">
        <v>68</v>
      </c>
      <c r="G3987" s="33" t="s">
        <v>5852</v>
      </c>
      <c r="H3987" s="33" t="s">
        <v>5853</v>
      </c>
      <c r="I3987" s="157">
        <v>3</v>
      </c>
      <c r="J3987" s="142">
        <v>8</v>
      </c>
      <c r="K3987" s="142">
        <v>0</v>
      </c>
      <c r="L3987" s="142">
        <v>0</v>
      </c>
      <c r="M3987" s="142">
        <v>0</v>
      </c>
      <c r="N3987" s="142">
        <v>0</v>
      </c>
      <c r="O3987" s="142">
        <v>0</v>
      </c>
      <c r="P3987" s="158">
        <v>0.78720400000000001</v>
      </c>
      <c r="Q3987" s="157" t="s">
        <v>154</v>
      </c>
    </row>
    <row r="3988" spans="1:17" ht="84" x14ac:dyDescent="0.25">
      <c r="A3988" s="48">
        <v>40781</v>
      </c>
      <c r="B3988" s="48">
        <v>40781</v>
      </c>
      <c r="C3988" s="344">
        <v>2011</v>
      </c>
      <c r="D3988" s="24" t="s">
        <v>141</v>
      </c>
      <c r="E3988" s="6" t="s">
        <v>333</v>
      </c>
      <c r="F3988" s="7" t="s">
        <v>68</v>
      </c>
      <c r="G3988" s="33" t="s">
        <v>1121</v>
      </c>
      <c r="H3988" s="33" t="s">
        <v>5854</v>
      </c>
      <c r="I3988" s="157">
        <v>53</v>
      </c>
      <c r="J3988" s="142">
        <v>63</v>
      </c>
      <c r="K3988" s="142">
        <v>0</v>
      </c>
      <c r="L3988" s="142">
        <v>0</v>
      </c>
      <c r="M3988" s="142">
        <v>0</v>
      </c>
      <c r="N3988" s="142">
        <v>0</v>
      </c>
      <c r="O3988" s="142">
        <v>0</v>
      </c>
      <c r="P3988" s="158">
        <v>0</v>
      </c>
      <c r="Q3988" s="157" t="s">
        <v>154</v>
      </c>
    </row>
    <row r="3989" spans="1:17" ht="96" x14ac:dyDescent="0.25">
      <c r="A3989" s="48">
        <v>40681</v>
      </c>
      <c r="B3989" s="48">
        <v>40681</v>
      </c>
      <c r="C3989" s="344">
        <v>2011</v>
      </c>
      <c r="D3989" s="35" t="s">
        <v>28</v>
      </c>
      <c r="E3989" s="6" t="s">
        <v>149</v>
      </c>
      <c r="F3989" s="7" t="s">
        <v>67</v>
      </c>
      <c r="G3989" s="33" t="s">
        <v>2973</v>
      </c>
      <c r="H3989" s="33" t="s">
        <v>5855</v>
      </c>
      <c r="I3989" s="157">
        <v>0</v>
      </c>
      <c r="J3989" s="142">
        <v>5</v>
      </c>
      <c r="K3989" s="142">
        <v>0</v>
      </c>
      <c r="L3989" s="142">
        <v>0</v>
      </c>
      <c r="M3989" s="142">
        <v>0</v>
      </c>
      <c r="N3989" s="142">
        <v>0</v>
      </c>
      <c r="O3989" s="142">
        <v>0</v>
      </c>
      <c r="P3989" s="158">
        <v>0</v>
      </c>
      <c r="Q3989" s="157" t="s">
        <v>154</v>
      </c>
    </row>
    <row r="3990" spans="1:17" ht="84" x14ac:dyDescent="0.25">
      <c r="A3990" s="48">
        <v>40806</v>
      </c>
      <c r="B3990" s="48">
        <v>40806</v>
      </c>
      <c r="C3990" s="344">
        <v>2011</v>
      </c>
      <c r="D3990" s="24" t="s">
        <v>141</v>
      </c>
      <c r="E3990" s="30" t="s">
        <v>142</v>
      </c>
      <c r="F3990" s="7" t="s">
        <v>65</v>
      </c>
      <c r="G3990" s="33" t="s">
        <v>4925</v>
      </c>
      <c r="H3990" s="33" t="s">
        <v>5856</v>
      </c>
      <c r="I3990" s="157">
        <v>0</v>
      </c>
      <c r="J3990" s="142">
        <v>1</v>
      </c>
      <c r="K3990" s="142">
        <v>0</v>
      </c>
      <c r="L3990" s="142">
        <v>0</v>
      </c>
      <c r="M3990" s="142">
        <v>0</v>
      </c>
      <c r="N3990" s="142">
        <v>0</v>
      </c>
      <c r="O3990" s="142">
        <v>0</v>
      </c>
      <c r="P3990" s="158">
        <v>0.78320000000000001</v>
      </c>
      <c r="Q3990" s="157" t="s">
        <v>154</v>
      </c>
    </row>
    <row r="3991" spans="1:17" ht="120" x14ac:dyDescent="0.25">
      <c r="A3991" s="48">
        <v>40806</v>
      </c>
      <c r="B3991" s="48">
        <v>40806</v>
      </c>
      <c r="C3991" s="344">
        <v>2011</v>
      </c>
      <c r="D3991" s="24" t="s">
        <v>141</v>
      </c>
      <c r="E3991" s="30" t="s">
        <v>142</v>
      </c>
      <c r="F3991" s="7" t="s">
        <v>62</v>
      </c>
      <c r="G3991" s="33" t="s">
        <v>3407</v>
      </c>
      <c r="H3991" s="33" t="s">
        <v>5857</v>
      </c>
      <c r="I3991" s="157">
        <v>0</v>
      </c>
      <c r="J3991" s="142">
        <v>1</v>
      </c>
      <c r="K3991" s="142">
        <v>0</v>
      </c>
      <c r="L3991" s="142">
        <v>0</v>
      </c>
      <c r="M3991" s="142">
        <v>0</v>
      </c>
      <c r="N3991" s="142">
        <v>0</v>
      </c>
      <c r="O3991" s="142">
        <v>0</v>
      </c>
      <c r="P3991" s="158">
        <v>0.4</v>
      </c>
      <c r="Q3991" s="157" t="s">
        <v>154</v>
      </c>
    </row>
    <row r="3992" spans="1:17" ht="96" x14ac:dyDescent="0.25">
      <c r="A3992" s="48">
        <v>40806</v>
      </c>
      <c r="B3992" s="48">
        <v>40806</v>
      </c>
      <c r="C3992" s="344">
        <v>2011</v>
      </c>
      <c r="D3992" s="24" t="s">
        <v>141</v>
      </c>
      <c r="E3992" s="30" t="s">
        <v>142</v>
      </c>
      <c r="F3992" s="7" t="s">
        <v>62</v>
      </c>
      <c r="G3992" s="33" t="s">
        <v>474</v>
      </c>
      <c r="H3992" s="33" t="s">
        <v>5858</v>
      </c>
      <c r="I3992" s="157">
        <v>2</v>
      </c>
      <c r="J3992" s="142">
        <v>17</v>
      </c>
      <c r="K3992" s="142">
        <v>0</v>
      </c>
      <c r="L3992" s="142">
        <v>0</v>
      </c>
      <c r="M3992" s="142">
        <v>0</v>
      </c>
      <c r="N3992" s="142">
        <v>0</v>
      </c>
      <c r="O3992" s="142">
        <v>0</v>
      </c>
      <c r="P3992" s="158">
        <v>0.4</v>
      </c>
      <c r="Q3992" s="157" t="s">
        <v>154</v>
      </c>
    </row>
    <row r="3993" spans="1:17" ht="204" x14ac:dyDescent="0.25">
      <c r="A3993" s="48">
        <v>40713</v>
      </c>
      <c r="B3993" s="48">
        <v>40713</v>
      </c>
      <c r="C3993" s="344">
        <v>2011</v>
      </c>
      <c r="D3993" s="351" t="s">
        <v>23</v>
      </c>
      <c r="E3993" s="22" t="s">
        <v>86</v>
      </c>
      <c r="F3993" s="7" t="s">
        <v>53</v>
      </c>
      <c r="G3993" s="33" t="s">
        <v>5859</v>
      </c>
      <c r="H3993" s="33" t="s">
        <v>5860</v>
      </c>
      <c r="I3993" s="157">
        <v>0</v>
      </c>
      <c r="J3993" s="142">
        <v>1250</v>
      </c>
      <c r="K3993" s="142">
        <v>250</v>
      </c>
      <c r="L3993" s="142">
        <v>0</v>
      </c>
      <c r="M3993" s="142">
        <v>0</v>
      </c>
      <c r="N3993" s="142">
        <v>0</v>
      </c>
      <c r="O3993" s="142">
        <v>0</v>
      </c>
      <c r="P3993" s="158">
        <v>1.28</v>
      </c>
      <c r="Q3993" s="157" t="s">
        <v>154</v>
      </c>
    </row>
    <row r="3994" spans="1:17" ht="108" x14ac:dyDescent="0.25">
      <c r="A3994" s="48">
        <v>40803</v>
      </c>
      <c r="B3994" s="48">
        <v>40803</v>
      </c>
      <c r="C3994" s="344">
        <v>2011</v>
      </c>
      <c r="D3994" s="24" t="s">
        <v>141</v>
      </c>
      <c r="E3994" s="30" t="s">
        <v>142</v>
      </c>
      <c r="F3994" s="7" t="s">
        <v>60</v>
      </c>
      <c r="G3994" s="33" t="s">
        <v>5036</v>
      </c>
      <c r="H3994" s="33" t="s">
        <v>5861</v>
      </c>
      <c r="I3994" s="157">
        <v>3</v>
      </c>
      <c r="J3994" s="142">
        <v>7</v>
      </c>
      <c r="K3994" s="142">
        <v>0</v>
      </c>
      <c r="L3994" s="142">
        <v>0</v>
      </c>
      <c r="M3994" s="142">
        <v>0</v>
      </c>
      <c r="N3994" s="142">
        <v>0</v>
      </c>
      <c r="O3994" s="142">
        <v>0</v>
      </c>
      <c r="P3994" s="158">
        <v>0.3402</v>
      </c>
      <c r="Q3994" s="157" t="s">
        <v>154</v>
      </c>
    </row>
    <row r="3995" spans="1:17" ht="60" x14ac:dyDescent="0.25">
      <c r="A3995" s="48">
        <v>40606</v>
      </c>
      <c r="B3995" s="48">
        <v>40606</v>
      </c>
      <c r="C3995" s="344">
        <v>2011</v>
      </c>
      <c r="D3995" s="24" t="s">
        <v>141</v>
      </c>
      <c r="E3995" s="30" t="s">
        <v>142</v>
      </c>
      <c r="F3995" s="7" t="s">
        <v>60</v>
      </c>
      <c r="G3995" s="33" t="s">
        <v>5862</v>
      </c>
      <c r="H3995" s="33" t="s">
        <v>5863</v>
      </c>
      <c r="I3995" s="157">
        <v>2</v>
      </c>
      <c r="J3995" s="142">
        <v>6</v>
      </c>
      <c r="K3995" s="142">
        <v>0</v>
      </c>
      <c r="L3995" s="142">
        <v>0</v>
      </c>
      <c r="M3995" s="142">
        <v>0</v>
      </c>
      <c r="N3995" s="142">
        <v>0</v>
      </c>
      <c r="O3995" s="142">
        <v>0</v>
      </c>
      <c r="P3995" s="158">
        <v>1.5</v>
      </c>
      <c r="Q3995" s="157" t="s">
        <v>154</v>
      </c>
    </row>
    <row r="3996" spans="1:17" ht="120" x14ac:dyDescent="0.25">
      <c r="A3996" s="48">
        <v>40801</v>
      </c>
      <c r="B3996" s="48">
        <v>40801</v>
      </c>
      <c r="C3996" s="344">
        <v>2011</v>
      </c>
      <c r="D3996" s="24" t="s">
        <v>141</v>
      </c>
      <c r="E3996" s="30" t="s">
        <v>142</v>
      </c>
      <c r="F3996" s="7" t="s">
        <v>60</v>
      </c>
      <c r="G3996" s="33" t="s">
        <v>3754</v>
      </c>
      <c r="H3996" s="33" t="s">
        <v>5864</v>
      </c>
      <c r="I3996" s="157">
        <v>0</v>
      </c>
      <c r="J3996" s="142">
        <v>2</v>
      </c>
      <c r="K3996" s="142">
        <v>0</v>
      </c>
      <c r="L3996" s="142">
        <v>0</v>
      </c>
      <c r="M3996" s="142">
        <v>0</v>
      </c>
      <c r="N3996" s="142">
        <v>0</v>
      </c>
      <c r="O3996" s="142">
        <v>0</v>
      </c>
      <c r="P3996" s="158">
        <v>1.05</v>
      </c>
      <c r="Q3996" s="157" t="s">
        <v>154</v>
      </c>
    </row>
    <row r="3997" spans="1:17" ht="144" x14ac:dyDescent="0.25">
      <c r="A3997" s="48">
        <v>40760</v>
      </c>
      <c r="B3997" s="48">
        <v>40760</v>
      </c>
      <c r="C3997" s="344">
        <v>2011</v>
      </c>
      <c r="D3997" s="351" t="s">
        <v>23</v>
      </c>
      <c r="E3997" s="22" t="s">
        <v>86</v>
      </c>
      <c r="F3997" s="7" t="s">
        <v>58</v>
      </c>
      <c r="G3997" s="33" t="s">
        <v>5825</v>
      </c>
      <c r="H3997" s="33" t="s">
        <v>5865</v>
      </c>
      <c r="I3997" s="157">
        <v>0</v>
      </c>
      <c r="J3997" s="142">
        <v>100</v>
      </c>
      <c r="K3997" s="142">
        <v>15</v>
      </c>
      <c r="L3997" s="142">
        <v>0</v>
      </c>
      <c r="M3997" s="142">
        <v>0</v>
      </c>
      <c r="N3997" s="142">
        <v>0</v>
      </c>
      <c r="O3997" s="142">
        <v>0</v>
      </c>
      <c r="P3997" s="158">
        <v>7.6799999999999993E-2</v>
      </c>
      <c r="Q3997" s="157" t="s">
        <v>154</v>
      </c>
    </row>
    <row r="3998" spans="1:17" ht="108" x14ac:dyDescent="0.25">
      <c r="A3998" s="48">
        <v>40798</v>
      </c>
      <c r="B3998" s="48">
        <v>40798</v>
      </c>
      <c r="C3998" s="344">
        <v>2011</v>
      </c>
      <c r="D3998" s="35" t="s">
        <v>17</v>
      </c>
      <c r="E3998" s="49" t="s">
        <v>1597</v>
      </c>
      <c r="F3998" s="7" t="s">
        <v>58</v>
      </c>
      <c r="G3998" s="33" t="s">
        <v>5866</v>
      </c>
      <c r="H3998" s="33" t="s">
        <v>5867</v>
      </c>
      <c r="I3998" s="157">
        <v>5</v>
      </c>
      <c r="J3998" s="142">
        <v>25</v>
      </c>
      <c r="K3998" s="142">
        <v>5</v>
      </c>
      <c r="L3998" s="142">
        <v>0</v>
      </c>
      <c r="M3998" s="142">
        <v>0</v>
      </c>
      <c r="N3998" s="142">
        <v>0</v>
      </c>
      <c r="O3998" s="142">
        <v>0</v>
      </c>
      <c r="P3998" s="158">
        <v>0.47952</v>
      </c>
      <c r="Q3998" s="157" t="s">
        <v>154</v>
      </c>
    </row>
    <row r="3999" spans="1:17" ht="96" x14ac:dyDescent="0.25">
      <c r="A3999" s="48">
        <v>40794</v>
      </c>
      <c r="B3999" s="48">
        <v>40794</v>
      </c>
      <c r="C3999" s="344">
        <v>2011</v>
      </c>
      <c r="D3999" s="351" t="s">
        <v>23</v>
      </c>
      <c r="E3999" s="49" t="s">
        <v>323</v>
      </c>
      <c r="F3999" s="28" t="s">
        <v>157</v>
      </c>
      <c r="G3999" s="33" t="s">
        <v>5868</v>
      </c>
      <c r="H3999" s="33" t="s">
        <v>5869</v>
      </c>
      <c r="I3999" s="157">
        <v>0</v>
      </c>
      <c r="J3999" s="142">
        <v>25</v>
      </c>
      <c r="K3999" s="142">
        <v>0</v>
      </c>
      <c r="L3999" s="142">
        <v>0</v>
      </c>
      <c r="M3999" s="142">
        <v>0</v>
      </c>
      <c r="N3999" s="142">
        <v>0</v>
      </c>
      <c r="O3999" s="142">
        <v>0</v>
      </c>
      <c r="P3999" s="158">
        <v>2.0756000000000001</v>
      </c>
      <c r="Q3999" s="157" t="s">
        <v>154</v>
      </c>
    </row>
    <row r="4000" spans="1:17" ht="96" x14ac:dyDescent="0.25">
      <c r="A4000" s="48">
        <v>40793</v>
      </c>
      <c r="B4000" s="48">
        <v>40793</v>
      </c>
      <c r="C4000" s="344">
        <v>2011</v>
      </c>
      <c r="D4000" s="351" t="s">
        <v>23</v>
      </c>
      <c r="E4000" s="22" t="s">
        <v>86</v>
      </c>
      <c r="F4000" s="28" t="s">
        <v>157</v>
      </c>
      <c r="G4000" s="33" t="s">
        <v>5870</v>
      </c>
      <c r="H4000" s="33" t="s">
        <v>5871</v>
      </c>
      <c r="I4000" s="157">
        <v>2</v>
      </c>
      <c r="J4000" s="142">
        <v>4335</v>
      </c>
      <c r="K4000" s="142">
        <v>867</v>
      </c>
      <c r="L4000" s="142">
        <v>0</v>
      </c>
      <c r="M4000" s="142">
        <v>0</v>
      </c>
      <c r="N4000" s="142">
        <v>0</v>
      </c>
      <c r="O4000" s="142">
        <v>0</v>
      </c>
      <c r="P4000" s="158">
        <v>4.4390400000000003</v>
      </c>
      <c r="Q4000" s="157" t="s">
        <v>154</v>
      </c>
    </row>
    <row r="4001" spans="1:17" ht="72" x14ac:dyDescent="0.25">
      <c r="A4001" s="48">
        <v>40793</v>
      </c>
      <c r="B4001" s="48">
        <v>40793</v>
      </c>
      <c r="C4001" s="344">
        <v>2011</v>
      </c>
      <c r="D4001" s="24" t="s">
        <v>141</v>
      </c>
      <c r="E4001" s="41" t="s">
        <v>1965</v>
      </c>
      <c r="F4001" s="28" t="s">
        <v>157</v>
      </c>
      <c r="G4001" s="33" t="s">
        <v>5832</v>
      </c>
      <c r="H4001" s="33" t="s">
        <v>5872</v>
      </c>
      <c r="I4001" s="157">
        <v>1</v>
      </c>
      <c r="J4001" s="142">
        <v>2</v>
      </c>
      <c r="K4001" s="142">
        <v>0</v>
      </c>
      <c r="L4001" s="142">
        <v>0</v>
      </c>
      <c r="M4001" s="142">
        <v>0</v>
      </c>
      <c r="N4001" s="142">
        <v>0</v>
      </c>
      <c r="O4001" s="142">
        <v>0</v>
      </c>
      <c r="P4001" s="158">
        <v>0</v>
      </c>
      <c r="Q4001" s="157" t="s">
        <v>154</v>
      </c>
    </row>
    <row r="4002" spans="1:17" ht="120" x14ac:dyDescent="0.25">
      <c r="A4002" s="48">
        <v>40793</v>
      </c>
      <c r="B4002" s="48">
        <v>40793</v>
      </c>
      <c r="C4002" s="344">
        <v>2011</v>
      </c>
      <c r="D4002" s="35" t="s">
        <v>17</v>
      </c>
      <c r="E4002" s="49" t="s">
        <v>1597</v>
      </c>
      <c r="F4002" s="28" t="s">
        <v>157</v>
      </c>
      <c r="G4002" s="33" t="s">
        <v>5873</v>
      </c>
      <c r="H4002" s="33" t="s">
        <v>5874</v>
      </c>
      <c r="I4002" s="157">
        <v>0</v>
      </c>
      <c r="J4002" s="142">
        <v>49</v>
      </c>
      <c r="K4002" s="142">
        <v>10</v>
      </c>
      <c r="L4002" s="142">
        <v>0</v>
      </c>
      <c r="M4002" s="142">
        <v>0</v>
      </c>
      <c r="N4002" s="142">
        <v>0</v>
      </c>
      <c r="O4002" s="142">
        <v>0</v>
      </c>
      <c r="P4002" s="158">
        <v>0.28000000000000003</v>
      </c>
      <c r="Q4002" s="157" t="s">
        <v>154</v>
      </c>
    </row>
    <row r="4003" spans="1:17" ht="108" x14ac:dyDescent="0.25">
      <c r="A4003" s="48">
        <v>40793</v>
      </c>
      <c r="B4003" s="48">
        <v>40793</v>
      </c>
      <c r="C4003" s="344">
        <v>2011</v>
      </c>
      <c r="D4003" s="351" t="s">
        <v>23</v>
      </c>
      <c r="E4003" s="22" t="s">
        <v>86</v>
      </c>
      <c r="F4003" s="7" t="s">
        <v>47</v>
      </c>
      <c r="G4003" s="33" t="s">
        <v>5158</v>
      </c>
      <c r="H4003" s="33" t="s">
        <v>5875</v>
      </c>
      <c r="I4003" s="157">
        <v>2</v>
      </c>
      <c r="J4003" s="142">
        <v>7</v>
      </c>
      <c r="K4003" s="142">
        <v>1</v>
      </c>
      <c r="L4003" s="142">
        <v>0</v>
      </c>
      <c r="M4003" s="142">
        <v>0</v>
      </c>
      <c r="N4003" s="142">
        <v>0</v>
      </c>
      <c r="O4003" s="142">
        <v>0</v>
      </c>
      <c r="P4003" s="158">
        <v>9.5904000000000003E-2</v>
      </c>
      <c r="Q4003" s="157" t="s">
        <v>154</v>
      </c>
    </row>
    <row r="4004" spans="1:17" ht="120" x14ac:dyDescent="0.25">
      <c r="A4004" s="48">
        <v>40792</v>
      </c>
      <c r="B4004" s="48">
        <v>40792</v>
      </c>
      <c r="C4004" s="344">
        <v>2011</v>
      </c>
      <c r="D4004" s="35" t="s">
        <v>28</v>
      </c>
      <c r="E4004" s="30" t="s">
        <v>125</v>
      </c>
      <c r="F4004" s="7" t="s">
        <v>45</v>
      </c>
      <c r="G4004" s="33" t="s">
        <v>3634</v>
      </c>
      <c r="H4004" s="33" t="s">
        <v>5876</v>
      </c>
      <c r="I4004" s="157">
        <v>0</v>
      </c>
      <c r="J4004" s="142">
        <v>1500</v>
      </c>
      <c r="K4004" s="142">
        <v>0</v>
      </c>
      <c r="L4004" s="142">
        <v>0</v>
      </c>
      <c r="M4004" s="142">
        <v>0</v>
      </c>
      <c r="N4004" s="142">
        <v>0</v>
      </c>
      <c r="O4004" s="142">
        <v>0</v>
      </c>
      <c r="P4004" s="158">
        <v>0</v>
      </c>
      <c r="Q4004" s="157" t="s">
        <v>154</v>
      </c>
    </row>
    <row r="4005" spans="1:17" ht="96" x14ac:dyDescent="0.25">
      <c r="A4005" s="48">
        <v>40792</v>
      </c>
      <c r="B4005" s="48">
        <v>40792</v>
      </c>
      <c r="C4005" s="344">
        <v>2011</v>
      </c>
      <c r="D4005" s="24" t="s">
        <v>141</v>
      </c>
      <c r="E4005" s="30" t="s">
        <v>142</v>
      </c>
      <c r="F4005" s="7" t="s">
        <v>45</v>
      </c>
      <c r="G4005" s="33" t="s">
        <v>259</v>
      </c>
      <c r="H4005" s="33" t="s">
        <v>5877</v>
      </c>
      <c r="I4005" s="157">
        <v>0</v>
      </c>
      <c r="J4005" s="142">
        <v>2</v>
      </c>
      <c r="K4005" s="142">
        <v>0</v>
      </c>
      <c r="L4005" s="142">
        <v>0</v>
      </c>
      <c r="M4005" s="142">
        <v>0</v>
      </c>
      <c r="N4005" s="142">
        <v>0</v>
      </c>
      <c r="O4005" s="142">
        <v>0</v>
      </c>
      <c r="P4005" s="158">
        <v>0</v>
      </c>
      <c r="Q4005" s="157" t="s">
        <v>154</v>
      </c>
    </row>
    <row r="4006" spans="1:17" ht="156" x14ac:dyDescent="0.25">
      <c r="A4006" s="48">
        <v>40792</v>
      </c>
      <c r="B4006" s="48">
        <v>40792</v>
      </c>
      <c r="C4006" s="344">
        <v>2011</v>
      </c>
      <c r="D4006" s="24" t="s">
        <v>141</v>
      </c>
      <c r="E4006" s="30" t="s">
        <v>142</v>
      </c>
      <c r="F4006" s="7" t="s">
        <v>45</v>
      </c>
      <c r="G4006" s="33" t="s">
        <v>4305</v>
      </c>
      <c r="H4006" s="33" t="s">
        <v>5878</v>
      </c>
      <c r="I4006" s="157">
        <v>0</v>
      </c>
      <c r="J4006" s="142">
        <v>3</v>
      </c>
      <c r="K4006" s="142">
        <v>0</v>
      </c>
      <c r="L4006" s="142">
        <v>0</v>
      </c>
      <c r="M4006" s="142">
        <v>0</v>
      </c>
      <c r="N4006" s="142">
        <v>0</v>
      </c>
      <c r="O4006" s="142">
        <v>0</v>
      </c>
      <c r="P4006" s="158">
        <v>0</v>
      </c>
      <c r="Q4006" s="157" t="s">
        <v>154</v>
      </c>
    </row>
    <row r="4007" spans="1:17" ht="192" x14ac:dyDescent="0.25">
      <c r="A4007" s="23">
        <v>40666</v>
      </c>
      <c r="B4007" s="23">
        <v>40666</v>
      </c>
      <c r="C4007" s="24">
        <v>2011</v>
      </c>
      <c r="D4007" s="351" t="s">
        <v>23</v>
      </c>
      <c r="E4007" s="22" t="s">
        <v>86</v>
      </c>
      <c r="F4007" s="7" t="s">
        <v>36</v>
      </c>
      <c r="G4007" s="44" t="s">
        <v>2276</v>
      </c>
      <c r="H4007" s="44" t="s">
        <v>5879</v>
      </c>
      <c r="I4007" s="20">
        <v>0</v>
      </c>
      <c r="J4007" s="46">
        <v>57</v>
      </c>
      <c r="K4007" s="20">
        <v>0</v>
      </c>
      <c r="L4007" s="20">
        <v>0</v>
      </c>
      <c r="M4007" s="20">
        <v>0</v>
      </c>
      <c r="N4007" s="142">
        <v>0</v>
      </c>
      <c r="O4007" s="20">
        <v>0</v>
      </c>
      <c r="P4007" s="158">
        <v>0</v>
      </c>
      <c r="Q4007" s="45" t="s">
        <v>154</v>
      </c>
    </row>
    <row r="4008" spans="1:17" ht="84" x14ac:dyDescent="0.25">
      <c r="A4008" s="48">
        <v>40809</v>
      </c>
      <c r="B4008" s="48">
        <v>40809</v>
      </c>
      <c r="C4008" s="344">
        <v>2011</v>
      </c>
      <c r="D4008" s="35" t="s">
        <v>17</v>
      </c>
      <c r="E4008" s="49" t="s">
        <v>1597</v>
      </c>
      <c r="F4008" s="7" t="s">
        <v>36</v>
      </c>
      <c r="G4008" s="33" t="s">
        <v>2057</v>
      </c>
      <c r="H4008" s="33" t="s">
        <v>5880</v>
      </c>
      <c r="I4008" s="157">
        <v>1</v>
      </c>
      <c r="J4008" s="142">
        <v>4</v>
      </c>
      <c r="K4008" s="142">
        <v>1</v>
      </c>
      <c r="L4008" s="142">
        <v>0</v>
      </c>
      <c r="M4008" s="142">
        <v>0</v>
      </c>
      <c r="N4008" s="142">
        <v>0</v>
      </c>
      <c r="O4008" s="142">
        <v>0</v>
      </c>
      <c r="P4008" s="158">
        <v>0.12</v>
      </c>
      <c r="Q4008" s="157" t="s">
        <v>154</v>
      </c>
    </row>
    <row r="4009" spans="1:17" ht="108" x14ac:dyDescent="0.25">
      <c r="A4009" s="48">
        <v>40788</v>
      </c>
      <c r="B4009" s="48">
        <v>40788</v>
      </c>
      <c r="C4009" s="344">
        <v>2011</v>
      </c>
      <c r="D4009" s="35" t="s">
        <v>28</v>
      </c>
      <c r="E4009" s="30" t="s">
        <v>133</v>
      </c>
      <c r="F4009" s="7" t="s">
        <v>30</v>
      </c>
      <c r="G4009" s="33" t="s">
        <v>1078</v>
      </c>
      <c r="H4009" s="33" t="s">
        <v>5881</v>
      </c>
      <c r="I4009" s="157">
        <v>0</v>
      </c>
      <c r="J4009" s="142">
        <v>23</v>
      </c>
      <c r="K4009" s="142">
        <v>0</v>
      </c>
      <c r="L4009" s="142">
        <v>0</v>
      </c>
      <c r="M4009" s="142">
        <v>0</v>
      </c>
      <c r="N4009" s="142">
        <v>0</v>
      </c>
      <c r="O4009" s="142">
        <v>0</v>
      </c>
      <c r="P4009" s="158">
        <v>0</v>
      </c>
      <c r="Q4009" s="157" t="s">
        <v>154</v>
      </c>
    </row>
    <row r="4010" spans="1:17" ht="132" x14ac:dyDescent="0.25">
      <c r="A4010" s="48">
        <v>40788</v>
      </c>
      <c r="B4010" s="48">
        <v>40788</v>
      </c>
      <c r="C4010" s="344">
        <v>2011</v>
      </c>
      <c r="D4010" s="35" t="s">
        <v>28</v>
      </c>
      <c r="E4010" s="30" t="s">
        <v>125</v>
      </c>
      <c r="F4010" s="7" t="s">
        <v>30</v>
      </c>
      <c r="G4010" s="33" t="s">
        <v>901</v>
      </c>
      <c r="H4010" s="33" t="s">
        <v>5882</v>
      </c>
      <c r="I4010" s="157">
        <v>0</v>
      </c>
      <c r="J4010" s="142">
        <v>100</v>
      </c>
      <c r="K4010" s="142">
        <v>0</v>
      </c>
      <c r="L4010" s="142">
        <v>0</v>
      </c>
      <c r="M4010" s="142">
        <v>0</v>
      </c>
      <c r="N4010" s="142">
        <v>0</v>
      </c>
      <c r="O4010" s="142">
        <v>0</v>
      </c>
      <c r="P4010" s="158">
        <v>0</v>
      </c>
      <c r="Q4010" s="157" t="s">
        <v>154</v>
      </c>
    </row>
    <row r="4011" spans="1:17" ht="168" x14ac:dyDescent="0.25">
      <c r="A4011" s="48">
        <v>40788</v>
      </c>
      <c r="B4011" s="48">
        <v>40788</v>
      </c>
      <c r="C4011" s="344">
        <v>2011</v>
      </c>
      <c r="D4011" s="24" t="s">
        <v>141</v>
      </c>
      <c r="E4011" s="30" t="s">
        <v>142</v>
      </c>
      <c r="F4011" s="7" t="s">
        <v>30</v>
      </c>
      <c r="G4011" s="33" t="s">
        <v>901</v>
      </c>
      <c r="H4011" s="33" t="s">
        <v>5883</v>
      </c>
      <c r="I4011" s="157">
        <v>1</v>
      </c>
      <c r="J4011" s="142">
        <v>27</v>
      </c>
      <c r="K4011" s="142">
        <v>0</v>
      </c>
      <c r="L4011" s="142">
        <v>0</v>
      </c>
      <c r="M4011" s="142">
        <v>0</v>
      </c>
      <c r="N4011" s="142">
        <v>0</v>
      </c>
      <c r="O4011" s="142">
        <v>0</v>
      </c>
      <c r="P4011" s="158">
        <v>0</v>
      </c>
      <c r="Q4011" s="157" t="s">
        <v>154</v>
      </c>
    </row>
    <row r="4012" spans="1:17" ht="108" x14ac:dyDescent="0.25">
      <c r="A4012" s="48">
        <v>40821</v>
      </c>
      <c r="B4012" s="48">
        <v>40821</v>
      </c>
      <c r="C4012" s="344">
        <v>2011</v>
      </c>
      <c r="D4012" s="35" t="s">
        <v>28</v>
      </c>
      <c r="E4012" s="6" t="s">
        <v>149</v>
      </c>
      <c r="F4012" s="7" t="s">
        <v>58</v>
      </c>
      <c r="G4012" s="33" t="s">
        <v>168</v>
      </c>
      <c r="H4012" s="33" t="s">
        <v>5884</v>
      </c>
      <c r="I4012" s="157">
        <v>0</v>
      </c>
      <c r="J4012" s="142">
        <v>180</v>
      </c>
      <c r="K4012" s="142">
        <v>0</v>
      </c>
      <c r="L4012" s="142">
        <v>1</v>
      </c>
      <c r="M4012" s="142">
        <v>0</v>
      </c>
      <c r="N4012" s="142">
        <v>0</v>
      </c>
      <c r="O4012" s="142">
        <v>0</v>
      </c>
      <c r="P4012" s="158">
        <v>0</v>
      </c>
      <c r="Q4012" s="157" t="s">
        <v>154</v>
      </c>
    </row>
    <row r="4013" spans="1:17" ht="120" x14ac:dyDescent="0.25">
      <c r="A4013" s="48">
        <v>40785</v>
      </c>
      <c r="B4013" s="48">
        <v>40785</v>
      </c>
      <c r="C4013" s="344">
        <v>2011</v>
      </c>
      <c r="D4013" s="24" t="s">
        <v>141</v>
      </c>
      <c r="E4013" s="30" t="s">
        <v>142</v>
      </c>
      <c r="F4013" s="28" t="s">
        <v>210</v>
      </c>
      <c r="G4013" s="33" t="s">
        <v>1140</v>
      </c>
      <c r="H4013" s="33" t="s">
        <v>5885</v>
      </c>
      <c r="I4013" s="157">
        <v>1</v>
      </c>
      <c r="J4013" s="142">
        <v>15</v>
      </c>
      <c r="K4013" s="142">
        <v>0</v>
      </c>
      <c r="L4013" s="142">
        <v>0</v>
      </c>
      <c r="M4013" s="142">
        <v>0</v>
      </c>
      <c r="N4013" s="142">
        <v>0</v>
      </c>
      <c r="O4013" s="142">
        <v>0</v>
      </c>
      <c r="P4013" s="158">
        <v>0.67500000000000004</v>
      </c>
      <c r="Q4013" s="157" t="s">
        <v>154</v>
      </c>
    </row>
    <row r="4014" spans="1:17" ht="84" x14ac:dyDescent="0.25">
      <c r="A4014" s="48">
        <v>40785</v>
      </c>
      <c r="B4014" s="48">
        <v>40785</v>
      </c>
      <c r="C4014" s="344">
        <v>2011</v>
      </c>
      <c r="D4014" s="24" t="s">
        <v>141</v>
      </c>
      <c r="E4014" s="30" t="s">
        <v>142</v>
      </c>
      <c r="F4014" s="28" t="s">
        <v>210</v>
      </c>
      <c r="G4014" s="33" t="s">
        <v>5886</v>
      </c>
      <c r="H4014" s="33" t="s">
        <v>5887</v>
      </c>
      <c r="I4014" s="157">
        <v>2</v>
      </c>
      <c r="J4014" s="142">
        <v>16</v>
      </c>
      <c r="K4014" s="142">
        <v>0</v>
      </c>
      <c r="L4014" s="142">
        <v>0</v>
      </c>
      <c r="M4014" s="142">
        <v>0</v>
      </c>
      <c r="N4014" s="142">
        <v>0</v>
      </c>
      <c r="O4014" s="142">
        <v>0</v>
      </c>
      <c r="P4014" s="158">
        <v>1.2</v>
      </c>
      <c r="Q4014" s="157" t="s">
        <v>154</v>
      </c>
    </row>
    <row r="4015" spans="1:17" ht="60" x14ac:dyDescent="0.25">
      <c r="A4015" s="48">
        <v>40784</v>
      </c>
      <c r="B4015" s="48">
        <v>40784</v>
      </c>
      <c r="C4015" s="344">
        <v>2011</v>
      </c>
      <c r="D4015" s="35" t="s">
        <v>28</v>
      </c>
      <c r="E4015" s="6" t="s">
        <v>369</v>
      </c>
      <c r="F4015" s="28" t="s">
        <v>210</v>
      </c>
      <c r="G4015" s="33" t="s">
        <v>5888</v>
      </c>
      <c r="H4015" s="33" t="s">
        <v>5889</v>
      </c>
      <c r="I4015" s="157">
        <v>0</v>
      </c>
      <c r="J4015" s="142">
        <v>1</v>
      </c>
      <c r="K4015" s="142">
        <v>0</v>
      </c>
      <c r="L4015" s="142">
        <v>0</v>
      </c>
      <c r="M4015" s="142">
        <v>0</v>
      </c>
      <c r="N4015" s="142">
        <v>0</v>
      </c>
      <c r="O4015" s="142">
        <v>0</v>
      </c>
      <c r="P4015" s="158">
        <v>0</v>
      </c>
      <c r="Q4015" s="157" t="s">
        <v>154</v>
      </c>
    </row>
    <row r="4016" spans="1:17" ht="48" x14ac:dyDescent="0.25">
      <c r="A4016" s="48">
        <v>40814</v>
      </c>
      <c r="B4016" s="48">
        <v>40814</v>
      </c>
      <c r="C4016" s="344">
        <v>2011</v>
      </c>
      <c r="D4016" s="35" t="s">
        <v>28</v>
      </c>
      <c r="E4016" s="30" t="s">
        <v>133</v>
      </c>
      <c r="F4016" s="7" t="s">
        <v>97</v>
      </c>
      <c r="G4016" s="33" t="s">
        <v>3882</v>
      </c>
      <c r="H4016" s="33" t="s">
        <v>5890</v>
      </c>
      <c r="I4016" s="157">
        <v>1</v>
      </c>
      <c r="J4016" s="142">
        <v>1</v>
      </c>
      <c r="K4016" s="142">
        <v>0</v>
      </c>
      <c r="L4016" s="142">
        <v>0</v>
      </c>
      <c r="M4016" s="142">
        <v>0</v>
      </c>
      <c r="N4016" s="142">
        <v>0</v>
      </c>
      <c r="O4016" s="142">
        <v>0</v>
      </c>
      <c r="P4016" s="158">
        <v>0</v>
      </c>
      <c r="Q4016" s="157" t="s">
        <v>154</v>
      </c>
    </row>
    <row r="4017" spans="1:17" ht="96" x14ac:dyDescent="0.25">
      <c r="A4017" s="48">
        <v>40782</v>
      </c>
      <c r="B4017" s="48">
        <v>40782</v>
      </c>
      <c r="C4017" s="344">
        <v>2011</v>
      </c>
      <c r="D4017" s="35" t="s">
        <v>28</v>
      </c>
      <c r="E4017" s="30" t="s">
        <v>125</v>
      </c>
      <c r="F4017" s="7" t="s">
        <v>91</v>
      </c>
      <c r="G4017" s="33" t="s">
        <v>2315</v>
      </c>
      <c r="H4017" s="33" t="s">
        <v>5891</v>
      </c>
      <c r="I4017" s="157">
        <v>0</v>
      </c>
      <c r="J4017" s="142">
        <v>38</v>
      </c>
      <c r="K4017" s="142">
        <v>0</v>
      </c>
      <c r="L4017" s="142">
        <v>0</v>
      </c>
      <c r="M4017" s="142">
        <v>0</v>
      </c>
      <c r="N4017" s="142">
        <v>0</v>
      </c>
      <c r="O4017" s="142">
        <v>0</v>
      </c>
      <c r="P4017" s="158">
        <v>0</v>
      </c>
      <c r="Q4017" s="157" t="s">
        <v>154</v>
      </c>
    </row>
    <row r="4018" spans="1:17" ht="84" x14ac:dyDescent="0.25">
      <c r="A4018" s="48">
        <v>40781</v>
      </c>
      <c r="B4018" s="48">
        <v>40781</v>
      </c>
      <c r="C4018" s="344">
        <v>2011</v>
      </c>
      <c r="D4018" s="24" t="s">
        <v>141</v>
      </c>
      <c r="E4018" s="30" t="s">
        <v>142</v>
      </c>
      <c r="F4018" s="7" t="s">
        <v>87</v>
      </c>
      <c r="G4018" s="33" t="s">
        <v>567</v>
      </c>
      <c r="H4018" s="33" t="s">
        <v>5892</v>
      </c>
      <c r="I4018" s="157">
        <v>1</v>
      </c>
      <c r="J4018" s="142">
        <v>12</v>
      </c>
      <c r="K4018" s="142">
        <v>0</v>
      </c>
      <c r="L4018" s="142">
        <v>0</v>
      </c>
      <c r="M4018" s="142">
        <v>0</v>
      </c>
      <c r="N4018" s="142">
        <v>0</v>
      </c>
      <c r="O4018" s="142">
        <v>0</v>
      </c>
      <c r="P4018" s="158">
        <v>0.4</v>
      </c>
      <c r="Q4018" s="157" t="s">
        <v>154</v>
      </c>
    </row>
    <row r="4019" spans="1:17" ht="36" x14ac:dyDescent="0.25">
      <c r="A4019" s="48">
        <v>40781</v>
      </c>
      <c r="B4019" s="48">
        <v>40781</v>
      </c>
      <c r="C4019" s="344">
        <v>2011</v>
      </c>
      <c r="D4019" s="351" t="s">
        <v>23</v>
      </c>
      <c r="E4019" s="49" t="s">
        <v>5893</v>
      </c>
      <c r="F4019" s="7" t="s">
        <v>87</v>
      </c>
      <c r="G4019" s="33" t="s">
        <v>1098</v>
      </c>
      <c r="H4019" s="33" t="s">
        <v>5894</v>
      </c>
      <c r="I4019" s="157">
        <v>1</v>
      </c>
      <c r="J4019" s="142">
        <v>1</v>
      </c>
      <c r="K4019" s="142">
        <v>0</v>
      </c>
      <c r="L4019" s="142">
        <v>0</v>
      </c>
      <c r="M4019" s="142">
        <v>0</v>
      </c>
      <c r="N4019" s="142">
        <v>0</v>
      </c>
      <c r="O4019" s="142">
        <v>0</v>
      </c>
      <c r="P4019" s="158">
        <v>0</v>
      </c>
      <c r="Q4019" s="157" t="s">
        <v>154</v>
      </c>
    </row>
    <row r="4020" spans="1:17" ht="96" x14ac:dyDescent="0.25">
      <c r="A4020" s="48">
        <v>40780</v>
      </c>
      <c r="B4020" s="48">
        <v>40780</v>
      </c>
      <c r="C4020" s="344">
        <v>2011</v>
      </c>
      <c r="D4020" s="24" t="s">
        <v>141</v>
      </c>
      <c r="E4020" s="30" t="s">
        <v>142</v>
      </c>
      <c r="F4020" s="7" t="s">
        <v>84</v>
      </c>
      <c r="G4020" s="33" t="s">
        <v>3740</v>
      </c>
      <c r="H4020" s="33" t="s">
        <v>5895</v>
      </c>
      <c r="I4020" s="157">
        <v>0</v>
      </c>
      <c r="J4020" s="142">
        <v>0</v>
      </c>
      <c r="K4020" s="142">
        <v>0</v>
      </c>
      <c r="L4020" s="142">
        <v>0</v>
      </c>
      <c r="M4020" s="142">
        <v>0</v>
      </c>
      <c r="N4020" s="142">
        <v>0</v>
      </c>
      <c r="O4020" s="142">
        <v>0</v>
      </c>
      <c r="P4020" s="158">
        <v>0.45</v>
      </c>
      <c r="Q4020" s="157" t="s">
        <v>154</v>
      </c>
    </row>
    <row r="4021" spans="1:17" ht="48" x14ac:dyDescent="0.25">
      <c r="A4021" s="23">
        <v>40779</v>
      </c>
      <c r="B4021" s="23">
        <v>40779</v>
      </c>
      <c r="C4021" s="24">
        <v>2011</v>
      </c>
      <c r="D4021" s="351" t="s">
        <v>23</v>
      </c>
      <c r="E4021" s="22" t="s">
        <v>86</v>
      </c>
      <c r="F4021" s="7" t="s">
        <v>84</v>
      </c>
      <c r="G4021" s="44" t="s">
        <v>5896</v>
      </c>
      <c r="H4021" s="44" t="s">
        <v>5897</v>
      </c>
      <c r="I4021" s="20">
        <v>0</v>
      </c>
      <c r="J4021" s="20">
        <v>5944</v>
      </c>
      <c r="K4021" s="20" t="s">
        <v>110</v>
      </c>
      <c r="L4021" s="20">
        <v>8</v>
      </c>
      <c r="M4021" s="20" t="s">
        <v>110</v>
      </c>
      <c r="N4021" s="142">
        <v>0</v>
      </c>
      <c r="O4021" s="20" t="s">
        <v>110</v>
      </c>
      <c r="P4021" s="26">
        <v>57.116239999999998</v>
      </c>
      <c r="Q4021" s="45" t="s">
        <v>186</v>
      </c>
    </row>
    <row r="4022" spans="1:17" ht="144" x14ac:dyDescent="0.25">
      <c r="A4022" s="48">
        <v>40793</v>
      </c>
      <c r="B4022" s="48">
        <v>40793</v>
      </c>
      <c r="C4022" s="344">
        <v>2011</v>
      </c>
      <c r="D4022" s="24" t="s">
        <v>141</v>
      </c>
      <c r="E4022" s="49" t="s">
        <v>1600</v>
      </c>
      <c r="F4022" s="7" t="s">
        <v>84</v>
      </c>
      <c r="G4022" s="33" t="s">
        <v>2143</v>
      </c>
      <c r="H4022" s="33" t="s">
        <v>5898</v>
      </c>
      <c r="I4022" s="157">
        <v>2</v>
      </c>
      <c r="J4022" s="142">
        <v>6</v>
      </c>
      <c r="K4022" s="142">
        <v>0</v>
      </c>
      <c r="L4022" s="142">
        <v>0</v>
      </c>
      <c r="M4022" s="142">
        <v>0</v>
      </c>
      <c r="N4022" s="142">
        <v>0</v>
      </c>
      <c r="O4022" s="142">
        <v>0</v>
      </c>
      <c r="P4022" s="158">
        <v>0.82199999999999995</v>
      </c>
      <c r="Q4022" s="157" t="s">
        <v>154</v>
      </c>
    </row>
    <row r="4023" spans="1:17" ht="132" x14ac:dyDescent="0.25">
      <c r="A4023" s="48">
        <v>40778</v>
      </c>
      <c r="B4023" s="48">
        <v>40778</v>
      </c>
      <c r="C4023" s="344">
        <v>2011</v>
      </c>
      <c r="D4023" s="351" t="s">
        <v>23</v>
      </c>
      <c r="E4023" s="49" t="s">
        <v>323</v>
      </c>
      <c r="F4023" s="7" t="s">
        <v>75</v>
      </c>
      <c r="G4023" s="33" t="s">
        <v>5899</v>
      </c>
      <c r="H4023" s="33" t="s">
        <v>5900</v>
      </c>
      <c r="I4023" s="157">
        <v>0</v>
      </c>
      <c r="J4023" s="142">
        <v>505</v>
      </c>
      <c r="K4023" s="142">
        <v>101</v>
      </c>
      <c r="L4023" s="142">
        <v>0</v>
      </c>
      <c r="M4023" s="142">
        <v>0</v>
      </c>
      <c r="N4023" s="142">
        <v>0</v>
      </c>
      <c r="O4023" s="142">
        <v>0</v>
      </c>
      <c r="P4023" s="158">
        <v>6.3100000000000003E-2</v>
      </c>
      <c r="Q4023" s="157" t="s">
        <v>154</v>
      </c>
    </row>
    <row r="4024" spans="1:17" ht="120" x14ac:dyDescent="0.25">
      <c r="A4024" s="48">
        <v>40778</v>
      </c>
      <c r="B4024" s="48">
        <v>40778</v>
      </c>
      <c r="C4024" s="344">
        <v>2011</v>
      </c>
      <c r="D4024" s="24" t="s">
        <v>141</v>
      </c>
      <c r="E4024" s="30" t="s">
        <v>142</v>
      </c>
      <c r="F4024" s="7" t="s">
        <v>75</v>
      </c>
      <c r="G4024" s="33" t="s">
        <v>75</v>
      </c>
      <c r="H4024" s="33" t="s">
        <v>5901</v>
      </c>
      <c r="I4024" s="157">
        <v>0</v>
      </c>
      <c r="J4024" s="142">
        <v>8</v>
      </c>
      <c r="K4024" s="142">
        <v>0</v>
      </c>
      <c r="L4024" s="142">
        <v>0</v>
      </c>
      <c r="M4024" s="142">
        <v>0</v>
      </c>
      <c r="N4024" s="142">
        <v>0</v>
      </c>
      <c r="O4024" s="142">
        <v>0</v>
      </c>
      <c r="P4024" s="158">
        <v>0.4</v>
      </c>
      <c r="Q4024" s="157" t="s">
        <v>154</v>
      </c>
    </row>
    <row r="4025" spans="1:17" ht="168" x14ac:dyDescent="0.25">
      <c r="A4025" s="48">
        <v>40775</v>
      </c>
      <c r="B4025" s="48">
        <v>40775</v>
      </c>
      <c r="C4025" s="344">
        <v>2011</v>
      </c>
      <c r="D4025" s="24" t="s">
        <v>141</v>
      </c>
      <c r="E4025" s="30" t="s">
        <v>142</v>
      </c>
      <c r="F4025" s="7" t="s">
        <v>75</v>
      </c>
      <c r="G4025" s="33" t="s">
        <v>5902</v>
      </c>
      <c r="H4025" s="33" t="s">
        <v>5903</v>
      </c>
      <c r="I4025" s="157">
        <v>0</v>
      </c>
      <c r="J4025" s="142">
        <v>2</v>
      </c>
      <c r="K4025" s="142">
        <v>0</v>
      </c>
      <c r="L4025" s="142">
        <v>0</v>
      </c>
      <c r="M4025" s="142">
        <v>0</v>
      </c>
      <c r="N4025" s="142">
        <v>0</v>
      </c>
      <c r="O4025" s="142">
        <v>0</v>
      </c>
      <c r="P4025" s="158">
        <v>0</v>
      </c>
      <c r="Q4025" s="157" t="s">
        <v>154</v>
      </c>
    </row>
    <row r="4026" spans="1:17" ht="96" x14ac:dyDescent="0.25">
      <c r="A4026" s="48">
        <v>40778</v>
      </c>
      <c r="B4026" s="48">
        <v>40778</v>
      </c>
      <c r="C4026" s="344">
        <v>2011</v>
      </c>
      <c r="D4026" s="24" t="s">
        <v>141</v>
      </c>
      <c r="E4026" s="30" t="s">
        <v>142</v>
      </c>
      <c r="F4026" s="7" t="s">
        <v>75</v>
      </c>
      <c r="G4026" s="33" t="s">
        <v>3707</v>
      </c>
      <c r="H4026" s="33" t="s">
        <v>5904</v>
      </c>
      <c r="I4026" s="157">
        <v>0</v>
      </c>
      <c r="J4026" s="142">
        <v>9</v>
      </c>
      <c r="K4026" s="142">
        <v>0</v>
      </c>
      <c r="L4026" s="142">
        <v>0</v>
      </c>
      <c r="M4026" s="142">
        <v>0</v>
      </c>
      <c r="N4026" s="142">
        <v>0</v>
      </c>
      <c r="O4026" s="142">
        <v>0</v>
      </c>
      <c r="P4026" s="158">
        <v>0.67500000000000004</v>
      </c>
      <c r="Q4026" s="157" t="s">
        <v>154</v>
      </c>
    </row>
    <row r="4027" spans="1:17" ht="48" x14ac:dyDescent="0.25">
      <c r="A4027" s="48">
        <v>40777</v>
      </c>
      <c r="B4027" s="48">
        <v>40777</v>
      </c>
      <c r="C4027" s="344">
        <v>2011</v>
      </c>
      <c r="D4027" s="24" t="s">
        <v>141</v>
      </c>
      <c r="E4027" s="30" t="s">
        <v>142</v>
      </c>
      <c r="F4027" s="7" t="s">
        <v>75</v>
      </c>
      <c r="G4027" s="33" t="s">
        <v>3006</v>
      </c>
      <c r="H4027" s="33" t="s">
        <v>5905</v>
      </c>
      <c r="I4027" s="157">
        <v>2</v>
      </c>
      <c r="J4027" s="142">
        <v>16</v>
      </c>
      <c r="K4027" s="142">
        <v>0</v>
      </c>
      <c r="L4027" s="142">
        <v>0</v>
      </c>
      <c r="M4027" s="142">
        <v>0</v>
      </c>
      <c r="N4027" s="142">
        <v>0</v>
      </c>
      <c r="O4027" s="142">
        <v>0</v>
      </c>
      <c r="P4027" s="158">
        <v>0.71279999999999999</v>
      </c>
      <c r="Q4027" s="157" t="s">
        <v>154</v>
      </c>
    </row>
    <row r="4028" spans="1:17" ht="84" x14ac:dyDescent="0.25">
      <c r="A4028" s="48">
        <v>40777</v>
      </c>
      <c r="B4028" s="48">
        <v>40777</v>
      </c>
      <c r="C4028" s="344">
        <v>2011</v>
      </c>
      <c r="D4028" s="24" t="s">
        <v>141</v>
      </c>
      <c r="E4028" s="30" t="s">
        <v>142</v>
      </c>
      <c r="F4028" s="7" t="s">
        <v>75</v>
      </c>
      <c r="G4028" s="33" t="s">
        <v>75</v>
      </c>
      <c r="H4028" s="33" t="s">
        <v>5906</v>
      </c>
      <c r="I4028" s="157">
        <v>1</v>
      </c>
      <c r="J4028" s="142">
        <v>20</v>
      </c>
      <c r="K4028" s="142">
        <v>0</v>
      </c>
      <c r="L4028" s="142">
        <v>0</v>
      </c>
      <c r="M4028" s="142">
        <v>0</v>
      </c>
      <c r="N4028" s="142">
        <v>0</v>
      </c>
      <c r="O4028" s="142">
        <v>0</v>
      </c>
      <c r="P4028" s="158">
        <v>0.4</v>
      </c>
      <c r="Q4028" s="157" t="s">
        <v>154</v>
      </c>
    </row>
    <row r="4029" spans="1:17" ht="192" x14ac:dyDescent="0.25">
      <c r="A4029" s="48">
        <v>40777</v>
      </c>
      <c r="B4029" s="48">
        <v>40777</v>
      </c>
      <c r="C4029" s="344">
        <v>2011</v>
      </c>
      <c r="D4029" s="351" t="s">
        <v>23</v>
      </c>
      <c r="E4029" s="22" t="s">
        <v>86</v>
      </c>
      <c r="F4029" s="7" t="s">
        <v>75</v>
      </c>
      <c r="G4029" s="33" t="s">
        <v>5907</v>
      </c>
      <c r="H4029" s="33" t="s">
        <v>5908</v>
      </c>
      <c r="I4029" s="157">
        <v>1</v>
      </c>
      <c r="J4029" s="142">
        <v>25</v>
      </c>
      <c r="K4029" s="142">
        <v>5</v>
      </c>
      <c r="L4029" s="142">
        <v>0</v>
      </c>
      <c r="M4029" s="142">
        <v>0</v>
      </c>
      <c r="N4029" s="142">
        <v>0</v>
      </c>
      <c r="O4029" s="142">
        <v>0</v>
      </c>
      <c r="P4029" s="158">
        <v>0.23200000000000001</v>
      </c>
      <c r="Q4029" s="157" t="s">
        <v>154</v>
      </c>
    </row>
    <row r="4030" spans="1:17" ht="120" x14ac:dyDescent="0.25">
      <c r="A4030" s="23">
        <v>40777</v>
      </c>
      <c r="B4030" s="23">
        <v>40777</v>
      </c>
      <c r="C4030" s="24">
        <v>2011</v>
      </c>
      <c r="D4030" s="351" t="s">
        <v>23</v>
      </c>
      <c r="E4030" s="22" t="s">
        <v>86</v>
      </c>
      <c r="F4030" s="7" t="s">
        <v>75</v>
      </c>
      <c r="G4030" s="44" t="s">
        <v>5909</v>
      </c>
      <c r="H4030" s="44" t="s">
        <v>5910</v>
      </c>
      <c r="I4030" s="20">
        <v>1</v>
      </c>
      <c r="J4030" s="20">
        <f>(27*5)</f>
        <v>135</v>
      </c>
      <c r="K4030" s="20">
        <v>0</v>
      </c>
      <c r="L4030" s="20">
        <v>0</v>
      </c>
      <c r="M4030" s="20">
        <v>0</v>
      </c>
      <c r="N4030" s="142">
        <v>0</v>
      </c>
      <c r="O4030" s="20">
        <v>0</v>
      </c>
      <c r="P4030" s="26">
        <v>0</v>
      </c>
      <c r="Q4030" s="45" t="s">
        <v>154</v>
      </c>
    </row>
    <row r="4031" spans="1:17" ht="48" x14ac:dyDescent="0.25">
      <c r="A4031" s="23">
        <v>40774</v>
      </c>
      <c r="B4031" s="23">
        <v>40774</v>
      </c>
      <c r="C4031" s="24">
        <v>2011</v>
      </c>
      <c r="D4031" s="35" t="s">
        <v>28</v>
      </c>
      <c r="E4031" s="30" t="s">
        <v>133</v>
      </c>
      <c r="F4031" s="7" t="s">
        <v>53</v>
      </c>
      <c r="G4031" s="44" t="s">
        <v>4246</v>
      </c>
      <c r="H4031" s="44" t="s">
        <v>5911</v>
      </c>
      <c r="I4031" s="20">
        <v>2</v>
      </c>
      <c r="J4031" s="20">
        <v>4</v>
      </c>
      <c r="K4031" s="20">
        <v>0</v>
      </c>
      <c r="L4031" s="20">
        <v>0</v>
      </c>
      <c r="M4031" s="20">
        <v>0</v>
      </c>
      <c r="N4031" s="142">
        <v>0</v>
      </c>
      <c r="O4031" s="20">
        <v>0</v>
      </c>
      <c r="P4031" s="158">
        <v>0</v>
      </c>
      <c r="Q4031" s="45" t="s">
        <v>154</v>
      </c>
    </row>
    <row r="4032" spans="1:17" ht="96" x14ac:dyDescent="0.25">
      <c r="A4032" s="23">
        <v>40550</v>
      </c>
      <c r="B4032" s="23">
        <v>40550</v>
      </c>
      <c r="C4032" s="24">
        <v>2011</v>
      </c>
      <c r="D4032" s="24" t="s">
        <v>141</v>
      </c>
      <c r="E4032" s="30" t="s">
        <v>142</v>
      </c>
      <c r="F4032" s="7" t="s">
        <v>53</v>
      </c>
      <c r="G4032" s="44" t="s">
        <v>1236</v>
      </c>
      <c r="H4032" s="44" t="s">
        <v>5912</v>
      </c>
      <c r="I4032" s="20">
        <v>0</v>
      </c>
      <c r="J4032" s="20">
        <v>24</v>
      </c>
      <c r="K4032" s="20">
        <v>0</v>
      </c>
      <c r="L4032" s="20">
        <v>0</v>
      </c>
      <c r="M4032" s="20">
        <v>0</v>
      </c>
      <c r="N4032" s="142">
        <v>0</v>
      </c>
      <c r="O4032" s="20">
        <v>0</v>
      </c>
      <c r="P4032" s="26">
        <v>0.43780000000000002</v>
      </c>
      <c r="Q4032" s="45" t="s">
        <v>154</v>
      </c>
    </row>
    <row r="4033" spans="1:17" ht="60" x14ac:dyDescent="0.25">
      <c r="A4033" s="23">
        <v>40645</v>
      </c>
      <c r="B4033" s="23">
        <v>40645</v>
      </c>
      <c r="C4033" s="24">
        <v>2011</v>
      </c>
      <c r="D4033" s="24" t="s">
        <v>141</v>
      </c>
      <c r="E4033" s="30" t="s">
        <v>142</v>
      </c>
      <c r="F4033" s="7" t="s">
        <v>53</v>
      </c>
      <c r="G4033" s="44" t="s">
        <v>1304</v>
      </c>
      <c r="H4033" s="44" t="s">
        <v>5913</v>
      </c>
      <c r="I4033" s="20">
        <v>0</v>
      </c>
      <c r="J4033" s="20">
        <v>5</v>
      </c>
      <c r="K4033" s="20">
        <v>0</v>
      </c>
      <c r="L4033" s="20">
        <v>0</v>
      </c>
      <c r="M4033" s="20">
        <v>0</v>
      </c>
      <c r="N4033" s="142">
        <v>0</v>
      </c>
      <c r="O4033" s="20">
        <v>0</v>
      </c>
      <c r="P4033" s="26">
        <v>0.45</v>
      </c>
      <c r="Q4033" s="45" t="s">
        <v>154</v>
      </c>
    </row>
    <row r="4034" spans="1:17" ht="108" x14ac:dyDescent="0.25">
      <c r="A4034" s="23">
        <v>40771</v>
      </c>
      <c r="B4034" s="23">
        <v>40771</v>
      </c>
      <c r="C4034" s="24">
        <v>2011</v>
      </c>
      <c r="D4034" s="24" t="s">
        <v>141</v>
      </c>
      <c r="E4034" s="30" t="s">
        <v>142</v>
      </c>
      <c r="F4034" s="7" t="s">
        <v>60</v>
      </c>
      <c r="G4034" s="44" t="s">
        <v>1605</v>
      </c>
      <c r="H4034" s="44" t="s">
        <v>5914</v>
      </c>
      <c r="I4034" s="20">
        <v>0</v>
      </c>
      <c r="J4034" s="20">
        <v>2</v>
      </c>
      <c r="K4034" s="20">
        <v>0</v>
      </c>
      <c r="L4034" s="20">
        <v>0</v>
      </c>
      <c r="M4034" s="20">
        <v>0</v>
      </c>
      <c r="N4034" s="142">
        <v>0</v>
      </c>
      <c r="O4034" s="20">
        <v>0</v>
      </c>
      <c r="P4034" s="26">
        <v>0.45</v>
      </c>
      <c r="Q4034" s="45" t="s">
        <v>154</v>
      </c>
    </row>
    <row r="4035" spans="1:17" ht="120" x14ac:dyDescent="0.25">
      <c r="A4035" s="23">
        <v>40630</v>
      </c>
      <c r="B4035" s="23">
        <v>40630</v>
      </c>
      <c r="C4035" s="24">
        <v>2011</v>
      </c>
      <c r="D4035" s="35" t="s">
        <v>28</v>
      </c>
      <c r="E4035" s="30" t="s">
        <v>133</v>
      </c>
      <c r="F4035" s="7" t="s">
        <v>60</v>
      </c>
      <c r="G4035" s="44" t="s">
        <v>3653</v>
      </c>
      <c r="H4035" s="44" t="s">
        <v>5915</v>
      </c>
      <c r="I4035" s="20">
        <v>0</v>
      </c>
      <c r="J4035" s="20">
        <v>1</v>
      </c>
      <c r="K4035" s="20">
        <v>0</v>
      </c>
      <c r="L4035" s="20">
        <v>0</v>
      </c>
      <c r="M4035" s="20">
        <v>0</v>
      </c>
      <c r="N4035" s="142">
        <v>0</v>
      </c>
      <c r="O4035" s="20">
        <v>0</v>
      </c>
      <c r="P4035" s="158">
        <v>0</v>
      </c>
      <c r="Q4035" s="45" t="s">
        <v>154</v>
      </c>
    </row>
    <row r="4036" spans="1:17" ht="168" x14ac:dyDescent="0.25">
      <c r="A4036" s="23">
        <v>40767</v>
      </c>
      <c r="B4036" s="23">
        <v>40767</v>
      </c>
      <c r="C4036" s="24">
        <v>2011</v>
      </c>
      <c r="D4036" s="351" t="s">
        <v>23</v>
      </c>
      <c r="E4036" s="22" t="s">
        <v>86</v>
      </c>
      <c r="F4036" s="7" t="s">
        <v>58</v>
      </c>
      <c r="G4036" s="44" t="s">
        <v>5916</v>
      </c>
      <c r="H4036" s="44" t="s">
        <v>5917</v>
      </c>
      <c r="I4036" s="20">
        <v>0</v>
      </c>
      <c r="J4036" s="20">
        <f>(145*5+1)</f>
        <v>726</v>
      </c>
      <c r="K4036" s="20">
        <v>145</v>
      </c>
      <c r="L4036" s="20">
        <v>0</v>
      </c>
      <c r="M4036" s="20">
        <v>0</v>
      </c>
      <c r="N4036" s="142">
        <v>0</v>
      </c>
      <c r="O4036" s="20">
        <v>0</v>
      </c>
      <c r="P4036" s="26">
        <v>4.53E-2</v>
      </c>
      <c r="Q4036" s="45" t="s">
        <v>154</v>
      </c>
    </row>
    <row r="4037" spans="1:17" ht="132" x14ac:dyDescent="0.25">
      <c r="A4037" s="23">
        <v>40765</v>
      </c>
      <c r="B4037" s="23">
        <v>40765</v>
      </c>
      <c r="C4037" s="24">
        <v>2011</v>
      </c>
      <c r="D4037" s="35" t="s">
        <v>28</v>
      </c>
      <c r="E4037" s="6" t="s">
        <v>149</v>
      </c>
      <c r="F4037" s="7" t="s">
        <v>56</v>
      </c>
      <c r="G4037" s="44" t="s">
        <v>351</v>
      </c>
      <c r="H4037" s="44" t="s">
        <v>5918</v>
      </c>
      <c r="I4037" s="20">
        <v>0</v>
      </c>
      <c r="J4037" s="20">
        <v>1</v>
      </c>
      <c r="K4037" s="20">
        <v>0</v>
      </c>
      <c r="L4037" s="20">
        <v>0</v>
      </c>
      <c r="M4037" s="20">
        <v>0</v>
      </c>
      <c r="N4037" s="142">
        <v>0</v>
      </c>
      <c r="O4037" s="20">
        <v>0</v>
      </c>
      <c r="P4037" s="158">
        <v>0</v>
      </c>
      <c r="Q4037" s="45" t="s">
        <v>154</v>
      </c>
    </row>
    <row r="4038" spans="1:17" ht="84" x14ac:dyDescent="0.25">
      <c r="A4038" s="23">
        <v>40764</v>
      </c>
      <c r="B4038" s="23">
        <v>40764</v>
      </c>
      <c r="C4038" s="24">
        <v>2011</v>
      </c>
      <c r="D4038" s="24" t="s">
        <v>141</v>
      </c>
      <c r="E4038" s="30" t="s">
        <v>142</v>
      </c>
      <c r="F4038" s="7" t="s">
        <v>49</v>
      </c>
      <c r="G4038" s="44" t="s">
        <v>5919</v>
      </c>
      <c r="H4038" s="44" t="s">
        <v>5920</v>
      </c>
      <c r="I4038" s="20">
        <v>1</v>
      </c>
      <c r="J4038" s="20">
        <v>41</v>
      </c>
      <c r="K4038" s="20">
        <v>0</v>
      </c>
      <c r="L4038" s="20">
        <v>0</v>
      </c>
      <c r="M4038" s="20">
        <v>0</v>
      </c>
      <c r="N4038" s="142">
        <v>0</v>
      </c>
      <c r="O4038" s="20">
        <v>0</v>
      </c>
      <c r="P4038" s="26">
        <v>0.43780000000000002</v>
      </c>
      <c r="Q4038" s="45" t="s">
        <v>154</v>
      </c>
    </row>
    <row r="4039" spans="1:17" ht="72" x14ac:dyDescent="0.25">
      <c r="A4039" s="23">
        <v>40563</v>
      </c>
      <c r="B4039" s="23">
        <v>40563</v>
      </c>
      <c r="C4039" s="24">
        <v>2011</v>
      </c>
      <c r="D4039" s="24" t="s">
        <v>141</v>
      </c>
      <c r="E4039" s="30" t="s">
        <v>142</v>
      </c>
      <c r="F4039" s="28" t="s">
        <v>157</v>
      </c>
      <c r="G4039" s="44" t="s">
        <v>3606</v>
      </c>
      <c r="H4039" s="44" t="s">
        <v>5921</v>
      </c>
      <c r="I4039" s="20">
        <v>0</v>
      </c>
      <c r="J4039" s="20">
        <v>19</v>
      </c>
      <c r="K4039" s="20">
        <v>0</v>
      </c>
      <c r="L4039" s="20">
        <v>0</v>
      </c>
      <c r="M4039" s="20">
        <v>0</v>
      </c>
      <c r="N4039" s="142">
        <v>0</v>
      </c>
      <c r="O4039" s="20">
        <v>0</v>
      </c>
      <c r="P4039" s="26">
        <v>7.5600000000000001E-2</v>
      </c>
      <c r="Q4039" s="45" t="s">
        <v>154</v>
      </c>
    </row>
    <row r="4040" spans="1:17" ht="156" x14ac:dyDescent="0.25">
      <c r="A4040" s="23">
        <v>40595</v>
      </c>
      <c r="B4040" s="23">
        <v>40595</v>
      </c>
      <c r="C4040" s="24">
        <v>2011</v>
      </c>
      <c r="D4040" s="24" t="s">
        <v>141</v>
      </c>
      <c r="E4040" s="30" t="s">
        <v>142</v>
      </c>
      <c r="F4040" s="28" t="s">
        <v>157</v>
      </c>
      <c r="G4040" s="44" t="s">
        <v>5832</v>
      </c>
      <c r="H4040" s="44" t="s">
        <v>5922</v>
      </c>
      <c r="I4040" s="20">
        <v>0</v>
      </c>
      <c r="J4040" s="20">
        <v>5</v>
      </c>
      <c r="K4040" s="20">
        <v>0</v>
      </c>
      <c r="L4040" s="20">
        <v>0</v>
      </c>
      <c r="M4040" s="20">
        <v>0</v>
      </c>
      <c r="N4040" s="142">
        <v>0</v>
      </c>
      <c r="O4040" s="20">
        <v>0</v>
      </c>
      <c r="P4040" s="26">
        <v>1.4139999999999999</v>
      </c>
      <c r="Q4040" s="45" t="s">
        <v>154</v>
      </c>
    </row>
    <row r="4041" spans="1:17" ht="108" x14ac:dyDescent="0.25">
      <c r="A4041" s="23">
        <v>40611</v>
      </c>
      <c r="B4041" s="23">
        <v>40611</v>
      </c>
      <c r="C4041" s="24">
        <v>2011</v>
      </c>
      <c r="D4041" s="35" t="s">
        <v>28</v>
      </c>
      <c r="E4041" s="30" t="s">
        <v>133</v>
      </c>
      <c r="F4041" s="28" t="s">
        <v>157</v>
      </c>
      <c r="G4041" s="44" t="s">
        <v>5923</v>
      </c>
      <c r="H4041" s="44" t="s">
        <v>5924</v>
      </c>
      <c r="I4041" s="20">
        <v>0</v>
      </c>
      <c r="J4041" s="20">
        <v>1</v>
      </c>
      <c r="K4041" s="20">
        <v>0</v>
      </c>
      <c r="L4041" s="20">
        <v>0</v>
      </c>
      <c r="M4041" s="20">
        <v>0</v>
      </c>
      <c r="N4041" s="142">
        <v>0</v>
      </c>
      <c r="O4041" s="20">
        <v>0</v>
      </c>
      <c r="P4041" s="26">
        <v>0</v>
      </c>
      <c r="Q4041" s="45" t="s">
        <v>154</v>
      </c>
    </row>
    <row r="4042" spans="1:17" ht="72" x14ac:dyDescent="0.25">
      <c r="A4042" s="23">
        <v>40687</v>
      </c>
      <c r="B4042" s="23">
        <v>40687</v>
      </c>
      <c r="C4042" s="24">
        <v>2011</v>
      </c>
      <c r="D4042" s="24" t="s">
        <v>141</v>
      </c>
      <c r="E4042" s="30" t="s">
        <v>142</v>
      </c>
      <c r="F4042" s="28" t="s">
        <v>157</v>
      </c>
      <c r="G4042" s="44" t="s">
        <v>5925</v>
      </c>
      <c r="H4042" s="44" t="s">
        <v>5926</v>
      </c>
      <c r="I4042" s="20">
        <v>0</v>
      </c>
      <c r="J4042" s="20">
        <v>38</v>
      </c>
      <c r="K4042" s="20">
        <v>0</v>
      </c>
      <c r="L4042" s="20">
        <v>0</v>
      </c>
      <c r="M4042" s="20">
        <v>0</v>
      </c>
      <c r="N4042" s="142">
        <v>0</v>
      </c>
      <c r="O4042" s="20">
        <v>0</v>
      </c>
      <c r="P4042" s="26">
        <v>0.8</v>
      </c>
      <c r="Q4042" s="45" t="s">
        <v>154</v>
      </c>
    </row>
    <row r="4043" spans="1:17" ht="144" x14ac:dyDescent="0.25">
      <c r="A4043" s="23">
        <v>40689</v>
      </c>
      <c r="B4043" s="23">
        <v>40689</v>
      </c>
      <c r="C4043" s="24">
        <v>2011</v>
      </c>
      <c r="D4043" s="24" t="s">
        <v>141</v>
      </c>
      <c r="E4043" s="22" t="s">
        <v>420</v>
      </c>
      <c r="F4043" s="28" t="s">
        <v>157</v>
      </c>
      <c r="G4043" s="44" t="s">
        <v>5927</v>
      </c>
      <c r="H4043" s="44" t="s">
        <v>5928</v>
      </c>
      <c r="I4043" s="20">
        <v>0</v>
      </c>
      <c r="J4043" s="20">
        <v>839</v>
      </c>
      <c r="K4043" s="20">
        <v>0</v>
      </c>
      <c r="L4043" s="20">
        <v>0</v>
      </c>
      <c r="M4043" s="20">
        <v>0</v>
      </c>
      <c r="N4043" s="142">
        <v>0</v>
      </c>
      <c r="O4043" s="20">
        <v>0</v>
      </c>
      <c r="P4043" s="158">
        <v>0</v>
      </c>
      <c r="Q4043" s="45" t="s">
        <v>154</v>
      </c>
    </row>
    <row r="4044" spans="1:17" ht="72" x14ac:dyDescent="0.25">
      <c r="A4044" s="23">
        <v>40717</v>
      </c>
      <c r="B4044" s="23">
        <v>40717</v>
      </c>
      <c r="C4044" s="24">
        <v>2011</v>
      </c>
      <c r="D4044" s="24" t="s">
        <v>141</v>
      </c>
      <c r="E4044" s="30" t="s">
        <v>133</v>
      </c>
      <c r="F4044" s="28" t="s">
        <v>157</v>
      </c>
      <c r="G4044" s="44" t="s">
        <v>5929</v>
      </c>
      <c r="H4044" s="44" t="s">
        <v>5930</v>
      </c>
      <c r="I4044" s="20">
        <v>0</v>
      </c>
      <c r="J4044" s="20">
        <v>5</v>
      </c>
      <c r="K4044" s="20">
        <v>0</v>
      </c>
      <c r="L4044" s="20">
        <v>0</v>
      </c>
      <c r="M4044" s="20">
        <v>0</v>
      </c>
      <c r="N4044" s="142">
        <v>0</v>
      </c>
      <c r="O4044" s="20">
        <v>0</v>
      </c>
      <c r="P4044" s="26">
        <v>0</v>
      </c>
      <c r="Q4044" s="45" t="s">
        <v>154</v>
      </c>
    </row>
    <row r="4045" spans="1:17" ht="72" x14ac:dyDescent="0.25">
      <c r="A4045" s="23">
        <v>40760</v>
      </c>
      <c r="B4045" s="23">
        <v>40760</v>
      </c>
      <c r="C4045" s="24">
        <v>2011</v>
      </c>
      <c r="D4045" s="35" t="s">
        <v>28</v>
      </c>
      <c r="E4045" s="6" t="s">
        <v>149</v>
      </c>
      <c r="F4045" s="7" t="s">
        <v>45</v>
      </c>
      <c r="G4045" s="44" t="s">
        <v>259</v>
      </c>
      <c r="H4045" s="44" t="s">
        <v>5931</v>
      </c>
      <c r="I4045" s="20">
        <v>0</v>
      </c>
      <c r="J4045" s="20">
        <v>1</v>
      </c>
      <c r="K4045" s="20">
        <v>0</v>
      </c>
      <c r="L4045" s="20">
        <v>0</v>
      </c>
      <c r="M4045" s="20">
        <v>0</v>
      </c>
      <c r="N4045" s="142">
        <v>0</v>
      </c>
      <c r="O4045" s="20">
        <v>0</v>
      </c>
      <c r="P4045" s="26">
        <v>2.8000000000000001E-2</v>
      </c>
      <c r="Q4045" s="45" t="s">
        <v>154</v>
      </c>
    </row>
    <row r="4046" spans="1:17" ht="84" x14ac:dyDescent="0.25">
      <c r="A4046" s="23">
        <v>40759</v>
      </c>
      <c r="B4046" s="23">
        <v>40759</v>
      </c>
      <c r="C4046" s="24">
        <v>2011</v>
      </c>
      <c r="D4046" s="24" t="s">
        <v>141</v>
      </c>
      <c r="E4046" s="30" t="s">
        <v>142</v>
      </c>
      <c r="F4046" s="7" t="s">
        <v>40</v>
      </c>
      <c r="G4046" s="44" t="s">
        <v>5932</v>
      </c>
      <c r="H4046" s="44" t="s">
        <v>5933</v>
      </c>
      <c r="I4046" s="20">
        <v>4</v>
      </c>
      <c r="J4046" s="20">
        <v>4</v>
      </c>
      <c r="K4046" s="20">
        <v>0</v>
      </c>
      <c r="L4046" s="20">
        <v>0</v>
      </c>
      <c r="M4046" s="20">
        <v>0</v>
      </c>
      <c r="N4046" s="142">
        <v>0</v>
      </c>
      <c r="O4046" s="20">
        <v>0</v>
      </c>
      <c r="P4046" s="26">
        <v>1.5</v>
      </c>
      <c r="Q4046" s="45" t="s">
        <v>154</v>
      </c>
    </row>
    <row r="4047" spans="1:17" ht="108" x14ac:dyDescent="0.25">
      <c r="A4047" s="23">
        <v>40756</v>
      </c>
      <c r="B4047" s="23">
        <v>40756</v>
      </c>
      <c r="C4047" s="24">
        <v>2011</v>
      </c>
      <c r="D4047" s="35" t="s">
        <v>28</v>
      </c>
      <c r="E4047" s="30" t="s">
        <v>133</v>
      </c>
      <c r="F4047" s="7" t="s">
        <v>72</v>
      </c>
      <c r="G4047" s="44" t="s">
        <v>5294</v>
      </c>
      <c r="H4047" s="44" t="s">
        <v>5934</v>
      </c>
      <c r="I4047" s="20">
        <v>0</v>
      </c>
      <c r="J4047" s="20">
        <v>18</v>
      </c>
      <c r="K4047" s="20">
        <v>0</v>
      </c>
      <c r="L4047" s="20">
        <v>0</v>
      </c>
      <c r="M4047" s="20">
        <v>0</v>
      </c>
      <c r="N4047" s="142">
        <v>0</v>
      </c>
      <c r="O4047" s="20">
        <v>0</v>
      </c>
      <c r="P4047" s="26">
        <v>0</v>
      </c>
      <c r="Q4047" s="45" t="s">
        <v>154</v>
      </c>
    </row>
    <row r="4048" spans="1:17" ht="168" x14ac:dyDescent="0.25">
      <c r="A4048" s="23">
        <v>40574</v>
      </c>
      <c r="B4048" s="23">
        <v>40574</v>
      </c>
      <c r="C4048" s="24">
        <v>2011</v>
      </c>
      <c r="D4048" s="35" t="s">
        <v>28</v>
      </c>
      <c r="E4048" s="6" t="s">
        <v>149</v>
      </c>
      <c r="F4048" s="28" t="s">
        <v>163</v>
      </c>
      <c r="G4048" s="44" t="s">
        <v>4202</v>
      </c>
      <c r="H4048" s="44" t="s">
        <v>5935</v>
      </c>
      <c r="I4048" s="20">
        <v>0</v>
      </c>
      <c r="J4048" s="20">
        <v>700</v>
      </c>
      <c r="K4048" s="20">
        <v>0</v>
      </c>
      <c r="L4048" s="20">
        <v>0</v>
      </c>
      <c r="M4048" s="20">
        <v>0</v>
      </c>
      <c r="N4048" s="142">
        <v>0</v>
      </c>
      <c r="O4048" s="20">
        <v>0</v>
      </c>
      <c r="P4048" s="158">
        <v>0</v>
      </c>
      <c r="Q4048" s="45" t="s">
        <v>154</v>
      </c>
    </row>
    <row r="4049" spans="1:17" ht="108" x14ac:dyDescent="0.25">
      <c r="A4049" s="23">
        <v>40755</v>
      </c>
      <c r="B4049" s="23">
        <v>40755</v>
      </c>
      <c r="C4049" s="24">
        <v>2011</v>
      </c>
      <c r="D4049" s="24" t="s">
        <v>141</v>
      </c>
      <c r="E4049" s="30" t="s">
        <v>142</v>
      </c>
      <c r="F4049" s="28" t="s">
        <v>210</v>
      </c>
      <c r="G4049" s="44" t="s">
        <v>1935</v>
      </c>
      <c r="H4049" s="44" t="s">
        <v>5936</v>
      </c>
      <c r="I4049" s="20">
        <v>2</v>
      </c>
      <c r="J4049" s="20">
        <v>2</v>
      </c>
      <c r="K4049" s="20">
        <v>0</v>
      </c>
      <c r="L4049" s="20">
        <v>0</v>
      </c>
      <c r="M4049" s="20">
        <v>0</v>
      </c>
      <c r="N4049" s="142">
        <v>0</v>
      </c>
      <c r="O4049" s="20">
        <v>0</v>
      </c>
      <c r="P4049" s="26">
        <v>0</v>
      </c>
      <c r="Q4049" s="45" t="s">
        <v>154</v>
      </c>
    </row>
    <row r="4050" spans="1:17" ht="84" x14ac:dyDescent="0.25">
      <c r="A4050" s="23">
        <v>40754</v>
      </c>
      <c r="B4050" s="23">
        <v>40754</v>
      </c>
      <c r="C4050" s="24">
        <v>2011</v>
      </c>
      <c r="D4050" s="24" t="s">
        <v>141</v>
      </c>
      <c r="E4050" s="30" t="s">
        <v>142</v>
      </c>
      <c r="F4050" s="28" t="s">
        <v>210</v>
      </c>
      <c r="G4050" s="44" t="s">
        <v>5937</v>
      </c>
      <c r="H4050" s="44" t="s">
        <v>5938</v>
      </c>
      <c r="I4050" s="20">
        <v>0</v>
      </c>
      <c r="J4050" s="20">
        <v>13</v>
      </c>
      <c r="K4050" s="20">
        <v>0</v>
      </c>
      <c r="L4050" s="20">
        <v>0</v>
      </c>
      <c r="M4050" s="20">
        <v>0</v>
      </c>
      <c r="N4050" s="142">
        <v>0</v>
      </c>
      <c r="O4050" s="20">
        <v>0</v>
      </c>
      <c r="P4050" s="26">
        <v>0</v>
      </c>
      <c r="Q4050" s="45" t="s">
        <v>154</v>
      </c>
    </row>
    <row r="4051" spans="1:17" ht="108" x14ac:dyDescent="0.25">
      <c r="A4051" s="23">
        <v>40754</v>
      </c>
      <c r="B4051" s="23">
        <v>40754</v>
      </c>
      <c r="C4051" s="24">
        <v>2011</v>
      </c>
      <c r="D4051" s="24" t="s">
        <v>141</v>
      </c>
      <c r="E4051" s="30" t="s">
        <v>142</v>
      </c>
      <c r="F4051" s="28" t="s">
        <v>210</v>
      </c>
      <c r="G4051" s="44" t="s">
        <v>5050</v>
      </c>
      <c r="H4051" s="44" t="s">
        <v>5939</v>
      </c>
      <c r="I4051" s="20">
        <v>1</v>
      </c>
      <c r="J4051" s="20">
        <v>3</v>
      </c>
      <c r="K4051" s="20">
        <v>0</v>
      </c>
      <c r="L4051" s="20">
        <v>0</v>
      </c>
      <c r="M4051" s="20">
        <v>0</v>
      </c>
      <c r="N4051" s="142">
        <v>0</v>
      </c>
      <c r="O4051" s="20">
        <v>0</v>
      </c>
      <c r="P4051" s="26">
        <v>0</v>
      </c>
      <c r="Q4051" s="45" t="s">
        <v>154</v>
      </c>
    </row>
    <row r="4052" spans="1:17" ht="180" x14ac:dyDescent="0.25">
      <c r="A4052" s="23">
        <v>40727</v>
      </c>
      <c r="B4052" s="23">
        <v>40727</v>
      </c>
      <c r="C4052" s="24">
        <v>2011</v>
      </c>
      <c r="D4052" s="35" t="s">
        <v>17</v>
      </c>
      <c r="E4052" s="49" t="s">
        <v>1597</v>
      </c>
      <c r="F4052" s="28" t="s">
        <v>210</v>
      </c>
      <c r="G4052" s="44" t="s">
        <v>5940</v>
      </c>
      <c r="H4052" s="44" t="s">
        <v>5941</v>
      </c>
      <c r="I4052" s="20">
        <v>1</v>
      </c>
      <c r="J4052" s="20">
        <v>35</v>
      </c>
      <c r="K4052" s="20">
        <v>3</v>
      </c>
      <c r="L4052" s="20">
        <v>0</v>
      </c>
      <c r="M4052" s="20">
        <v>0</v>
      </c>
      <c r="N4052" s="142">
        <v>0</v>
      </c>
      <c r="O4052" s="20">
        <v>0</v>
      </c>
      <c r="P4052" s="26">
        <v>0.58660000000000001</v>
      </c>
      <c r="Q4052" s="45" t="s">
        <v>154</v>
      </c>
    </row>
    <row r="4053" spans="1:17" ht="48" x14ac:dyDescent="0.25">
      <c r="A4053" s="23">
        <v>40753</v>
      </c>
      <c r="B4053" s="23">
        <v>40758</v>
      </c>
      <c r="C4053" s="24">
        <v>2011</v>
      </c>
      <c r="D4053" s="351" t="s">
        <v>23</v>
      </c>
      <c r="E4053" s="14" t="s">
        <v>32</v>
      </c>
      <c r="F4053" s="28" t="s">
        <v>210</v>
      </c>
      <c r="G4053" s="44" t="s">
        <v>5942</v>
      </c>
      <c r="H4053" s="44" t="s">
        <v>5943</v>
      </c>
      <c r="I4053" s="20">
        <v>3</v>
      </c>
      <c r="J4053" s="20">
        <v>12463</v>
      </c>
      <c r="K4053" s="20">
        <v>795</v>
      </c>
      <c r="L4053" s="20">
        <v>8</v>
      </c>
      <c r="M4053" s="20">
        <v>0</v>
      </c>
      <c r="N4053" s="20">
        <v>569</v>
      </c>
      <c r="O4053" s="20">
        <v>1706.5</v>
      </c>
      <c r="P4053" s="26">
        <v>3077.35</v>
      </c>
      <c r="Q4053" s="45" t="s">
        <v>5944</v>
      </c>
    </row>
    <row r="4054" spans="1:17" ht="108" x14ac:dyDescent="0.25">
      <c r="A4054" s="23">
        <v>40753</v>
      </c>
      <c r="B4054" s="23">
        <v>40753</v>
      </c>
      <c r="C4054" s="24">
        <v>2011</v>
      </c>
      <c r="D4054" s="24" t="s">
        <v>141</v>
      </c>
      <c r="E4054" s="30" t="s">
        <v>142</v>
      </c>
      <c r="F4054" s="7" t="s">
        <v>97</v>
      </c>
      <c r="G4054" s="44" t="s">
        <v>2735</v>
      </c>
      <c r="H4054" s="44" t="s">
        <v>5945</v>
      </c>
      <c r="I4054" s="20">
        <v>0</v>
      </c>
      <c r="J4054" s="20">
        <v>1</v>
      </c>
      <c r="K4054" s="20">
        <v>0</v>
      </c>
      <c r="L4054" s="20">
        <v>0</v>
      </c>
      <c r="M4054" s="20">
        <v>0</v>
      </c>
      <c r="N4054" s="20">
        <v>0</v>
      </c>
      <c r="O4054" s="20">
        <v>0</v>
      </c>
      <c r="P4054" s="26">
        <v>0.45</v>
      </c>
      <c r="Q4054" s="45" t="s">
        <v>154</v>
      </c>
    </row>
    <row r="4055" spans="1:17" ht="120" x14ac:dyDescent="0.25">
      <c r="A4055" s="23">
        <v>40752</v>
      </c>
      <c r="B4055" s="23">
        <v>40752</v>
      </c>
      <c r="C4055" s="24">
        <v>2011</v>
      </c>
      <c r="D4055" s="351" t="s">
        <v>23</v>
      </c>
      <c r="E4055" s="22" t="s">
        <v>86</v>
      </c>
      <c r="F4055" s="7" t="s">
        <v>97</v>
      </c>
      <c r="G4055" s="44" t="s">
        <v>5946</v>
      </c>
      <c r="H4055" s="44" t="s">
        <v>5947</v>
      </c>
      <c r="I4055" s="20">
        <v>0</v>
      </c>
      <c r="J4055" s="20">
        <v>4075</v>
      </c>
      <c r="K4055" s="20">
        <v>815</v>
      </c>
      <c r="L4055" s="20">
        <v>0</v>
      </c>
      <c r="M4055" s="20">
        <v>0</v>
      </c>
      <c r="N4055" s="20">
        <v>0</v>
      </c>
      <c r="O4055" s="20">
        <v>0</v>
      </c>
      <c r="P4055" s="26">
        <v>0.74783999999999995</v>
      </c>
      <c r="Q4055" s="45" t="s">
        <v>154</v>
      </c>
    </row>
    <row r="4056" spans="1:17" ht="108" x14ac:dyDescent="0.25">
      <c r="A4056" s="23">
        <v>40716</v>
      </c>
      <c r="B4056" s="23">
        <v>40716</v>
      </c>
      <c r="C4056" s="24">
        <v>2011</v>
      </c>
      <c r="D4056" s="351" t="s">
        <v>23</v>
      </c>
      <c r="E4056" s="49" t="s">
        <v>323</v>
      </c>
      <c r="F4056" s="7" t="s">
        <v>97</v>
      </c>
      <c r="G4056" s="44" t="s">
        <v>3811</v>
      </c>
      <c r="H4056" s="44" t="s">
        <v>5948</v>
      </c>
      <c r="I4056" s="20">
        <v>0</v>
      </c>
      <c r="J4056" s="20">
        <v>35</v>
      </c>
      <c r="K4056" s="20">
        <v>6</v>
      </c>
      <c r="L4056" s="20">
        <v>0</v>
      </c>
      <c r="M4056" s="20">
        <v>0</v>
      </c>
      <c r="N4056" s="20">
        <v>0</v>
      </c>
      <c r="O4056" s="20">
        <v>0</v>
      </c>
      <c r="P4056" s="26">
        <v>1.09E-2</v>
      </c>
      <c r="Q4056" s="45" t="s">
        <v>154</v>
      </c>
    </row>
    <row r="4057" spans="1:17" ht="168" x14ac:dyDescent="0.25">
      <c r="A4057" s="23">
        <v>40788</v>
      </c>
      <c r="B4057" s="23">
        <v>40788</v>
      </c>
      <c r="C4057" s="24">
        <v>2011</v>
      </c>
      <c r="D4057" s="351" t="s">
        <v>23</v>
      </c>
      <c r="E4057" s="22" t="s">
        <v>86</v>
      </c>
      <c r="F4057" s="7" t="s">
        <v>97</v>
      </c>
      <c r="G4057" s="44" t="s">
        <v>5949</v>
      </c>
      <c r="H4057" s="44" t="s">
        <v>5950</v>
      </c>
      <c r="I4057" s="20">
        <v>0</v>
      </c>
      <c r="J4057" s="20">
        <f>(40*5)</f>
        <v>200</v>
      </c>
      <c r="K4057" s="20">
        <v>40</v>
      </c>
      <c r="L4057" s="20">
        <v>0</v>
      </c>
      <c r="M4057" s="20">
        <v>0</v>
      </c>
      <c r="N4057" s="20">
        <v>0</v>
      </c>
      <c r="O4057" s="20">
        <v>0</v>
      </c>
      <c r="P4057" s="26">
        <v>0.04</v>
      </c>
      <c r="Q4057" s="45" t="s">
        <v>154</v>
      </c>
    </row>
    <row r="4058" spans="1:17" ht="96" x14ac:dyDescent="0.25">
      <c r="A4058" s="23">
        <v>40751</v>
      </c>
      <c r="B4058" s="23">
        <v>40751</v>
      </c>
      <c r="C4058" s="24">
        <v>2011</v>
      </c>
      <c r="D4058" s="35" t="s">
        <v>28</v>
      </c>
      <c r="E4058" s="30" t="s">
        <v>133</v>
      </c>
      <c r="F4058" s="25" t="s">
        <v>781</v>
      </c>
      <c r="G4058" s="44" t="s">
        <v>5951</v>
      </c>
      <c r="H4058" s="44" t="s">
        <v>5952</v>
      </c>
      <c r="I4058" s="20">
        <v>2</v>
      </c>
      <c r="J4058" s="20">
        <v>2</v>
      </c>
      <c r="K4058" s="20">
        <v>0</v>
      </c>
      <c r="L4058" s="20">
        <v>0</v>
      </c>
      <c r="M4058" s="20">
        <v>0</v>
      </c>
      <c r="N4058" s="20">
        <v>0</v>
      </c>
      <c r="O4058" s="20">
        <v>0</v>
      </c>
      <c r="P4058" s="26">
        <v>0</v>
      </c>
      <c r="Q4058" s="45" t="s">
        <v>154</v>
      </c>
    </row>
    <row r="4059" spans="1:17" ht="96" x14ac:dyDescent="0.25">
      <c r="A4059" s="23">
        <v>40750</v>
      </c>
      <c r="B4059" s="23">
        <v>40750</v>
      </c>
      <c r="C4059" s="24">
        <v>2011</v>
      </c>
      <c r="D4059" s="24" t="s">
        <v>141</v>
      </c>
      <c r="E4059" s="30" t="s">
        <v>142</v>
      </c>
      <c r="F4059" s="7" t="s">
        <v>87</v>
      </c>
      <c r="G4059" s="44" t="s">
        <v>2259</v>
      </c>
      <c r="H4059" s="44" t="s">
        <v>5953</v>
      </c>
      <c r="I4059" s="20">
        <v>0</v>
      </c>
      <c r="J4059" s="20">
        <v>1</v>
      </c>
      <c r="K4059" s="20">
        <v>0</v>
      </c>
      <c r="L4059" s="20">
        <v>0</v>
      </c>
      <c r="M4059" s="20">
        <v>0</v>
      </c>
      <c r="N4059" s="20">
        <v>0</v>
      </c>
      <c r="O4059" s="20">
        <v>0</v>
      </c>
      <c r="P4059" s="26">
        <v>0.62272000000000005</v>
      </c>
      <c r="Q4059" s="45" t="s">
        <v>154</v>
      </c>
    </row>
    <row r="4060" spans="1:17" ht="60" x14ac:dyDescent="0.25">
      <c r="A4060" s="23">
        <v>40763</v>
      </c>
      <c r="B4060" s="23">
        <v>40763</v>
      </c>
      <c r="C4060" s="24">
        <v>2011</v>
      </c>
      <c r="D4060" s="351" t="s">
        <v>23</v>
      </c>
      <c r="E4060" s="22" t="s">
        <v>86</v>
      </c>
      <c r="F4060" s="7" t="s">
        <v>84</v>
      </c>
      <c r="G4060" s="44" t="s">
        <v>2143</v>
      </c>
      <c r="H4060" s="44" t="s">
        <v>5954</v>
      </c>
      <c r="I4060" s="20">
        <v>2</v>
      </c>
      <c r="J4060" s="20">
        <v>5202</v>
      </c>
      <c r="K4060" s="20" t="s">
        <v>110</v>
      </c>
      <c r="L4060" s="20" t="s">
        <v>110</v>
      </c>
      <c r="M4060" s="20">
        <v>2</v>
      </c>
      <c r="N4060" s="20">
        <v>0</v>
      </c>
      <c r="O4060" s="20" t="s">
        <v>110</v>
      </c>
      <c r="P4060" s="26">
        <v>19.994</v>
      </c>
      <c r="Q4060" s="45" t="s">
        <v>186</v>
      </c>
    </row>
    <row r="4061" spans="1:17" ht="264" x14ac:dyDescent="0.25">
      <c r="A4061" s="23">
        <v>40777</v>
      </c>
      <c r="B4061" s="23">
        <v>40777</v>
      </c>
      <c r="C4061" s="24">
        <v>2011</v>
      </c>
      <c r="D4061" s="351" t="s">
        <v>23</v>
      </c>
      <c r="E4061" s="22" t="s">
        <v>86</v>
      </c>
      <c r="F4061" s="7" t="s">
        <v>84</v>
      </c>
      <c r="G4061" s="44" t="s">
        <v>5955</v>
      </c>
      <c r="H4061" s="44" t="s">
        <v>5956</v>
      </c>
      <c r="I4061" s="20">
        <v>0</v>
      </c>
      <c r="J4061" s="20">
        <v>4000</v>
      </c>
      <c r="K4061" s="20">
        <v>700</v>
      </c>
      <c r="L4061" s="20">
        <v>8</v>
      </c>
      <c r="M4061" s="20">
        <v>0</v>
      </c>
      <c r="N4061" s="20">
        <v>0</v>
      </c>
      <c r="O4061" s="20">
        <v>0</v>
      </c>
      <c r="P4061" s="26">
        <v>1.0409999999999999</v>
      </c>
      <c r="Q4061" s="45" t="s">
        <v>154</v>
      </c>
    </row>
    <row r="4062" spans="1:17" ht="96" x14ac:dyDescent="0.25">
      <c r="A4062" s="23">
        <v>40748</v>
      </c>
      <c r="B4062" s="23">
        <v>40748</v>
      </c>
      <c r="C4062" s="24">
        <v>2011</v>
      </c>
      <c r="D4062" s="24" t="s">
        <v>141</v>
      </c>
      <c r="E4062" s="30" t="s">
        <v>142</v>
      </c>
      <c r="F4062" s="7" t="s">
        <v>82</v>
      </c>
      <c r="G4062" s="44" t="s">
        <v>3981</v>
      </c>
      <c r="H4062" s="44" t="s">
        <v>5957</v>
      </c>
      <c r="I4062" s="20">
        <v>1</v>
      </c>
      <c r="J4062" s="20">
        <v>1</v>
      </c>
      <c r="K4062" s="20">
        <v>0</v>
      </c>
      <c r="L4062" s="20">
        <v>0</v>
      </c>
      <c r="M4062" s="20">
        <v>0</v>
      </c>
      <c r="N4062" s="20">
        <v>0</v>
      </c>
      <c r="O4062" s="20">
        <v>0</v>
      </c>
      <c r="P4062" s="26">
        <v>0.72499999999999998</v>
      </c>
      <c r="Q4062" s="45" t="s">
        <v>154</v>
      </c>
    </row>
    <row r="4063" spans="1:17" ht="60" x14ac:dyDescent="0.25">
      <c r="A4063" s="23">
        <v>40747</v>
      </c>
      <c r="B4063" s="23">
        <v>40747</v>
      </c>
      <c r="C4063" s="24">
        <v>2011</v>
      </c>
      <c r="D4063" s="24" t="s">
        <v>141</v>
      </c>
      <c r="E4063" s="30" t="s">
        <v>142</v>
      </c>
      <c r="F4063" s="7" t="s">
        <v>75</v>
      </c>
      <c r="G4063" s="44" t="s">
        <v>1929</v>
      </c>
      <c r="H4063" s="44" t="s">
        <v>5958</v>
      </c>
      <c r="I4063" s="20">
        <v>0</v>
      </c>
      <c r="J4063" s="20">
        <v>1</v>
      </c>
      <c r="K4063" s="20">
        <v>0</v>
      </c>
      <c r="L4063" s="20">
        <v>0</v>
      </c>
      <c r="M4063" s="20">
        <v>0</v>
      </c>
      <c r="N4063" s="20">
        <v>0</v>
      </c>
      <c r="O4063" s="20">
        <v>0</v>
      </c>
      <c r="P4063" s="26">
        <v>0.6532</v>
      </c>
      <c r="Q4063" s="45" t="s">
        <v>154</v>
      </c>
    </row>
    <row r="4064" spans="1:17" ht="120" x14ac:dyDescent="0.25">
      <c r="A4064" s="23">
        <v>40746</v>
      </c>
      <c r="B4064" s="23">
        <v>40746</v>
      </c>
      <c r="C4064" s="24">
        <v>2011</v>
      </c>
      <c r="D4064" s="351" t="s">
        <v>23</v>
      </c>
      <c r="E4064" s="22" t="s">
        <v>86</v>
      </c>
      <c r="F4064" s="7" t="s">
        <v>75</v>
      </c>
      <c r="G4064" s="44" t="s">
        <v>5959</v>
      </c>
      <c r="H4064" s="44" t="s">
        <v>5960</v>
      </c>
      <c r="I4064" s="20">
        <v>0</v>
      </c>
      <c r="J4064" s="20">
        <v>350</v>
      </c>
      <c r="K4064" s="20">
        <v>70</v>
      </c>
      <c r="L4064" s="20">
        <v>0</v>
      </c>
      <c r="M4064" s="20">
        <v>0</v>
      </c>
      <c r="N4064" s="20">
        <v>0</v>
      </c>
      <c r="O4064" s="20">
        <v>0</v>
      </c>
      <c r="P4064" s="26">
        <v>3.3300000000000003E-2</v>
      </c>
      <c r="Q4064" s="45" t="s">
        <v>154</v>
      </c>
    </row>
    <row r="4065" spans="1:17" ht="168" x14ac:dyDescent="0.25">
      <c r="A4065" s="23">
        <v>40746</v>
      </c>
      <c r="B4065" s="23">
        <v>40746</v>
      </c>
      <c r="C4065" s="24">
        <v>2011</v>
      </c>
      <c r="D4065" s="351" t="s">
        <v>23</v>
      </c>
      <c r="E4065" s="22" t="s">
        <v>86</v>
      </c>
      <c r="F4065" s="7" t="s">
        <v>75</v>
      </c>
      <c r="G4065" s="44" t="s">
        <v>5961</v>
      </c>
      <c r="H4065" s="44" t="s">
        <v>5962</v>
      </c>
      <c r="I4065" s="20">
        <v>1</v>
      </c>
      <c r="J4065" s="20">
        <v>40</v>
      </c>
      <c r="K4065" s="20">
        <v>8</v>
      </c>
      <c r="L4065" s="20">
        <v>0</v>
      </c>
      <c r="M4065" s="20">
        <v>0</v>
      </c>
      <c r="N4065" s="20">
        <v>0</v>
      </c>
      <c r="O4065" s="20">
        <v>0</v>
      </c>
      <c r="P4065" s="26">
        <v>0.13750000000000001</v>
      </c>
      <c r="Q4065" s="45" t="s">
        <v>154</v>
      </c>
    </row>
    <row r="4066" spans="1:17" ht="120" x14ac:dyDescent="0.25">
      <c r="A4066" s="23">
        <v>40701</v>
      </c>
      <c r="B4066" s="23">
        <v>40701</v>
      </c>
      <c r="C4066" s="24">
        <v>2011</v>
      </c>
      <c r="D4066" s="24" t="s">
        <v>141</v>
      </c>
      <c r="E4066" s="49" t="s">
        <v>1600</v>
      </c>
      <c r="F4066" s="7" t="s">
        <v>53</v>
      </c>
      <c r="G4066" s="44" t="s">
        <v>2516</v>
      </c>
      <c r="H4066" s="44" t="s">
        <v>5963</v>
      </c>
      <c r="I4066" s="20">
        <v>2</v>
      </c>
      <c r="J4066" s="20">
        <v>5</v>
      </c>
      <c r="K4066" s="20">
        <v>0</v>
      </c>
      <c r="L4066" s="20">
        <v>0</v>
      </c>
      <c r="M4066" s="20">
        <v>0</v>
      </c>
      <c r="N4066" s="20">
        <v>0</v>
      </c>
      <c r="O4066" s="20">
        <v>0</v>
      </c>
      <c r="P4066" s="158">
        <v>0</v>
      </c>
      <c r="Q4066" s="45" t="s">
        <v>154</v>
      </c>
    </row>
    <row r="4067" spans="1:17" ht="132" x14ac:dyDescent="0.25">
      <c r="A4067" s="23">
        <v>40742</v>
      </c>
      <c r="B4067" s="23">
        <v>40742</v>
      </c>
      <c r="C4067" s="24">
        <v>2011</v>
      </c>
      <c r="D4067" s="35" t="s">
        <v>28</v>
      </c>
      <c r="E4067" s="30" t="s">
        <v>133</v>
      </c>
      <c r="F4067" s="7" t="s">
        <v>53</v>
      </c>
      <c r="G4067" s="44" t="s">
        <v>878</v>
      </c>
      <c r="H4067" s="44" t="s">
        <v>5964</v>
      </c>
      <c r="I4067" s="20">
        <v>0</v>
      </c>
      <c r="J4067" s="20">
        <v>3</v>
      </c>
      <c r="K4067" s="20">
        <v>1</v>
      </c>
      <c r="L4067" s="20">
        <v>0</v>
      </c>
      <c r="M4067" s="20">
        <v>0</v>
      </c>
      <c r="N4067" s="20">
        <v>0</v>
      </c>
      <c r="O4067" s="20">
        <v>0</v>
      </c>
      <c r="P4067" s="26">
        <v>2.8000000000000001E-2</v>
      </c>
      <c r="Q4067" s="45" t="s">
        <v>154</v>
      </c>
    </row>
    <row r="4068" spans="1:17" ht="120" x14ac:dyDescent="0.25">
      <c r="A4068" s="23">
        <v>40725</v>
      </c>
      <c r="B4068" s="23">
        <v>40725</v>
      </c>
      <c r="C4068" s="24">
        <v>2011</v>
      </c>
      <c r="D4068" s="351" t="s">
        <v>23</v>
      </c>
      <c r="E4068" s="22" t="s">
        <v>86</v>
      </c>
      <c r="F4068" s="7" t="s">
        <v>53</v>
      </c>
      <c r="G4068" s="44" t="s">
        <v>1304</v>
      </c>
      <c r="H4068" s="44" t="s">
        <v>5965</v>
      </c>
      <c r="I4068" s="20">
        <v>1</v>
      </c>
      <c r="J4068" s="20">
        <v>1</v>
      </c>
      <c r="K4068" s="20">
        <v>0</v>
      </c>
      <c r="L4068" s="20">
        <v>0</v>
      </c>
      <c r="M4068" s="20">
        <v>0</v>
      </c>
      <c r="N4068" s="20">
        <v>0</v>
      </c>
      <c r="O4068" s="20">
        <v>0</v>
      </c>
      <c r="P4068" s="26">
        <v>0</v>
      </c>
      <c r="Q4068" s="45" t="s">
        <v>154</v>
      </c>
    </row>
    <row r="4069" spans="1:17" ht="180" x14ac:dyDescent="0.25">
      <c r="A4069" s="23">
        <v>40741</v>
      </c>
      <c r="B4069" s="23">
        <v>40741</v>
      </c>
      <c r="C4069" s="24">
        <v>2011</v>
      </c>
      <c r="D4069" s="35" t="s">
        <v>28</v>
      </c>
      <c r="E4069" s="6" t="s">
        <v>369</v>
      </c>
      <c r="F4069" s="7" t="s">
        <v>53</v>
      </c>
      <c r="G4069" s="44" t="s">
        <v>5966</v>
      </c>
      <c r="H4069" s="44" t="s">
        <v>5967</v>
      </c>
      <c r="I4069" s="20">
        <v>0</v>
      </c>
      <c r="J4069" s="20">
        <v>50</v>
      </c>
      <c r="K4069" s="20">
        <v>10</v>
      </c>
      <c r="L4069" s="20">
        <v>0</v>
      </c>
      <c r="M4069" s="20">
        <v>0</v>
      </c>
      <c r="N4069" s="20">
        <v>0</v>
      </c>
      <c r="O4069" s="20">
        <v>0</v>
      </c>
      <c r="P4069" s="26">
        <v>1.2</v>
      </c>
      <c r="Q4069" s="45" t="s">
        <v>154</v>
      </c>
    </row>
    <row r="4070" spans="1:17" ht="72" x14ac:dyDescent="0.25">
      <c r="A4070" s="23">
        <v>40727</v>
      </c>
      <c r="B4070" s="23">
        <v>40727</v>
      </c>
      <c r="C4070" s="24">
        <v>2011</v>
      </c>
      <c r="D4070" s="351" t="s">
        <v>23</v>
      </c>
      <c r="E4070" s="22" t="s">
        <v>86</v>
      </c>
      <c r="F4070" s="28" t="s">
        <v>160</v>
      </c>
      <c r="G4070" s="44" t="s">
        <v>5968</v>
      </c>
      <c r="H4070" s="44" t="s">
        <v>5969</v>
      </c>
      <c r="I4070" s="20">
        <v>0</v>
      </c>
      <c r="J4070" s="20">
        <v>250</v>
      </c>
      <c r="K4070" s="20">
        <v>50</v>
      </c>
      <c r="L4070" s="20">
        <v>0</v>
      </c>
      <c r="M4070" s="20">
        <v>0</v>
      </c>
      <c r="N4070" s="20">
        <v>0</v>
      </c>
      <c r="O4070" s="20">
        <v>0</v>
      </c>
      <c r="P4070" s="26">
        <v>0.125</v>
      </c>
      <c r="Q4070" s="45" t="s">
        <v>154</v>
      </c>
    </row>
    <row r="4071" spans="1:17" ht="144" x14ac:dyDescent="0.25">
      <c r="A4071" s="23">
        <v>40637</v>
      </c>
      <c r="B4071" s="23">
        <v>40637</v>
      </c>
      <c r="C4071" s="24">
        <v>2011</v>
      </c>
      <c r="D4071" s="35" t="s">
        <v>28</v>
      </c>
      <c r="E4071" s="6" t="s">
        <v>149</v>
      </c>
      <c r="F4071" s="7" t="s">
        <v>58</v>
      </c>
      <c r="G4071" s="44" t="s">
        <v>168</v>
      </c>
      <c r="H4071" s="44" t="s">
        <v>5970</v>
      </c>
      <c r="I4071" s="20">
        <v>0</v>
      </c>
      <c r="J4071" s="20" t="s">
        <v>110</v>
      </c>
      <c r="K4071" s="20">
        <v>0</v>
      </c>
      <c r="L4071" s="20">
        <v>0</v>
      </c>
      <c r="M4071" s="20">
        <v>0</v>
      </c>
      <c r="N4071" s="20">
        <v>0</v>
      </c>
      <c r="O4071" s="20">
        <v>0</v>
      </c>
      <c r="P4071" s="158">
        <v>0</v>
      </c>
      <c r="Q4071" s="45" t="s">
        <v>154</v>
      </c>
    </row>
    <row r="4072" spans="1:17" ht="96" x14ac:dyDescent="0.25">
      <c r="A4072" s="23">
        <v>40736</v>
      </c>
      <c r="B4072" s="23">
        <v>40736</v>
      </c>
      <c r="C4072" s="24">
        <v>2011</v>
      </c>
      <c r="D4072" s="351" t="s">
        <v>23</v>
      </c>
      <c r="E4072" s="22" t="s">
        <v>86</v>
      </c>
      <c r="F4072" s="7" t="s">
        <v>58</v>
      </c>
      <c r="G4072" s="44" t="s">
        <v>5971</v>
      </c>
      <c r="H4072" s="44" t="s">
        <v>5972</v>
      </c>
      <c r="I4072" s="20">
        <v>0</v>
      </c>
      <c r="J4072" s="20">
        <v>120</v>
      </c>
      <c r="K4072" s="20">
        <v>24</v>
      </c>
      <c r="L4072" s="20">
        <v>0</v>
      </c>
      <c r="M4072" s="20">
        <v>0</v>
      </c>
      <c r="N4072" s="20">
        <v>0</v>
      </c>
      <c r="O4072" s="20">
        <v>0</v>
      </c>
      <c r="P4072" s="26">
        <v>0.22900000000000001</v>
      </c>
      <c r="Q4072" s="45" t="s">
        <v>154</v>
      </c>
    </row>
    <row r="4073" spans="1:17" ht="60" x14ac:dyDescent="0.25">
      <c r="A4073" s="23">
        <v>40736</v>
      </c>
      <c r="B4073" s="23">
        <v>40736</v>
      </c>
      <c r="C4073" s="24">
        <v>2011</v>
      </c>
      <c r="D4073" s="351" t="s">
        <v>23</v>
      </c>
      <c r="E4073" s="49" t="s">
        <v>5893</v>
      </c>
      <c r="F4073" s="7" t="s">
        <v>58</v>
      </c>
      <c r="G4073" s="44" t="s">
        <v>1582</v>
      </c>
      <c r="H4073" s="44" t="s">
        <v>5973</v>
      </c>
      <c r="I4073" s="20">
        <v>2</v>
      </c>
      <c r="J4073" s="20">
        <v>2</v>
      </c>
      <c r="K4073" s="20">
        <v>0</v>
      </c>
      <c r="L4073" s="20">
        <v>0</v>
      </c>
      <c r="M4073" s="20">
        <v>0</v>
      </c>
      <c r="N4073" s="20">
        <v>0</v>
      </c>
      <c r="O4073" s="20">
        <v>0</v>
      </c>
      <c r="P4073" s="26">
        <v>0</v>
      </c>
      <c r="Q4073" s="45" t="s">
        <v>154</v>
      </c>
    </row>
    <row r="4074" spans="1:17" ht="156" x14ac:dyDescent="0.25">
      <c r="A4074" s="23">
        <v>40735</v>
      </c>
      <c r="B4074" s="23">
        <v>40735</v>
      </c>
      <c r="C4074" s="24">
        <v>2011</v>
      </c>
      <c r="D4074" s="35" t="s">
        <v>28</v>
      </c>
      <c r="E4074" s="6" t="s">
        <v>149</v>
      </c>
      <c r="F4074" s="7" t="s">
        <v>56</v>
      </c>
      <c r="G4074" s="44" t="s">
        <v>4907</v>
      </c>
      <c r="H4074" s="44" t="s">
        <v>5974</v>
      </c>
      <c r="I4074" s="20">
        <v>0</v>
      </c>
      <c r="J4074" s="20">
        <v>0</v>
      </c>
      <c r="K4074" s="20">
        <v>0</v>
      </c>
      <c r="L4074" s="20">
        <v>0</v>
      </c>
      <c r="M4074" s="20">
        <v>0</v>
      </c>
      <c r="N4074" s="20">
        <v>0</v>
      </c>
      <c r="O4074" s="20">
        <v>0</v>
      </c>
      <c r="P4074" s="158">
        <v>0</v>
      </c>
      <c r="Q4074" s="45" t="s">
        <v>154</v>
      </c>
    </row>
    <row r="4075" spans="1:17" ht="84" x14ac:dyDescent="0.25">
      <c r="A4075" s="23">
        <v>40735</v>
      </c>
      <c r="B4075" s="23">
        <v>40735</v>
      </c>
      <c r="C4075" s="24">
        <v>2011</v>
      </c>
      <c r="D4075" s="35" t="s">
        <v>28</v>
      </c>
      <c r="E4075" s="30" t="s">
        <v>133</v>
      </c>
      <c r="F4075" s="7" t="s">
        <v>56</v>
      </c>
      <c r="G4075" s="44" t="s">
        <v>2281</v>
      </c>
      <c r="H4075" s="44" t="s">
        <v>5975</v>
      </c>
      <c r="I4075" s="20">
        <v>1</v>
      </c>
      <c r="J4075" s="20">
        <v>4</v>
      </c>
      <c r="K4075" s="20">
        <v>1</v>
      </c>
      <c r="L4075" s="20">
        <v>0</v>
      </c>
      <c r="M4075" s="20">
        <v>0</v>
      </c>
      <c r="N4075" s="20">
        <v>0</v>
      </c>
      <c r="O4075" s="20">
        <v>0</v>
      </c>
      <c r="P4075" s="26">
        <v>2.8000000000000001E-2</v>
      </c>
      <c r="Q4075" s="45" t="s">
        <v>154</v>
      </c>
    </row>
    <row r="4076" spans="1:17" ht="84" x14ac:dyDescent="0.25">
      <c r="A4076" s="23">
        <v>40735</v>
      </c>
      <c r="B4076" s="23">
        <v>40735</v>
      </c>
      <c r="C4076" s="24">
        <v>2011</v>
      </c>
      <c r="D4076" s="35" t="s">
        <v>28</v>
      </c>
      <c r="E4076" s="30" t="s">
        <v>133</v>
      </c>
      <c r="F4076" s="7" t="s">
        <v>56</v>
      </c>
      <c r="G4076" s="44" t="s">
        <v>5085</v>
      </c>
      <c r="H4076" s="44" t="s">
        <v>5976</v>
      </c>
      <c r="I4076" s="20">
        <v>0</v>
      </c>
      <c r="J4076" s="20">
        <v>1</v>
      </c>
      <c r="K4076" s="20">
        <v>0</v>
      </c>
      <c r="L4076" s="20">
        <v>0</v>
      </c>
      <c r="M4076" s="20">
        <v>0</v>
      </c>
      <c r="N4076" s="20">
        <v>0</v>
      </c>
      <c r="O4076" s="20">
        <v>0</v>
      </c>
      <c r="P4076" s="158">
        <v>0</v>
      </c>
      <c r="Q4076" s="45" t="s">
        <v>154</v>
      </c>
    </row>
    <row r="4077" spans="1:17" ht="96" x14ac:dyDescent="0.25">
      <c r="A4077" s="23">
        <v>40730</v>
      </c>
      <c r="B4077" s="23">
        <v>40730</v>
      </c>
      <c r="C4077" s="24">
        <v>2011</v>
      </c>
      <c r="D4077" s="35" t="s">
        <v>28</v>
      </c>
      <c r="E4077" s="30" t="s">
        <v>133</v>
      </c>
      <c r="F4077" s="7" t="s">
        <v>45</v>
      </c>
      <c r="G4077" s="44" t="s">
        <v>577</v>
      </c>
      <c r="H4077" s="44" t="s">
        <v>5977</v>
      </c>
      <c r="I4077" s="20">
        <v>0</v>
      </c>
      <c r="J4077" s="20">
        <v>50</v>
      </c>
      <c r="K4077" s="20">
        <v>0</v>
      </c>
      <c r="L4077" s="20">
        <v>0</v>
      </c>
      <c r="M4077" s="20">
        <v>0</v>
      </c>
      <c r="N4077" s="20">
        <v>0</v>
      </c>
      <c r="O4077" s="20">
        <v>0</v>
      </c>
      <c r="P4077" s="158">
        <v>0</v>
      </c>
      <c r="Q4077" s="45" t="s">
        <v>154</v>
      </c>
    </row>
    <row r="4078" spans="1:17" ht="108" x14ac:dyDescent="0.25">
      <c r="A4078" s="23">
        <v>40729</v>
      </c>
      <c r="B4078" s="23">
        <v>40729</v>
      </c>
      <c r="C4078" s="24">
        <v>2011</v>
      </c>
      <c r="D4078" s="35" t="s">
        <v>28</v>
      </c>
      <c r="E4078" s="30" t="s">
        <v>125</v>
      </c>
      <c r="F4078" s="7" t="s">
        <v>45</v>
      </c>
      <c r="G4078" s="44" t="s">
        <v>259</v>
      </c>
      <c r="H4078" s="44" t="s">
        <v>5978</v>
      </c>
      <c r="I4078" s="20">
        <v>0</v>
      </c>
      <c r="J4078" s="20">
        <v>7</v>
      </c>
      <c r="K4078" s="20">
        <v>0</v>
      </c>
      <c r="L4078" s="20">
        <v>0</v>
      </c>
      <c r="M4078" s="20">
        <v>0</v>
      </c>
      <c r="N4078" s="20">
        <v>0</v>
      </c>
      <c r="O4078" s="20">
        <v>0</v>
      </c>
      <c r="P4078" s="158">
        <v>0</v>
      </c>
      <c r="Q4078" s="45" t="s">
        <v>154</v>
      </c>
    </row>
    <row r="4079" spans="1:17" ht="60" x14ac:dyDescent="0.25">
      <c r="A4079" s="23">
        <v>40728</v>
      </c>
      <c r="B4079" s="23">
        <v>40728</v>
      </c>
      <c r="C4079" s="24">
        <v>2011</v>
      </c>
      <c r="D4079" s="24" t="s">
        <v>141</v>
      </c>
      <c r="E4079" s="30" t="s">
        <v>142</v>
      </c>
      <c r="F4079" s="7" t="s">
        <v>40</v>
      </c>
      <c r="G4079" s="44" t="s">
        <v>5834</v>
      </c>
      <c r="H4079" s="44" t="s">
        <v>5979</v>
      </c>
      <c r="I4079" s="20">
        <v>2</v>
      </c>
      <c r="J4079" s="20">
        <v>42</v>
      </c>
      <c r="K4079" s="20">
        <v>0</v>
      </c>
      <c r="L4079" s="20">
        <v>0</v>
      </c>
      <c r="M4079" s="20">
        <v>0</v>
      </c>
      <c r="N4079" s="20">
        <v>0</v>
      </c>
      <c r="O4079" s="20">
        <v>0</v>
      </c>
      <c r="P4079" s="26">
        <v>0.4</v>
      </c>
      <c r="Q4079" s="45" t="s">
        <v>154</v>
      </c>
    </row>
    <row r="4080" spans="1:17" ht="84" x14ac:dyDescent="0.25">
      <c r="A4080" s="23">
        <v>40728</v>
      </c>
      <c r="B4080" s="23">
        <v>40728</v>
      </c>
      <c r="C4080" s="24">
        <v>2011</v>
      </c>
      <c r="D4080" s="24" t="s">
        <v>141</v>
      </c>
      <c r="E4080" s="30" t="s">
        <v>142</v>
      </c>
      <c r="F4080" s="7" t="s">
        <v>36</v>
      </c>
      <c r="G4080" s="44" t="s">
        <v>5980</v>
      </c>
      <c r="H4080" s="44" t="s">
        <v>5981</v>
      </c>
      <c r="I4080" s="20">
        <v>3</v>
      </c>
      <c r="J4080" s="20">
        <v>33</v>
      </c>
      <c r="K4080" s="20">
        <v>0</v>
      </c>
      <c r="L4080" s="20">
        <v>0</v>
      </c>
      <c r="M4080" s="20">
        <v>0</v>
      </c>
      <c r="N4080" s="20">
        <v>0</v>
      </c>
      <c r="O4080" s="20">
        <v>0</v>
      </c>
      <c r="P4080" s="26">
        <v>0.4</v>
      </c>
      <c r="Q4080" s="45" t="s">
        <v>154</v>
      </c>
    </row>
    <row r="4081" spans="1:17" ht="84" x14ac:dyDescent="0.25">
      <c r="A4081" s="23">
        <v>40577</v>
      </c>
      <c r="B4081" s="23">
        <v>40577</v>
      </c>
      <c r="C4081" s="24">
        <v>2011</v>
      </c>
      <c r="D4081" s="351" t="s">
        <v>23</v>
      </c>
      <c r="E4081" s="22" t="s">
        <v>86</v>
      </c>
      <c r="F4081" s="7" t="s">
        <v>36</v>
      </c>
      <c r="G4081" s="44" t="s">
        <v>2057</v>
      </c>
      <c r="H4081" s="44" t="s">
        <v>5982</v>
      </c>
      <c r="I4081" s="20">
        <v>1</v>
      </c>
      <c r="J4081" s="46">
        <v>5</v>
      </c>
      <c r="K4081" s="20">
        <v>1</v>
      </c>
      <c r="L4081" s="20">
        <v>0</v>
      </c>
      <c r="M4081" s="20">
        <v>0</v>
      </c>
      <c r="N4081" s="20">
        <v>0</v>
      </c>
      <c r="O4081" s="20">
        <v>0</v>
      </c>
      <c r="P4081" s="47">
        <v>0.12</v>
      </c>
      <c r="Q4081" s="45" t="s">
        <v>154</v>
      </c>
    </row>
    <row r="4082" spans="1:17" ht="120" x14ac:dyDescent="0.25">
      <c r="A4082" s="23">
        <v>40701</v>
      </c>
      <c r="B4082" s="23">
        <v>40701</v>
      </c>
      <c r="C4082" s="24">
        <v>2011</v>
      </c>
      <c r="D4082" s="35" t="s">
        <v>28</v>
      </c>
      <c r="E4082" s="6" t="s">
        <v>149</v>
      </c>
      <c r="F4082" s="28" t="s">
        <v>157</v>
      </c>
      <c r="G4082" s="44" t="s">
        <v>5925</v>
      </c>
      <c r="H4082" s="44" t="s">
        <v>5983</v>
      </c>
      <c r="I4082" s="20">
        <v>0</v>
      </c>
      <c r="J4082" s="20">
        <v>3000</v>
      </c>
      <c r="K4082" s="20">
        <v>0</v>
      </c>
      <c r="L4082" s="20">
        <v>0</v>
      </c>
      <c r="M4082" s="20">
        <v>0</v>
      </c>
      <c r="N4082" s="20">
        <v>0</v>
      </c>
      <c r="O4082" s="20">
        <v>0</v>
      </c>
      <c r="P4082" s="158">
        <v>0</v>
      </c>
      <c r="Q4082" s="45" t="s">
        <v>154</v>
      </c>
    </row>
    <row r="4083" spans="1:17" ht="60" x14ac:dyDescent="0.25">
      <c r="A4083" s="23">
        <v>40791</v>
      </c>
      <c r="B4083" s="23">
        <v>40791</v>
      </c>
      <c r="C4083" s="24">
        <v>2011</v>
      </c>
      <c r="D4083" s="351" t="s">
        <v>23</v>
      </c>
      <c r="E4083" s="22" t="s">
        <v>86</v>
      </c>
      <c r="F4083" s="7" t="s">
        <v>36</v>
      </c>
      <c r="G4083" s="44" t="s">
        <v>3747</v>
      </c>
      <c r="H4083" s="44" t="s">
        <v>5984</v>
      </c>
      <c r="I4083" s="20">
        <v>0</v>
      </c>
      <c r="J4083" s="46">
        <v>7873</v>
      </c>
      <c r="K4083" s="20">
        <v>2</v>
      </c>
      <c r="L4083" s="20">
        <v>1</v>
      </c>
      <c r="M4083" s="20" t="s">
        <v>110</v>
      </c>
      <c r="N4083" s="20">
        <v>0</v>
      </c>
      <c r="O4083" s="20" t="s">
        <v>110</v>
      </c>
      <c r="P4083" s="47">
        <v>417.195742</v>
      </c>
      <c r="Q4083" s="45" t="s">
        <v>186</v>
      </c>
    </row>
    <row r="4084" spans="1:17" ht="48" x14ac:dyDescent="0.25">
      <c r="A4084" s="23">
        <v>40723</v>
      </c>
      <c r="B4084" s="23">
        <v>40723</v>
      </c>
      <c r="C4084" s="24">
        <v>2011</v>
      </c>
      <c r="D4084" s="351" t="s">
        <v>23</v>
      </c>
      <c r="E4084" s="49" t="s">
        <v>5893</v>
      </c>
      <c r="F4084" s="7" t="s">
        <v>36</v>
      </c>
      <c r="G4084" s="44" t="s">
        <v>5985</v>
      </c>
      <c r="H4084" s="44" t="s">
        <v>5986</v>
      </c>
      <c r="I4084" s="20">
        <v>1</v>
      </c>
      <c r="J4084" s="20">
        <v>1</v>
      </c>
      <c r="K4084" s="20">
        <v>0</v>
      </c>
      <c r="L4084" s="20">
        <v>0</v>
      </c>
      <c r="M4084" s="20">
        <v>0</v>
      </c>
      <c r="N4084" s="20">
        <v>0</v>
      </c>
      <c r="O4084" s="20">
        <v>0</v>
      </c>
      <c r="P4084" s="26">
        <v>0</v>
      </c>
      <c r="Q4084" s="45" t="s">
        <v>154</v>
      </c>
    </row>
    <row r="4085" spans="1:17" ht="48" x14ac:dyDescent="0.25">
      <c r="A4085" s="23">
        <v>40805</v>
      </c>
      <c r="B4085" s="23">
        <v>40805</v>
      </c>
      <c r="C4085" s="24">
        <v>2011</v>
      </c>
      <c r="D4085" s="351" t="s">
        <v>23</v>
      </c>
      <c r="E4085" s="22" t="s">
        <v>86</v>
      </c>
      <c r="F4085" s="7" t="s">
        <v>36</v>
      </c>
      <c r="G4085" s="44" t="s">
        <v>232</v>
      </c>
      <c r="H4085" s="44" t="s">
        <v>5987</v>
      </c>
      <c r="I4085" s="20">
        <v>0</v>
      </c>
      <c r="J4085" s="46">
        <v>814</v>
      </c>
      <c r="K4085" s="20">
        <v>5</v>
      </c>
      <c r="L4085" s="20" t="s">
        <v>110</v>
      </c>
      <c r="M4085" s="20" t="s">
        <v>110</v>
      </c>
      <c r="N4085" s="20">
        <v>0</v>
      </c>
      <c r="O4085" s="20" t="s">
        <v>110</v>
      </c>
      <c r="P4085" s="47">
        <v>307.49817899999999</v>
      </c>
      <c r="Q4085" s="45" t="s">
        <v>186</v>
      </c>
    </row>
    <row r="4086" spans="1:17" ht="108" x14ac:dyDescent="0.25">
      <c r="A4086" s="23">
        <v>40604</v>
      </c>
      <c r="B4086" s="23">
        <v>40604</v>
      </c>
      <c r="C4086" s="24">
        <v>2011</v>
      </c>
      <c r="D4086" s="35" t="s">
        <v>28</v>
      </c>
      <c r="E4086" s="30" t="s">
        <v>133</v>
      </c>
      <c r="F4086" s="7" t="s">
        <v>30</v>
      </c>
      <c r="G4086" s="44" t="s">
        <v>1078</v>
      </c>
      <c r="H4086" s="44" t="s">
        <v>5988</v>
      </c>
      <c r="I4086" s="20">
        <v>0</v>
      </c>
      <c r="J4086" s="20">
        <v>150</v>
      </c>
      <c r="K4086" s="20">
        <v>0</v>
      </c>
      <c r="L4086" s="20">
        <v>0</v>
      </c>
      <c r="M4086" s="20">
        <v>1</v>
      </c>
      <c r="N4086" s="20">
        <v>0</v>
      </c>
      <c r="O4086" s="20">
        <v>0</v>
      </c>
      <c r="P4086" s="158">
        <v>0</v>
      </c>
      <c r="Q4086" s="45" t="s">
        <v>154</v>
      </c>
    </row>
    <row r="4087" spans="1:17" ht="132" x14ac:dyDescent="0.25">
      <c r="A4087" s="23">
        <v>40725</v>
      </c>
      <c r="B4087" s="23">
        <v>40725</v>
      </c>
      <c r="C4087" s="24">
        <v>2011</v>
      </c>
      <c r="D4087" s="351" t="s">
        <v>23</v>
      </c>
      <c r="E4087" s="22" t="s">
        <v>86</v>
      </c>
      <c r="F4087" s="7" t="s">
        <v>30</v>
      </c>
      <c r="G4087" s="44" t="s">
        <v>901</v>
      </c>
      <c r="H4087" s="44" t="s">
        <v>5989</v>
      </c>
      <c r="I4087" s="20">
        <v>0</v>
      </c>
      <c r="J4087" s="20">
        <f>(30*5)</f>
        <v>150</v>
      </c>
      <c r="K4087" s="20">
        <v>30</v>
      </c>
      <c r="L4087" s="20">
        <v>0</v>
      </c>
      <c r="M4087" s="20">
        <v>0</v>
      </c>
      <c r="N4087" s="20">
        <v>0</v>
      </c>
      <c r="O4087" s="20">
        <v>0</v>
      </c>
      <c r="P4087" s="26">
        <v>0.03</v>
      </c>
      <c r="Q4087" s="45" t="s">
        <v>154</v>
      </c>
    </row>
    <row r="4088" spans="1:17" ht="168" x14ac:dyDescent="0.25">
      <c r="A4088" s="23">
        <v>40725</v>
      </c>
      <c r="B4088" s="23">
        <v>40725</v>
      </c>
      <c r="C4088" s="24">
        <v>2011</v>
      </c>
      <c r="D4088" s="35" t="s">
        <v>28</v>
      </c>
      <c r="E4088" s="30" t="s">
        <v>125</v>
      </c>
      <c r="F4088" s="25" t="s">
        <v>781</v>
      </c>
      <c r="G4088" s="44" t="s">
        <v>5990</v>
      </c>
      <c r="H4088" s="44" t="s">
        <v>5991</v>
      </c>
      <c r="I4088" s="20">
        <v>0</v>
      </c>
      <c r="J4088" s="20">
        <f>(300*5)</f>
        <v>1500</v>
      </c>
      <c r="K4088" s="20">
        <v>0</v>
      </c>
      <c r="L4088" s="20">
        <v>0</v>
      </c>
      <c r="M4088" s="20">
        <v>0</v>
      </c>
      <c r="N4088" s="20">
        <v>0</v>
      </c>
      <c r="O4088" s="20">
        <v>0</v>
      </c>
      <c r="P4088" s="26">
        <v>9.3100000000000006E-3</v>
      </c>
      <c r="Q4088" s="45" t="s">
        <v>154</v>
      </c>
    </row>
    <row r="4089" spans="1:17" ht="180" x14ac:dyDescent="0.25">
      <c r="A4089" s="23">
        <v>40725</v>
      </c>
      <c r="B4089" s="23">
        <v>40725</v>
      </c>
      <c r="C4089" s="24">
        <v>2011</v>
      </c>
      <c r="D4089" s="24" t="s">
        <v>141</v>
      </c>
      <c r="E4089" s="30" t="s">
        <v>142</v>
      </c>
      <c r="F4089" s="7" t="s">
        <v>87</v>
      </c>
      <c r="G4089" s="44" t="s">
        <v>2671</v>
      </c>
      <c r="H4089" s="44" t="s">
        <v>5992</v>
      </c>
      <c r="I4089" s="20">
        <v>0</v>
      </c>
      <c r="J4089" s="20">
        <v>13</v>
      </c>
      <c r="K4089" s="20">
        <v>0</v>
      </c>
      <c r="L4089" s="20">
        <v>0</v>
      </c>
      <c r="M4089" s="20">
        <v>0</v>
      </c>
      <c r="N4089" s="20">
        <v>0</v>
      </c>
      <c r="O4089" s="20">
        <v>0</v>
      </c>
      <c r="P4089" s="26">
        <v>0.98780000000000001</v>
      </c>
      <c r="Q4089" s="45" t="s">
        <v>154</v>
      </c>
    </row>
    <row r="4090" spans="1:17" ht="96" x14ac:dyDescent="0.25">
      <c r="A4090" s="23">
        <v>40828</v>
      </c>
      <c r="B4090" s="23">
        <v>40828</v>
      </c>
      <c r="C4090" s="24">
        <v>2011</v>
      </c>
      <c r="D4090" s="351" t="s">
        <v>23</v>
      </c>
      <c r="E4090" s="14" t="s">
        <v>32</v>
      </c>
      <c r="F4090" s="7" t="s">
        <v>47</v>
      </c>
      <c r="G4090" s="44" t="s">
        <v>5993</v>
      </c>
      <c r="H4090" s="44" t="s">
        <v>5994</v>
      </c>
      <c r="I4090" s="20">
        <v>2</v>
      </c>
      <c r="J4090" s="20">
        <v>53584</v>
      </c>
      <c r="K4090" s="20">
        <v>3304</v>
      </c>
      <c r="L4090" s="20">
        <v>41</v>
      </c>
      <c r="M4090" s="20">
        <v>26</v>
      </c>
      <c r="N4090" s="20">
        <v>1123</v>
      </c>
      <c r="O4090" s="20">
        <v>6388</v>
      </c>
      <c r="P4090" s="26">
        <v>2278.4929999999999</v>
      </c>
      <c r="Q4090" s="45" t="s">
        <v>22</v>
      </c>
    </row>
    <row r="4091" spans="1:17" ht="84" x14ac:dyDescent="0.25">
      <c r="A4091" s="23">
        <v>40724</v>
      </c>
      <c r="B4091" s="23">
        <v>40724</v>
      </c>
      <c r="C4091" s="24">
        <v>2011</v>
      </c>
      <c r="D4091" s="351" t="s">
        <v>23</v>
      </c>
      <c r="E4091" s="49" t="s">
        <v>5893</v>
      </c>
      <c r="F4091" s="28" t="s">
        <v>210</v>
      </c>
      <c r="G4091" s="44" t="s">
        <v>5995</v>
      </c>
      <c r="H4091" s="44" t="s">
        <v>5996</v>
      </c>
      <c r="I4091" s="20">
        <v>0</v>
      </c>
      <c r="J4091" s="20">
        <v>10240</v>
      </c>
      <c r="K4091" s="20">
        <v>2048</v>
      </c>
      <c r="L4091" s="20">
        <v>0</v>
      </c>
      <c r="M4091" s="20">
        <v>0</v>
      </c>
      <c r="N4091" s="20">
        <v>0</v>
      </c>
      <c r="O4091" s="20">
        <v>0</v>
      </c>
      <c r="P4091" s="26">
        <v>0.64100000000000001</v>
      </c>
      <c r="Q4091" s="45" t="s">
        <v>154</v>
      </c>
    </row>
    <row r="4092" spans="1:17" ht="132" x14ac:dyDescent="0.25">
      <c r="A4092" s="23">
        <v>40720</v>
      </c>
      <c r="B4092" s="23">
        <v>40720</v>
      </c>
      <c r="C4092" s="24">
        <v>2011</v>
      </c>
      <c r="D4092" s="24" t="s">
        <v>141</v>
      </c>
      <c r="E4092" s="30" t="s">
        <v>142</v>
      </c>
      <c r="F4092" s="28" t="s">
        <v>210</v>
      </c>
      <c r="G4092" s="44" t="s">
        <v>1935</v>
      </c>
      <c r="H4092" s="44" t="s">
        <v>5997</v>
      </c>
      <c r="I4092" s="20">
        <v>4</v>
      </c>
      <c r="J4092" s="20">
        <v>7</v>
      </c>
      <c r="K4092" s="20">
        <v>0</v>
      </c>
      <c r="L4092" s="20">
        <v>0</v>
      </c>
      <c r="M4092" s="20">
        <v>0</v>
      </c>
      <c r="N4092" s="20">
        <v>0</v>
      </c>
      <c r="O4092" s="20">
        <v>0</v>
      </c>
      <c r="P4092" s="26">
        <v>0.85240000000000005</v>
      </c>
      <c r="Q4092" s="45" t="s">
        <v>154</v>
      </c>
    </row>
    <row r="4093" spans="1:17" ht="108" x14ac:dyDescent="0.25">
      <c r="A4093" s="23">
        <v>40722</v>
      </c>
      <c r="B4093" s="23">
        <v>40722</v>
      </c>
      <c r="C4093" s="24">
        <v>2011</v>
      </c>
      <c r="D4093" s="35" t="s">
        <v>28</v>
      </c>
      <c r="E4093" s="6" t="s">
        <v>149</v>
      </c>
      <c r="F4093" s="7" t="s">
        <v>97</v>
      </c>
      <c r="G4093" s="44" t="s">
        <v>3637</v>
      </c>
      <c r="H4093" s="44" t="s">
        <v>5998</v>
      </c>
      <c r="I4093" s="20">
        <v>0</v>
      </c>
      <c r="J4093" s="20">
        <v>25</v>
      </c>
      <c r="K4093" s="20">
        <v>0</v>
      </c>
      <c r="L4093" s="20">
        <v>0</v>
      </c>
      <c r="M4093" s="20">
        <v>0</v>
      </c>
      <c r="N4093" s="20">
        <v>0</v>
      </c>
      <c r="O4093" s="20">
        <v>0</v>
      </c>
      <c r="P4093" s="158">
        <v>0</v>
      </c>
      <c r="Q4093" s="45" t="s">
        <v>154</v>
      </c>
    </row>
    <row r="4094" spans="1:17" ht="132" x14ac:dyDescent="0.25">
      <c r="A4094" s="23">
        <v>40688</v>
      </c>
      <c r="B4094" s="23">
        <v>40688</v>
      </c>
      <c r="C4094" s="24">
        <v>2011</v>
      </c>
      <c r="D4094" s="24" t="s">
        <v>141</v>
      </c>
      <c r="E4094" s="41" t="s">
        <v>5999</v>
      </c>
      <c r="F4094" s="25" t="s">
        <v>781</v>
      </c>
      <c r="G4094" s="44" t="s">
        <v>3354</v>
      </c>
      <c r="H4094" s="44" t="s">
        <v>6000</v>
      </c>
      <c r="I4094" s="20">
        <v>0</v>
      </c>
      <c r="J4094" s="20">
        <v>1</v>
      </c>
      <c r="K4094" s="20">
        <v>0</v>
      </c>
      <c r="L4094" s="20">
        <v>0</v>
      </c>
      <c r="M4094" s="20">
        <v>0</v>
      </c>
      <c r="N4094" s="20">
        <v>0</v>
      </c>
      <c r="O4094" s="20">
        <v>0</v>
      </c>
      <c r="P4094" s="158">
        <v>0</v>
      </c>
      <c r="Q4094" s="45" t="s">
        <v>154</v>
      </c>
    </row>
    <row r="4095" spans="1:17" ht="60" x14ac:dyDescent="0.25">
      <c r="A4095" s="23">
        <v>40721</v>
      </c>
      <c r="B4095" s="23">
        <v>40721</v>
      </c>
      <c r="C4095" s="24">
        <v>2011</v>
      </c>
      <c r="D4095" s="351" t="s">
        <v>23</v>
      </c>
      <c r="E4095" s="14" t="s">
        <v>52</v>
      </c>
      <c r="F4095" s="25" t="s">
        <v>781</v>
      </c>
      <c r="G4095" s="44" t="s">
        <v>5007</v>
      </c>
      <c r="H4095" s="44" t="s">
        <v>6001</v>
      </c>
      <c r="I4095" s="20">
        <v>1</v>
      </c>
      <c r="J4095" s="20">
        <v>1</v>
      </c>
      <c r="K4095" s="20">
        <v>0</v>
      </c>
      <c r="L4095" s="20">
        <v>0</v>
      </c>
      <c r="M4095" s="20">
        <v>0</v>
      </c>
      <c r="N4095" s="20">
        <v>0</v>
      </c>
      <c r="O4095" s="20">
        <v>0</v>
      </c>
      <c r="P4095" s="26">
        <v>0</v>
      </c>
      <c r="Q4095" s="45" t="s">
        <v>154</v>
      </c>
    </row>
    <row r="4096" spans="1:17" ht="228" x14ac:dyDescent="0.25">
      <c r="A4096" s="23">
        <v>40721</v>
      </c>
      <c r="B4096" s="23">
        <v>40721</v>
      </c>
      <c r="C4096" s="24">
        <v>2011</v>
      </c>
      <c r="D4096" s="24" t="s">
        <v>141</v>
      </c>
      <c r="E4096" s="30" t="s">
        <v>142</v>
      </c>
      <c r="F4096" s="7" t="s">
        <v>87</v>
      </c>
      <c r="G4096" s="44" t="s">
        <v>936</v>
      </c>
      <c r="H4096" s="44" t="s">
        <v>6002</v>
      </c>
      <c r="I4096" s="20">
        <v>0</v>
      </c>
      <c r="J4096" s="20">
        <v>0</v>
      </c>
      <c r="K4096" s="20">
        <v>0</v>
      </c>
      <c r="L4096" s="20">
        <v>0</v>
      </c>
      <c r="M4096" s="20">
        <v>0</v>
      </c>
      <c r="N4096" s="20">
        <v>0</v>
      </c>
      <c r="O4096" s="20">
        <v>0</v>
      </c>
      <c r="P4096" s="26">
        <v>0.45</v>
      </c>
      <c r="Q4096" s="45" t="s">
        <v>154</v>
      </c>
    </row>
    <row r="4097" spans="1:17" ht="144" x14ac:dyDescent="0.25">
      <c r="A4097" s="23">
        <v>40720</v>
      </c>
      <c r="B4097" s="23">
        <v>40720</v>
      </c>
      <c r="C4097" s="24">
        <v>2011</v>
      </c>
      <c r="D4097" s="24" t="s">
        <v>141</v>
      </c>
      <c r="E4097" s="30" t="s">
        <v>142</v>
      </c>
      <c r="F4097" s="7" t="s">
        <v>87</v>
      </c>
      <c r="G4097" s="44" t="s">
        <v>1890</v>
      </c>
      <c r="H4097" s="44" t="s">
        <v>6003</v>
      </c>
      <c r="I4097" s="20">
        <v>0</v>
      </c>
      <c r="J4097" s="20">
        <v>1</v>
      </c>
      <c r="K4097" s="20">
        <v>0</v>
      </c>
      <c r="L4097" s="20">
        <v>0</v>
      </c>
      <c r="M4097" s="20">
        <v>0</v>
      </c>
      <c r="N4097" s="20">
        <v>0</v>
      </c>
      <c r="O4097" s="20">
        <v>0</v>
      </c>
      <c r="P4097" s="26">
        <v>0.45</v>
      </c>
      <c r="Q4097" s="45" t="s">
        <v>154</v>
      </c>
    </row>
    <row r="4098" spans="1:17" ht="60" x14ac:dyDescent="0.25">
      <c r="A4098" s="23">
        <v>40720</v>
      </c>
      <c r="B4098" s="23">
        <v>40720</v>
      </c>
      <c r="C4098" s="24">
        <v>2011</v>
      </c>
      <c r="D4098" s="24" t="s">
        <v>141</v>
      </c>
      <c r="E4098" s="30" t="s">
        <v>142</v>
      </c>
      <c r="F4098" s="7" t="s">
        <v>84</v>
      </c>
      <c r="G4098" s="44" t="s">
        <v>4988</v>
      </c>
      <c r="H4098" s="44" t="s">
        <v>6004</v>
      </c>
      <c r="I4098" s="20">
        <v>0</v>
      </c>
      <c r="J4098" s="20">
        <v>22</v>
      </c>
      <c r="K4098" s="20">
        <v>0</v>
      </c>
      <c r="L4098" s="20">
        <v>0</v>
      </c>
      <c r="M4098" s="20">
        <v>0</v>
      </c>
      <c r="N4098" s="20">
        <v>0</v>
      </c>
      <c r="O4098" s="20">
        <v>0</v>
      </c>
      <c r="P4098" s="26">
        <v>0.4</v>
      </c>
      <c r="Q4098" s="45" t="s">
        <v>154</v>
      </c>
    </row>
    <row r="4099" spans="1:17" ht="264" x14ac:dyDescent="0.25">
      <c r="A4099" s="23">
        <v>40779</v>
      </c>
      <c r="B4099" s="23">
        <v>40779</v>
      </c>
      <c r="C4099" s="24">
        <v>2011</v>
      </c>
      <c r="D4099" s="351" t="s">
        <v>23</v>
      </c>
      <c r="E4099" s="22" t="s">
        <v>86</v>
      </c>
      <c r="F4099" s="7" t="s">
        <v>84</v>
      </c>
      <c r="G4099" s="44" t="s">
        <v>6005</v>
      </c>
      <c r="H4099" s="44" t="s">
        <v>6006</v>
      </c>
      <c r="I4099" s="20">
        <v>0</v>
      </c>
      <c r="J4099" s="20">
        <v>1500</v>
      </c>
      <c r="K4099" s="20">
        <v>300</v>
      </c>
      <c r="L4099" s="20">
        <v>0</v>
      </c>
      <c r="M4099" s="20">
        <v>0</v>
      </c>
      <c r="N4099" s="20">
        <v>0</v>
      </c>
      <c r="O4099" s="20">
        <v>0</v>
      </c>
      <c r="P4099" s="26">
        <v>9.3899999999999997E-2</v>
      </c>
      <c r="Q4099" s="45" t="s">
        <v>154</v>
      </c>
    </row>
    <row r="4100" spans="1:17" ht="168" x14ac:dyDescent="0.25">
      <c r="A4100" s="23">
        <v>40718</v>
      </c>
      <c r="B4100" s="23">
        <v>40718</v>
      </c>
      <c r="C4100" s="24">
        <v>2011</v>
      </c>
      <c r="D4100" s="351" t="s">
        <v>23</v>
      </c>
      <c r="E4100" s="22" t="s">
        <v>86</v>
      </c>
      <c r="F4100" s="7" t="s">
        <v>82</v>
      </c>
      <c r="G4100" s="44" t="s">
        <v>6007</v>
      </c>
      <c r="H4100" s="44" t="s">
        <v>6008</v>
      </c>
      <c r="I4100" s="20">
        <v>5</v>
      </c>
      <c r="J4100" s="20">
        <v>538</v>
      </c>
      <c r="K4100" s="20">
        <v>0</v>
      </c>
      <c r="L4100" s="20">
        <v>0</v>
      </c>
      <c r="M4100" s="20">
        <v>0</v>
      </c>
      <c r="N4100" s="20">
        <v>0</v>
      </c>
      <c r="O4100" s="20">
        <v>0</v>
      </c>
      <c r="P4100" s="26">
        <v>0</v>
      </c>
      <c r="Q4100" s="45" t="s">
        <v>154</v>
      </c>
    </row>
    <row r="4101" spans="1:17" ht="72" x14ac:dyDescent="0.25">
      <c r="A4101" s="23">
        <v>40718</v>
      </c>
      <c r="B4101" s="23">
        <v>40718</v>
      </c>
      <c r="C4101" s="24">
        <v>2011</v>
      </c>
      <c r="D4101" s="24" t="s">
        <v>141</v>
      </c>
      <c r="E4101" s="30" t="s">
        <v>142</v>
      </c>
      <c r="F4101" s="7" t="s">
        <v>80</v>
      </c>
      <c r="G4101" s="44" t="s">
        <v>4963</v>
      </c>
      <c r="H4101" s="44" t="s">
        <v>6009</v>
      </c>
      <c r="I4101" s="20">
        <v>0</v>
      </c>
      <c r="J4101" s="20">
        <v>3</v>
      </c>
      <c r="K4101" s="20">
        <v>0</v>
      </c>
      <c r="L4101" s="20">
        <v>0</v>
      </c>
      <c r="M4101" s="20">
        <v>0</v>
      </c>
      <c r="N4101" s="20">
        <v>0</v>
      </c>
      <c r="O4101" s="20">
        <v>0</v>
      </c>
      <c r="P4101" s="26">
        <v>1</v>
      </c>
      <c r="Q4101" s="45" t="s">
        <v>154</v>
      </c>
    </row>
    <row r="4102" spans="1:17" ht="144" x14ac:dyDescent="0.25">
      <c r="A4102" s="23">
        <v>40717</v>
      </c>
      <c r="B4102" s="23">
        <v>40717</v>
      </c>
      <c r="C4102" s="24">
        <v>2011</v>
      </c>
      <c r="D4102" s="351" t="s">
        <v>23</v>
      </c>
      <c r="E4102" s="22" t="s">
        <v>86</v>
      </c>
      <c r="F4102" s="7" t="s">
        <v>77</v>
      </c>
      <c r="G4102" s="44" t="s">
        <v>6010</v>
      </c>
      <c r="H4102" s="44" t="s">
        <v>6011</v>
      </c>
      <c r="I4102" s="20">
        <v>0</v>
      </c>
      <c r="J4102" s="20">
        <v>4</v>
      </c>
      <c r="K4102" s="20">
        <v>1</v>
      </c>
      <c r="L4102" s="20">
        <v>0</v>
      </c>
      <c r="M4102" s="20">
        <v>0</v>
      </c>
      <c r="N4102" s="20">
        <v>0</v>
      </c>
      <c r="O4102" s="20">
        <v>0</v>
      </c>
      <c r="P4102" s="26">
        <v>5.4999999999999997E-3</v>
      </c>
      <c r="Q4102" s="45" t="s">
        <v>154</v>
      </c>
    </row>
    <row r="4103" spans="1:17" ht="108" x14ac:dyDescent="0.25">
      <c r="A4103" s="23">
        <v>40717</v>
      </c>
      <c r="B4103" s="23">
        <v>40717</v>
      </c>
      <c r="C4103" s="24">
        <v>2011</v>
      </c>
      <c r="D4103" s="24" t="s">
        <v>141</v>
      </c>
      <c r="E4103" s="30" t="s">
        <v>142</v>
      </c>
      <c r="F4103" s="7" t="s">
        <v>75</v>
      </c>
      <c r="G4103" s="44" t="s">
        <v>6012</v>
      </c>
      <c r="H4103" s="44" t="s">
        <v>6013</v>
      </c>
      <c r="I4103" s="20">
        <v>0</v>
      </c>
      <c r="J4103" s="20">
        <v>11</v>
      </c>
      <c r="K4103" s="20">
        <v>0</v>
      </c>
      <c r="L4103" s="20">
        <v>0</v>
      </c>
      <c r="M4103" s="20">
        <v>0</v>
      </c>
      <c r="N4103" s="20">
        <v>0</v>
      </c>
      <c r="O4103" s="20">
        <v>0</v>
      </c>
      <c r="P4103" s="26">
        <v>1.075</v>
      </c>
      <c r="Q4103" s="45" t="s">
        <v>154</v>
      </c>
    </row>
    <row r="4104" spans="1:17" ht="84" x14ac:dyDescent="0.25">
      <c r="A4104" s="23">
        <v>40717</v>
      </c>
      <c r="B4104" s="23">
        <v>40717</v>
      </c>
      <c r="C4104" s="24">
        <v>2011</v>
      </c>
      <c r="D4104" s="351" t="s">
        <v>23</v>
      </c>
      <c r="E4104" s="49" t="s">
        <v>5893</v>
      </c>
      <c r="F4104" s="7" t="s">
        <v>75</v>
      </c>
      <c r="G4104" s="44" t="s">
        <v>6014</v>
      </c>
      <c r="H4104" s="44" t="s">
        <v>6015</v>
      </c>
      <c r="I4104" s="20">
        <v>0</v>
      </c>
      <c r="J4104" s="20">
        <v>11</v>
      </c>
      <c r="K4104" s="20">
        <v>2</v>
      </c>
      <c r="L4104" s="20">
        <v>0</v>
      </c>
      <c r="M4104" s="20">
        <v>0</v>
      </c>
      <c r="N4104" s="20">
        <v>0</v>
      </c>
      <c r="O4104" s="20">
        <v>0</v>
      </c>
      <c r="P4104" s="26">
        <v>0.42680000000000001</v>
      </c>
      <c r="Q4104" s="45" t="s">
        <v>154</v>
      </c>
    </row>
    <row r="4105" spans="1:17" ht="36" x14ac:dyDescent="0.25">
      <c r="A4105" s="23">
        <v>40717</v>
      </c>
      <c r="B4105" s="23">
        <v>40717</v>
      </c>
      <c r="C4105" s="24">
        <v>2011</v>
      </c>
      <c r="D4105" s="351" t="s">
        <v>23</v>
      </c>
      <c r="E4105" s="22" t="s">
        <v>86</v>
      </c>
      <c r="F4105" s="7" t="s">
        <v>75</v>
      </c>
      <c r="G4105" s="44" t="s">
        <v>6016</v>
      </c>
      <c r="H4105" s="44" t="s">
        <v>6017</v>
      </c>
      <c r="I4105" s="20">
        <v>0</v>
      </c>
      <c r="J4105" s="20">
        <v>85</v>
      </c>
      <c r="K4105" s="20">
        <v>17</v>
      </c>
      <c r="L4105" s="20">
        <v>0</v>
      </c>
      <c r="M4105" s="20">
        <v>0</v>
      </c>
      <c r="N4105" s="20">
        <v>0</v>
      </c>
      <c r="O4105" s="20">
        <v>0</v>
      </c>
      <c r="P4105" s="26">
        <v>5.3E-3</v>
      </c>
      <c r="Q4105" s="45" t="s">
        <v>154</v>
      </c>
    </row>
    <row r="4106" spans="1:17" ht="156" x14ac:dyDescent="0.25">
      <c r="A4106" s="23">
        <v>40717</v>
      </c>
      <c r="B4106" s="23">
        <v>40717</v>
      </c>
      <c r="C4106" s="24">
        <v>2011</v>
      </c>
      <c r="D4106" s="35" t="s">
        <v>28</v>
      </c>
      <c r="E4106" s="6" t="s">
        <v>369</v>
      </c>
      <c r="F4106" s="7" t="s">
        <v>75</v>
      </c>
      <c r="G4106" s="44" t="s">
        <v>75</v>
      </c>
      <c r="H4106" s="44" t="s">
        <v>6018</v>
      </c>
      <c r="I4106" s="20">
        <v>0</v>
      </c>
      <c r="J4106" s="20">
        <v>100</v>
      </c>
      <c r="K4106" s="20">
        <v>0</v>
      </c>
      <c r="L4106" s="20">
        <v>0</v>
      </c>
      <c r="M4106" s="20">
        <v>0</v>
      </c>
      <c r="N4106" s="20">
        <v>0</v>
      </c>
      <c r="O4106" s="20">
        <v>0</v>
      </c>
      <c r="P4106" s="158">
        <v>0</v>
      </c>
      <c r="Q4106" s="45" t="s">
        <v>154</v>
      </c>
    </row>
    <row r="4107" spans="1:17" ht="48" x14ac:dyDescent="0.25">
      <c r="A4107" s="23">
        <v>40725</v>
      </c>
      <c r="B4107" s="23">
        <v>40725</v>
      </c>
      <c r="C4107" s="24">
        <v>2011</v>
      </c>
      <c r="D4107" s="351" t="s">
        <v>23</v>
      </c>
      <c r="E4107" s="22" t="s">
        <v>86</v>
      </c>
      <c r="F4107" s="7" t="s">
        <v>75</v>
      </c>
      <c r="G4107" s="44" t="s">
        <v>6019</v>
      </c>
      <c r="H4107" s="44" t="s">
        <v>6020</v>
      </c>
      <c r="I4107" s="20">
        <v>1</v>
      </c>
      <c r="J4107" s="20">
        <v>5</v>
      </c>
      <c r="K4107" s="20">
        <v>0</v>
      </c>
      <c r="L4107" s="20">
        <v>0</v>
      </c>
      <c r="M4107" s="20">
        <v>0</v>
      </c>
      <c r="N4107" s="20">
        <v>0</v>
      </c>
      <c r="O4107" s="20">
        <v>0</v>
      </c>
      <c r="P4107" s="26">
        <v>2.8000000000000001E-2</v>
      </c>
      <c r="Q4107" s="45" t="s">
        <v>154</v>
      </c>
    </row>
    <row r="4108" spans="1:17" ht="132" x14ac:dyDescent="0.25">
      <c r="A4108" s="23">
        <v>40695</v>
      </c>
      <c r="B4108" s="23">
        <v>40695</v>
      </c>
      <c r="C4108" s="24">
        <v>2011</v>
      </c>
      <c r="D4108" s="351" t="s">
        <v>23</v>
      </c>
      <c r="E4108" s="22" t="s">
        <v>86</v>
      </c>
      <c r="F4108" s="7" t="s">
        <v>72</v>
      </c>
      <c r="G4108" s="44" t="s">
        <v>6021</v>
      </c>
      <c r="H4108" s="44" t="s">
        <v>6022</v>
      </c>
      <c r="I4108" s="20">
        <v>2</v>
      </c>
      <c r="J4108" s="20">
        <v>7</v>
      </c>
      <c r="K4108" s="20">
        <v>0</v>
      </c>
      <c r="L4108" s="20">
        <v>0</v>
      </c>
      <c r="M4108" s="20">
        <v>0</v>
      </c>
      <c r="N4108" s="20">
        <v>0</v>
      </c>
      <c r="O4108" s="20">
        <v>0</v>
      </c>
      <c r="P4108" s="26">
        <v>3.6999999999999998E-2</v>
      </c>
      <c r="Q4108" s="45" t="s">
        <v>154</v>
      </c>
    </row>
    <row r="4109" spans="1:17" ht="324" x14ac:dyDescent="0.25">
      <c r="A4109" s="23">
        <v>40716</v>
      </c>
      <c r="B4109" s="23">
        <v>40716</v>
      </c>
      <c r="C4109" s="24">
        <v>2011</v>
      </c>
      <c r="D4109" s="351" t="s">
        <v>23</v>
      </c>
      <c r="E4109" s="22" t="s">
        <v>86</v>
      </c>
      <c r="F4109" s="7" t="s">
        <v>72</v>
      </c>
      <c r="G4109" s="44" t="s">
        <v>6023</v>
      </c>
      <c r="H4109" s="44" t="s">
        <v>6024</v>
      </c>
      <c r="I4109" s="20">
        <v>0</v>
      </c>
      <c r="J4109" s="20">
        <f>(160*5)</f>
        <v>800</v>
      </c>
      <c r="K4109" s="20">
        <v>45</v>
      </c>
      <c r="L4109" s="20">
        <v>0</v>
      </c>
      <c r="M4109" s="20">
        <v>0</v>
      </c>
      <c r="N4109" s="20">
        <v>0</v>
      </c>
      <c r="O4109" s="20">
        <v>0</v>
      </c>
      <c r="P4109" s="26">
        <v>0.1125</v>
      </c>
      <c r="Q4109" s="45" t="s">
        <v>154</v>
      </c>
    </row>
    <row r="4110" spans="1:17" ht="84" x14ac:dyDescent="0.25">
      <c r="A4110" s="23">
        <v>40716</v>
      </c>
      <c r="B4110" s="23">
        <v>40716</v>
      </c>
      <c r="C4110" s="24">
        <v>2011</v>
      </c>
      <c r="D4110" s="351" t="s">
        <v>23</v>
      </c>
      <c r="E4110" s="22" t="s">
        <v>86</v>
      </c>
      <c r="F4110" s="7" t="s">
        <v>72</v>
      </c>
      <c r="G4110" s="44" t="s">
        <v>6025</v>
      </c>
      <c r="H4110" s="44" t="s">
        <v>6026</v>
      </c>
      <c r="I4110" s="20">
        <v>3</v>
      </c>
      <c r="J4110" s="20">
        <v>5</v>
      </c>
      <c r="K4110" s="20">
        <v>1</v>
      </c>
      <c r="L4110" s="20">
        <v>0</v>
      </c>
      <c r="M4110" s="20">
        <v>0</v>
      </c>
      <c r="N4110" s="20">
        <v>0</v>
      </c>
      <c r="O4110" s="20">
        <v>0</v>
      </c>
      <c r="P4110" s="26">
        <v>0.12</v>
      </c>
      <c r="Q4110" s="45" t="s">
        <v>154</v>
      </c>
    </row>
    <row r="4111" spans="1:17" ht="84" x14ac:dyDescent="0.25">
      <c r="A4111" s="23">
        <v>40714</v>
      </c>
      <c r="B4111" s="23">
        <v>40714</v>
      </c>
      <c r="C4111" s="24">
        <v>2011</v>
      </c>
      <c r="D4111" s="24" t="s">
        <v>141</v>
      </c>
      <c r="E4111" s="30" t="s">
        <v>142</v>
      </c>
      <c r="F4111" s="7" t="s">
        <v>67</v>
      </c>
      <c r="G4111" s="44" t="s">
        <v>6027</v>
      </c>
      <c r="H4111" s="44" t="s">
        <v>6028</v>
      </c>
      <c r="I4111" s="20">
        <v>1</v>
      </c>
      <c r="J4111" s="20">
        <v>8</v>
      </c>
      <c r="K4111" s="20">
        <v>0</v>
      </c>
      <c r="L4111" s="20">
        <v>0</v>
      </c>
      <c r="M4111" s="20">
        <v>0</v>
      </c>
      <c r="N4111" s="20">
        <v>0</v>
      </c>
      <c r="O4111" s="20">
        <v>0</v>
      </c>
      <c r="P4111" s="26">
        <v>0.4</v>
      </c>
      <c r="Q4111" s="45" t="s">
        <v>154</v>
      </c>
    </row>
    <row r="4112" spans="1:17" ht="84" x14ac:dyDescent="0.25">
      <c r="A4112" s="23">
        <v>40714</v>
      </c>
      <c r="B4112" s="23">
        <v>40714</v>
      </c>
      <c r="C4112" s="24">
        <v>2011</v>
      </c>
      <c r="D4112" s="35" t="s">
        <v>17</v>
      </c>
      <c r="E4112" s="49" t="s">
        <v>1597</v>
      </c>
      <c r="F4112" s="7" t="s">
        <v>65</v>
      </c>
      <c r="G4112" s="44" t="s">
        <v>1346</v>
      </c>
      <c r="H4112" s="44" t="s">
        <v>6029</v>
      </c>
      <c r="I4112" s="20">
        <v>0</v>
      </c>
      <c r="J4112" s="20">
        <v>45</v>
      </c>
      <c r="K4112" s="20">
        <v>2</v>
      </c>
      <c r="L4112" s="20">
        <v>0</v>
      </c>
      <c r="M4112" s="20">
        <v>0</v>
      </c>
      <c r="N4112" s="20">
        <v>0</v>
      </c>
      <c r="O4112" s="20">
        <v>0</v>
      </c>
      <c r="P4112" s="26">
        <v>0.56000000000000005</v>
      </c>
      <c r="Q4112" s="45" t="s">
        <v>154</v>
      </c>
    </row>
    <row r="4113" spans="1:17" ht="168" x14ac:dyDescent="0.25">
      <c r="A4113" s="23">
        <v>40714</v>
      </c>
      <c r="B4113" s="23">
        <v>40714</v>
      </c>
      <c r="C4113" s="24">
        <v>2011</v>
      </c>
      <c r="D4113" s="351" t="s">
        <v>23</v>
      </c>
      <c r="E4113" s="22" t="s">
        <v>86</v>
      </c>
      <c r="F4113" s="7" t="s">
        <v>65</v>
      </c>
      <c r="G4113" s="44" t="s">
        <v>6030</v>
      </c>
      <c r="H4113" s="44" t="s">
        <v>6031</v>
      </c>
      <c r="I4113" s="20">
        <v>0</v>
      </c>
      <c r="J4113" s="20">
        <f>(62*5)</f>
        <v>310</v>
      </c>
      <c r="K4113" s="20">
        <v>62</v>
      </c>
      <c r="L4113" s="20">
        <v>0</v>
      </c>
      <c r="M4113" s="20">
        <v>0</v>
      </c>
      <c r="N4113" s="20">
        <v>0</v>
      </c>
      <c r="O4113" s="20">
        <v>0</v>
      </c>
      <c r="P4113" s="26">
        <v>6.2E-2</v>
      </c>
      <c r="Q4113" s="45" t="s">
        <v>154</v>
      </c>
    </row>
    <row r="4114" spans="1:17" ht="252" x14ac:dyDescent="0.25">
      <c r="A4114" s="23">
        <v>40725</v>
      </c>
      <c r="B4114" s="23">
        <v>40725</v>
      </c>
      <c r="C4114" s="24">
        <v>2011</v>
      </c>
      <c r="D4114" s="351" t="s">
        <v>23</v>
      </c>
      <c r="E4114" s="22" t="s">
        <v>86</v>
      </c>
      <c r="F4114" s="7" t="s">
        <v>62</v>
      </c>
      <c r="G4114" s="44" t="s">
        <v>6032</v>
      </c>
      <c r="H4114" s="44" t="s">
        <v>6033</v>
      </c>
      <c r="I4114" s="20">
        <v>0</v>
      </c>
      <c r="J4114" s="20">
        <v>50</v>
      </c>
      <c r="K4114" s="20">
        <v>6</v>
      </c>
      <c r="L4114" s="20">
        <v>0</v>
      </c>
      <c r="M4114" s="20">
        <v>0</v>
      </c>
      <c r="N4114" s="20">
        <v>0</v>
      </c>
      <c r="O4114" s="20">
        <v>0</v>
      </c>
      <c r="P4114" s="26">
        <v>0.83699999999999997</v>
      </c>
      <c r="Q4114" s="45" t="s">
        <v>154</v>
      </c>
    </row>
    <row r="4115" spans="1:17" ht="96" x14ac:dyDescent="0.25">
      <c r="A4115" s="23">
        <v>40713</v>
      </c>
      <c r="B4115" s="23">
        <v>40713</v>
      </c>
      <c r="C4115" s="24">
        <v>2011</v>
      </c>
      <c r="D4115" s="24" t="s">
        <v>141</v>
      </c>
      <c r="E4115" s="30" t="s">
        <v>142</v>
      </c>
      <c r="F4115" s="7" t="s">
        <v>53</v>
      </c>
      <c r="G4115" s="44" t="s">
        <v>2516</v>
      </c>
      <c r="H4115" s="44" t="s">
        <v>6034</v>
      </c>
      <c r="I4115" s="20">
        <v>0</v>
      </c>
      <c r="J4115" s="20">
        <v>0</v>
      </c>
      <c r="K4115" s="20">
        <v>0</v>
      </c>
      <c r="L4115" s="20">
        <v>0</v>
      </c>
      <c r="M4115" s="20">
        <v>0</v>
      </c>
      <c r="N4115" s="20">
        <v>0</v>
      </c>
      <c r="O4115" s="20">
        <v>0</v>
      </c>
      <c r="P4115" s="26">
        <v>2.0299999999999999E-2</v>
      </c>
      <c r="Q4115" s="45" t="s">
        <v>154</v>
      </c>
    </row>
    <row r="4116" spans="1:17" ht="132" x14ac:dyDescent="0.25">
      <c r="A4116" s="23">
        <v>40676</v>
      </c>
      <c r="B4116" s="23">
        <v>40676</v>
      </c>
      <c r="C4116" s="24">
        <v>2011</v>
      </c>
      <c r="D4116" s="35" t="s">
        <v>28</v>
      </c>
      <c r="E4116" s="30" t="s">
        <v>133</v>
      </c>
      <c r="F4116" s="7" t="s">
        <v>53</v>
      </c>
      <c r="G4116" s="44" t="s">
        <v>878</v>
      </c>
      <c r="H4116" s="44" t="s">
        <v>6035</v>
      </c>
      <c r="I4116" s="20">
        <v>0</v>
      </c>
      <c r="J4116" s="20">
        <v>183</v>
      </c>
      <c r="K4116" s="20">
        <v>36</v>
      </c>
      <c r="L4116" s="20">
        <v>0</v>
      </c>
      <c r="M4116" s="20">
        <v>0</v>
      </c>
      <c r="N4116" s="20">
        <v>0</v>
      </c>
      <c r="O4116" s="20">
        <v>0</v>
      </c>
      <c r="P4116" s="26">
        <v>1.008</v>
      </c>
      <c r="Q4116" s="45" t="s">
        <v>154</v>
      </c>
    </row>
    <row r="4117" spans="1:17" ht="120" x14ac:dyDescent="0.25">
      <c r="A4117" s="23">
        <v>40711</v>
      </c>
      <c r="B4117" s="23">
        <v>40711</v>
      </c>
      <c r="C4117" s="24">
        <v>2011</v>
      </c>
      <c r="D4117" s="24" t="s">
        <v>141</v>
      </c>
      <c r="E4117" s="30" t="s">
        <v>142</v>
      </c>
      <c r="F4117" s="7" t="s">
        <v>60</v>
      </c>
      <c r="G4117" s="44" t="s">
        <v>3754</v>
      </c>
      <c r="H4117" s="44" t="s">
        <v>6036</v>
      </c>
      <c r="I4117" s="20">
        <v>3</v>
      </c>
      <c r="J4117" s="20">
        <v>25</v>
      </c>
      <c r="K4117" s="20">
        <v>0</v>
      </c>
      <c r="L4117" s="20">
        <v>0</v>
      </c>
      <c r="M4117" s="20">
        <v>0</v>
      </c>
      <c r="N4117" s="20">
        <v>0</v>
      </c>
      <c r="O4117" s="20">
        <v>0</v>
      </c>
      <c r="P4117" s="26">
        <v>0.43780000000000002</v>
      </c>
      <c r="Q4117" s="45" t="s">
        <v>154</v>
      </c>
    </row>
    <row r="4118" spans="1:17" ht="120" x14ac:dyDescent="0.25">
      <c r="A4118" s="23">
        <v>40710</v>
      </c>
      <c r="B4118" s="23">
        <v>40710</v>
      </c>
      <c r="C4118" s="24">
        <v>2011</v>
      </c>
      <c r="D4118" s="35" t="s">
        <v>28</v>
      </c>
      <c r="E4118" s="30" t="s">
        <v>133</v>
      </c>
      <c r="F4118" s="7" t="s">
        <v>60</v>
      </c>
      <c r="G4118" s="44" t="s">
        <v>6037</v>
      </c>
      <c r="H4118" s="126" t="s">
        <v>6038</v>
      </c>
      <c r="I4118" s="20">
        <v>2</v>
      </c>
      <c r="J4118" s="20">
        <v>5</v>
      </c>
      <c r="K4118" s="20">
        <v>0</v>
      </c>
      <c r="L4118" s="20">
        <v>0</v>
      </c>
      <c r="M4118" s="20">
        <v>0</v>
      </c>
      <c r="N4118" s="20">
        <v>0</v>
      </c>
      <c r="O4118" s="20">
        <v>0</v>
      </c>
      <c r="P4118" s="158">
        <v>0</v>
      </c>
      <c r="Q4118" s="45" t="s">
        <v>154</v>
      </c>
    </row>
    <row r="4119" spans="1:17" ht="108" x14ac:dyDescent="0.25">
      <c r="A4119" s="23">
        <v>40710</v>
      </c>
      <c r="B4119" s="23">
        <v>40710</v>
      </c>
      <c r="C4119" s="24">
        <v>2011</v>
      </c>
      <c r="D4119" s="35" t="s">
        <v>28</v>
      </c>
      <c r="E4119" s="6" t="s">
        <v>149</v>
      </c>
      <c r="F4119" s="7" t="s">
        <v>60</v>
      </c>
      <c r="G4119" s="44" t="s">
        <v>6039</v>
      </c>
      <c r="H4119" s="44" t="s">
        <v>6040</v>
      </c>
      <c r="I4119" s="20">
        <v>0</v>
      </c>
      <c r="J4119" s="20">
        <v>12</v>
      </c>
      <c r="K4119" s="20">
        <v>0</v>
      </c>
      <c r="L4119" s="20">
        <v>0</v>
      </c>
      <c r="M4119" s="20">
        <v>0</v>
      </c>
      <c r="N4119" s="20">
        <v>0</v>
      </c>
      <c r="O4119" s="20">
        <v>0</v>
      </c>
      <c r="P4119" s="158">
        <v>0</v>
      </c>
      <c r="Q4119" s="45" t="s">
        <v>154</v>
      </c>
    </row>
    <row r="4120" spans="1:17" ht="168" x14ac:dyDescent="0.25">
      <c r="A4120" s="23">
        <v>40709</v>
      </c>
      <c r="B4120" s="23">
        <v>40709</v>
      </c>
      <c r="C4120" s="24">
        <v>2011</v>
      </c>
      <c r="D4120" s="351" t="s">
        <v>23</v>
      </c>
      <c r="E4120" s="22" t="s">
        <v>86</v>
      </c>
      <c r="F4120" s="7" t="s">
        <v>60</v>
      </c>
      <c r="G4120" s="44" t="s">
        <v>1605</v>
      </c>
      <c r="H4120" s="44" t="s">
        <v>6041</v>
      </c>
      <c r="I4120" s="20">
        <v>0</v>
      </c>
      <c r="J4120" s="20">
        <v>380</v>
      </c>
      <c r="K4120" s="20">
        <v>55</v>
      </c>
      <c r="L4120" s="20">
        <v>0</v>
      </c>
      <c r="M4120" s="20">
        <v>0</v>
      </c>
      <c r="N4120" s="20">
        <v>0</v>
      </c>
      <c r="O4120" s="20">
        <v>0</v>
      </c>
      <c r="P4120" s="26">
        <v>5.8860000000000001</v>
      </c>
      <c r="Q4120" s="45" t="s">
        <v>154</v>
      </c>
    </row>
    <row r="4121" spans="1:17" ht="144" x14ac:dyDescent="0.25">
      <c r="A4121" s="23">
        <v>40593</v>
      </c>
      <c r="B4121" s="23">
        <v>40593</v>
      </c>
      <c r="C4121" s="24">
        <v>2011</v>
      </c>
      <c r="D4121" s="24" t="s">
        <v>141</v>
      </c>
      <c r="E4121" s="30" t="s">
        <v>142</v>
      </c>
      <c r="F4121" s="28" t="s">
        <v>160</v>
      </c>
      <c r="G4121" s="44" t="s">
        <v>6042</v>
      </c>
      <c r="H4121" s="44" t="s">
        <v>6043</v>
      </c>
      <c r="I4121" s="20">
        <v>2</v>
      </c>
      <c r="J4121" s="20">
        <v>2</v>
      </c>
      <c r="K4121" s="20">
        <v>0</v>
      </c>
      <c r="L4121" s="20">
        <v>0</v>
      </c>
      <c r="M4121" s="20">
        <v>0</v>
      </c>
      <c r="N4121" s="20">
        <v>0</v>
      </c>
      <c r="O4121" s="20">
        <v>0</v>
      </c>
      <c r="P4121" s="26">
        <v>1.5</v>
      </c>
      <c r="Q4121" s="45" t="s">
        <v>154</v>
      </c>
    </row>
    <row r="4122" spans="1:17" ht="156" x14ac:dyDescent="0.25">
      <c r="A4122" s="23">
        <v>40709</v>
      </c>
      <c r="B4122" s="23">
        <v>40709</v>
      </c>
      <c r="C4122" s="24">
        <v>2011</v>
      </c>
      <c r="D4122" s="351" t="s">
        <v>23</v>
      </c>
      <c r="E4122" s="14" t="s">
        <v>52</v>
      </c>
      <c r="F4122" s="28" t="s">
        <v>160</v>
      </c>
      <c r="G4122" s="44" t="s">
        <v>6044</v>
      </c>
      <c r="H4122" s="44" t="s">
        <v>6045</v>
      </c>
      <c r="I4122" s="20">
        <v>0</v>
      </c>
      <c r="J4122" s="20">
        <v>2250</v>
      </c>
      <c r="K4122" s="20">
        <v>450</v>
      </c>
      <c r="L4122" s="20">
        <v>0</v>
      </c>
      <c r="M4122" s="20">
        <v>0</v>
      </c>
      <c r="N4122" s="20">
        <v>0</v>
      </c>
      <c r="O4122" s="20">
        <v>0</v>
      </c>
      <c r="P4122" s="26">
        <v>1.125</v>
      </c>
      <c r="Q4122" s="45" t="s">
        <v>154</v>
      </c>
    </row>
    <row r="4123" spans="1:17" ht="84" x14ac:dyDescent="0.25">
      <c r="A4123" s="23">
        <v>40582</v>
      </c>
      <c r="B4123" s="23">
        <v>40582</v>
      </c>
      <c r="C4123" s="24">
        <v>2011</v>
      </c>
      <c r="D4123" s="35" t="s">
        <v>28</v>
      </c>
      <c r="E4123" s="6" t="s">
        <v>149</v>
      </c>
      <c r="F4123" s="7" t="s">
        <v>58</v>
      </c>
      <c r="G4123" s="44" t="s">
        <v>6046</v>
      </c>
      <c r="H4123" s="44" t="s">
        <v>6047</v>
      </c>
      <c r="I4123" s="20">
        <v>0</v>
      </c>
      <c r="J4123" s="20" t="s">
        <v>110</v>
      </c>
      <c r="K4123" s="20">
        <v>0</v>
      </c>
      <c r="L4123" s="20">
        <v>0</v>
      </c>
      <c r="M4123" s="20">
        <v>0</v>
      </c>
      <c r="N4123" s="20">
        <v>0</v>
      </c>
      <c r="O4123" s="20">
        <v>0</v>
      </c>
      <c r="P4123" s="158">
        <v>0</v>
      </c>
      <c r="Q4123" s="45" t="s">
        <v>154</v>
      </c>
    </row>
    <row r="4124" spans="1:17" ht="132" x14ac:dyDescent="0.25">
      <c r="A4124" s="23">
        <v>40707</v>
      </c>
      <c r="B4124" s="23">
        <v>40707</v>
      </c>
      <c r="C4124" s="24">
        <v>2011</v>
      </c>
      <c r="D4124" s="351" t="s">
        <v>23</v>
      </c>
      <c r="E4124" s="22" t="s">
        <v>86</v>
      </c>
      <c r="F4124" s="7" t="s">
        <v>58</v>
      </c>
      <c r="G4124" s="44" t="s">
        <v>6048</v>
      </c>
      <c r="H4124" s="44" t="s">
        <v>6049</v>
      </c>
      <c r="I4124" s="20">
        <v>3</v>
      </c>
      <c r="J4124" s="20">
        <v>1085</v>
      </c>
      <c r="K4124" s="20">
        <v>217</v>
      </c>
      <c r="L4124" s="20">
        <v>0</v>
      </c>
      <c r="M4124" s="20">
        <v>0</v>
      </c>
      <c r="N4124" s="20">
        <v>0</v>
      </c>
      <c r="O4124" s="20">
        <v>0</v>
      </c>
      <c r="P4124" s="26">
        <v>0.69369999999999998</v>
      </c>
      <c r="Q4124" s="45" t="s">
        <v>154</v>
      </c>
    </row>
    <row r="4125" spans="1:17" ht="24" x14ac:dyDescent="0.25">
      <c r="A4125" s="23">
        <v>40707</v>
      </c>
      <c r="B4125" s="23">
        <v>40707</v>
      </c>
      <c r="C4125" s="24">
        <v>2011</v>
      </c>
      <c r="D4125" s="351" t="s">
        <v>23</v>
      </c>
      <c r="E4125" s="49" t="s">
        <v>5893</v>
      </c>
      <c r="F4125" s="7" t="s">
        <v>58</v>
      </c>
      <c r="G4125" s="44" t="s">
        <v>724</v>
      </c>
      <c r="H4125" s="44" t="s">
        <v>6050</v>
      </c>
      <c r="I4125" s="20">
        <v>1</v>
      </c>
      <c r="J4125" s="20">
        <v>1</v>
      </c>
      <c r="K4125" s="20">
        <v>0</v>
      </c>
      <c r="L4125" s="20">
        <v>0</v>
      </c>
      <c r="M4125" s="20">
        <v>0</v>
      </c>
      <c r="N4125" s="20">
        <v>0</v>
      </c>
      <c r="O4125" s="20">
        <v>0</v>
      </c>
      <c r="P4125" s="26">
        <v>0</v>
      </c>
      <c r="Q4125" s="45" t="s">
        <v>154</v>
      </c>
    </row>
    <row r="4126" spans="1:17" ht="108" x14ac:dyDescent="0.25">
      <c r="A4126" s="23">
        <v>40707</v>
      </c>
      <c r="B4126" s="23">
        <v>40707</v>
      </c>
      <c r="C4126" s="24">
        <v>2011</v>
      </c>
      <c r="D4126" s="351" t="s">
        <v>23</v>
      </c>
      <c r="E4126" s="22" t="s">
        <v>86</v>
      </c>
      <c r="F4126" s="7" t="s">
        <v>58</v>
      </c>
      <c r="G4126" s="44" t="s">
        <v>168</v>
      </c>
      <c r="H4126" s="44" t="s">
        <v>6051</v>
      </c>
      <c r="I4126" s="20">
        <v>0</v>
      </c>
      <c r="J4126" s="20">
        <v>1000</v>
      </c>
      <c r="K4126" s="20">
        <v>200</v>
      </c>
      <c r="L4126" s="20">
        <v>0</v>
      </c>
      <c r="M4126" s="20">
        <v>0</v>
      </c>
      <c r="N4126" s="20">
        <v>0</v>
      </c>
      <c r="O4126" s="20">
        <v>0</v>
      </c>
      <c r="P4126" s="26">
        <v>0.5</v>
      </c>
      <c r="Q4126" s="45" t="s">
        <v>154</v>
      </c>
    </row>
    <row r="4127" spans="1:17" ht="108" x14ac:dyDescent="0.25">
      <c r="A4127" s="23">
        <v>40706</v>
      </c>
      <c r="B4127" s="23">
        <v>40706</v>
      </c>
      <c r="C4127" s="24">
        <v>2011</v>
      </c>
      <c r="D4127" s="351" t="s">
        <v>23</v>
      </c>
      <c r="E4127" s="22" t="s">
        <v>86</v>
      </c>
      <c r="F4127" s="7" t="s">
        <v>58</v>
      </c>
      <c r="G4127" s="44" t="s">
        <v>6052</v>
      </c>
      <c r="H4127" s="44" t="s">
        <v>6053</v>
      </c>
      <c r="I4127" s="20">
        <v>1</v>
      </c>
      <c r="J4127" s="20">
        <v>1</v>
      </c>
      <c r="K4127" s="20">
        <v>0</v>
      </c>
      <c r="L4127" s="20">
        <v>0</v>
      </c>
      <c r="M4127" s="20">
        <v>0</v>
      </c>
      <c r="N4127" s="20">
        <v>0</v>
      </c>
      <c r="O4127" s="20">
        <v>0</v>
      </c>
      <c r="P4127" s="26">
        <v>0</v>
      </c>
      <c r="Q4127" s="45" t="s">
        <v>154</v>
      </c>
    </row>
    <row r="4128" spans="1:17" ht="72" x14ac:dyDescent="0.25">
      <c r="A4128" s="23">
        <v>40703</v>
      </c>
      <c r="B4128" s="23">
        <v>40703</v>
      </c>
      <c r="C4128" s="24">
        <v>2011</v>
      </c>
      <c r="D4128" s="24" t="s">
        <v>141</v>
      </c>
      <c r="E4128" s="41" t="s">
        <v>1965</v>
      </c>
      <c r="F4128" s="7" t="s">
        <v>49</v>
      </c>
      <c r="G4128" s="44" t="s">
        <v>3223</v>
      </c>
      <c r="H4128" s="44" t="s">
        <v>6054</v>
      </c>
      <c r="I4128" s="20">
        <v>3</v>
      </c>
      <c r="J4128" s="20">
        <v>3</v>
      </c>
      <c r="K4128" s="20">
        <v>0</v>
      </c>
      <c r="L4128" s="20">
        <v>0</v>
      </c>
      <c r="M4128" s="20">
        <v>0</v>
      </c>
      <c r="N4128" s="20">
        <v>0</v>
      </c>
      <c r="O4128" s="20">
        <v>0</v>
      </c>
      <c r="P4128" s="26">
        <v>0</v>
      </c>
      <c r="Q4128" s="45" t="s">
        <v>154</v>
      </c>
    </row>
    <row r="4129" spans="1:17" ht="96" x14ac:dyDescent="0.25">
      <c r="A4129" s="23">
        <v>40702</v>
      </c>
      <c r="B4129" s="23">
        <v>40702</v>
      </c>
      <c r="C4129" s="24">
        <v>2011</v>
      </c>
      <c r="D4129" s="24" t="s">
        <v>141</v>
      </c>
      <c r="E4129" s="30" t="s">
        <v>142</v>
      </c>
      <c r="F4129" s="28" t="s">
        <v>157</v>
      </c>
      <c r="G4129" s="44" t="s">
        <v>3606</v>
      </c>
      <c r="H4129" s="44" t="s">
        <v>6055</v>
      </c>
      <c r="I4129" s="20">
        <v>0</v>
      </c>
      <c r="J4129" s="20">
        <v>8</v>
      </c>
      <c r="K4129" s="20">
        <v>0</v>
      </c>
      <c r="L4129" s="20">
        <v>0</v>
      </c>
      <c r="M4129" s="20">
        <v>0</v>
      </c>
      <c r="N4129" s="20">
        <v>0</v>
      </c>
      <c r="O4129" s="20">
        <v>0</v>
      </c>
      <c r="P4129" s="26">
        <v>0.31280000000000002</v>
      </c>
      <c r="Q4129" s="45" t="s">
        <v>154</v>
      </c>
    </row>
    <row r="4130" spans="1:17" ht="108" x14ac:dyDescent="0.25">
      <c r="A4130" s="23">
        <v>40702</v>
      </c>
      <c r="B4130" s="23">
        <v>40702</v>
      </c>
      <c r="C4130" s="24">
        <v>2011</v>
      </c>
      <c r="D4130" s="35" t="s">
        <v>28</v>
      </c>
      <c r="E4130" s="6" t="s">
        <v>149</v>
      </c>
      <c r="F4130" s="28" t="s">
        <v>157</v>
      </c>
      <c r="G4130" s="44" t="s">
        <v>6056</v>
      </c>
      <c r="H4130" s="44" t="s">
        <v>6057</v>
      </c>
      <c r="I4130" s="20">
        <v>0</v>
      </c>
      <c r="J4130" s="20">
        <v>34</v>
      </c>
      <c r="K4130" s="20">
        <v>0</v>
      </c>
      <c r="L4130" s="20">
        <v>0</v>
      </c>
      <c r="M4130" s="20">
        <v>0</v>
      </c>
      <c r="N4130" s="20">
        <v>0</v>
      </c>
      <c r="O4130" s="20">
        <v>0</v>
      </c>
      <c r="P4130" s="26">
        <v>0.1512</v>
      </c>
      <c r="Q4130" s="45" t="s">
        <v>154</v>
      </c>
    </row>
    <row r="4131" spans="1:17" ht="120" x14ac:dyDescent="0.25">
      <c r="A4131" s="23">
        <v>40702</v>
      </c>
      <c r="B4131" s="23">
        <v>40702</v>
      </c>
      <c r="C4131" s="24">
        <v>2011</v>
      </c>
      <c r="D4131" s="35" t="s">
        <v>28</v>
      </c>
      <c r="E4131" s="30" t="s">
        <v>133</v>
      </c>
      <c r="F4131" s="28" t="s">
        <v>157</v>
      </c>
      <c r="G4131" s="44" t="s">
        <v>6058</v>
      </c>
      <c r="H4131" s="44" t="s">
        <v>6059</v>
      </c>
      <c r="I4131" s="20">
        <v>0</v>
      </c>
      <c r="J4131" s="20">
        <v>102</v>
      </c>
      <c r="K4131" s="20">
        <v>20</v>
      </c>
      <c r="L4131" s="20">
        <v>0</v>
      </c>
      <c r="M4131" s="20">
        <v>0</v>
      </c>
      <c r="N4131" s="20">
        <v>0</v>
      </c>
      <c r="O4131" s="20">
        <v>0</v>
      </c>
      <c r="P4131" s="26">
        <v>0.56000000000000005</v>
      </c>
      <c r="Q4131" s="45" t="s">
        <v>154</v>
      </c>
    </row>
    <row r="4132" spans="1:17" ht="120" x14ac:dyDescent="0.25">
      <c r="A4132" s="23">
        <v>40791</v>
      </c>
      <c r="B4132" s="23">
        <v>40791</v>
      </c>
      <c r="C4132" s="24">
        <v>2011</v>
      </c>
      <c r="D4132" s="351" t="s">
        <v>23</v>
      </c>
      <c r="E4132" s="22" t="s">
        <v>86</v>
      </c>
      <c r="F4132" s="28" t="s">
        <v>157</v>
      </c>
      <c r="G4132" s="44" t="s">
        <v>6060</v>
      </c>
      <c r="H4132" s="44" t="s">
        <v>6061</v>
      </c>
      <c r="I4132" s="20">
        <v>0</v>
      </c>
      <c r="J4132" s="20">
        <v>10</v>
      </c>
      <c r="K4132" s="20">
        <v>2</v>
      </c>
      <c r="L4132" s="20">
        <v>0</v>
      </c>
      <c r="M4132" s="20">
        <v>0</v>
      </c>
      <c r="N4132" s="20">
        <v>0</v>
      </c>
      <c r="O4132" s="20">
        <v>0</v>
      </c>
      <c r="P4132" s="26">
        <v>0.24</v>
      </c>
      <c r="Q4132" s="45" t="s">
        <v>154</v>
      </c>
    </row>
    <row r="4133" spans="1:17" ht="60" x14ac:dyDescent="0.25">
      <c r="A4133" s="23">
        <v>40827</v>
      </c>
      <c r="B4133" s="23">
        <v>40827</v>
      </c>
      <c r="C4133" s="24">
        <v>2011</v>
      </c>
      <c r="D4133" s="351" t="s">
        <v>23</v>
      </c>
      <c r="E4133" s="22" t="s">
        <v>86</v>
      </c>
      <c r="F4133" s="7" t="s">
        <v>36</v>
      </c>
      <c r="G4133" s="44" t="s">
        <v>6062</v>
      </c>
      <c r="H4133" s="44" t="s">
        <v>6063</v>
      </c>
      <c r="I4133" s="20">
        <v>0</v>
      </c>
      <c r="J4133" s="46">
        <v>11585</v>
      </c>
      <c r="K4133" s="20">
        <v>2317</v>
      </c>
      <c r="L4133" s="20" t="s">
        <v>110</v>
      </c>
      <c r="M4133" s="20" t="s">
        <v>110</v>
      </c>
      <c r="N4133" s="20">
        <v>0</v>
      </c>
      <c r="O4133" s="20" t="s">
        <v>110</v>
      </c>
      <c r="P4133" s="47">
        <v>104.85920300000001</v>
      </c>
      <c r="Q4133" s="45" t="s">
        <v>186</v>
      </c>
    </row>
    <row r="4134" spans="1:17" ht="48" x14ac:dyDescent="0.25">
      <c r="A4134" s="23">
        <v>40806</v>
      </c>
      <c r="B4134" s="23">
        <v>40806</v>
      </c>
      <c r="C4134" s="24">
        <v>2011</v>
      </c>
      <c r="D4134" s="351" t="s">
        <v>23</v>
      </c>
      <c r="E4134" s="22" t="s">
        <v>86</v>
      </c>
      <c r="F4134" s="7" t="s">
        <v>36</v>
      </c>
      <c r="G4134" s="44" t="s">
        <v>2924</v>
      </c>
      <c r="H4134" s="44" t="s">
        <v>6064</v>
      </c>
      <c r="I4134" s="20">
        <v>0</v>
      </c>
      <c r="J4134" s="46">
        <v>2454</v>
      </c>
      <c r="K4134" s="20">
        <v>21</v>
      </c>
      <c r="L4134" s="20">
        <v>6</v>
      </c>
      <c r="M4134" s="20" t="s">
        <v>110</v>
      </c>
      <c r="N4134" s="20">
        <v>0</v>
      </c>
      <c r="O4134" s="20" t="s">
        <v>110</v>
      </c>
      <c r="P4134" s="47">
        <v>59.015067999999999</v>
      </c>
      <c r="Q4134" s="45" t="s">
        <v>186</v>
      </c>
    </row>
    <row r="4135" spans="1:17" ht="108" x14ac:dyDescent="0.25">
      <c r="A4135" s="23">
        <v>40697</v>
      </c>
      <c r="B4135" s="23">
        <v>40697</v>
      </c>
      <c r="C4135" s="24">
        <v>2011</v>
      </c>
      <c r="D4135" s="351" t="s">
        <v>23</v>
      </c>
      <c r="E4135" s="49" t="s">
        <v>5893</v>
      </c>
      <c r="F4135" s="7" t="s">
        <v>36</v>
      </c>
      <c r="G4135" s="44" t="s">
        <v>1592</v>
      </c>
      <c r="H4135" s="44" t="s">
        <v>6065</v>
      </c>
      <c r="I4135" s="20">
        <v>1</v>
      </c>
      <c r="J4135" s="20">
        <v>2</v>
      </c>
      <c r="K4135" s="20">
        <v>0</v>
      </c>
      <c r="L4135" s="20">
        <v>0</v>
      </c>
      <c r="M4135" s="20">
        <v>0</v>
      </c>
      <c r="N4135" s="20">
        <v>0</v>
      </c>
      <c r="O4135" s="20">
        <v>0</v>
      </c>
      <c r="P4135" s="26">
        <v>0</v>
      </c>
      <c r="Q4135" s="45" t="s">
        <v>154</v>
      </c>
    </row>
    <row r="4136" spans="1:17" ht="96" x14ac:dyDescent="0.25">
      <c r="A4136" s="23">
        <v>40695</v>
      </c>
      <c r="B4136" s="23">
        <v>40695</v>
      </c>
      <c r="C4136" s="24">
        <v>2011</v>
      </c>
      <c r="D4136" s="351" t="s">
        <v>23</v>
      </c>
      <c r="E4136" s="22" t="s">
        <v>86</v>
      </c>
      <c r="F4136" s="7" t="s">
        <v>68</v>
      </c>
      <c r="G4136" s="44" t="s">
        <v>6066</v>
      </c>
      <c r="H4136" s="44" t="s">
        <v>6067</v>
      </c>
      <c r="I4136" s="20">
        <v>6</v>
      </c>
      <c r="J4136" s="20">
        <v>6</v>
      </c>
      <c r="K4136" s="20">
        <v>0</v>
      </c>
      <c r="L4136" s="20">
        <v>0</v>
      </c>
      <c r="M4136" s="20">
        <v>0</v>
      </c>
      <c r="N4136" s="20">
        <v>0</v>
      </c>
      <c r="O4136" s="20">
        <v>0</v>
      </c>
      <c r="P4136" s="26">
        <v>7.5600000000000001E-2</v>
      </c>
      <c r="Q4136" s="45" t="s">
        <v>154</v>
      </c>
    </row>
    <row r="4137" spans="1:17" ht="108" x14ac:dyDescent="0.25">
      <c r="A4137" s="23">
        <v>40695</v>
      </c>
      <c r="B4137" s="23">
        <v>40695</v>
      </c>
      <c r="C4137" s="24">
        <v>2011</v>
      </c>
      <c r="D4137" s="35" t="s">
        <v>28</v>
      </c>
      <c r="E4137" s="30" t="s">
        <v>125</v>
      </c>
      <c r="F4137" s="7" t="s">
        <v>56</v>
      </c>
      <c r="G4137" s="44" t="s">
        <v>3508</v>
      </c>
      <c r="H4137" s="44" t="s">
        <v>6068</v>
      </c>
      <c r="I4137" s="20">
        <v>0</v>
      </c>
      <c r="J4137" s="20">
        <v>3</v>
      </c>
      <c r="K4137" s="20">
        <v>0</v>
      </c>
      <c r="L4137" s="20">
        <v>0</v>
      </c>
      <c r="M4137" s="20">
        <v>0</v>
      </c>
      <c r="N4137" s="20">
        <v>0</v>
      </c>
      <c r="O4137" s="20">
        <v>0</v>
      </c>
      <c r="P4137" s="26">
        <v>0</v>
      </c>
      <c r="Q4137" s="45" t="s">
        <v>154</v>
      </c>
    </row>
    <row r="4138" spans="1:17" ht="156" x14ac:dyDescent="0.25">
      <c r="A4138" s="23">
        <v>40830</v>
      </c>
      <c r="B4138" s="23">
        <v>40830</v>
      </c>
      <c r="C4138" s="24">
        <v>2011</v>
      </c>
      <c r="D4138" s="24" t="s">
        <v>141</v>
      </c>
      <c r="E4138" s="30" t="s">
        <v>142</v>
      </c>
      <c r="F4138" s="7" t="s">
        <v>82</v>
      </c>
      <c r="G4138" s="44" t="s">
        <v>805</v>
      </c>
      <c r="H4138" s="44" t="s">
        <v>6069</v>
      </c>
      <c r="I4138" s="20">
        <v>0</v>
      </c>
      <c r="J4138" s="20">
        <v>2</v>
      </c>
      <c r="K4138" s="20">
        <v>0</v>
      </c>
      <c r="L4138" s="20">
        <v>0</v>
      </c>
      <c r="M4138" s="20">
        <v>0</v>
      </c>
      <c r="N4138" s="20">
        <v>0</v>
      </c>
      <c r="O4138" s="20">
        <v>0</v>
      </c>
      <c r="P4138" s="26">
        <v>3</v>
      </c>
      <c r="Q4138" s="45" t="s">
        <v>154</v>
      </c>
    </row>
    <row r="4139" spans="1:17" ht="132" x14ac:dyDescent="0.25">
      <c r="A4139" s="23">
        <v>40695</v>
      </c>
      <c r="B4139" s="23">
        <v>40695</v>
      </c>
      <c r="C4139" s="24">
        <v>2011</v>
      </c>
      <c r="D4139" s="351" t="s">
        <v>23</v>
      </c>
      <c r="E4139" s="22" t="s">
        <v>86</v>
      </c>
      <c r="F4139" s="7" t="s">
        <v>84</v>
      </c>
      <c r="G4139" s="44" t="s">
        <v>2844</v>
      </c>
      <c r="H4139" s="44" t="s">
        <v>6070</v>
      </c>
      <c r="I4139" s="20">
        <v>0</v>
      </c>
      <c r="J4139" s="20">
        <f>(45*5)</f>
        <v>225</v>
      </c>
      <c r="K4139" s="20">
        <v>45</v>
      </c>
      <c r="L4139" s="20">
        <v>0</v>
      </c>
      <c r="M4139" s="20">
        <v>0</v>
      </c>
      <c r="N4139" s="20">
        <v>0</v>
      </c>
      <c r="O4139" s="20">
        <v>0</v>
      </c>
      <c r="P4139" s="26">
        <v>4.4999999999999998E-2</v>
      </c>
      <c r="Q4139" s="45" t="s">
        <v>154</v>
      </c>
    </row>
    <row r="4140" spans="1:17" ht="48" x14ac:dyDescent="0.25">
      <c r="A4140" s="23">
        <v>40693</v>
      </c>
      <c r="B4140" s="23">
        <v>40693</v>
      </c>
      <c r="C4140" s="24">
        <v>2011</v>
      </c>
      <c r="D4140" s="24" t="s">
        <v>141</v>
      </c>
      <c r="E4140" s="30" t="s">
        <v>142</v>
      </c>
      <c r="F4140" s="28" t="s">
        <v>210</v>
      </c>
      <c r="G4140" s="44" t="s">
        <v>921</v>
      </c>
      <c r="H4140" s="44" t="s">
        <v>6071</v>
      </c>
      <c r="I4140" s="20">
        <v>2</v>
      </c>
      <c r="J4140" s="20">
        <v>2</v>
      </c>
      <c r="K4140" s="20">
        <v>0</v>
      </c>
      <c r="L4140" s="20">
        <v>0</v>
      </c>
      <c r="M4140" s="20">
        <v>0</v>
      </c>
      <c r="N4140" s="20">
        <v>0</v>
      </c>
      <c r="O4140" s="20">
        <v>0</v>
      </c>
      <c r="P4140" s="26">
        <v>0.31280000000000002</v>
      </c>
      <c r="Q4140" s="45" t="s">
        <v>154</v>
      </c>
    </row>
    <row r="4141" spans="1:17" ht="108" x14ac:dyDescent="0.25">
      <c r="A4141" s="23">
        <v>40692</v>
      </c>
      <c r="B4141" s="23">
        <v>40692</v>
      </c>
      <c r="C4141" s="24">
        <v>2011</v>
      </c>
      <c r="D4141" s="35" t="s">
        <v>28</v>
      </c>
      <c r="E4141" s="30" t="s">
        <v>125</v>
      </c>
      <c r="F4141" s="28" t="s">
        <v>210</v>
      </c>
      <c r="G4141" s="44" t="s">
        <v>893</v>
      </c>
      <c r="H4141" s="44" t="s">
        <v>6072</v>
      </c>
      <c r="I4141" s="20">
        <v>0</v>
      </c>
      <c r="J4141" s="20">
        <v>500</v>
      </c>
      <c r="K4141" s="20">
        <v>0</v>
      </c>
      <c r="L4141" s="20">
        <v>0</v>
      </c>
      <c r="M4141" s="20">
        <v>0</v>
      </c>
      <c r="N4141" s="20">
        <v>0</v>
      </c>
      <c r="O4141" s="20">
        <v>0</v>
      </c>
      <c r="P4141" s="158">
        <v>0</v>
      </c>
      <c r="Q4141" s="45" t="s">
        <v>154</v>
      </c>
    </row>
    <row r="4142" spans="1:17" ht="108" x14ac:dyDescent="0.25">
      <c r="A4142" s="23">
        <v>40692</v>
      </c>
      <c r="B4142" s="23">
        <v>40692</v>
      </c>
      <c r="C4142" s="24">
        <v>2011</v>
      </c>
      <c r="D4142" s="24" t="s">
        <v>141</v>
      </c>
      <c r="E4142" s="30" t="s">
        <v>142</v>
      </c>
      <c r="F4142" s="28" t="s">
        <v>210</v>
      </c>
      <c r="G4142" s="44" t="s">
        <v>6073</v>
      </c>
      <c r="H4142" s="44" t="s">
        <v>6074</v>
      </c>
      <c r="I4142" s="20">
        <v>1</v>
      </c>
      <c r="J4142" s="20">
        <v>21</v>
      </c>
      <c r="K4142" s="20">
        <v>0</v>
      </c>
      <c r="L4142" s="20">
        <v>0</v>
      </c>
      <c r="M4142" s="20">
        <v>0</v>
      </c>
      <c r="N4142" s="20">
        <v>0</v>
      </c>
      <c r="O4142" s="20">
        <v>0</v>
      </c>
      <c r="P4142" s="26">
        <v>0.4</v>
      </c>
      <c r="Q4142" s="45" t="s">
        <v>154</v>
      </c>
    </row>
    <row r="4143" spans="1:17" ht="72" x14ac:dyDescent="0.25">
      <c r="A4143" s="23">
        <v>40690</v>
      </c>
      <c r="B4143" s="23">
        <v>40690</v>
      </c>
      <c r="C4143" s="24">
        <v>2011</v>
      </c>
      <c r="D4143" s="24" t="s">
        <v>141</v>
      </c>
      <c r="E4143" s="30" t="s">
        <v>142</v>
      </c>
      <c r="F4143" s="7" t="s">
        <v>87</v>
      </c>
      <c r="G4143" s="44" t="s">
        <v>4431</v>
      </c>
      <c r="H4143" s="44" t="s">
        <v>6075</v>
      </c>
      <c r="I4143" s="20">
        <v>0</v>
      </c>
      <c r="J4143" s="20">
        <v>2</v>
      </c>
      <c r="K4143" s="20">
        <v>0</v>
      </c>
      <c r="L4143" s="20">
        <v>0</v>
      </c>
      <c r="M4143" s="20">
        <v>0</v>
      </c>
      <c r="N4143" s="20">
        <v>0</v>
      </c>
      <c r="O4143" s="20">
        <v>0</v>
      </c>
      <c r="P4143" s="26">
        <v>0.45</v>
      </c>
      <c r="Q4143" s="45" t="s">
        <v>154</v>
      </c>
    </row>
    <row r="4144" spans="1:17" ht="108" x14ac:dyDescent="0.25">
      <c r="A4144" s="23">
        <v>40689</v>
      </c>
      <c r="B4144" s="23">
        <v>40689</v>
      </c>
      <c r="C4144" s="24">
        <v>2011</v>
      </c>
      <c r="D4144" s="35" t="s">
        <v>28</v>
      </c>
      <c r="E4144" s="6" t="s">
        <v>149</v>
      </c>
      <c r="F4144" s="7" t="s">
        <v>87</v>
      </c>
      <c r="G4144" s="44" t="s">
        <v>2608</v>
      </c>
      <c r="H4144" s="44" t="s">
        <v>6076</v>
      </c>
      <c r="I4144" s="20">
        <v>0</v>
      </c>
      <c r="J4144" s="20">
        <v>141</v>
      </c>
      <c r="K4144" s="20">
        <v>0</v>
      </c>
      <c r="L4144" s="20">
        <v>1</v>
      </c>
      <c r="M4144" s="20">
        <v>0</v>
      </c>
      <c r="N4144" s="20">
        <v>0</v>
      </c>
      <c r="O4144" s="20">
        <v>0</v>
      </c>
      <c r="P4144" s="158">
        <v>0</v>
      </c>
      <c r="Q4144" s="45" t="s">
        <v>154</v>
      </c>
    </row>
    <row r="4145" spans="1:17" ht="84" x14ac:dyDescent="0.25">
      <c r="A4145" s="23">
        <v>40689</v>
      </c>
      <c r="B4145" s="23">
        <v>40689</v>
      </c>
      <c r="C4145" s="24">
        <v>2011</v>
      </c>
      <c r="D4145" s="24" t="s">
        <v>141</v>
      </c>
      <c r="E4145" s="30" t="s">
        <v>142</v>
      </c>
      <c r="F4145" s="7" t="s">
        <v>87</v>
      </c>
      <c r="G4145" s="44" t="s">
        <v>6077</v>
      </c>
      <c r="H4145" s="44" t="s">
        <v>6078</v>
      </c>
      <c r="I4145" s="20">
        <v>0</v>
      </c>
      <c r="J4145" s="20">
        <v>2</v>
      </c>
      <c r="K4145" s="20">
        <v>0</v>
      </c>
      <c r="L4145" s="20">
        <v>0</v>
      </c>
      <c r="M4145" s="20">
        <v>0</v>
      </c>
      <c r="N4145" s="20">
        <v>0</v>
      </c>
      <c r="O4145" s="20">
        <v>0</v>
      </c>
      <c r="P4145" s="26">
        <v>0.50080000000000002</v>
      </c>
      <c r="Q4145" s="45" t="s">
        <v>154</v>
      </c>
    </row>
    <row r="4146" spans="1:17" ht="72" x14ac:dyDescent="0.25">
      <c r="A4146" s="23">
        <v>40689</v>
      </c>
      <c r="B4146" s="23">
        <v>40689</v>
      </c>
      <c r="C4146" s="24">
        <v>2011</v>
      </c>
      <c r="D4146" s="35" t="s">
        <v>17</v>
      </c>
      <c r="E4146" s="49" t="s">
        <v>1597</v>
      </c>
      <c r="F4146" s="7" t="s">
        <v>87</v>
      </c>
      <c r="G4146" s="44" t="s">
        <v>2168</v>
      </c>
      <c r="H4146" s="44" t="s">
        <v>6079</v>
      </c>
      <c r="I4146" s="20">
        <v>1</v>
      </c>
      <c r="J4146" s="20">
        <v>1</v>
      </c>
      <c r="K4146" s="20">
        <v>0</v>
      </c>
      <c r="L4146" s="20">
        <v>0</v>
      </c>
      <c r="M4146" s="20">
        <v>0</v>
      </c>
      <c r="N4146" s="20">
        <v>0</v>
      </c>
      <c r="O4146" s="20">
        <v>0</v>
      </c>
      <c r="P4146" s="158">
        <v>0</v>
      </c>
      <c r="Q4146" s="45" t="s">
        <v>154</v>
      </c>
    </row>
    <row r="4147" spans="1:17" ht="36" x14ac:dyDescent="0.25">
      <c r="A4147" s="23">
        <v>40688</v>
      </c>
      <c r="B4147" s="23">
        <v>40688</v>
      </c>
      <c r="C4147" s="24">
        <v>2011</v>
      </c>
      <c r="D4147" s="35" t="s">
        <v>28</v>
      </c>
      <c r="E4147" s="30" t="s">
        <v>125</v>
      </c>
      <c r="F4147" s="7" t="s">
        <v>84</v>
      </c>
      <c r="G4147" s="44" t="s">
        <v>3740</v>
      </c>
      <c r="H4147" s="44" t="s">
        <v>6080</v>
      </c>
      <c r="I4147" s="20">
        <v>0</v>
      </c>
      <c r="J4147" s="20">
        <v>0</v>
      </c>
      <c r="K4147" s="20">
        <v>0</v>
      </c>
      <c r="L4147" s="20">
        <v>0</v>
      </c>
      <c r="M4147" s="20">
        <v>0</v>
      </c>
      <c r="N4147" s="20">
        <v>0</v>
      </c>
      <c r="O4147" s="20">
        <v>0</v>
      </c>
      <c r="P4147" s="158">
        <v>0</v>
      </c>
      <c r="Q4147" s="45" t="s">
        <v>154</v>
      </c>
    </row>
    <row r="4148" spans="1:17" ht="132" x14ac:dyDescent="0.25">
      <c r="A4148" s="23">
        <v>40749</v>
      </c>
      <c r="B4148" s="23">
        <v>40749</v>
      </c>
      <c r="C4148" s="24">
        <v>2011</v>
      </c>
      <c r="D4148" s="351" t="s">
        <v>23</v>
      </c>
      <c r="E4148" s="22" t="s">
        <v>86</v>
      </c>
      <c r="F4148" s="7" t="s">
        <v>84</v>
      </c>
      <c r="G4148" s="44" t="s">
        <v>257</v>
      </c>
      <c r="H4148" s="44" t="s">
        <v>6081</v>
      </c>
      <c r="I4148" s="20">
        <v>0</v>
      </c>
      <c r="J4148" s="20">
        <v>50</v>
      </c>
      <c r="K4148" s="20">
        <v>10</v>
      </c>
      <c r="L4148" s="20">
        <v>0</v>
      </c>
      <c r="M4148" s="20">
        <v>0</v>
      </c>
      <c r="N4148" s="20">
        <v>0</v>
      </c>
      <c r="O4148" s="20">
        <v>0</v>
      </c>
      <c r="P4148" s="26">
        <v>5.0000000000000001E-3</v>
      </c>
      <c r="Q4148" s="45" t="s">
        <v>154</v>
      </c>
    </row>
    <row r="4149" spans="1:17" ht="156" x14ac:dyDescent="0.25">
      <c r="A4149" s="23">
        <v>40687</v>
      </c>
      <c r="B4149" s="23">
        <v>40687</v>
      </c>
      <c r="C4149" s="24">
        <v>2011</v>
      </c>
      <c r="D4149" s="24" t="s">
        <v>141</v>
      </c>
      <c r="E4149" s="41" t="s">
        <v>1958</v>
      </c>
      <c r="F4149" s="7" t="s">
        <v>84</v>
      </c>
      <c r="G4149" s="44" t="s">
        <v>2143</v>
      </c>
      <c r="H4149" s="44" t="s">
        <v>6082</v>
      </c>
      <c r="I4149" s="20">
        <v>0</v>
      </c>
      <c r="J4149" s="20">
        <v>100</v>
      </c>
      <c r="K4149" s="20">
        <v>0</v>
      </c>
      <c r="L4149" s="20">
        <v>0</v>
      </c>
      <c r="M4149" s="20">
        <v>0</v>
      </c>
      <c r="N4149" s="20">
        <v>0</v>
      </c>
      <c r="O4149" s="20">
        <v>0</v>
      </c>
      <c r="P4149" s="26">
        <v>0</v>
      </c>
      <c r="Q4149" s="45" t="s">
        <v>154</v>
      </c>
    </row>
    <row r="4150" spans="1:17" ht="96" x14ac:dyDescent="0.25">
      <c r="A4150" s="23">
        <v>40687</v>
      </c>
      <c r="B4150" s="23">
        <v>40687</v>
      </c>
      <c r="C4150" s="24">
        <v>2011</v>
      </c>
      <c r="D4150" s="24" t="s">
        <v>141</v>
      </c>
      <c r="E4150" s="30" t="s">
        <v>142</v>
      </c>
      <c r="F4150" s="7" t="s">
        <v>82</v>
      </c>
      <c r="G4150" s="44" t="s">
        <v>3981</v>
      </c>
      <c r="H4150" s="44" t="s">
        <v>6083</v>
      </c>
      <c r="I4150" s="20">
        <v>0</v>
      </c>
      <c r="J4150" s="20">
        <v>1</v>
      </c>
      <c r="K4150" s="20">
        <v>0</v>
      </c>
      <c r="L4150" s="20">
        <v>0</v>
      </c>
      <c r="M4150" s="20">
        <v>0</v>
      </c>
      <c r="N4150" s="20">
        <v>0</v>
      </c>
      <c r="O4150" s="20">
        <v>0</v>
      </c>
      <c r="P4150" s="26">
        <v>0.45</v>
      </c>
      <c r="Q4150" s="45" t="s">
        <v>154</v>
      </c>
    </row>
    <row r="4151" spans="1:17" ht="276" x14ac:dyDescent="0.25">
      <c r="A4151" s="23">
        <v>40687</v>
      </c>
      <c r="B4151" s="23">
        <v>40687</v>
      </c>
      <c r="C4151" s="24">
        <v>2011</v>
      </c>
      <c r="D4151" s="351" t="s">
        <v>23</v>
      </c>
      <c r="E4151" s="22" t="s">
        <v>86</v>
      </c>
      <c r="F4151" s="7" t="s">
        <v>82</v>
      </c>
      <c r="G4151" s="44" t="s">
        <v>6084</v>
      </c>
      <c r="H4151" s="44" t="s">
        <v>6085</v>
      </c>
      <c r="I4151" s="20">
        <v>3</v>
      </c>
      <c r="J4151" s="20">
        <v>340</v>
      </c>
      <c r="K4151" s="20">
        <v>0</v>
      </c>
      <c r="L4151" s="20">
        <v>0</v>
      </c>
      <c r="M4151" s="20">
        <v>0</v>
      </c>
      <c r="N4151" s="20">
        <v>0</v>
      </c>
      <c r="O4151" s="20">
        <v>0</v>
      </c>
      <c r="P4151" s="26">
        <v>0</v>
      </c>
      <c r="Q4151" s="45" t="s">
        <v>154</v>
      </c>
    </row>
    <row r="4152" spans="1:17" ht="120" x14ac:dyDescent="0.25">
      <c r="A4152" s="23">
        <v>40686</v>
      </c>
      <c r="B4152" s="23">
        <v>40686</v>
      </c>
      <c r="C4152" s="24">
        <v>2011</v>
      </c>
      <c r="D4152" s="24" t="s">
        <v>141</v>
      </c>
      <c r="E4152" s="30" t="s">
        <v>142</v>
      </c>
      <c r="F4152" s="7" t="s">
        <v>77</v>
      </c>
      <c r="G4152" s="44" t="s">
        <v>3679</v>
      </c>
      <c r="H4152" s="44" t="s">
        <v>6086</v>
      </c>
      <c r="I4152" s="20">
        <v>0</v>
      </c>
      <c r="J4152" s="20">
        <v>1</v>
      </c>
      <c r="K4152" s="20">
        <v>0</v>
      </c>
      <c r="L4152" s="20">
        <v>0</v>
      </c>
      <c r="M4152" s="20">
        <v>0</v>
      </c>
      <c r="N4152" s="20">
        <v>0</v>
      </c>
      <c r="O4152" s="20">
        <v>0</v>
      </c>
      <c r="P4152" s="26">
        <v>0.45</v>
      </c>
      <c r="Q4152" s="45" t="s">
        <v>154</v>
      </c>
    </row>
    <row r="4153" spans="1:17" ht="312" x14ac:dyDescent="0.25">
      <c r="A4153" s="23">
        <v>40685</v>
      </c>
      <c r="B4153" s="23">
        <v>40685</v>
      </c>
      <c r="C4153" s="24">
        <v>2011</v>
      </c>
      <c r="D4153" s="351" t="s">
        <v>23</v>
      </c>
      <c r="E4153" s="22" t="s">
        <v>86</v>
      </c>
      <c r="F4153" s="7" t="s">
        <v>72</v>
      </c>
      <c r="G4153" s="44" t="s">
        <v>6087</v>
      </c>
      <c r="H4153" s="44" t="s">
        <v>6088</v>
      </c>
      <c r="I4153" s="20">
        <v>0</v>
      </c>
      <c r="J4153" s="20">
        <v>150</v>
      </c>
      <c r="K4153" s="20">
        <v>50</v>
      </c>
      <c r="L4153" s="20">
        <v>1</v>
      </c>
      <c r="M4153" s="20">
        <v>1</v>
      </c>
      <c r="N4153" s="20">
        <v>0</v>
      </c>
      <c r="O4153" s="20">
        <v>0</v>
      </c>
      <c r="P4153" s="26">
        <v>0.6</v>
      </c>
      <c r="Q4153" s="45" t="s">
        <v>154</v>
      </c>
    </row>
    <row r="4154" spans="1:17" ht="96" x14ac:dyDescent="0.25">
      <c r="A4154" s="23">
        <v>40684</v>
      </c>
      <c r="B4154" s="23">
        <v>40684</v>
      </c>
      <c r="C4154" s="24">
        <v>2011</v>
      </c>
      <c r="D4154" s="24" t="s">
        <v>141</v>
      </c>
      <c r="E4154" s="30" t="s">
        <v>142</v>
      </c>
      <c r="F4154" s="7" t="s">
        <v>68</v>
      </c>
      <c r="G4154" s="44" t="s">
        <v>1121</v>
      </c>
      <c r="H4154" s="44" t="s">
        <v>6089</v>
      </c>
      <c r="I4154" s="20">
        <v>2</v>
      </c>
      <c r="J4154" s="20">
        <v>2</v>
      </c>
      <c r="K4154" s="20">
        <v>0</v>
      </c>
      <c r="L4154" s="20">
        <v>0</v>
      </c>
      <c r="M4154" s="20">
        <v>0</v>
      </c>
      <c r="N4154" s="20">
        <v>0</v>
      </c>
      <c r="O4154" s="20">
        <v>0</v>
      </c>
      <c r="P4154" s="26">
        <v>1.5</v>
      </c>
      <c r="Q4154" s="45" t="s">
        <v>154</v>
      </c>
    </row>
    <row r="4155" spans="1:17" ht="84" x14ac:dyDescent="0.25">
      <c r="A4155" s="23">
        <v>40683</v>
      </c>
      <c r="B4155" s="23">
        <v>40683</v>
      </c>
      <c r="C4155" s="24">
        <v>2011</v>
      </c>
      <c r="D4155" s="35" t="s">
        <v>28</v>
      </c>
      <c r="E4155" s="6" t="s">
        <v>149</v>
      </c>
      <c r="F4155" s="7" t="s">
        <v>65</v>
      </c>
      <c r="G4155" s="44" t="s">
        <v>1511</v>
      </c>
      <c r="H4155" s="44" t="s">
        <v>6090</v>
      </c>
      <c r="I4155" s="20">
        <v>0</v>
      </c>
      <c r="J4155" s="20" t="s">
        <v>110</v>
      </c>
      <c r="K4155" s="20">
        <v>0</v>
      </c>
      <c r="L4155" s="20">
        <v>0</v>
      </c>
      <c r="M4155" s="20">
        <v>0</v>
      </c>
      <c r="N4155" s="20">
        <v>0</v>
      </c>
      <c r="O4155" s="20">
        <v>0</v>
      </c>
      <c r="P4155" s="158">
        <v>0</v>
      </c>
      <c r="Q4155" s="45" t="s">
        <v>154</v>
      </c>
    </row>
    <row r="4156" spans="1:17" ht="132" x14ac:dyDescent="0.25">
      <c r="A4156" s="23">
        <v>40683</v>
      </c>
      <c r="B4156" s="23">
        <v>40683</v>
      </c>
      <c r="C4156" s="24">
        <v>2011</v>
      </c>
      <c r="D4156" s="24" t="s">
        <v>141</v>
      </c>
      <c r="E4156" s="30" t="s">
        <v>142</v>
      </c>
      <c r="F4156" s="7" t="s">
        <v>62</v>
      </c>
      <c r="G4156" s="44" t="s">
        <v>165</v>
      </c>
      <c r="H4156" s="44" t="s">
        <v>6091</v>
      </c>
      <c r="I4156" s="20">
        <v>0</v>
      </c>
      <c r="J4156" s="20">
        <v>2</v>
      </c>
      <c r="K4156" s="20">
        <v>0</v>
      </c>
      <c r="L4156" s="20">
        <v>0</v>
      </c>
      <c r="M4156" s="20">
        <v>0</v>
      </c>
      <c r="N4156" s="20">
        <v>0</v>
      </c>
      <c r="O4156" s="20">
        <v>0</v>
      </c>
      <c r="P4156" s="26">
        <v>0</v>
      </c>
      <c r="Q4156" s="45" t="s">
        <v>154</v>
      </c>
    </row>
    <row r="4157" spans="1:17" ht="120" x14ac:dyDescent="0.25">
      <c r="A4157" s="23">
        <v>40623</v>
      </c>
      <c r="B4157" s="23">
        <v>40623</v>
      </c>
      <c r="C4157" s="24">
        <v>2011</v>
      </c>
      <c r="D4157" s="24" t="s">
        <v>141</v>
      </c>
      <c r="E4157" s="30" t="s">
        <v>142</v>
      </c>
      <c r="F4157" s="7" t="s">
        <v>53</v>
      </c>
      <c r="G4157" s="44" t="s">
        <v>6092</v>
      </c>
      <c r="H4157" s="44" t="s">
        <v>6093</v>
      </c>
      <c r="I4157" s="20">
        <v>5</v>
      </c>
      <c r="J4157" s="20">
        <v>27</v>
      </c>
      <c r="K4157" s="20">
        <v>0</v>
      </c>
      <c r="L4157" s="20">
        <v>0</v>
      </c>
      <c r="M4157" s="20">
        <v>0</v>
      </c>
      <c r="N4157" s="20">
        <v>0</v>
      </c>
      <c r="O4157" s="20">
        <v>0</v>
      </c>
      <c r="P4157" s="26">
        <v>0.4</v>
      </c>
      <c r="Q4157" s="45" t="s">
        <v>154</v>
      </c>
    </row>
    <row r="4158" spans="1:17" ht="72" x14ac:dyDescent="0.25">
      <c r="A4158" s="23">
        <v>40653</v>
      </c>
      <c r="B4158" s="23">
        <v>40653</v>
      </c>
      <c r="C4158" s="24">
        <v>2011</v>
      </c>
      <c r="D4158" s="35" t="s">
        <v>28</v>
      </c>
      <c r="E4158" s="30" t="s">
        <v>133</v>
      </c>
      <c r="F4158" s="7" t="s">
        <v>53</v>
      </c>
      <c r="G4158" s="44" t="s">
        <v>2776</v>
      </c>
      <c r="H4158" s="126" t="s">
        <v>6094</v>
      </c>
      <c r="I4158" s="20">
        <v>2</v>
      </c>
      <c r="J4158" s="20">
        <v>2</v>
      </c>
      <c r="K4158" s="20">
        <v>0</v>
      </c>
      <c r="L4158" s="20">
        <v>0</v>
      </c>
      <c r="M4158" s="20">
        <v>0</v>
      </c>
      <c r="N4158" s="20">
        <v>0</v>
      </c>
      <c r="O4158" s="20">
        <v>0</v>
      </c>
      <c r="P4158" s="158">
        <v>0</v>
      </c>
      <c r="Q4158" s="45" t="s">
        <v>154</v>
      </c>
    </row>
    <row r="4159" spans="1:17" ht="168" x14ac:dyDescent="0.25">
      <c r="A4159" s="23">
        <v>40669</v>
      </c>
      <c r="B4159" s="23">
        <v>40669</v>
      </c>
      <c r="C4159" s="24">
        <v>2011</v>
      </c>
      <c r="D4159" s="35" t="s">
        <v>28</v>
      </c>
      <c r="E4159" s="6" t="s">
        <v>369</v>
      </c>
      <c r="F4159" s="7" t="s">
        <v>53</v>
      </c>
      <c r="G4159" s="44" t="s">
        <v>1304</v>
      </c>
      <c r="H4159" s="126" t="s">
        <v>6095</v>
      </c>
      <c r="I4159" s="20">
        <v>0</v>
      </c>
      <c r="J4159" s="20">
        <v>500</v>
      </c>
      <c r="K4159" s="20">
        <v>0</v>
      </c>
      <c r="L4159" s="20">
        <v>0</v>
      </c>
      <c r="M4159" s="20">
        <v>0</v>
      </c>
      <c r="N4159" s="20">
        <v>0</v>
      </c>
      <c r="O4159" s="20">
        <v>0</v>
      </c>
      <c r="P4159" s="26">
        <v>0</v>
      </c>
      <c r="Q4159" s="45" t="s">
        <v>154</v>
      </c>
    </row>
    <row r="4160" spans="1:17" ht="372" x14ac:dyDescent="0.25">
      <c r="A4160" s="23">
        <v>40650</v>
      </c>
      <c r="B4160" s="23">
        <v>40650</v>
      </c>
      <c r="C4160" s="24">
        <v>2011</v>
      </c>
      <c r="D4160" s="351" t="s">
        <v>23</v>
      </c>
      <c r="E4160" s="22" t="s">
        <v>86</v>
      </c>
      <c r="F4160" s="7" t="s">
        <v>53</v>
      </c>
      <c r="G4160" s="44" t="s">
        <v>6096</v>
      </c>
      <c r="H4160" s="44" t="s">
        <v>6097</v>
      </c>
      <c r="I4160" s="20">
        <v>0</v>
      </c>
      <c r="J4160" s="20">
        <v>1240</v>
      </c>
      <c r="K4160" s="20">
        <v>248</v>
      </c>
      <c r="L4160" s="20">
        <v>0</v>
      </c>
      <c r="M4160" s="20">
        <v>0</v>
      </c>
      <c r="N4160" s="20">
        <v>0</v>
      </c>
      <c r="O4160" s="20">
        <v>0</v>
      </c>
      <c r="P4160" s="26">
        <v>0</v>
      </c>
      <c r="Q4160" s="45" t="s">
        <v>154</v>
      </c>
    </row>
    <row r="4161" spans="1:17" ht="409.5" x14ac:dyDescent="0.25">
      <c r="A4161" s="23">
        <v>40791</v>
      </c>
      <c r="B4161" s="23">
        <v>40791</v>
      </c>
      <c r="C4161" s="24">
        <v>2011</v>
      </c>
      <c r="D4161" s="351" t="s">
        <v>23</v>
      </c>
      <c r="E4161" s="22" t="s">
        <v>86</v>
      </c>
      <c r="F4161" s="7" t="s">
        <v>53</v>
      </c>
      <c r="G4161" s="44" t="s">
        <v>6098</v>
      </c>
      <c r="H4161" s="44" t="s">
        <v>6099</v>
      </c>
      <c r="I4161" s="20">
        <v>3</v>
      </c>
      <c r="J4161" s="20">
        <f>(1200*5)</f>
        <v>6000</v>
      </c>
      <c r="K4161" s="20">
        <v>1200</v>
      </c>
      <c r="L4161" s="20">
        <v>2</v>
      </c>
      <c r="M4161" s="20">
        <v>0</v>
      </c>
      <c r="N4161" s="20">
        <v>0</v>
      </c>
      <c r="O4161" s="20">
        <v>0</v>
      </c>
      <c r="P4161" s="26">
        <v>3</v>
      </c>
      <c r="Q4161" s="45" t="s">
        <v>154</v>
      </c>
    </row>
    <row r="4162" spans="1:17" ht="72" x14ac:dyDescent="0.25">
      <c r="A4162" s="23">
        <v>40806</v>
      </c>
      <c r="B4162" s="23">
        <v>40806</v>
      </c>
      <c r="C4162" s="24">
        <v>2011</v>
      </c>
      <c r="D4162" s="35" t="s">
        <v>28</v>
      </c>
      <c r="E4162" s="30" t="s">
        <v>133</v>
      </c>
      <c r="F4162" s="7" t="s">
        <v>53</v>
      </c>
      <c r="G4162" s="44" t="s">
        <v>451</v>
      </c>
      <c r="H4162" s="44" t="s">
        <v>6100</v>
      </c>
      <c r="I4162" s="20">
        <v>0</v>
      </c>
      <c r="J4162" s="20">
        <v>1</v>
      </c>
      <c r="K4162" s="20">
        <v>0</v>
      </c>
      <c r="L4162" s="20">
        <v>0</v>
      </c>
      <c r="M4162" s="20">
        <v>0</v>
      </c>
      <c r="N4162" s="20">
        <v>0</v>
      </c>
      <c r="O4162" s="20">
        <v>0</v>
      </c>
      <c r="P4162" s="26">
        <v>0</v>
      </c>
      <c r="Q4162" s="45" t="s">
        <v>154</v>
      </c>
    </row>
    <row r="4163" spans="1:17" ht="180" x14ac:dyDescent="0.25">
      <c r="A4163" s="23">
        <v>40678</v>
      </c>
      <c r="B4163" s="23">
        <v>40678</v>
      </c>
      <c r="C4163" s="24">
        <v>2011</v>
      </c>
      <c r="D4163" s="24" t="s">
        <v>141</v>
      </c>
      <c r="E4163" s="30" t="s">
        <v>142</v>
      </c>
      <c r="F4163" s="28" t="s">
        <v>160</v>
      </c>
      <c r="G4163" s="44" t="s">
        <v>6101</v>
      </c>
      <c r="H4163" s="44" t="s">
        <v>6102</v>
      </c>
      <c r="I4163" s="20">
        <v>0</v>
      </c>
      <c r="J4163" s="20">
        <v>1</v>
      </c>
      <c r="K4163" s="20">
        <v>0</v>
      </c>
      <c r="L4163" s="20">
        <v>0</v>
      </c>
      <c r="M4163" s="20">
        <v>0</v>
      </c>
      <c r="N4163" s="20">
        <v>0</v>
      </c>
      <c r="O4163" s="20">
        <v>0</v>
      </c>
      <c r="P4163" s="26">
        <v>0.6532</v>
      </c>
      <c r="Q4163" s="45" t="s">
        <v>154</v>
      </c>
    </row>
    <row r="4164" spans="1:17" ht="132" x14ac:dyDescent="0.25">
      <c r="A4164" s="23">
        <v>40677</v>
      </c>
      <c r="B4164" s="23">
        <v>40677</v>
      </c>
      <c r="C4164" s="24">
        <v>2011</v>
      </c>
      <c r="D4164" s="24" t="s">
        <v>141</v>
      </c>
      <c r="E4164" s="30" t="s">
        <v>142</v>
      </c>
      <c r="F4164" s="7" t="s">
        <v>58</v>
      </c>
      <c r="G4164" s="44" t="s">
        <v>5664</v>
      </c>
      <c r="H4164" s="44" t="s">
        <v>6103</v>
      </c>
      <c r="I4164" s="20">
        <v>1</v>
      </c>
      <c r="J4164" s="20">
        <v>41</v>
      </c>
      <c r="K4164" s="20">
        <v>0</v>
      </c>
      <c r="L4164" s="20">
        <v>0</v>
      </c>
      <c r="M4164" s="20">
        <v>0</v>
      </c>
      <c r="N4164" s="20">
        <v>0</v>
      </c>
      <c r="O4164" s="20">
        <v>0</v>
      </c>
      <c r="P4164" s="26">
        <v>0.4</v>
      </c>
      <c r="Q4164" s="45" t="s">
        <v>154</v>
      </c>
    </row>
    <row r="4165" spans="1:17" ht="108" x14ac:dyDescent="0.25">
      <c r="A4165" s="23">
        <v>40676</v>
      </c>
      <c r="B4165" s="23">
        <v>40676</v>
      </c>
      <c r="C4165" s="24">
        <v>2011</v>
      </c>
      <c r="D4165" s="351" t="s">
        <v>23</v>
      </c>
      <c r="E4165" s="22" t="s">
        <v>86</v>
      </c>
      <c r="F4165" s="7" t="s">
        <v>58</v>
      </c>
      <c r="G4165" s="44" t="s">
        <v>6104</v>
      </c>
      <c r="H4165" s="44" t="s">
        <v>6105</v>
      </c>
      <c r="I4165" s="20">
        <v>2</v>
      </c>
      <c r="J4165" s="20">
        <v>2</v>
      </c>
      <c r="K4165" s="20">
        <v>0</v>
      </c>
      <c r="L4165" s="20">
        <v>0</v>
      </c>
      <c r="M4165" s="20">
        <v>0</v>
      </c>
      <c r="N4165" s="20">
        <v>0</v>
      </c>
      <c r="O4165" s="20">
        <v>0</v>
      </c>
      <c r="P4165" s="26">
        <v>0</v>
      </c>
      <c r="Q4165" s="45" t="s">
        <v>154</v>
      </c>
    </row>
    <row r="4166" spans="1:17" ht="84" x14ac:dyDescent="0.25">
      <c r="A4166" s="23">
        <v>40670</v>
      </c>
      <c r="B4166" s="23">
        <v>40670</v>
      </c>
      <c r="C4166" s="24">
        <v>2011</v>
      </c>
      <c r="D4166" s="351" t="s">
        <v>23</v>
      </c>
      <c r="E4166" s="22" t="s">
        <v>86</v>
      </c>
      <c r="F4166" s="7" t="s">
        <v>47</v>
      </c>
      <c r="G4166" s="44" t="s">
        <v>6106</v>
      </c>
      <c r="H4166" s="44" t="s">
        <v>6107</v>
      </c>
      <c r="I4166" s="20">
        <v>1</v>
      </c>
      <c r="J4166" s="20">
        <v>1</v>
      </c>
      <c r="K4166" s="20">
        <v>0</v>
      </c>
      <c r="L4166" s="20">
        <v>0</v>
      </c>
      <c r="M4166" s="20">
        <v>0</v>
      </c>
      <c r="N4166" s="20">
        <v>0</v>
      </c>
      <c r="O4166" s="20">
        <v>0</v>
      </c>
      <c r="P4166" s="26">
        <v>3.78E-2</v>
      </c>
      <c r="Q4166" s="45" t="s">
        <v>154</v>
      </c>
    </row>
    <row r="4167" spans="1:17" ht="84" x14ac:dyDescent="0.25">
      <c r="A4167" s="23">
        <v>40668</v>
      </c>
      <c r="B4167" s="23">
        <v>40668</v>
      </c>
      <c r="C4167" s="24">
        <v>2011</v>
      </c>
      <c r="D4167" s="35" t="s">
        <v>28</v>
      </c>
      <c r="E4167" s="30" t="s">
        <v>125</v>
      </c>
      <c r="F4167" s="7" t="s">
        <v>45</v>
      </c>
      <c r="G4167" s="44" t="s">
        <v>577</v>
      </c>
      <c r="H4167" s="44" t="s">
        <v>6108</v>
      </c>
      <c r="I4167" s="20">
        <v>3</v>
      </c>
      <c r="J4167" s="20">
        <v>3</v>
      </c>
      <c r="K4167" s="20">
        <v>0</v>
      </c>
      <c r="L4167" s="20">
        <v>0</v>
      </c>
      <c r="M4167" s="20">
        <v>0</v>
      </c>
      <c r="N4167" s="20">
        <v>0</v>
      </c>
      <c r="O4167" s="20">
        <v>0</v>
      </c>
      <c r="P4167" s="158">
        <v>0</v>
      </c>
      <c r="Q4167" s="45" t="s">
        <v>154</v>
      </c>
    </row>
    <row r="4168" spans="1:17" ht="300" x14ac:dyDescent="0.25">
      <c r="A4168" s="48">
        <v>40790</v>
      </c>
      <c r="B4168" s="48">
        <v>40790</v>
      </c>
      <c r="C4168" s="344">
        <v>2011</v>
      </c>
      <c r="D4168" s="351" t="s">
        <v>23</v>
      </c>
      <c r="E4168" s="22" t="s">
        <v>86</v>
      </c>
      <c r="F4168" s="7" t="s">
        <v>36</v>
      </c>
      <c r="G4168" s="33" t="s">
        <v>6109</v>
      </c>
      <c r="H4168" s="33" t="s">
        <v>6110</v>
      </c>
      <c r="I4168" s="157">
        <v>0</v>
      </c>
      <c r="J4168" s="142">
        <v>470</v>
      </c>
      <c r="K4168" s="142">
        <v>94</v>
      </c>
      <c r="L4168" s="142">
        <v>0</v>
      </c>
      <c r="M4168" s="142">
        <v>0</v>
      </c>
      <c r="N4168" s="20">
        <v>0</v>
      </c>
      <c r="O4168" s="142">
        <v>0</v>
      </c>
      <c r="P4168" s="158">
        <v>2.585</v>
      </c>
      <c r="Q4168" s="157" t="s">
        <v>154</v>
      </c>
    </row>
    <row r="4169" spans="1:17" ht="288" x14ac:dyDescent="0.25">
      <c r="A4169" s="23">
        <v>40546</v>
      </c>
      <c r="B4169" s="23">
        <v>40546</v>
      </c>
      <c r="C4169" s="24">
        <v>2011</v>
      </c>
      <c r="D4169" s="351" t="s">
        <v>23</v>
      </c>
      <c r="E4169" s="22" t="s">
        <v>86</v>
      </c>
      <c r="F4169" s="7" t="s">
        <v>36</v>
      </c>
      <c r="G4169" s="44" t="s">
        <v>232</v>
      </c>
      <c r="H4169" s="44" t="s">
        <v>6111</v>
      </c>
      <c r="I4169" s="20">
        <v>0</v>
      </c>
      <c r="J4169" s="46">
        <v>1330</v>
      </c>
      <c r="K4169" s="20">
        <v>266</v>
      </c>
      <c r="L4169" s="20">
        <v>0</v>
      </c>
      <c r="M4169" s="20">
        <v>0</v>
      </c>
      <c r="N4169" s="20">
        <v>0</v>
      </c>
      <c r="O4169" s="20">
        <v>0</v>
      </c>
      <c r="P4169" s="47">
        <v>0.70279999999999998</v>
      </c>
      <c r="Q4169" s="45" t="s">
        <v>154</v>
      </c>
    </row>
    <row r="4170" spans="1:17" ht="144" x14ac:dyDescent="0.25">
      <c r="A4170" s="23">
        <v>40783</v>
      </c>
      <c r="B4170" s="23">
        <v>40783</v>
      </c>
      <c r="C4170" s="24">
        <v>2011</v>
      </c>
      <c r="D4170" s="351" t="s">
        <v>23</v>
      </c>
      <c r="E4170" s="22" t="s">
        <v>86</v>
      </c>
      <c r="F4170" s="7" t="s">
        <v>36</v>
      </c>
      <c r="G4170" s="44" t="s">
        <v>3747</v>
      </c>
      <c r="H4170" s="44" t="s">
        <v>6112</v>
      </c>
      <c r="I4170" s="20">
        <v>0</v>
      </c>
      <c r="J4170" s="46">
        <v>1400</v>
      </c>
      <c r="K4170" s="20">
        <v>277</v>
      </c>
      <c r="L4170" s="20">
        <v>0</v>
      </c>
      <c r="M4170" s="20">
        <v>0</v>
      </c>
      <c r="N4170" s="20">
        <v>0</v>
      </c>
      <c r="O4170" s="20">
        <v>0</v>
      </c>
      <c r="P4170" s="47">
        <v>0.6925</v>
      </c>
      <c r="Q4170" s="45" t="s">
        <v>154</v>
      </c>
    </row>
    <row r="4171" spans="1:17" ht="72" x14ac:dyDescent="0.25">
      <c r="A4171" s="23">
        <v>40666</v>
      </c>
      <c r="B4171" s="23">
        <v>40666</v>
      </c>
      <c r="C4171" s="24">
        <v>2011</v>
      </c>
      <c r="D4171" s="24" t="s">
        <v>141</v>
      </c>
      <c r="E4171" s="30" t="s">
        <v>142</v>
      </c>
      <c r="F4171" s="7" t="s">
        <v>36</v>
      </c>
      <c r="G4171" s="44" t="s">
        <v>6113</v>
      </c>
      <c r="H4171" s="44" t="s">
        <v>6114</v>
      </c>
      <c r="I4171" s="20">
        <v>1</v>
      </c>
      <c r="J4171" s="20">
        <v>19</v>
      </c>
      <c r="K4171" s="20">
        <v>0</v>
      </c>
      <c r="L4171" s="20">
        <v>0</v>
      </c>
      <c r="M4171" s="20">
        <v>0</v>
      </c>
      <c r="N4171" s="20">
        <v>0</v>
      </c>
      <c r="O4171" s="20">
        <v>0</v>
      </c>
      <c r="P4171" s="26">
        <v>0.4</v>
      </c>
      <c r="Q4171" s="45" t="s">
        <v>154</v>
      </c>
    </row>
    <row r="4172" spans="1:17" ht="120" x14ac:dyDescent="0.25">
      <c r="A4172" s="23">
        <v>40666</v>
      </c>
      <c r="B4172" s="23">
        <v>40666</v>
      </c>
      <c r="C4172" s="24">
        <v>2011</v>
      </c>
      <c r="D4172" s="24" t="s">
        <v>141</v>
      </c>
      <c r="E4172" s="30" t="s">
        <v>142</v>
      </c>
      <c r="F4172" s="28" t="s">
        <v>151</v>
      </c>
      <c r="G4172" s="44" t="s">
        <v>6115</v>
      </c>
      <c r="H4172" s="44" t="s">
        <v>6116</v>
      </c>
      <c r="I4172" s="20">
        <v>0</v>
      </c>
      <c r="J4172" s="20">
        <v>638</v>
      </c>
      <c r="K4172" s="20">
        <v>0</v>
      </c>
      <c r="L4172" s="20">
        <v>0</v>
      </c>
      <c r="M4172" s="20">
        <v>0</v>
      </c>
      <c r="N4172" s="20">
        <v>0</v>
      </c>
      <c r="O4172" s="20">
        <v>0</v>
      </c>
      <c r="P4172" s="158">
        <v>0</v>
      </c>
      <c r="Q4172" s="45" t="s">
        <v>154</v>
      </c>
    </row>
    <row r="4173" spans="1:17" ht="60" x14ac:dyDescent="0.25">
      <c r="A4173" s="23">
        <v>40665</v>
      </c>
      <c r="B4173" s="23">
        <v>40665</v>
      </c>
      <c r="C4173" s="24">
        <v>2011</v>
      </c>
      <c r="D4173" s="351" t="s">
        <v>23</v>
      </c>
      <c r="E4173" s="49" t="s">
        <v>323</v>
      </c>
      <c r="F4173" s="28" t="s">
        <v>151</v>
      </c>
      <c r="G4173" s="44" t="s">
        <v>6117</v>
      </c>
      <c r="H4173" s="44" t="s">
        <v>6118</v>
      </c>
      <c r="I4173" s="20">
        <v>3</v>
      </c>
      <c r="J4173" s="20">
        <v>7</v>
      </c>
      <c r="K4173" s="20">
        <v>0</v>
      </c>
      <c r="L4173" s="20">
        <v>0</v>
      </c>
      <c r="M4173" s="20">
        <v>0</v>
      </c>
      <c r="N4173" s="20">
        <v>0</v>
      </c>
      <c r="O4173" s="20">
        <v>0</v>
      </c>
      <c r="P4173" s="26">
        <v>0</v>
      </c>
      <c r="Q4173" s="45" t="s">
        <v>154</v>
      </c>
    </row>
    <row r="4174" spans="1:17" ht="72" x14ac:dyDescent="0.25">
      <c r="A4174" s="23">
        <v>40665</v>
      </c>
      <c r="B4174" s="23">
        <v>40665</v>
      </c>
      <c r="C4174" s="24">
        <v>2011</v>
      </c>
      <c r="D4174" s="24" t="s">
        <v>141</v>
      </c>
      <c r="E4174" s="30" t="s">
        <v>142</v>
      </c>
      <c r="F4174" s="7" t="s">
        <v>33</v>
      </c>
      <c r="G4174" s="44" t="s">
        <v>6119</v>
      </c>
      <c r="H4174" s="44" t="s">
        <v>6120</v>
      </c>
      <c r="I4174" s="20">
        <v>2</v>
      </c>
      <c r="J4174" s="20">
        <v>2</v>
      </c>
      <c r="K4174" s="20">
        <v>0</v>
      </c>
      <c r="L4174" s="20">
        <v>0</v>
      </c>
      <c r="M4174" s="20">
        <v>0</v>
      </c>
      <c r="N4174" s="20">
        <v>0</v>
      </c>
      <c r="O4174" s="20">
        <v>0</v>
      </c>
      <c r="P4174" s="26">
        <v>1.5</v>
      </c>
      <c r="Q4174" s="45" t="s">
        <v>154</v>
      </c>
    </row>
    <row r="4175" spans="1:17" ht="96" x14ac:dyDescent="0.25">
      <c r="A4175" s="23">
        <v>40664</v>
      </c>
      <c r="B4175" s="23">
        <v>40664</v>
      </c>
      <c r="C4175" s="24">
        <v>2011</v>
      </c>
      <c r="D4175" s="351" t="s">
        <v>23</v>
      </c>
      <c r="E4175" s="22" t="s">
        <v>86</v>
      </c>
      <c r="F4175" s="28" t="s">
        <v>151</v>
      </c>
      <c r="G4175" s="44" t="s">
        <v>6121</v>
      </c>
      <c r="H4175" s="44" t="s">
        <v>6122</v>
      </c>
      <c r="I4175" s="20">
        <v>0</v>
      </c>
      <c r="J4175" s="20">
        <f>(107*5)+75</f>
        <v>610</v>
      </c>
      <c r="K4175" s="20">
        <v>107</v>
      </c>
      <c r="L4175" s="20">
        <v>0</v>
      </c>
      <c r="M4175" s="20">
        <v>0</v>
      </c>
      <c r="N4175" s="20">
        <v>0</v>
      </c>
      <c r="O4175" s="20">
        <v>0</v>
      </c>
      <c r="P4175" s="26">
        <v>0.107</v>
      </c>
      <c r="Q4175" s="45" t="s">
        <v>154</v>
      </c>
    </row>
    <row r="4176" spans="1:17" ht="132" x14ac:dyDescent="0.25">
      <c r="A4176" s="23">
        <v>40599</v>
      </c>
      <c r="B4176" s="23">
        <v>40599</v>
      </c>
      <c r="C4176" s="24">
        <v>2011</v>
      </c>
      <c r="D4176" s="35" t="s">
        <v>28</v>
      </c>
      <c r="E4176" s="30" t="s">
        <v>133</v>
      </c>
      <c r="F4176" s="28" t="s">
        <v>210</v>
      </c>
      <c r="G4176" s="44" t="s">
        <v>2842</v>
      </c>
      <c r="H4176" s="44" t="s">
        <v>6123</v>
      </c>
      <c r="I4176" s="20">
        <v>0</v>
      </c>
      <c r="J4176" s="20">
        <v>1</v>
      </c>
      <c r="K4176" s="20">
        <v>0</v>
      </c>
      <c r="L4176" s="20">
        <v>0</v>
      </c>
      <c r="M4176" s="20">
        <v>0</v>
      </c>
      <c r="N4176" s="20">
        <v>0</v>
      </c>
      <c r="O4176" s="20">
        <v>0</v>
      </c>
      <c r="P4176" s="158">
        <v>0</v>
      </c>
      <c r="Q4176" s="45" t="s">
        <v>154</v>
      </c>
    </row>
    <row r="4177" spans="1:17" ht="60" x14ac:dyDescent="0.25">
      <c r="A4177" s="23">
        <v>40663</v>
      </c>
      <c r="B4177" s="23">
        <v>40663</v>
      </c>
      <c r="C4177" s="24">
        <v>2011</v>
      </c>
      <c r="D4177" s="35" t="s">
        <v>28</v>
      </c>
      <c r="E4177" s="6" t="s">
        <v>149</v>
      </c>
      <c r="F4177" s="28" t="s">
        <v>210</v>
      </c>
      <c r="G4177" s="44" t="s">
        <v>6124</v>
      </c>
      <c r="H4177" s="44" t="s">
        <v>6125</v>
      </c>
      <c r="I4177" s="20">
        <v>0</v>
      </c>
      <c r="J4177" s="20" t="s">
        <v>110</v>
      </c>
      <c r="K4177" s="20">
        <v>0</v>
      </c>
      <c r="L4177" s="20">
        <v>0</v>
      </c>
      <c r="M4177" s="20">
        <v>0</v>
      </c>
      <c r="N4177" s="20">
        <v>0</v>
      </c>
      <c r="O4177" s="20">
        <v>0</v>
      </c>
      <c r="P4177" s="158">
        <v>0</v>
      </c>
      <c r="Q4177" s="45" t="s">
        <v>154</v>
      </c>
    </row>
    <row r="4178" spans="1:17" ht="108" x14ac:dyDescent="0.25">
      <c r="A4178" s="23">
        <v>40663</v>
      </c>
      <c r="B4178" s="23">
        <v>40663</v>
      </c>
      <c r="C4178" s="24">
        <v>2011</v>
      </c>
      <c r="D4178" s="24" t="s">
        <v>141</v>
      </c>
      <c r="E4178" s="30" t="s">
        <v>142</v>
      </c>
      <c r="F4178" s="28" t="s">
        <v>210</v>
      </c>
      <c r="G4178" s="44" t="s">
        <v>6073</v>
      </c>
      <c r="H4178" s="44" t="s">
        <v>6126</v>
      </c>
      <c r="I4178" s="20">
        <v>1</v>
      </c>
      <c r="J4178" s="20">
        <v>5</v>
      </c>
      <c r="K4178" s="20">
        <v>0</v>
      </c>
      <c r="L4178" s="20">
        <v>0</v>
      </c>
      <c r="M4178" s="20">
        <v>0</v>
      </c>
      <c r="N4178" s="20">
        <v>0</v>
      </c>
      <c r="O4178" s="20">
        <v>0</v>
      </c>
      <c r="P4178" s="26">
        <v>0.71279999999999999</v>
      </c>
      <c r="Q4178" s="45" t="s">
        <v>154</v>
      </c>
    </row>
    <row r="4179" spans="1:17" ht="120" x14ac:dyDescent="0.25">
      <c r="A4179" s="23">
        <v>40663</v>
      </c>
      <c r="B4179" s="23">
        <v>40663</v>
      </c>
      <c r="C4179" s="24">
        <v>2011</v>
      </c>
      <c r="D4179" s="24" t="s">
        <v>141</v>
      </c>
      <c r="E4179" s="30" t="s">
        <v>142</v>
      </c>
      <c r="F4179" s="28" t="s">
        <v>210</v>
      </c>
      <c r="G4179" s="44" t="s">
        <v>6127</v>
      </c>
      <c r="H4179" s="44" t="s">
        <v>6128</v>
      </c>
      <c r="I4179" s="20">
        <v>0</v>
      </c>
      <c r="J4179" s="20">
        <v>30</v>
      </c>
      <c r="K4179" s="20">
        <v>0</v>
      </c>
      <c r="L4179" s="20">
        <v>0</v>
      </c>
      <c r="M4179" s="20">
        <v>0</v>
      </c>
      <c r="N4179" s="20">
        <v>0</v>
      </c>
      <c r="O4179" s="20">
        <v>0</v>
      </c>
      <c r="P4179" s="26">
        <v>0.4</v>
      </c>
      <c r="Q4179" s="45" t="s">
        <v>154</v>
      </c>
    </row>
    <row r="4180" spans="1:17" ht="240" x14ac:dyDescent="0.25">
      <c r="A4180" s="23">
        <v>40661</v>
      </c>
      <c r="B4180" s="23">
        <v>40661</v>
      </c>
      <c r="C4180" s="24">
        <v>2011</v>
      </c>
      <c r="D4180" s="351" t="s">
        <v>23</v>
      </c>
      <c r="E4180" s="49" t="s">
        <v>5893</v>
      </c>
      <c r="F4180" s="7" t="s">
        <v>97</v>
      </c>
      <c r="G4180" s="44" t="s">
        <v>6129</v>
      </c>
      <c r="H4180" s="44" t="s">
        <v>6130</v>
      </c>
      <c r="I4180" s="20">
        <v>0</v>
      </c>
      <c r="J4180" s="20">
        <v>55000</v>
      </c>
      <c r="K4180" s="20">
        <v>11000</v>
      </c>
      <c r="L4180" s="20">
        <v>0</v>
      </c>
      <c r="M4180" s="20">
        <v>0</v>
      </c>
      <c r="N4180" s="20">
        <v>0</v>
      </c>
      <c r="O4180" s="20">
        <v>0</v>
      </c>
      <c r="P4180" s="26">
        <v>5.3019499999999997</v>
      </c>
      <c r="Q4180" s="45" t="s">
        <v>154</v>
      </c>
    </row>
    <row r="4181" spans="1:17" ht="156" x14ac:dyDescent="0.25">
      <c r="A4181" s="23">
        <v>40690</v>
      </c>
      <c r="B4181" s="23">
        <v>40690</v>
      </c>
      <c r="C4181" s="24">
        <v>2011</v>
      </c>
      <c r="D4181" s="351" t="s">
        <v>23</v>
      </c>
      <c r="E4181" s="22" t="s">
        <v>86</v>
      </c>
      <c r="F4181" s="7" t="s">
        <v>91</v>
      </c>
      <c r="G4181" s="44" t="s">
        <v>6131</v>
      </c>
      <c r="H4181" s="44" t="s">
        <v>6132</v>
      </c>
      <c r="I4181" s="20">
        <v>1</v>
      </c>
      <c r="J4181" s="20">
        <v>44500</v>
      </c>
      <c r="K4181" s="20">
        <v>1</v>
      </c>
      <c r="L4181" s="20">
        <v>0</v>
      </c>
      <c r="M4181" s="20">
        <v>0</v>
      </c>
      <c r="N4181" s="20">
        <v>0</v>
      </c>
      <c r="O4181" s="20">
        <v>0</v>
      </c>
      <c r="P4181" s="26">
        <v>0.85</v>
      </c>
      <c r="Q4181" s="45" t="s">
        <v>154</v>
      </c>
    </row>
    <row r="4182" spans="1:17" ht="108" x14ac:dyDescent="0.25">
      <c r="A4182" s="23">
        <v>40660</v>
      </c>
      <c r="B4182" s="23">
        <v>40660</v>
      </c>
      <c r="C4182" s="24">
        <v>2011</v>
      </c>
      <c r="D4182" s="351" t="s">
        <v>23</v>
      </c>
      <c r="E4182" s="22" t="s">
        <v>86</v>
      </c>
      <c r="F4182" s="7" t="s">
        <v>91</v>
      </c>
      <c r="G4182" s="44" t="s">
        <v>6133</v>
      </c>
      <c r="H4182" s="44" t="s">
        <v>6134</v>
      </c>
      <c r="I4182" s="20">
        <v>2</v>
      </c>
      <c r="J4182" s="20">
        <v>2</v>
      </c>
      <c r="K4182" s="20">
        <v>0</v>
      </c>
      <c r="L4182" s="20">
        <v>0</v>
      </c>
      <c r="M4182" s="20">
        <v>0</v>
      </c>
      <c r="N4182" s="20">
        <v>0</v>
      </c>
      <c r="O4182" s="20">
        <v>0</v>
      </c>
      <c r="P4182" s="26">
        <v>0</v>
      </c>
      <c r="Q4182" s="45" t="s">
        <v>154</v>
      </c>
    </row>
    <row r="4183" spans="1:17" ht="84" x14ac:dyDescent="0.25">
      <c r="A4183" s="23">
        <v>40660</v>
      </c>
      <c r="B4183" s="23">
        <v>40660</v>
      </c>
      <c r="C4183" s="24">
        <v>2011</v>
      </c>
      <c r="D4183" s="24" t="s">
        <v>141</v>
      </c>
      <c r="E4183" s="30" t="s">
        <v>142</v>
      </c>
      <c r="F4183" s="25" t="s">
        <v>781</v>
      </c>
      <c r="G4183" s="44" t="s">
        <v>6135</v>
      </c>
      <c r="H4183" s="44" t="s">
        <v>6136</v>
      </c>
      <c r="I4183" s="20">
        <v>2</v>
      </c>
      <c r="J4183" s="20">
        <v>16</v>
      </c>
      <c r="K4183" s="20">
        <v>0</v>
      </c>
      <c r="L4183" s="20">
        <v>0</v>
      </c>
      <c r="M4183" s="20">
        <v>0</v>
      </c>
      <c r="N4183" s="20">
        <v>0</v>
      </c>
      <c r="O4183" s="20">
        <v>0</v>
      </c>
      <c r="P4183" s="26">
        <v>0.4</v>
      </c>
      <c r="Q4183" s="45" t="s">
        <v>154</v>
      </c>
    </row>
    <row r="4184" spans="1:17" ht="108" x14ac:dyDescent="0.25">
      <c r="A4184" s="23">
        <v>40659</v>
      </c>
      <c r="B4184" s="23">
        <v>40659</v>
      </c>
      <c r="C4184" s="24">
        <v>2011</v>
      </c>
      <c r="D4184" s="35" t="s">
        <v>28</v>
      </c>
      <c r="E4184" s="6" t="s">
        <v>149</v>
      </c>
      <c r="F4184" s="7" t="s">
        <v>87</v>
      </c>
      <c r="G4184" s="44" t="s">
        <v>2608</v>
      </c>
      <c r="H4184" s="44" t="s">
        <v>6137</v>
      </c>
      <c r="I4184" s="20">
        <v>0</v>
      </c>
      <c r="J4184" s="20">
        <v>1</v>
      </c>
      <c r="K4184" s="20">
        <v>0</v>
      </c>
      <c r="L4184" s="20">
        <v>0</v>
      </c>
      <c r="M4184" s="20">
        <v>0</v>
      </c>
      <c r="N4184" s="20">
        <v>0</v>
      </c>
      <c r="O4184" s="20">
        <v>0</v>
      </c>
      <c r="P4184" s="158">
        <v>0</v>
      </c>
      <c r="Q4184" s="45" t="s">
        <v>154</v>
      </c>
    </row>
    <row r="4185" spans="1:17" ht="168" x14ac:dyDescent="0.25">
      <c r="A4185" s="23">
        <v>40659</v>
      </c>
      <c r="B4185" s="23">
        <v>40659</v>
      </c>
      <c r="C4185" s="24">
        <v>2011</v>
      </c>
      <c r="D4185" s="35" t="s">
        <v>28</v>
      </c>
      <c r="E4185" s="30" t="s">
        <v>133</v>
      </c>
      <c r="F4185" s="7" t="s">
        <v>87</v>
      </c>
      <c r="G4185" s="44" t="s">
        <v>3647</v>
      </c>
      <c r="H4185" s="44" t="s">
        <v>6138</v>
      </c>
      <c r="I4185" s="20">
        <v>1</v>
      </c>
      <c r="J4185" s="20">
        <v>3</v>
      </c>
      <c r="K4185" s="20">
        <v>0</v>
      </c>
      <c r="L4185" s="20">
        <v>0</v>
      </c>
      <c r="M4185" s="20">
        <v>0</v>
      </c>
      <c r="N4185" s="20">
        <v>0</v>
      </c>
      <c r="O4185" s="20">
        <v>0</v>
      </c>
      <c r="P4185" s="26">
        <v>3.78E-2</v>
      </c>
      <c r="Q4185" s="45" t="s">
        <v>154</v>
      </c>
    </row>
    <row r="4186" spans="1:17" ht="132" x14ac:dyDescent="0.25">
      <c r="A4186" s="23">
        <v>40658</v>
      </c>
      <c r="B4186" s="23">
        <v>40658</v>
      </c>
      <c r="C4186" s="24">
        <v>2011</v>
      </c>
      <c r="D4186" s="24" t="s">
        <v>141</v>
      </c>
      <c r="E4186" s="30" t="s">
        <v>142</v>
      </c>
      <c r="F4186" s="7" t="s">
        <v>84</v>
      </c>
      <c r="G4186" s="44" t="s">
        <v>6139</v>
      </c>
      <c r="H4186" s="44" t="s">
        <v>6140</v>
      </c>
      <c r="I4186" s="20">
        <v>2</v>
      </c>
      <c r="J4186" s="20">
        <v>11</v>
      </c>
      <c r="K4186" s="20">
        <v>0</v>
      </c>
      <c r="L4186" s="20">
        <v>0</v>
      </c>
      <c r="M4186" s="20">
        <v>0</v>
      </c>
      <c r="N4186" s="20">
        <v>0</v>
      </c>
      <c r="O4186" s="20">
        <v>0</v>
      </c>
      <c r="P4186" s="26">
        <v>0.4</v>
      </c>
      <c r="Q4186" s="45" t="s">
        <v>154</v>
      </c>
    </row>
    <row r="4187" spans="1:17" ht="216" x14ac:dyDescent="0.25">
      <c r="A4187" s="23">
        <v>40725</v>
      </c>
      <c r="B4187" s="23">
        <v>40725</v>
      </c>
      <c r="C4187" s="24">
        <v>2011</v>
      </c>
      <c r="D4187" s="35" t="s">
        <v>28</v>
      </c>
      <c r="E4187" s="6" t="s">
        <v>369</v>
      </c>
      <c r="F4187" s="7" t="s">
        <v>84</v>
      </c>
      <c r="G4187" s="44" t="s">
        <v>2143</v>
      </c>
      <c r="H4187" s="44" t="s">
        <v>6141</v>
      </c>
      <c r="I4187" s="20">
        <v>0</v>
      </c>
      <c r="J4187" s="20">
        <v>0</v>
      </c>
      <c r="K4187" s="20">
        <v>0</v>
      </c>
      <c r="L4187" s="20">
        <v>0</v>
      </c>
      <c r="M4187" s="20">
        <v>0</v>
      </c>
      <c r="N4187" s="20">
        <v>0</v>
      </c>
      <c r="O4187" s="20">
        <v>0</v>
      </c>
      <c r="P4187" s="26">
        <v>0.19600000000000001</v>
      </c>
      <c r="Q4187" s="45" t="s">
        <v>154</v>
      </c>
    </row>
    <row r="4188" spans="1:17" ht="60" x14ac:dyDescent="0.25">
      <c r="A4188" s="23">
        <v>40725</v>
      </c>
      <c r="B4188" s="23">
        <v>40725</v>
      </c>
      <c r="C4188" s="24">
        <v>2011</v>
      </c>
      <c r="D4188" s="35" t="s">
        <v>28</v>
      </c>
      <c r="E4188" s="30" t="s">
        <v>133</v>
      </c>
      <c r="F4188" s="7" t="s">
        <v>84</v>
      </c>
      <c r="G4188" s="44" t="s">
        <v>2143</v>
      </c>
      <c r="H4188" s="44" t="s">
        <v>6142</v>
      </c>
      <c r="I4188" s="20">
        <v>1</v>
      </c>
      <c r="J4188" s="20">
        <v>1</v>
      </c>
      <c r="K4188" s="20">
        <v>0</v>
      </c>
      <c r="L4188" s="20">
        <v>0</v>
      </c>
      <c r="M4188" s="20">
        <v>0</v>
      </c>
      <c r="N4188" s="20">
        <v>0</v>
      </c>
      <c r="O4188" s="20">
        <v>0</v>
      </c>
      <c r="P4188" s="158">
        <v>0</v>
      </c>
      <c r="Q4188" s="45" t="s">
        <v>154</v>
      </c>
    </row>
    <row r="4189" spans="1:17" ht="36" x14ac:dyDescent="0.25">
      <c r="A4189" s="23">
        <v>40658</v>
      </c>
      <c r="B4189" s="23">
        <v>40658</v>
      </c>
      <c r="C4189" s="24">
        <v>2011</v>
      </c>
      <c r="D4189" s="351" t="s">
        <v>23</v>
      </c>
      <c r="E4189" s="49" t="s">
        <v>5893</v>
      </c>
      <c r="F4189" s="7" t="s">
        <v>84</v>
      </c>
      <c r="G4189" s="44" t="s">
        <v>6143</v>
      </c>
      <c r="H4189" s="44" t="s">
        <v>6144</v>
      </c>
      <c r="I4189" s="20">
        <v>1</v>
      </c>
      <c r="J4189" s="20">
        <v>1</v>
      </c>
      <c r="K4189" s="20">
        <v>0</v>
      </c>
      <c r="L4189" s="20">
        <v>0</v>
      </c>
      <c r="M4189" s="20">
        <v>0</v>
      </c>
      <c r="N4189" s="20">
        <v>0</v>
      </c>
      <c r="O4189" s="20">
        <v>0</v>
      </c>
      <c r="P4189" s="26">
        <v>0</v>
      </c>
      <c r="Q4189" s="45" t="s">
        <v>154</v>
      </c>
    </row>
    <row r="4190" spans="1:17" ht="72" x14ac:dyDescent="0.25">
      <c r="A4190" s="23">
        <v>40657</v>
      </c>
      <c r="B4190" s="23">
        <v>40657</v>
      </c>
      <c r="C4190" s="24">
        <v>2011</v>
      </c>
      <c r="D4190" s="35" t="s">
        <v>28</v>
      </c>
      <c r="E4190" s="6" t="s">
        <v>149</v>
      </c>
      <c r="F4190" s="7" t="s">
        <v>84</v>
      </c>
      <c r="G4190" s="44" t="s">
        <v>3740</v>
      </c>
      <c r="H4190" s="44" t="s">
        <v>6145</v>
      </c>
      <c r="I4190" s="20">
        <v>0</v>
      </c>
      <c r="J4190" s="20">
        <v>700</v>
      </c>
      <c r="K4190" s="20">
        <v>0</v>
      </c>
      <c r="L4190" s="20">
        <v>0</v>
      </c>
      <c r="M4190" s="20">
        <v>0</v>
      </c>
      <c r="N4190" s="20">
        <v>0</v>
      </c>
      <c r="O4190" s="20">
        <v>0</v>
      </c>
      <c r="P4190" s="158">
        <v>0</v>
      </c>
      <c r="Q4190" s="45" t="s">
        <v>154</v>
      </c>
    </row>
    <row r="4191" spans="1:17" ht="72" x14ac:dyDescent="0.25">
      <c r="A4191" s="23">
        <v>40654</v>
      </c>
      <c r="B4191" s="23">
        <v>40654</v>
      </c>
      <c r="C4191" s="24">
        <v>2011</v>
      </c>
      <c r="D4191" s="35" t="s">
        <v>28</v>
      </c>
      <c r="E4191" s="30" t="s">
        <v>133</v>
      </c>
      <c r="F4191" s="7" t="s">
        <v>68</v>
      </c>
      <c r="G4191" s="44" t="s">
        <v>4963</v>
      </c>
      <c r="H4191" s="44" t="s">
        <v>6146</v>
      </c>
      <c r="I4191" s="20">
        <v>0</v>
      </c>
      <c r="J4191" s="20" t="s">
        <v>110</v>
      </c>
      <c r="K4191" s="20">
        <v>0</v>
      </c>
      <c r="L4191" s="20">
        <v>0</v>
      </c>
      <c r="M4191" s="20">
        <v>0</v>
      </c>
      <c r="N4191" s="20">
        <v>0</v>
      </c>
      <c r="O4191" s="20">
        <v>0</v>
      </c>
      <c r="P4191" s="26">
        <v>0.75600000000000001</v>
      </c>
      <c r="Q4191" s="45" t="s">
        <v>154</v>
      </c>
    </row>
    <row r="4192" spans="1:17" ht="108" x14ac:dyDescent="0.25">
      <c r="A4192" s="23">
        <v>40653</v>
      </c>
      <c r="B4192" s="23">
        <v>40653</v>
      </c>
      <c r="C4192" s="24">
        <v>2011</v>
      </c>
      <c r="D4192" s="35" t="s">
        <v>28</v>
      </c>
      <c r="E4192" s="30" t="s">
        <v>133</v>
      </c>
      <c r="F4192" s="7" t="s">
        <v>65</v>
      </c>
      <c r="G4192" s="44" t="s">
        <v>6147</v>
      </c>
      <c r="H4192" s="44" t="s">
        <v>6148</v>
      </c>
      <c r="I4192" s="20">
        <v>0</v>
      </c>
      <c r="J4192" s="20">
        <v>253</v>
      </c>
      <c r="K4192" s="20">
        <v>50</v>
      </c>
      <c r="L4192" s="20">
        <v>0</v>
      </c>
      <c r="M4192" s="20">
        <v>0</v>
      </c>
      <c r="N4192" s="20">
        <v>0</v>
      </c>
      <c r="O4192" s="20">
        <v>0</v>
      </c>
      <c r="P4192" s="26">
        <v>0.27500000000000002</v>
      </c>
      <c r="Q4192" s="45" t="s">
        <v>154</v>
      </c>
    </row>
    <row r="4193" spans="1:17" ht="60" x14ac:dyDescent="0.25">
      <c r="A4193" s="23">
        <v>40653</v>
      </c>
      <c r="B4193" s="23">
        <v>40653</v>
      </c>
      <c r="C4193" s="24">
        <v>2011</v>
      </c>
      <c r="D4193" s="351" t="s">
        <v>23</v>
      </c>
      <c r="E4193" s="22" t="s">
        <v>86</v>
      </c>
      <c r="F4193" s="7" t="s">
        <v>65</v>
      </c>
      <c r="G4193" s="44" t="s">
        <v>1511</v>
      </c>
      <c r="H4193" s="44" t="s">
        <v>6149</v>
      </c>
      <c r="I4193" s="20">
        <v>0</v>
      </c>
      <c r="J4193" s="20">
        <v>245</v>
      </c>
      <c r="K4193" s="20">
        <v>49</v>
      </c>
      <c r="L4193" s="20">
        <v>0</v>
      </c>
      <c r="M4193" s="20">
        <v>0</v>
      </c>
      <c r="N4193" s="20">
        <v>0</v>
      </c>
      <c r="O4193" s="20">
        <v>0</v>
      </c>
      <c r="P4193" s="26">
        <v>4.9000000000000002E-2</v>
      </c>
      <c r="Q4193" s="45" t="s">
        <v>154</v>
      </c>
    </row>
    <row r="4194" spans="1:17" ht="204" x14ac:dyDescent="0.25">
      <c r="A4194" s="23">
        <v>40653</v>
      </c>
      <c r="B4194" s="23">
        <v>40653</v>
      </c>
      <c r="C4194" s="24">
        <v>2011</v>
      </c>
      <c r="D4194" s="24" t="s">
        <v>141</v>
      </c>
      <c r="E4194" s="30" t="s">
        <v>142</v>
      </c>
      <c r="F4194" s="7" t="s">
        <v>62</v>
      </c>
      <c r="G4194" s="44" t="s">
        <v>3384</v>
      </c>
      <c r="H4194" s="44" t="s">
        <v>6150</v>
      </c>
      <c r="I4194" s="20">
        <v>2</v>
      </c>
      <c r="J4194" s="20">
        <v>20</v>
      </c>
      <c r="K4194" s="20">
        <v>0</v>
      </c>
      <c r="L4194" s="20">
        <v>0</v>
      </c>
      <c r="M4194" s="20">
        <v>0</v>
      </c>
      <c r="N4194" s="20">
        <v>0</v>
      </c>
      <c r="O4194" s="20">
        <v>0</v>
      </c>
      <c r="P4194" s="26">
        <v>0.67500000000000004</v>
      </c>
      <c r="Q4194" s="45" t="s">
        <v>154</v>
      </c>
    </row>
    <row r="4195" spans="1:17" ht="288" x14ac:dyDescent="0.25">
      <c r="A4195" s="23">
        <v>40652</v>
      </c>
      <c r="B4195" s="23">
        <v>40652</v>
      </c>
      <c r="C4195" s="24">
        <v>2011</v>
      </c>
      <c r="D4195" s="351" t="s">
        <v>23</v>
      </c>
      <c r="E4195" s="22" t="s">
        <v>86</v>
      </c>
      <c r="F4195" s="7" t="s">
        <v>62</v>
      </c>
      <c r="G4195" s="44" t="s">
        <v>569</v>
      </c>
      <c r="H4195" s="44" t="s">
        <v>6151</v>
      </c>
      <c r="I4195" s="20">
        <v>1</v>
      </c>
      <c r="J4195" s="20">
        <v>140</v>
      </c>
      <c r="K4195" s="20">
        <v>57</v>
      </c>
      <c r="L4195" s="20">
        <v>0</v>
      </c>
      <c r="M4195" s="20">
        <v>0</v>
      </c>
      <c r="N4195" s="20">
        <v>0</v>
      </c>
      <c r="O4195" s="20">
        <v>0</v>
      </c>
      <c r="P4195" s="26">
        <v>2.2519999999999998</v>
      </c>
      <c r="Q4195" s="45" t="s">
        <v>154</v>
      </c>
    </row>
    <row r="4196" spans="1:17" ht="108" x14ac:dyDescent="0.25">
      <c r="A4196" s="23">
        <v>40571</v>
      </c>
      <c r="B4196" s="23">
        <v>40571</v>
      </c>
      <c r="C4196" s="24">
        <v>2011</v>
      </c>
      <c r="D4196" s="35" t="s">
        <v>28</v>
      </c>
      <c r="E4196" s="6" t="s">
        <v>149</v>
      </c>
      <c r="F4196" s="7" t="s">
        <v>53</v>
      </c>
      <c r="G4196" s="44" t="s">
        <v>847</v>
      </c>
      <c r="H4196" s="44" t="s">
        <v>6152</v>
      </c>
      <c r="I4196" s="20">
        <v>0</v>
      </c>
      <c r="J4196" s="20">
        <v>300</v>
      </c>
      <c r="K4196" s="20">
        <v>0</v>
      </c>
      <c r="L4196" s="20">
        <v>0</v>
      </c>
      <c r="M4196" s="20">
        <v>0</v>
      </c>
      <c r="N4196" s="20">
        <v>0</v>
      </c>
      <c r="O4196" s="20">
        <v>0</v>
      </c>
      <c r="P4196" s="26">
        <v>0</v>
      </c>
      <c r="Q4196" s="45" t="s">
        <v>154</v>
      </c>
    </row>
    <row r="4197" spans="1:17" ht="108" x14ac:dyDescent="0.25">
      <c r="A4197" s="23">
        <v>40652</v>
      </c>
      <c r="B4197" s="23">
        <v>40652</v>
      </c>
      <c r="C4197" s="24">
        <v>2011</v>
      </c>
      <c r="D4197" s="24" t="s">
        <v>141</v>
      </c>
      <c r="E4197" s="30" t="s">
        <v>142</v>
      </c>
      <c r="F4197" s="7" t="s">
        <v>53</v>
      </c>
      <c r="G4197" s="44" t="s">
        <v>3631</v>
      </c>
      <c r="H4197" s="44" t="s">
        <v>6153</v>
      </c>
      <c r="I4197" s="20">
        <v>0</v>
      </c>
      <c r="J4197" s="20">
        <v>1</v>
      </c>
      <c r="K4197" s="20">
        <v>0</v>
      </c>
      <c r="L4197" s="20">
        <v>0</v>
      </c>
      <c r="M4197" s="20">
        <v>0</v>
      </c>
      <c r="N4197" s="20">
        <v>0</v>
      </c>
      <c r="O4197" s="20">
        <v>0</v>
      </c>
      <c r="P4197" s="26">
        <v>0.67500000000000004</v>
      </c>
      <c r="Q4197" s="45" t="s">
        <v>154</v>
      </c>
    </row>
    <row r="4198" spans="1:17" ht="108" x14ac:dyDescent="0.25">
      <c r="A4198" s="23">
        <v>40651</v>
      </c>
      <c r="B4198" s="23">
        <v>40651</v>
      </c>
      <c r="C4198" s="24">
        <v>2011</v>
      </c>
      <c r="D4198" s="24" t="s">
        <v>141</v>
      </c>
      <c r="E4198" s="30" t="s">
        <v>142</v>
      </c>
      <c r="F4198" s="7" t="s">
        <v>53</v>
      </c>
      <c r="G4198" s="44" t="s">
        <v>6154</v>
      </c>
      <c r="H4198" s="44" t="s">
        <v>6155</v>
      </c>
      <c r="I4198" s="20">
        <v>0</v>
      </c>
      <c r="J4198" s="20">
        <v>10</v>
      </c>
      <c r="K4198" s="20">
        <v>0</v>
      </c>
      <c r="L4198" s="20">
        <v>0</v>
      </c>
      <c r="M4198" s="20">
        <v>0</v>
      </c>
      <c r="N4198" s="20">
        <v>0</v>
      </c>
      <c r="O4198" s="20">
        <v>0</v>
      </c>
      <c r="P4198" s="26">
        <v>0</v>
      </c>
      <c r="Q4198" s="45" t="s">
        <v>154</v>
      </c>
    </row>
    <row r="4199" spans="1:17" ht="24" x14ac:dyDescent="0.25">
      <c r="A4199" s="23">
        <v>40679</v>
      </c>
      <c r="B4199" s="23">
        <v>40679</v>
      </c>
      <c r="C4199" s="24">
        <v>2011</v>
      </c>
      <c r="D4199" s="35" t="s">
        <v>28</v>
      </c>
      <c r="E4199" s="30" t="s">
        <v>133</v>
      </c>
      <c r="F4199" s="7" t="s">
        <v>53</v>
      </c>
      <c r="G4199" s="44" t="s">
        <v>1844</v>
      </c>
      <c r="H4199" s="126" t="s">
        <v>6156</v>
      </c>
      <c r="I4199" s="20">
        <v>1</v>
      </c>
      <c r="J4199" s="20">
        <v>7</v>
      </c>
      <c r="K4199" s="20">
        <v>0</v>
      </c>
      <c r="L4199" s="20">
        <v>0</v>
      </c>
      <c r="M4199" s="20">
        <v>0</v>
      </c>
      <c r="N4199" s="20">
        <v>0</v>
      </c>
      <c r="O4199" s="20">
        <v>0</v>
      </c>
      <c r="P4199" s="26">
        <v>0</v>
      </c>
      <c r="Q4199" s="45" t="s">
        <v>154</v>
      </c>
    </row>
    <row r="4200" spans="1:17" ht="96" x14ac:dyDescent="0.25">
      <c r="A4200" s="23">
        <v>40651</v>
      </c>
      <c r="B4200" s="23">
        <v>40651</v>
      </c>
      <c r="C4200" s="24">
        <v>2011</v>
      </c>
      <c r="D4200" s="24" t="s">
        <v>141</v>
      </c>
      <c r="E4200" s="30" t="s">
        <v>142</v>
      </c>
      <c r="F4200" s="7" t="s">
        <v>53</v>
      </c>
      <c r="G4200" s="44" t="s">
        <v>6092</v>
      </c>
      <c r="H4200" s="44" t="s">
        <v>6157</v>
      </c>
      <c r="I4200" s="20">
        <v>0</v>
      </c>
      <c r="J4200" s="20">
        <v>2</v>
      </c>
      <c r="K4200" s="20">
        <v>0</v>
      </c>
      <c r="L4200" s="20">
        <v>0</v>
      </c>
      <c r="M4200" s="20">
        <v>0</v>
      </c>
      <c r="N4200" s="20">
        <v>0</v>
      </c>
      <c r="O4200" s="20">
        <v>0</v>
      </c>
      <c r="P4200" s="26">
        <v>0.45</v>
      </c>
      <c r="Q4200" s="45" t="s">
        <v>154</v>
      </c>
    </row>
    <row r="4201" spans="1:17" ht="36" x14ac:dyDescent="0.25">
      <c r="A4201" s="23">
        <v>40651</v>
      </c>
      <c r="B4201" s="23">
        <v>40651</v>
      </c>
      <c r="C4201" s="24">
        <v>2011</v>
      </c>
      <c r="D4201" s="24" t="s">
        <v>141</v>
      </c>
      <c r="E4201" s="30" t="s">
        <v>142</v>
      </c>
      <c r="F4201" s="7" t="s">
        <v>53</v>
      </c>
      <c r="G4201" s="44" t="s">
        <v>1304</v>
      </c>
      <c r="H4201" s="44" t="s">
        <v>6158</v>
      </c>
      <c r="I4201" s="20">
        <v>0</v>
      </c>
      <c r="J4201" s="20">
        <v>2</v>
      </c>
      <c r="K4201" s="20">
        <v>0</v>
      </c>
      <c r="L4201" s="20">
        <v>0</v>
      </c>
      <c r="M4201" s="20">
        <v>0</v>
      </c>
      <c r="N4201" s="20">
        <v>0</v>
      </c>
      <c r="O4201" s="20">
        <v>0</v>
      </c>
      <c r="P4201" s="26">
        <v>0.45</v>
      </c>
      <c r="Q4201" s="45" t="s">
        <v>154</v>
      </c>
    </row>
    <row r="4202" spans="1:17" ht="264" x14ac:dyDescent="0.25">
      <c r="A4202" s="23">
        <v>40721</v>
      </c>
      <c r="B4202" s="23">
        <v>40721</v>
      </c>
      <c r="C4202" s="24">
        <v>2011</v>
      </c>
      <c r="D4202" s="351" t="s">
        <v>23</v>
      </c>
      <c r="E4202" s="14" t="s">
        <v>52</v>
      </c>
      <c r="F4202" s="7" t="s">
        <v>53</v>
      </c>
      <c r="G4202" s="44" t="s">
        <v>6159</v>
      </c>
      <c r="H4202" s="44" t="s">
        <v>6160</v>
      </c>
      <c r="I4202" s="20">
        <v>0</v>
      </c>
      <c r="J4202" s="20">
        <v>44000</v>
      </c>
      <c r="K4202" s="20">
        <v>8800</v>
      </c>
      <c r="L4202" s="20">
        <v>2</v>
      </c>
      <c r="M4202" s="20">
        <v>0</v>
      </c>
      <c r="N4202" s="20">
        <v>0</v>
      </c>
      <c r="O4202" s="20">
        <v>0</v>
      </c>
      <c r="P4202" s="26">
        <v>509.017</v>
      </c>
      <c r="Q4202" s="45" t="s">
        <v>5944</v>
      </c>
    </row>
    <row r="4203" spans="1:17" ht="204" x14ac:dyDescent="0.25">
      <c r="A4203" s="23">
        <v>40651</v>
      </c>
      <c r="B4203" s="23">
        <v>40651</v>
      </c>
      <c r="C4203" s="24">
        <v>2011</v>
      </c>
      <c r="D4203" s="351" t="s">
        <v>23</v>
      </c>
      <c r="E4203" s="22" t="s">
        <v>86</v>
      </c>
      <c r="F4203" s="7" t="s">
        <v>53</v>
      </c>
      <c r="G4203" s="44" t="s">
        <v>6161</v>
      </c>
      <c r="H4203" s="44" t="s">
        <v>6162</v>
      </c>
      <c r="I4203" s="20">
        <v>0</v>
      </c>
      <c r="J4203" s="20">
        <v>83</v>
      </c>
      <c r="K4203" s="20">
        <v>3</v>
      </c>
      <c r="L4203" s="20">
        <v>0</v>
      </c>
      <c r="M4203" s="20">
        <v>0</v>
      </c>
      <c r="N4203" s="20">
        <v>0</v>
      </c>
      <c r="O4203" s="20">
        <v>0</v>
      </c>
      <c r="P4203" s="26">
        <v>0.23549999999999999</v>
      </c>
      <c r="Q4203" s="45" t="s">
        <v>154</v>
      </c>
    </row>
    <row r="4204" spans="1:17" ht="204" x14ac:dyDescent="0.25">
      <c r="A4204" s="23">
        <v>40651</v>
      </c>
      <c r="B4204" s="23">
        <v>40651</v>
      </c>
      <c r="C4204" s="24">
        <v>2011</v>
      </c>
      <c r="D4204" s="351" t="s">
        <v>23</v>
      </c>
      <c r="E4204" s="22" t="s">
        <v>86</v>
      </c>
      <c r="F4204" s="7" t="s">
        <v>53</v>
      </c>
      <c r="G4204" s="44" t="s">
        <v>6163</v>
      </c>
      <c r="H4204" s="44" t="s">
        <v>6164</v>
      </c>
      <c r="I4204" s="20">
        <v>0</v>
      </c>
      <c r="J4204" s="20">
        <v>400</v>
      </c>
      <c r="K4204" s="20">
        <v>80</v>
      </c>
      <c r="L4204" s="20">
        <v>0</v>
      </c>
      <c r="M4204" s="20">
        <v>0</v>
      </c>
      <c r="N4204" s="20">
        <v>0</v>
      </c>
      <c r="O4204" s="20">
        <v>0</v>
      </c>
      <c r="P4204" s="26">
        <v>0.2</v>
      </c>
      <c r="Q4204" s="45" t="s">
        <v>154</v>
      </c>
    </row>
    <row r="4205" spans="1:17" ht="168" x14ac:dyDescent="0.25">
      <c r="A4205" s="23">
        <v>40650</v>
      </c>
      <c r="B4205" s="23">
        <v>40650</v>
      </c>
      <c r="C4205" s="24">
        <v>2011</v>
      </c>
      <c r="D4205" s="351" t="s">
        <v>23</v>
      </c>
      <c r="E4205" s="22" t="s">
        <v>86</v>
      </c>
      <c r="F4205" s="7" t="s">
        <v>53</v>
      </c>
      <c r="G4205" s="44" t="s">
        <v>6165</v>
      </c>
      <c r="H4205" s="44" t="s">
        <v>6166</v>
      </c>
      <c r="I4205" s="20">
        <v>0</v>
      </c>
      <c r="J4205" s="20">
        <v>250</v>
      </c>
      <c r="K4205" s="20">
        <v>50</v>
      </c>
      <c r="L4205" s="20">
        <v>0</v>
      </c>
      <c r="M4205" s="20">
        <v>0</v>
      </c>
      <c r="N4205" s="20">
        <v>514</v>
      </c>
      <c r="O4205" s="20">
        <v>0</v>
      </c>
      <c r="P4205" s="26">
        <v>0.05</v>
      </c>
      <c r="Q4205" s="45" t="s">
        <v>154</v>
      </c>
    </row>
    <row r="4206" spans="1:17" ht="120" x14ac:dyDescent="0.25">
      <c r="A4206" s="23">
        <v>40649</v>
      </c>
      <c r="B4206" s="23">
        <v>40649</v>
      </c>
      <c r="C4206" s="24">
        <v>2011</v>
      </c>
      <c r="D4206" s="24" t="s">
        <v>141</v>
      </c>
      <c r="E4206" s="30" t="s">
        <v>142</v>
      </c>
      <c r="F4206" s="7" t="s">
        <v>60</v>
      </c>
      <c r="G4206" s="44" t="s">
        <v>3754</v>
      </c>
      <c r="H4206" s="126" t="s">
        <v>6167</v>
      </c>
      <c r="I4206" s="20">
        <v>0</v>
      </c>
      <c r="J4206" s="20">
        <v>3</v>
      </c>
      <c r="K4206" s="20">
        <v>0</v>
      </c>
      <c r="L4206" s="20">
        <v>0</v>
      </c>
      <c r="M4206" s="20">
        <v>0</v>
      </c>
      <c r="N4206" s="20">
        <v>0</v>
      </c>
      <c r="O4206" s="20">
        <v>0</v>
      </c>
      <c r="P4206" s="26">
        <v>0.45</v>
      </c>
      <c r="Q4206" s="45" t="s">
        <v>154</v>
      </c>
    </row>
    <row r="4207" spans="1:17" ht="72" x14ac:dyDescent="0.25">
      <c r="A4207" s="23">
        <v>40649</v>
      </c>
      <c r="B4207" s="23">
        <v>40649</v>
      </c>
      <c r="C4207" s="24">
        <v>2011</v>
      </c>
      <c r="D4207" s="35" t="s">
        <v>28</v>
      </c>
      <c r="E4207" s="30" t="s">
        <v>133</v>
      </c>
      <c r="F4207" s="7" t="s">
        <v>60</v>
      </c>
      <c r="G4207" s="44" t="s">
        <v>705</v>
      </c>
      <c r="H4207" s="44" t="s">
        <v>6168</v>
      </c>
      <c r="I4207" s="20">
        <v>0</v>
      </c>
      <c r="J4207" s="20">
        <v>5</v>
      </c>
      <c r="K4207" s="20">
        <v>0</v>
      </c>
      <c r="L4207" s="20">
        <v>0</v>
      </c>
      <c r="M4207" s="20">
        <v>0</v>
      </c>
      <c r="N4207" s="20">
        <v>0</v>
      </c>
      <c r="O4207" s="20">
        <v>0</v>
      </c>
      <c r="P4207" s="158">
        <v>0</v>
      </c>
      <c r="Q4207" s="45" t="s">
        <v>154</v>
      </c>
    </row>
    <row r="4208" spans="1:17" ht="132" x14ac:dyDescent="0.25">
      <c r="A4208" s="23">
        <v>40648</v>
      </c>
      <c r="B4208" s="23">
        <v>40648</v>
      </c>
      <c r="C4208" s="24">
        <v>2011</v>
      </c>
      <c r="D4208" s="351" t="s">
        <v>23</v>
      </c>
      <c r="E4208" s="22" t="s">
        <v>86</v>
      </c>
      <c r="F4208" s="7" t="s">
        <v>60</v>
      </c>
      <c r="G4208" s="44" t="s">
        <v>307</v>
      </c>
      <c r="H4208" s="44" t="s">
        <v>6169</v>
      </c>
      <c r="I4208" s="20">
        <v>2</v>
      </c>
      <c r="J4208" s="20">
        <v>2</v>
      </c>
      <c r="K4208" s="20">
        <v>0</v>
      </c>
      <c r="L4208" s="20">
        <v>0</v>
      </c>
      <c r="M4208" s="20">
        <v>0</v>
      </c>
      <c r="N4208" s="20">
        <v>0</v>
      </c>
      <c r="O4208" s="20">
        <v>0</v>
      </c>
      <c r="P4208" s="26">
        <v>0</v>
      </c>
      <c r="Q4208" s="45" t="s">
        <v>154</v>
      </c>
    </row>
    <row r="4209" spans="1:17" ht="132" x14ac:dyDescent="0.25">
      <c r="A4209" s="23">
        <v>40648</v>
      </c>
      <c r="B4209" s="23">
        <v>40648</v>
      </c>
      <c r="C4209" s="24">
        <v>2011</v>
      </c>
      <c r="D4209" s="35" t="s">
        <v>28</v>
      </c>
      <c r="E4209" s="30" t="s">
        <v>125</v>
      </c>
      <c r="F4209" s="28" t="s">
        <v>160</v>
      </c>
      <c r="G4209" s="44" t="s">
        <v>428</v>
      </c>
      <c r="H4209" s="44" t="s">
        <v>6170</v>
      </c>
      <c r="I4209" s="20">
        <v>0</v>
      </c>
      <c r="J4209" s="20">
        <v>6000</v>
      </c>
      <c r="K4209" s="20">
        <v>0</v>
      </c>
      <c r="L4209" s="20">
        <v>0</v>
      </c>
      <c r="M4209" s="20">
        <v>0</v>
      </c>
      <c r="N4209" s="20">
        <v>0</v>
      </c>
      <c r="O4209" s="20">
        <v>0</v>
      </c>
      <c r="P4209" s="26">
        <v>0</v>
      </c>
      <c r="Q4209" s="45" t="s">
        <v>154</v>
      </c>
    </row>
    <row r="4210" spans="1:17" ht="60" x14ac:dyDescent="0.25">
      <c r="A4210" s="23">
        <v>40648</v>
      </c>
      <c r="B4210" s="23">
        <v>40648</v>
      </c>
      <c r="C4210" s="24">
        <v>2011</v>
      </c>
      <c r="D4210" s="351" t="s">
        <v>23</v>
      </c>
      <c r="E4210" s="22" t="s">
        <v>86</v>
      </c>
      <c r="F4210" s="28" t="s">
        <v>160</v>
      </c>
      <c r="G4210" s="44" t="s">
        <v>6171</v>
      </c>
      <c r="H4210" s="44" t="s">
        <v>6172</v>
      </c>
      <c r="I4210" s="20">
        <v>1</v>
      </c>
      <c r="J4210" s="20">
        <v>1</v>
      </c>
      <c r="K4210" s="20">
        <v>0</v>
      </c>
      <c r="L4210" s="20">
        <v>0</v>
      </c>
      <c r="M4210" s="20">
        <v>0</v>
      </c>
      <c r="N4210" s="20">
        <v>0</v>
      </c>
      <c r="O4210" s="20">
        <v>0</v>
      </c>
      <c r="P4210" s="26">
        <v>0</v>
      </c>
      <c r="Q4210" s="45" t="s">
        <v>154</v>
      </c>
    </row>
    <row r="4211" spans="1:17" ht="120" x14ac:dyDescent="0.25">
      <c r="A4211" s="23">
        <v>40648</v>
      </c>
      <c r="B4211" s="23">
        <v>40648</v>
      </c>
      <c r="C4211" s="24">
        <v>2011</v>
      </c>
      <c r="D4211" s="35" t="s">
        <v>28</v>
      </c>
      <c r="E4211" s="6" t="s">
        <v>149</v>
      </c>
      <c r="F4211" s="28" t="s">
        <v>160</v>
      </c>
      <c r="G4211" s="44" t="s">
        <v>4798</v>
      </c>
      <c r="H4211" s="44" t="s">
        <v>6173</v>
      </c>
      <c r="I4211" s="20">
        <v>2</v>
      </c>
      <c r="J4211" s="20">
        <v>3</v>
      </c>
      <c r="K4211" s="20">
        <v>0</v>
      </c>
      <c r="L4211" s="20">
        <v>0</v>
      </c>
      <c r="M4211" s="20">
        <v>0</v>
      </c>
      <c r="N4211" s="20">
        <v>0</v>
      </c>
      <c r="O4211" s="20">
        <v>0</v>
      </c>
      <c r="P4211" s="26">
        <v>0</v>
      </c>
      <c r="Q4211" s="45" t="s">
        <v>154</v>
      </c>
    </row>
    <row r="4212" spans="1:17" ht="72" x14ac:dyDescent="0.25">
      <c r="A4212" s="23">
        <v>40647</v>
      </c>
      <c r="B4212" s="23">
        <v>40647</v>
      </c>
      <c r="C4212" s="24">
        <v>2011</v>
      </c>
      <c r="D4212" s="35" t="s">
        <v>28</v>
      </c>
      <c r="E4212" s="6" t="s">
        <v>149</v>
      </c>
      <c r="F4212" s="7" t="s">
        <v>58</v>
      </c>
      <c r="G4212" s="44" t="s">
        <v>2718</v>
      </c>
      <c r="H4212" s="44" t="s">
        <v>6174</v>
      </c>
      <c r="I4212" s="20">
        <v>0</v>
      </c>
      <c r="J4212" s="20">
        <v>45</v>
      </c>
      <c r="K4212" s="20">
        <v>9</v>
      </c>
      <c r="L4212" s="20">
        <v>0</v>
      </c>
      <c r="M4212" s="20">
        <v>0</v>
      </c>
      <c r="N4212" s="20">
        <v>0</v>
      </c>
      <c r="O4212" s="20">
        <v>0</v>
      </c>
      <c r="P4212" s="26">
        <v>0.98799999999999999</v>
      </c>
      <c r="Q4212" s="45" t="s">
        <v>154</v>
      </c>
    </row>
    <row r="4213" spans="1:17" ht="96" x14ac:dyDescent="0.25">
      <c r="A4213" s="23">
        <v>40646</v>
      </c>
      <c r="B4213" s="23">
        <v>40646</v>
      </c>
      <c r="C4213" s="24">
        <v>2011</v>
      </c>
      <c r="D4213" s="351" t="s">
        <v>23</v>
      </c>
      <c r="E4213" s="22" t="s">
        <v>86</v>
      </c>
      <c r="F4213" s="7" t="s">
        <v>58</v>
      </c>
      <c r="G4213" s="44" t="s">
        <v>6175</v>
      </c>
      <c r="H4213" s="44" t="s">
        <v>6176</v>
      </c>
      <c r="I4213" s="20">
        <v>0</v>
      </c>
      <c r="J4213" s="20">
        <v>100</v>
      </c>
      <c r="K4213" s="20">
        <v>20</v>
      </c>
      <c r="L4213" s="20">
        <v>0</v>
      </c>
      <c r="M4213" s="20">
        <v>0</v>
      </c>
      <c r="N4213" s="20">
        <v>0</v>
      </c>
      <c r="O4213" s="20">
        <v>0</v>
      </c>
      <c r="P4213" s="26">
        <v>6.2599999999999999E-3</v>
      </c>
      <c r="Q4213" s="45" t="s">
        <v>154</v>
      </c>
    </row>
    <row r="4214" spans="1:17" ht="168" x14ac:dyDescent="0.25">
      <c r="A4214" s="23">
        <v>40645</v>
      </c>
      <c r="B4214" s="23">
        <v>40645</v>
      </c>
      <c r="C4214" s="24">
        <v>2011</v>
      </c>
      <c r="D4214" s="351" t="s">
        <v>23</v>
      </c>
      <c r="E4214" s="22" t="s">
        <v>86</v>
      </c>
      <c r="F4214" s="7" t="s">
        <v>58</v>
      </c>
      <c r="G4214" s="44" t="s">
        <v>168</v>
      </c>
      <c r="H4214" s="44" t="s">
        <v>6177</v>
      </c>
      <c r="I4214" s="20">
        <v>2</v>
      </c>
      <c r="J4214" s="20">
        <v>2</v>
      </c>
      <c r="K4214" s="20">
        <v>0</v>
      </c>
      <c r="L4214" s="20">
        <v>0</v>
      </c>
      <c r="M4214" s="20">
        <v>0</v>
      </c>
      <c r="N4214" s="20">
        <v>0</v>
      </c>
      <c r="O4214" s="20">
        <v>0</v>
      </c>
      <c r="P4214" s="26">
        <v>3.78E-2</v>
      </c>
      <c r="Q4214" s="45" t="s">
        <v>154</v>
      </c>
    </row>
    <row r="4215" spans="1:17" ht="264" x14ac:dyDescent="0.25">
      <c r="A4215" s="23">
        <v>40645</v>
      </c>
      <c r="B4215" s="23">
        <v>40645</v>
      </c>
      <c r="C4215" s="24">
        <v>2011</v>
      </c>
      <c r="D4215" s="351" t="s">
        <v>23</v>
      </c>
      <c r="E4215" s="22" t="s">
        <v>86</v>
      </c>
      <c r="F4215" s="7" t="s">
        <v>58</v>
      </c>
      <c r="G4215" s="44" t="s">
        <v>6178</v>
      </c>
      <c r="H4215" s="44" t="s">
        <v>6179</v>
      </c>
      <c r="I4215" s="20">
        <v>1</v>
      </c>
      <c r="J4215" s="20">
        <f>(182*5)</f>
        <v>910</v>
      </c>
      <c r="K4215" s="20">
        <v>182</v>
      </c>
      <c r="L4215" s="20">
        <v>0</v>
      </c>
      <c r="M4215" s="20">
        <v>0</v>
      </c>
      <c r="N4215" s="20">
        <v>0</v>
      </c>
      <c r="O4215" s="20">
        <v>0</v>
      </c>
      <c r="P4215" s="26">
        <v>1.9219999999999999</v>
      </c>
      <c r="Q4215" s="45" t="s">
        <v>154</v>
      </c>
    </row>
    <row r="4216" spans="1:17" ht="108" x14ac:dyDescent="0.25">
      <c r="A4216" s="23">
        <v>40645</v>
      </c>
      <c r="B4216" s="23">
        <v>40645</v>
      </c>
      <c r="C4216" s="24">
        <v>2011</v>
      </c>
      <c r="D4216" s="35" t="s">
        <v>28</v>
      </c>
      <c r="E4216" s="6" t="s">
        <v>369</v>
      </c>
      <c r="F4216" s="7" t="s">
        <v>56</v>
      </c>
      <c r="G4216" s="44" t="s">
        <v>646</v>
      </c>
      <c r="H4216" s="44" t="s">
        <v>6180</v>
      </c>
      <c r="I4216" s="20">
        <v>0</v>
      </c>
      <c r="J4216" s="20" t="s">
        <v>110</v>
      </c>
      <c r="K4216" s="20">
        <v>0</v>
      </c>
      <c r="L4216" s="20">
        <v>0</v>
      </c>
      <c r="M4216" s="20">
        <v>0</v>
      </c>
      <c r="N4216" s="20">
        <v>0</v>
      </c>
      <c r="O4216" s="20">
        <v>0</v>
      </c>
      <c r="P4216" s="26">
        <v>0.23011200000000001</v>
      </c>
      <c r="Q4216" s="45" t="s">
        <v>154</v>
      </c>
    </row>
    <row r="4217" spans="1:17" ht="60" x14ac:dyDescent="0.25">
      <c r="A4217" s="23">
        <v>40643</v>
      </c>
      <c r="B4217" s="23">
        <v>40643</v>
      </c>
      <c r="C4217" s="24">
        <v>2011</v>
      </c>
      <c r="D4217" s="24" t="s">
        <v>141</v>
      </c>
      <c r="E4217" s="30" t="s">
        <v>142</v>
      </c>
      <c r="F4217" s="7" t="s">
        <v>56</v>
      </c>
      <c r="G4217" s="44" t="s">
        <v>351</v>
      </c>
      <c r="H4217" s="44" t="s">
        <v>6181</v>
      </c>
      <c r="I4217" s="20">
        <v>0</v>
      </c>
      <c r="J4217" s="20">
        <v>8</v>
      </c>
      <c r="K4217" s="20">
        <v>0</v>
      </c>
      <c r="L4217" s="20">
        <v>0</v>
      </c>
      <c r="M4217" s="20">
        <v>0</v>
      </c>
      <c r="N4217" s="20">
        <v>0</v>
      </c>
      <c r="O4217" s="20">
        <v>0</v>
      </c>
      <c r="P4217" s="158">
        <v>0</v>
      </c>
      <c r="Q4217" s="45" t="s">
        <v>154</v>
      </c>
    </row>
    <row r="4218" spans="1:17" ht="144" x14ac:dyDescent="0.25">
      <c r="A4218" s="23">
        <v>40641</v>
      </c>
      <c r="B4218" s="23">
        <v>40641</v>
      </c>
      <c r="C4218" s="24">
        <v>2011</v>
      </c>
      <c r="D4218" s="35" t="s">
        <v>28</v>
      </c>
      <c r="E4218" s="6" t="s">
        <v>149</v>
      </c>
      <c r="F4218" s="28" t="s">
        <v>157</v>
      </c>
      <c r="G4218" s="44" t="s">
        <v>5925</v>
      </c>
      <c r="H4218" s="44" t="s">
        <v>6182</v>
      </c>
      <c r="I4218" s="20">
        <v>1</v>
      </c>
      <c r="J4218" s="20">
        <v>50</v>
      </c>
      <c r="K4218" s="20">
        <v>7</v>
      </c>
      <c r="L4218" s="20">
        <v>0</v>
      </c>
      <c r="M4218" s="20">
        <v>0</v>
      </c>
      <c r="N4218" s="20">
        <v>0</v>
      </c>
      <c r="O4218" s="20">
        <v>0</v>
      </c>
      <c r="P4218" s="26">
        <v>0.84</v>
      </c>
      <c r="Q4218" s="45" t="s">
        <v>154</v>
      </c>
    </row>
    <row r="4219" spans="1:17" ht="96" x14ac:dyDescent="0.25">
      <c r="A4219" s="23">
        <v>40641</v>
      </c>
      <c r="B4219" s="23">
        <v>40641</v>
      </c>
      <c r="C4219" s="24">
        <v>2011</v>
      </c>
      <c r="D4219" s="35" t="s">
        <v>28</v>
      </c>
      <c r="E4219" s="30" t="s">
        <v>133</v>
      </c>
      <c r="F4219" s="28" t="s">
        <v>157</v>
      </c>
      <c r="G4219" s="44" t="s">
        <v>6183</v>
      </c>
      <c r="H4219" s="44" t="s">
        <v>6184</v>
      </c>
      <c r="I4219" s="20">
        <v>0</v>
      </c>
      <c r="J4219" s="20">
        <v>10</v>
      </c>
      <c r="K4219" s="20">
        <v>0</v>
      </c>
      <c r="L4219" s="20">
        <v>0</v>
      </c>
      <c r="M4219" s="20">
        <v>0</v>
      </c>
      <c r="N4219" s="20">
        <v>0</v>
      </c>
      <c r="O4219" s="20">
        <v>0</v>
      </c>
      <c r="P4219" s="26">
        <v>0</v>
      </c>
      <c r="Q4219" s="45" t="s">
        <v>154</v>
      </c>
    </row>
    <row r="4220" spans="1:17" ht="108" x14ac:dyDescent="0.25">
      <c r="A4220" s="23">
        <v>40640</v>
      </c>
      <c r="B4220" s="23">
        <v>40640</v>
      </c>
      <c r="C4220" s="24">
        <v>2011</v>
      </c>
      <c r="D4220" s="35" t="s">
        <v>28</v>
      </c>
      <c r="E4220" s="30" t="s">
        <v>125</v>
      </c>
      <c r="F4220" s="28" t="s">
        <v>157</v>
      </c>
      <c r="G4220" s="44" t="s">
        <v>3658</v>
      </c>
      <c r="H4220" s="44" t="s">
        <v>6185</v>
      </c>
      <c r="I4220" s="20">
        <v>0</v>
      </c>
      <c r="J4220" s="20">
        <v>15</v>
      </c>
      <c r="K4220" s="20">
        <v>0</v>
      </c>
      <c r="L4220" s="20">
        <v>0</v>
      </c>
      <c r="M4220" s="20">
        <v>0</v>
      </c>
      <c r="N4220" s="20">
        <v>0</v>
      </c>
      <c r="O4220" s="20">
        <v>0</v>
      </c>
      <c r="P4220" s="26">
        <v>0</v>
      </c>
      <c r="Q4220" s="45" t="s">
        <v>154</v>
      </c>
    </row>
    <row r="4221" spans="1:17" ht="84" x14ac:dyDescent="0.25">
      <c r="A4221" s="23">
        <v>40639</v>
      </c>
      <c r="B4221" s="23">
        <v>40639</v>
      </c>
      <c r="C4221" s="24">
        <v>2011</v>
      </c>
      <c r="D4221" s="35" t="s">
        <v>28</v>
      </c>
      <c r="E4221" s="6" t="s">
        <v>149</v>
      </c>
      <c r="F4221" s="7" t="s">
        <v>45</v>
      </c>
      <c r="G4221" s="44" t="s">
        <v>577</v>
      </c>
      <c r="H4221" s="44" t="s">
        <v>6186</v>
      </c>
      <c r="I4221" s="20">
        <v>0</v>
      </c>
      <c r="J4221" s="20">
        <v>25</v>
      </c>
      <c r="K4221" s="20">
        <v>0</v>
      </c>
      <c r="L4221" s="20">
        <v>0</v>
      </c>
      <c r="M4221" s="20">
        <v>0</v>
      </c>
      <c r="N4221" s="20">
        <v>0</v>
      </c>
      <c r="O4221" s="20">
        <v>0</v>
      </c>
      <c r="P4221" s="26">
        <v>0</v>
      </c>
      <c r="Q4221" s="45" t="s">
        <v>154</v>
      </c>
    </row>
    <row r="4222" spans="1:17" ht="96" x14ac:dyDescent="0.25">
      <c r="A4222" s="23">
        <v>40693</v>
      </c>
      <c r="B4222" s="23">
        <v>40693</v>
      </c>
      <c r="C4222" s="24">
        <v>2011</v>
      </c>
      <c r="D4222" s="351" t="s">
        <v>23</v>
      </c>
      <c r="E4222" s="49" t="s">
        <v>323</v>
      </c>
      <c r="F4222" s="7" t="s">
        <v>45</v>
      </c>
      <c r="G4222" s="44" t="s">
        <v>259</v>
      </c>
      <c r="H4222" s="44" t="s">
        <v>6187</v>
      </c>
      <c r="I4222" s="20">
        <v>0</v>
      </c>
      <c r="J4222" s="20">
        <v>70</v>
      </c>
      <c r="K4222" s="20">
        <v>0</v>
      </c>
      <c r="L4222" s="20">
        <v>0</v>
      </c>
      <c r="M4222" s="20">
        <v>0</v>
      </c>
      <c r="N4222" s="20">
        <v>0</v>
      </c>
      <c r="O4222" s="20">
        <v>0</v>
      </c>
      <c r="P4222" s="158">
        <v>0</v>
      </c>
      <c r="Q4222" s="45" t="s">
        <v>154</v>
      </c>
    </row>
    <row r="4223" spans="1:17" ht="60" x14ac:dyDescent="0.25">
      <c r="A4223" s="23">
        <v>40639</v>
      </c>
      <c r="B4223" s="23">
        <v>40639</v>
      </c>
      <c r="C4223" s="24">
        <v>2011</v>
      </c>
      <c r="D4223" s="35" t="s">
        <v>28</v>
      </c>
      <c r="E4223" s="30" t="s">
        <v>133</v>
      </c>
      <c r="F4223" s="7" t="s">
        <v>45</v>
      </c>
      <c r="G4223" s="44" t="s">
        <v>2789</v>
      </c>
      <c r="H4223" s="44" t="s">
        <v>6188</v>
      </c>
      <c r="I4223" s="20">
        <v>0</v>
      </c>
      <c r="J4223" s="20">
        <v>2</v>
      </c>
      <c r="K4223" s="20">
        <v>0</v>
      </c>
      <c r="L4223" s="20">
        <v>0</v>
      </c>
      <c r="M4223" s="20">
        <v>0</v>
      </c>
      <c r="N4223" s="20">
        <v>0</v>
      </c>
      <c r="O4223" s="20">
        <v>0</v>
      </c>
      <c r="P4223" s="26">
        <v>0</v>
      </c>
      <c r="Q4223" s="45" t="s">
        <v>154</v>
      </c>
    </row>
    <row r="4224" spans="1:17" ht="144" x14ac:dyDescent="0.25">
      <c r="A4224" s="23">
        <v>40638</v>
      </c>
      <c r="B4224" s="23">
        <v>40638</v>
      </c>
      <c r="C4224" s="24">
        <v>2011</v>
      </c>
      <c r="D4224" s="24" t="s">
        <v>141</v>
      </c>
      <c r="E4224" s="30" t="s">
        <v>142</v>
      </c>
      <c r="F4224" s="7" t="s">
        <v>40</v>
      </c>
      <c r="G4224" s="44" t="s">
        <v>40</v>
      </c>
      <c r="H4224" s="44" t="s">
        <v>6189</v>
      </c>
      <c r="I4224" s="20">
        <v>0</v>
      </c>
      <c r="J4224" s="20">
        <v>27</v>
      </c>
      <c r="K4224" s="20">
        <v>0</v>
      </c>
      <c r="L4224" s="20">
        <v>0</v>
      </c>
      <c r="M4224" s="20">
        <v>0</v>
      </c>
      <c r="N4224" s="20">
        <v>0</v>
      </c>
      <c r="O4224" s="20">
        <v>0</v>
      </c>
      <c r="P4224" s="26">
        <v>0.43869999999999998</v>
      </c>
      <c r="Q4224" s="45" t="s">
        <v>154</v>
      </c>
    </row>
    <row r="4225" spans="1:17" ht="36" x14ac:dyDescent="0.25">
      <c r="A4225" s="23">
        <v>40620</v>
      </c>
      <c r="B4225" s="23">
        <v>40620</v>
      </c>
      <c r="C4225" s="24">
        <v>2011</v>
      </c>
      <c r="D4225" s="35" t="s">
        <v>28</v>
      </c>
      <c r="E4225" s="6" t="s">
        <v>149</v>
      </c>
      <c r="F4225" s="7" t="s">
        <v>40</v>
      </c>
      <c r="G4225" s="44" t="s">
        <v>40</v>
      </c>
      <c r="H4225" s="44" t="s">
        <v>6190</v>
      </c>
      <c r="I4225" s="20">
        <v>0</v>
      </c>
      <c r="J4225" s="20">
        <v>25</v>
      </c>
      <c r="K4225" s="20">
        <v>0</v>
      </c>
      <c r="L4225" s="20">
        <v>0</v>
      </c>
      <c r="M4225" s="20">
        <v>0</v>
      </c>
      <c r="N4225" s="20">
        <v>0</v>
      </c>
      <c r="O4225" s="20">
        <v>0</v>
      </c>
      <c r="P4225" s="158">
        <v>0</v>
      </c>
      <c r="Q4225" s="45" t="s">
        <v>154</v>
      </c>
    </row>
    <row r="4226" spans="1:17" ht="60" x14ac:dyDescent="0.25">
      <c r="A4226" s="23">
        <v>40637</v>
      </c>
      <c r="B4226" s="23">
        <v>40637</v>
      </c>
      <c r="C4226" s="24">
        <v>2011</v>
      </c>
      <c r="D4226" s="35" t="s">
        <v>17</v>
      </c>
      <c r="E4226" s="49" t="s">
        <v>1597</v>
      </c>
      <c r="F4226" s="7" t="s">
        <v>36</v>
      </c>
      <c r="G4226" s="44" t="s">
        <v>3747</v>
      </c>
      <c r="H4226" s="44" t="s">
        <v>6191</v>
      </c>
      <c r="I4226" s="20">
        <v>2</v>
      </c>
      <c r="J4226" s="20">
        <v>3</v>
      </c>
      <c r="K4226" s="20">
        <v>0</v>
      </c>
      <c r="L4226" s="20">
        <v>0</v>
      </c>
      <c r="M4226" s="20">
        <v>0</v>
      </c>
      <c r="N4226" s="20">
        <v>0</v>
      </c>
      <c r="O4226" s="20">
        <v>0</v>
      </c>
      <c r="P4226" s="26">
        <v>0</v>
      </c>
      <c r="Q4226" s="45" t="s">
        <v>154</v>
      </c>
    </row>
    <row r="4227" spans="1:17" ht="384" x14ac:dyDescent="0.25">
      <c r="A4227" s="23">
        <v>40606</v>
      </c>
      <c r="B4227" s="23">
        <v>40606</v>
      </c>
      <c r="C4227" s="24">
        <v>2011</v>
      </c>
      <c r="D4227" s="351" t="s">
        <v>23</v>
      </c>
      <c r="E4227" s="22" t="s">
        <v>86</v>
      </c>
      <c r="F4227" s="7" t="s">
        <v>36</v>
      </c>
      <c r="G4227" s="44" t="s">
        <v>6192</v>
      </c>
      <c r="H4227" s="44" t="s">
        <v>6193</v>
      </c>
      <c r="I4227" s="20">
        <v>2</v>
      </c>
      <c r="J4227" s="46">
        <v>80</v>
      </c>
      <c r="K4227" s="20">
        <v>16</v>
      </c>
      <c r="L4227" s="20">
        <v>1</v>
      </c>
      <c r="M4227" s="20">
        <v>0</v>
      </c>
      <c r="N4227" s="20">
        <v>0</v>
      </c>
      <c r="O4227" s="20">
        <v>0</v>
      </c>
      <c r="P4227" s="47">
        <v>0.44800000000000001</v>
      </c>
      <c r="Q4227" s="45" t="s">
        <v>154</v>
      </c>
    </row>
    <row r="4228" spans="1:17" ht="216" x14ac:dyDescent="0.25">
      <c r="A4228" s="23">
        <v>40639</v>
      </c>
      <c r="B4228" s="23">
        <v>40639</v>
      </c>
      <c r="C4228" s="24">
        <v>2011</v>
      </c>
      <c r="D4228" s="351" t="s">
        <v>23</v>
      </c>
      <c r="E4228" s="22" t="s">
        <v>86</v>
      </c>
      <c r="F4228" s="7" t="s">
        <v>36</v>
      </c>
      <c r="G4228" s="44" t="s">
        <v>1592</v>
      </c>
      <c r="H4228" s="44" t="s">
        <v>6194</v>
      </c>
      <c r="I4228" s="20">
        <v>0</v>
      </c>
      <c r="J4228" s="46">
        <v>500</v>
      </c>
      <c r="K4228" s="20">
        <v>100</v>
      </c>
      <c r="L4228" s="20">
        <v>0</v>
      </c>
      <c r="M4228" s="20">
        <v>0</v>
      </c>
      <c r="N4228" s="20">
        <v>0</v>
      </c>
      <c r="O4228" s="20">
        <v>0</v>
      </c>
      <c r="P4228" s="47">
        <v>0.37920999999999999</v>
      </c>
      <c r="Q4228" s="45" t="s">
        <v>154</v>
      </c>
    </row>
    <row r="4229" spans="1:17" ht="108" x14ac:dyDescent="0.25">
      <c r="A4229" s="23">
        <v>40636</v>
      </c>
      <c r="B4229" s="23">
        <v>40636</v>
      </c>
      <c r="C4229" s="24">
        <v>2011</v>
      </c>
      <c r="D4229" s="35" t="s">
        <v>28</v>
      </c>
      <c r="E4229" s="30" t="s">
        <v>133</v>
      </c>
      <c r="F4229" s="7" t="s">
        <v>36</v>
      </c>
      <c r="G4229" s="44" t="s">
        <v>1592</v>
      </c>
      <c r="H4229" s="44" t="s">
        <v>6195</v>
      </c>
      <c r="I4229" s="20">
        <v>0</v>
      </c>
      <c r="J4229" s="20">
        <v>1</v>
      </c>
      <c r="K4229" s="20">
        <v>1</v>
      </c>
      <c r="L4229" s="20">
        <v>0</v>
      </c>
      <c r="M4229" s="20">
        <v>0</v>
      </c>
      <c r="N4229" s="20">
        <v>0</v>
      </c>
      <c r="O4229" s="20">
        <v>0</v>
      </c>
      <c r="P4229" s="26">
        <v>0.12</v>
      </c>
      <c r="Q4229" s="45" t="s">
        <v>154</v>
      </c>
    </row>
    <row r="4230" spans="1:17" ht="288" x14ac:dyDescent="0.25">
      <c r="A4230" s="23">
        <v>40728</v>
      </c>
      <c r="B4230" s="23">
        <v>40728</v>
      </c>
      <c r="C4230" s="24">
        <v>2011</v>
      </c>
      <c r="D4230" s="351" t="s">
        <v>23</v>
      </c>
      <c r="E4230" s="22" t="s">
        <v>86</v>
      </c>
      <c r="F4230" s="7" t="s">
        <v>36</v>
      </c>
      <c r="G4230" s="44" t="s">
        <v>6196</v>
      </c>
      <c r="H4230" s="44" t="s">
        <v>6197</v>
      </c>
      <c r="I4230" s="20">
        <v>0</v>
      </c>
      <c r="J4230" s="46">
        <v>895</v>
      </c>
      <c r="K4230" s="20">
        <v>49</v>
      </c>
      <c r="L4230" s="20">
        <v>0</v>
      </c>
      <c r="M4230" s="20">
        <v>0</v>
      </c>
      <c r="N4230" s="20">
        <v>0</v>
      </c>
      <c r="O4230" s="20">
        <v>0</v>
      </c>
      <c r="P4230" s="47">
        <v>0.35337000000000002</v>
      </c>
      <c r="Q4230" s="45" t="s">
        <v>154</v>
      </c>
    </row>
    <row r="4231" spans="1:17" ht="108" x14ac:dyDescent="0.25">
      <c r="A4231" s="23">
        <v>40766</v>
      </c>
      <c r="B4231" s="23">
        <v>40766</v>
      </c>
      <c r="C4231" s="24">
        <v>2011</v>
      </c>
      <c r="D4231" s="24" t="s">
        <v>141</v>
      </c>
      <c r="E4231" s="30" t="s">
        <v>142</v>
      </c>
      <c r="F4231" s="28" t="s">
        <v>151</v>
      </c>
      <c r="G4231" s="44" t="s">
        <v>195</v>
      </c>
      <c r="H4231" s="44" t="s">
        <v>6198</v>
      </c>
      <c r="I4231" s="20">
        <v>0</v>
      </c>
      <c r="J4231" s="20">
        <v>3</v>
      </c>
      <c r="K4231" s="20">
        <v>0</v>
      </c>
      <c r="L4231" s="20">
        <v>0</v>
      </c>
      <c r="M4231" s="20">
        <v>0</v>
      </c>
      <c r="N4231" s="20">
        <v>0</v>
      </c>
      <c r="O4231" s="20">
        <v>0</v>
      </c>
      <c r="P4231" s="26">
        <v>1.028</v>
      </c>
      <c r="Q4231" s="45" t="s">
        <v>154</v>
      </c>
    </row>
    <row r="4232" spans="1:17" ht="96" x14ac:dyDescent="0.25">
      <c r="A4232" s="23">
        <v>40634</v>
      </c>
      <c r="B4232" s="23">
        <v>40634</v>
      </c>
      <c r="C4232" s="24">
        <v>2011</v>
      </c>
      <c r="D4232" s="24" t="s">
        <v>141</v>
      </c>
      <c r="E4232" s="30" t="s">
        <v>142</v>
      </c>
      <c r="F4232" s="7" t="s">
        <v>87</v>
      </c>
      <c r="G4232" s="44" t="s">
        <v>1890</v>
      </c>
      <c r="H4232" s="44" t="s">
        <v>6199</v>
      </c>
      <c r="I4232" s="20">
        <v>0</v>
      </c>
      <c r="J4232" s="20">
        <v>1</v>
      </c>
      <c r="K4232" s="20">
        <v>0</v>
      </c>
      <c r="L4232" s="20">
        <v>0</v>
      </c>
      <c r="M4232" s="20">
        <v>0</v>
      </c>
      <c r="N4232" s="20">
        <v>0</v>
      </c>
      <c r="O4232" s="20">
        <v>0</v>
      </c>
      <c r="P4232" s="26">
        <v>0.45</v>
      </c>
      <c r="Q4232" s="45" t="s">
        <v>154</v>
      </c>
    </row>
    <row r="4233" spans="1:17" ht="168" x14ac:dyDescent="0.25">
      <c r="A4233" s="23">
        <v>40634</v>
      </c>
      <c r="B4233" s="23">
        <v>40634</v>
      </c>
      <c r="C4233" s="24">
        <v>2011</v>
      </c>
      <c r="D4233" s="351" t="s">
        <v>23</v>
      </c>
      <c r="E4233" s="22" t="s">
        <v>86</v>
      </c>
      <c r="F4233" s="7" t="s">
        <v>60</v>
      </c>
      <c r="G4233" s="44" t="s">
        <v>6200</v>
      </c>
      <c r="H4233" s="44" t="s">
        <v>6201</v>
      </c>
      <c r="I4233" s="20">
        <v>0</v>
      </c>
      <c r="J4233" s="20">
        <v>1120</v>
      </c>
      <c r="K4233" s="20">
        <v>0</v>
      </c>
      <c r="L4233" s="20">
        <v>0</v>
      </c>
      <c r="M4233" s="20">
        <v>0</v>
      </c>
      <c r="N4233" s="20">
        <v>0</v>
      </c>
      <c r="O4233" s="20">
        <v>0</v>
      </c>
      <c r="P4233" s="26">
        <v>0</v>
      </c>
      <c r="Q4233" s="45" t="s">
        <v>154</v>
      </c>
    </row>
    <row r="4234" spans="1:17" ht="144" x14ac:dyDescent="0.25">
      <c r="A4234" s="23">
        <v>40634</v>
      </c>
      <c r="B4234" s="23">
        <v>40634</v>
      </c>
      <c r="C4234" s="24">
        <v>2011</v>
      </c>
      <c r="D4234" s="24" t="s">
        <v>141</v>
      </c>
      <c r="E4234" s="41" t="s">
        <v>1965</v>
      </c>
      <c r="F4234" s="28" t="s">
        <v>210</v>
      </c>
      <c r="G4234" s="44" t="s">
        <v>924</v>
      </c>
      <c r="H4234" s="44" t="s">
        <v>6202</v>
      </c>
      <c r="I4234" s="20">
        <v>1</v>
      </c>
      <c r="J4234" s="20">
        <v>6</v>
      </c>
      <c r="K4234" s="20">
        <v>0</v>
      </c>
      <c r="L4234" s="20">
        <v>0</v>
      </c>
      <c r="M4234" s="20">
        <v>0</v>
      </c>
      <c r="N4234" s="20">
        <v>0</v>
      </c>
      <c r="O4234" s="20">
        <v>0</v>
      </c>
      <c r="P4234" s="26">
        <v>0</v>
      </c>
      <c r="Q4234" s="45" t="s">
        <v>154</v>
      </c>
    </row>
    <row r="4235" spans="1:17" ht="108" x14ac:dyDescent="0.25">
      <c r="A4235" s="23">
        <v>40633</v>
      </c>
      <c r="B4235" s="23">
        <v>40633</v>
      </c>
      <c r="C4235" s="24">
        <v>2011</v>
      </c>
      <c r="D4235" s="24" t="s">
        <v>141</v>
      </c>
      <c r="E4235" s="30" t="s">
        <v>142</v>
      </c>
      <c r="F4235" s="28" t="s">
        <v>163</v>
      </c>
      <c r="G4235" s="44" t="s">
        <v>6203</v>
      </c>
      <c r="H4235" s="44" t="s">
        <v>6204</v>
      </c>
      <c r="I4235" s="20">
        <v>3</v>
      </c>
      <c r="J4235" s="20">
        <v>7</v>
      </c>
      <c r="K4235" s="20">
        <v>0</v>
      </c>
      <c r="L4235" s="20">
        <v>0</v>
      </c>
      <c r="M4235" s="20">
        <v>0</v>
      </c>
      <c r="N4235" s="20">
        <v>0</v>
      </c>
      <c r="O4235" s="20">
        <v>0</v>
      </c>
      <c r="P4235" s="26">
        <v>0.48780000000000001</v>
      </c>
      <c r="Q4235" s="45" t="s">
        <v>154</v>
      </c>
    </row>
    <row r="4236" spans="1:17" ht="96" x14ac:dyDescent="0.25">
      <c r="A4236" s="23">
        <v>40857</v>
      </c>
      <c r="B4236" s="23">
        <v>40857</v>
      </c>
      <c r="C4236" s="24">
        <v>2011</v>
      </c>
      <c r="D4236" s="351" t="s">
        <v>23</v>
      </c>
      <c r="E4236" s="22" t="s">
        <v>86</v>
      </c>
      <c r="F4236" s="28" t="s">
        <v>210</v>
      </c>
      <c r="G4236" s="44" t="s">
        <v>6205</v>
      </c>
      <c r="H4236" s="44" t="s">
        <v>6206</v>
      </c>
      <c r="I4236" s="20">
        <v>0</v>
      </c>
      <c r="J4236" s="20">
        <v>0</v>
      </c>
      <c r="K4236" s="20">
        <v>0</v>
      </c>
      <c r="L4236" s="20">
        <v>0</v>
      </c>
      <c r="M4236" s="20">
        <v>0</v>
      </c>
      <c r="N4236" s="20">
        <v>0</v>
      </c>
      <c r="O4236" s="20">
        <v>0</v>
      </c>
      <c r="P4236" s="26">
        <v>0.82199999999999995</v>
      </c>
      <c r="Q4236" s="45" t="s">
        <v>154</v>
      </c>
    </row>
    <row r="4237" spans="1:17" ht="108" x14ac:dyDescent="0.25">
      <c r="A4237" s="23">
        <v>40632</v>
      </c>
      <c r="B4237" s="23">
        <v>40632</v>
      </c>
      <c r="C4237" s="24">
        <v>2011</v>
      </c>
      <c r="D4237" s="35" t="s">
        <v>28</v>
      </c>
      <c r="E4237" s="30" t="s">
        <v>133</v>
      </c>
      <c r="F4237" s="28" t="s">
        <v>210</v>
      </c>
      <c r="G4237" s="44" t="s">
        <v>6207</v>
      </c>
      <c r="H4237" s="44" t="s">
        <v>6208</v>
      </c>
      <c r="I4237" s="20">
        <v>10</v>
      </c>
      <c r="J4237" s="20">
        <v>610</v>
      </c>
      <c r="K4237" s="20">
        <v>0</v>
      </c>
      <c r="L4237" s="20">
        <v>0</v>
      </c>
      <c r="M4237" s="20">
        <v>0</v>
      </c>
      <c r="N4237" s="20">
        <v>0</v>
      </c>
      <c r="O4237" s="20">
        <v>0</v>
      </c>
      <c r="P4237" s="158">
        <v>0</v>
      </c>
      <c r="Q4237" s="45" t="s">
        <v>154</v>
      </c>
    </row>
    <row r="4238" spans="1:17" ht="144" x14ac:dyDescent="0.25">
      <c r="A4238" s="23">
        <v>40632</v>
      </c>
      <c r="B4238" s="23">
        <v>40632</v>
      </c>
      <c r="C4238" s="24">
        <v>2011</v>
      </c>
      <c r="D4238" s="351" t="s">
        <v>23</v>
      </c>
      <c r="E4238" s="22" t="s">
        <v>86</v>
      </c>
      <c r="F4238" s="28" t="s">
        <v>210</v>
      </c>
      <c r="G4238" s="44" t="s">
        <v>6209</v>
      </c>
      <c r="H4238" s="44" t="s">
        <v>6210</v>
      </c>
      <c r="I4238" s="20">
        <v>0</v>
      </c>
      <c r="J4238" s="20">
        <v>60</v>
      </c>
      <c r="K4238" s="20">
        <v>12</v>
      </c>
      <c r="L4238" s="20">
        <v>0</v>
      </c>
      <c r="M4238" s="20">
        <v>0</v>
      </c>
      <c r="N4238" s="20">
        <v>0</v>
      </c>
      <c r="O4238" s="20">
        <v>0</v>
      </c>
      <c r="P4238" s="26">
        <v>3.0000000000000001E-3</v>
      </c>
      <c r="Q4238" s="45" t="s">
        <v>154</v>
      </c>
    </row>
    <row r="4239" spans="1:17" ht="300" x14ac:dyDescent="0.25">
      <c r="A4239" s="23">
        <v>40631</v>
      </c>
      <c r="B4239" s="23">
        <v>40631</v>
      </c>
      <c r="C4239" s="24">
        <v>2011</v>
      </c>
      <c r="D4239" s="351" t="s">
        <v>23</v>
      </c>
      <c r="E4239" s="22" t="s">
        <v>86</v>
      </c>
      <c r="F4239" s="28" t="s">
        <v>210</v>
      </c>
      <c r="G4239" s="44" t="s">
        <v>6211</v>
      </c>
      <c r="H4239" s="44" t="s">
        <v>6212</v>
      </c>
      <c r="I4239" s="20">
        <v>0</v>
      </c>
      <c r="J4239" s="20">
        <f>(1332+4200+99+180+150+800+650+1400)</f>
        <v>8811</v>
      </c>
      <c r="K4239" s="20">
        <f>(420+1200+36+80+60+240+130+300)</f>
        <v>2466</v>
      </c>
      <c r="L4239" s="20">
        <v>20</v>
      </c>
      <c r="M4239" s="20">
        <v>0</v>
      </c>
      <c r="N4239" s="20">
        <v>0</v>
      </c>
      <c r="O4239" s="20">
        <v>0</v>
      </c>
      <c r="P4239" s="26">
        <v>2.7570000000000001</v>
      </c>
      <c r="Q4239" s="45" t="s">
        <v>154</v>
      </c>
    </row>
    <row r="4240" spans="1:17" ht="156" x14ac:dyDescent="0.25">
      <c r="A4240" s="23">
        <v>40631</v>
      </c>
      <c r="B4240" s="23">
        <v>40631</v>
      </c>
      <c r="C4240" s="24">
        <v>2011</v>
      </c>
      <c r="D4240" s="351" t="s">
        <v>23</v>
      </c>
      <c r="E4240" s="22" t="s">
        <v>86</v>
      </c>
      <c r="F4240" s="28" t="s">
        <v>210</v>
      </c>
      <c r="G4240" s="44" t="s">
        <v>5837</v>
      </c>
      <c r="H4240" s="44" t="s">
        <v>6213</v>
      </c>
      <c r="I4240" s="20">
        <v>0</v>
      </c>
      <c r="J4240" s="20">
        <v>1069</v>
      </c>
      <c r="K4240" s="20">
        <v>229</v>
      </c>
      <c r="L4240" s="20">
        <v>0</v>
      </c>
      <c r="M4240" s="20">
        <v>0</v>
      </c>
      <c r="N4240" s="20">
        <v>0</v>
      </c>
      <c r="O4240" s="20">
        <v>0</v>
      </c>
      <c r="P4240" s="26">
        <v>0.57199999999999995</v>
      </c>
      <c r="Q4240" s="45" t="s">
        <v>154</v>
      </c>
    </row>
    <row r="4241" spans="1:17" ht="72" x14ac:dyDescent="0.25">
      <c r="A4241" s="23">
        <v>40631</v>
      </c>
      <c r="B4241" s="23">
        <v>40631</v>
      </c>
      <c r="C4241" s="24">
        <v>2011</v>
      </c>
      <c r="D4241" s="351" t="s">
        <v>23</v>
      </c>
      <c r="E4241" s="22" t="s">
        <v>86</v>
      </c>
      <c r="F4241" s="28" t="s">
        <v>210</v>
      </c>
      <c r="G4241" s="44" t="s">
        <v>6214</v>
      </c>
      <c r="H4241" s="44" t="s">
        <v>6215</v>
      </c>
      <c r="I4241" s="20">
        <v>0</v>
      </c>
      <c r="J4241" s="20">
        <v>537</v>
      </c>
      <c r="K4241" s="20">
        <v>80</v>
      </c>
      <c r="L4241" s="20">
        <v>0</v>
      </c>
      <c r="M4241" s="20">
        <v>0</v>
      </c>
      <c r="N4241" s="20">
        <v>0</v>
      </c>
      <c r="O4241" s="20">
        <v>0</v>
      </c>
      <c r="P4241" s="26">
        <v>0.2</v>
      </c>
      <c r="Q4241" s="45" t="s">
        <v>154</v>
      </c>
    </row>
    <row r="4242" spans="1:17" ht="96" x14ac:dyDescent="0.25">
      <c r="A4242" s="23">
        <v>40717</v>
      </c>
      <c r="B4242" s="23">
        <v>40717</v>
      </c>
      <c r="C4242" s="24">
        <v>2011</v>
      </c>
      <c r="D4242" s="35" t="s">
        <v>28</v>
      </c>
      <c r="E4242" s="30" t="s">
        <v>133</v>
      </c>
      <c r="F4242" s="7" t="s">
        <v>97</v>
      </c>
      <c r="G4242" s="44" t="s">
        <v>6216</v>
      </c>
      <c r="H4242" s="44" t="s">
        <v>6217</v>
      </c>
      <c r="I4242" s="20">
        <v>5</v>
      </c>
      <c r="J4242" s="20">
        <v>7</v>
      </c>
      <c r="K4242" s="20">
        <v>0</v>
      </c>
      <c r="L4242" s="20">
        <v>0</v>
      </c>
      <c r="M4242" s="20">
        <v>0</v>
      </c>
      <c r="N4242" s="20">
        <v>0</v>
      </c>
      <c r="O4242" s="20">
        <v>0</v>
      </c>
      <c r="P4242" s="158">
        <v>0</v>
      </c>
      <c r="Q4242" s="45" t="s">
        <v>154</v>
      </c>
    </row>
    <row r="4243" spans="1:17" ht="156" x14ac:dyDescent="0.25">
      <c r="A4243" s="23">
        <v>40630</v>
      </c>
      <c r="B4243" s="23">
        <v>40630</v>
      </c>
      <c r="C4243" s="24">
        <v>2011</v>
      </c>
      <c r="D4243" s="35" t="s">
        <v>28</v>
      </c>
      <c r="E4243" s="30" t="s">
        <v>133</v>
      </c>
      <c r="F4243" s="7" t="s">
        <v>91</v>
      </c>
      <c r="G4243" s="44" t="s">
        <v>2342</v>
      </c>
      <c r="H4243" s="44" t="s">
        <v>6218</v>
      </c>
      <c r="I4243" s="20">
        <v>2</v>
      </c>
      <c r="J4243" s="20">
        <v>4</v>
      </c>
      <c r="K4243" s="20">
        <v>0</v>
      </c>
      <c r="L4243" s="20">
        <v>0</v>
      </c>
      <c r="M4243" s="20">
        <v>0</v>
      </c>
      <c r="N4243" s="20">
        <v>0</v>
      </c>
      <c r="O4243" s="20">
        <v>0</v>
      </c>
      <c r="P4243" s="158">
        <v>0</v>
      </c>
      <c r="Q4243" s="45" t="s">
        <v>154</v>
      </c>
    </row>
    <row r="4244" spans="1:17" ht="108" x14ac:dyDescent="0.25">
      <c r="A4244" s="23">
        <v>40625</v>
      </c>
      <c r="B4244" s="23">
        <v>40625</v>
      </c>
      <c r="C4244" s="24">
        <v>2011</v>
      </c>
      <c r="D4244" s="351" t="s">
        <v>23</v>
      </c>
      <c r="E4244" s="49" t="s">
        <v>323</v>
      </c>
      <c r="F4244" s="7" t="s">
        <v>75</v>
      </c>
      <c r="G4244" s="44" t="s">
        <v>6219</v>
      </c>
      <c r="H4244" s="44" t="s">
        <v>6220</v>
      </c>
      <c r="I4244" s="20">
        <v>0</v>
      </c>
      <c r="J4244" s="20">
        <v>730</v>
      </c>
      <c r="K4244" s="20">
        <v>146</v>
      </c>
      <c r="L4244" s="20">
        <v>0</v>
      </c>
      <c r="M4244" s="20">
        <v>0</v>
      </c>
      <c r="N4244" s="20">
        <v>0</v>
      </c>
      <c r="O4244" s="20">
        <v>0</v>
      </c>
      <c r="P4244" s="26">
        <v>4.5600000000000002E-2</v>
      </c>
      <c r="Q4244" s="45" t="s">
        <v>154</v>
      </c>
    </row>
    <row r="4245" spans="1:17" ht="108" x14ac:dyDescent="0.25">
      <c r="A4245" s="23">
        <v>40737</v>
      </c>
      <c r="B4245" s="23">
        <v>40737</v>
      </c>
      <c r="C4245" s="24">
        <v>2011</v>
      </c>
      <c r="D4245" s="351" t="s">
        <v>23</v>
      </c>
      <c r="E4245" s="22" t="s">
        <v>86</v>
      </c>
      <c r="F4245" s="7" t="s">
        <v>75</v>
      </c>
      <c r="G4245" s="44" t="s">
        <v>6221</v>
      </c>
      <c r="H4245" s="44" t="s">
        <v>6222</v>
      </c>
      <c r="I4245" s="20">
        <v>2</v>
      </c>
      <c r="J4245" s="20">
        <v>140</v>
      </c>
      <c r="K4245" s="20">
        <v>28</v>
      </c>
      <c r="L4245" s="20">
        <v>0</v>
      </c>
      <c r="M4245" s="20">
        <v>0</v>
      </c>
      <c r="N4245" s="20">
        <v>0</v>
      </c>
      <c r="O4245" s="20">
        <v>0</v>
      </c>
      <c r="P4245" s="26">
        <v>0.28000000000000003</v>
      </c>
      <c r="Q4245" s="45" t="s">
        <v>154</v>
      </c>
    </row>
    <row r="4246" spans="1:17" ht="84" x14ac:dyDescent="0.25">
      <c r="A4246" s="23">
        <v>40624</v>
      </c>
      <c r="B4246" s="23">
        <v>40624</v>
      </c>
      <c r="C4246" s="24">
        <v>2011</v>
      </c>
      <c r="D4246" s="351" t="s">
        <v>23</v>
      </c>
      <c r="E4246" s="49" t="s">
        <v>5893</v>
      </c>
      <c r="F4246" s="7" t="s">
        <v>72</v>
      </c>
      <c r="G4246" s="44" t="s">
        <v>6223</v>
      </c>
      <c r="H4246" s="44" t="s">
        <v>6224</v>
      </c>
      <c r="I4246" s="20">
        <v>1</v>
      </c>
      <c r="J4246" s="20">
        <v>1</v>
      </c>
      <c r="K4246" s="20">
        <v>0</v>
      </c>
      <c r="L4246" s="20">
        <v>0</v>
      </c>
      <c r="M4246" s="20">
        <v>0</v>
      </c>
      <c r="N4246" s="20">
        <v>0</v>
      </c>
      <c r="O4246" s="20">
        <v>0</v>
      </c>
      <c r="P4246" s="26">
        <v>0</v>
      </c>
      <c r="Q4246" s="45" t="s">
        <v>154</v>
      </c>
    </row>
    <row r="4247" spans="1:17" ht="156" x14ac:dyDescent="0.25">
      <c r="A4247" s="23">
        <v>40624</v>
      </c>
      <c r="B4247" s="23">
        <v>40624</v>
      </c>
      <c r="C4247" s="24">
        <v>2011</v>
      </c>
      <c r="D4247" s="35" t="s">
        <v>17</v>
      </c>
      <c r="E4247" s="49" t="s">
        <v>1597</v>
      </c>
      <c r="F4247" s="7" t="s">
        <v>72</v>
      </c>
      <c r="G4247" s="44" t="s">
        <v>6225</v>
      </c>
      <c r="H4247" s="44" t="s">
        <v>6226</v>
      </c>
      <c r="I4247" s="20">
        <v>0</v>
      </c>
      <c r="J4247" s="20">
        <v>12000</v>
      </c>
      <c r="K4247" s="20">
        <v>0</v>
      </c>
      <c r="L4247" s="20">
        <v>0</v>
      </c>
      <c r="M4247" s="20">
        <v>0</v>
      </c>
      <c r="N4247" s="20">
        <v>0</v>
      </c>
      <c r="O4247" s="20">
        <v>0</v>
      </c>
      <c r="P4247" s="158">
        <v>0</v>
      </c>
      <c r="Q4247" s="45" t="s">
        <v>154</v>
      </c>
    </row>
    <row r="4248" spans="1:17" ht="168" x14ac:dyDescent="0.25">
      <c r="A4248" s="23">
        <v>40624</v>
      </c>
      <c r="B4248" s="23">
        <v>40624</v>
      </c>
      <c r="C4248" s="24">
        <v>2011</v>
      </c>
      <c r="D4248" s="351" t="s">
        <v>23</v>
      </c>
      <c r="E4248" s="22" t="s">
        <v>86</v>
      </c>
      <c r="F4248" s="7" t="s">
        <v>72</v>
      </c>
      <c r="G4248" s="44" t="s">
        <v>6227</v>
      </c>
      <c r="H4248" s="44" t="s">
        <v>6228</v>
      </c>
      <c r="I4248" s="20">
        <v>0</v>
      </c>
      <c r="J4248" s="20">
        <v>15000</v>
      </c>
      <c r="K4248" s="20">
        <v>34</v>
      </c>
      <c r="L4248" s="20">
        <v>0</v>
      </c>
      <c r="M4248" s="20">
        <v>0</v>
      </c>
      <c r="N4248" s="20">
        <v>0</v>
      </c>
      <c r="O4248" s="20">
        <v>0</v>
      </c>
      <c r="P4248" s="26">
        <v>8.5000000000000006E-2</v>
      </c>
      <c r="Q4248" s="45" t="s">
        <v>154</v>
      </c>
    </row>
    <row r="4249" spans="1:17" ht="96" x14ac:dyDescent="0.25">
      <c r="A4249" s="23">
        <v>40623</v>
      </c>
      <c r="B4249" s="23">
        <v>40623</v>
      </c>
      <c r="C4249" s="24">
        <v>2011</v>
      </c>
      <c r="D4249" s="24" t="s">
        <v>141</v>
      </c>
      <c r="E4249" s="41" t="s">
        <v>1965</v>
      </c>
      <c r="F4249" s="7" t="s">
        <v>68</v>
      </c>
      <c r="G4249" s="44" t="s">
        <v>6229</v>
      </c>
      <c r="H4249" s="44" t="s">
        <v>6230</v>
      </c>
      <c r="I4249" s="20">
        <v>0</v>
      </c>
      <c r="J4249" s="20">
        <v>0</v>
      </c>
      <c r="K4249" s="20">
        <v>0</v>
      </c>
      <c r="L4249" s="20">
        <v>0</v>
      </c>
      <c r="M4249" s="20">
        <v>0</v>
      </c>
      <c r="N4249" s="20">
        <v>0</v>
      </c>
      <c r="O4249" s="20">
        <v>0</v>
      </c>
      <c r="P4249" s="26">
        <v>0.27500000000000002</v>
      </c>
      <c r="Q4249" s="45" t="s">
        <v>154</v>
      </c>
    </row>
    <row r="4250" spans="1:17" ht="144" x14ac:dyDescent="0.25">
      <c r="A4250" s="23">
        <v>40610</v>
      </c>
      <c r="B4250" s="23">
        <v>40610</v>
      </c>
      <c r="C4250" s="24">
        <v>2011</v>
      </c>
      <c r="D4250" s="35" t="s">
        <v>28</v>
      </c>
      <c r="E4250" s="6" t="s">
        <v>149</v>
      </c>
      <c r="F4250" s="7" t="s">
        <v>68</v>
      </c>
      <c r="G4250" s="44" t="s">
        <v>752</v>
      </c>
      <c r="H4250" s="44" t="s">
        <v>6231</v>
      </c>
      <c r="I4250" s="20">
        <v>0</v>
      </c>
      <c r="J4250" s="20">
        <v>15</v>
      </c>
      <c r="K4250" s="20">
        <v>0</v>
      </c>
      <c r="L4250" s="20">
        <v>0</v>
      </c>
      <c r="M4250" s="20">
        <v>0</v>
      </c>
      <c r="N4250" s="20">
        <v>0</v>
      </c>
      <c r="O4250" s="20">
        <v>0</v>
      </c>
      <c r="P4250" s="158">
        <v>0</v>
      </c>
      <c r="Q4250" s="45" t="s">
        <v>154</v>
      </c>
    </row>
    <row r="4251" spans="1:17" ht="36" x14ac:dyDescent="0.25">
      <c r="A4251" s="23">
        <v>40623</v>
      </c>
      <c r="B4251" s="23">
        <v>40623</v>
      </c>
      <c r="C4251" s="24">
        <v>2011</v>
      </c>
      <c r="D4251" s="24" t="s">
        <v>141</v>
      </c>
      <c r="E4251" s="41" t="s">
        <v>1958</v>
      </c>
      <c r="F4251" s="7" t="s">
        <v>68</v>
      </c>
      <c r="G4251" s="44" t="s">
        <v>752</v>
      </c>
      <c r="H4251" s="44" t="s">
        <v>6232</v>
      </c>
      <c r="I4251" s="20">
        <v>0</v>
      </c>
      <c r="J4251" s="20">
        <v>50</v>
      </c>
      <c r="K4251" s="20">
        <v>0</v>
      </c>
      <c r="L4251" s="20">
        <v>0</v>
      </c>
      <c r="M4251" s="20">
        <v>0</v>
      </c>
      <c r="N4251" s="20">
        <v>0</v>
      </c>
      <c r="O4251" s="20">
        <v>0</v>
      </c>
      <c r="P4251" s="26">
        <v>0</v>
      </c>
      <c r="Q4251" s="45" t="s">
        <v>154</v>
      </c>
    </row>
    <row r="4252" spans="1:17" ht="72" x14ac:dyDescent="0.25">
      <c r="A4252" s="23">
        <v>40623</v>
      </c>
      <c r="B4252" s="23">
        <v>40623</v>
      </c>
      <c r="C4252" s="24">
        <v>2011</v>
      </c>
      <c r="D4252" s="24" t="s">
        <v>141</v>
      </c>
      <c r="E4252" s="30" t="s">
        <v>142</v>
      </c>
      <c r="F4252" s="7" t="s">
        <v>68</v>
      </c>
      <c r="G4252" s="44" t="s">
        <v>3128</v>
      </c>
      <c r="H4252" s="44" t="s">
        <v>6233</v>
      </c>
      <c r="I4252" s="20">
        <v>0</v>
      </c>
      <c r="J4252" s="20">
        <v>8</v>
      </c>
      <c r="K4252" s="20">
        <v>0</v>
      </c>
      <c r="L4252" s="20">
        <v>0</v>
      </c>
      <c r="M4252" s="20">
        <v>0</v>
      </c>
      <c r="N4252" s="20">
        <v>0</v>
      </c>
      <c r="O4252" s="20">
        <v>0</v>
      </c>
      <c r="P4252" s="26">
        <v>0.8</v>
      </c>
      <c r="Q4252" s="45" t="s">
        <v>154</v>
      </c>
    </row>
    <row r="4253" spans="1:17" ht="132" x14ac:dyDescent="0.25">
      <c r="A4253" s="23">
        <v>40622</v>
      </c>
      <c r="B4253" s="23">
        <v>40622</v>
      </c>
      <c r="C4253" s="24">
        <v>2011</v>
      </c>
      <c r="D4253" s="35" t="s">
        <v>28</v>
      </c>
      <c r="E4253" s="6" t="s">
        <v>149</v>
      </c>
      <c r="F4253" s="7" t="s">
        <v>65</v>
      </c>
      <c r="G4253" s="44" t="s">
        <v>1511</v>
      </c>
      <c r="H4253" s="44" t="s">
        <v>6234</v>
      </c>
      <c r="I4253" s="20">
        <v>0</v>
      </c>
      <c r="J4253" s="20">
        <v>25</v>
      </c>
      <c r="K4253" s="20">
        <v>1</v>
      </c>
      <c r="L4253" s="20">
        <v>0</v>
      </c>
      <c r="M4253" s="20">
        <v>0</v>
      </c>
      <c r="N4253" s="20">
        <v>0</v>
      </c>
      <c r="O4253" s="20">
        <v>0</v>
      </c>
      <c r="P4253" s="26">
        <v>2.8000000000000001E-2</v>
      </c>
      <c r="Q4253" s="45" t="s">
        <v>154</v>
      </c>
    </row>
    <row r="4254" spans="1:17" ht="180" x14ac:dyDescent="0.25">
      <c r="A4254" s="23">
        <v>40621</v>
      </c>
      <c r="B4254" s="23">
        <v>40621</v>
      </c>
      <c r="C4254" s="24">
        <v>2011</v>
      </c>
      <c r="D4254" s="35" t="s">
        <v>28</v>
      </c>
      <c r="E4254" s="30" t="s">
        <v>133</v>
      </c>
      <c r="F4254" s="7" t="s">
        <v>53</v>
      </c>
      <c r="G4254" s="44" t="s">
        <v>6235</v>
      </c>
      <c r="H4254" s="44" t="s">
        <v>6236</v>
      </c>
      <c r="I4254" s="20">
        <v>0</v>
      </c>
      <c r="J4254" s="20">
        <v>5</v>
      </c>
      <c r="K4254" s="20">
        <v>0</v>
      </c>
      <c r="L4254" s="20">
        <v>0</v>
      </c>
      <c r="M4254" s="20">
        <v>0</v>
      </c>
      <c r="N4254" s="20">
        <v>0</v>
      </c>
      <c r="O4254" s="20">
        <v>0</v>
      </c>
      <c r="P4254" s="158">
        <v>0</v>
      </c>
      <c r="Q4254" s="45" t="s">
        <v>154</v>
      </c>
    </row>
    <row r="4255" spans="1:17" ht="120" x14ac:dyDescent="0.25">
      <c r="A4255" s="23">
        <v>40764</v>
      </c>
      <c r="B4255" s="23">
        <v>40764</v>
      </c>
      <c r="C4255" s="24">
        <v>2011</v>
      </c>
      <c r="D4255" s="35" t="s">
        <v>28</v>
      </c>
      <c r="E4255" s="30" t="s">
        <v>133</v>
      </c>
      <c r="F4255" s="7" t="s">
        <v>53</v>
      </c>
      <c r="G4255" s="44" t="s">
        <v>2309</v>
      </c>
      <c r="H4255" s="44" t="s">
        <v>6237</v>
      </c>
      <c r="I4255" s="20">
        <v>0</v>
      </c>
      <c r="J4255" s="20" t="s">
        <v>110</v>
      </c>
      <c r="K4255" s="20">
        <v>0</v>
      </c>
      <c r="L4255" s="20">
        <v>1</v>
      </c>
      <c r="M4255" s="20">
        <v>0</v>
      </c>
      <c r="N4255" s="20">
        <v>0</v>
      </c>
      <c r="O4255" s="20">
        <v>0</v>
      </c>
      <c r="P4255" s="158">
        <v>0</v>
      </c>
      <c r="Q4255" s="45" t="s">
        <v>154</v>
      </c>
    </row>
    <row r="4256" spans="1:17" ht="108" x14ac:dyDescent="0.25">
      <c r="A4256" s="23">
        <v>40619</v>
      </c>
      <c r="B4256" s="23">
        <v>40619</v>
      </c>
      <c r="C4256" s="24">
        <v>2011</v>
      </c>
      <c r="D4256" s="24" t="s">
        <v>141</v>
      </c>
      <c r="E4256" s="30" t="s">
        <v>142</v>
      </c>
      <c r="F4256" s="7" t="s">
        <v>60</v>
      </c>
      <c r="G4256" s="44" t="s">
        <v>6238</v>
      </c>
      <c r="H4256" s="44" t="s">
        <v>6239</v>
      </c>
      <c r="I4256" s="20">
        <v>1</v>
      </c>
      <c r="J4256" s="20">
        <v>3</v>
      </c>
      <c r="K4256" s="20">
        <v>0</v>
      </c>
      <c r="L4256" s="20">
        <v>0</v>
      </c>
      <c r="M4256" s="20">
        <v>0</v>
      </c>
      <c r="N4256" s="20">
        <v>0</v>
      </c>
      <c r="O4256" s="20">
        <v>0</v>
      </c>
      <c r="P4256" s="26">
        <v>0</v>
      </c>
      <c r="Q4256" s="45" t="s">
        <v>154</v>
      </c>
    </row>
    <row r="4257" spans="1:17" ht="96" x14ac:dyDescent="0.25">
      <c r="A4257" s="23">
        <v>40619</v>
      </c>
      <c r="B4257" s="23">
        <v>40619</v>
      </c>
      <c r="C4257" s="24">
        <v>2011</v>
      </c>
      <c r="D4257" s="24" t="s">
        <v>141</v>
      </c>
      <c r="E4257" s="30" t="s">
        <v>142</v>
      </c>
      <c r="F4257" s="7" t="s">
        <v>60</v>
      </c>
      <c r="G4257" s="44" t="s">
        <v>6240</v>
      </c>
      <c r="H4257" s="44" t="s">
        <v>6241</v>
      </c>
      <c r="I4257" s="20">
        <v>0</v>
      </c>
      <c r="J4257" s="20">
        <v>1</v>
      </c>
      <c r="K4257" s="20">
        <v>0</v>
      </c>
      <c r="L4257" s="20">
        <v>0</v>
      </c>
      <c r="M4257" s="20">
        <v>0</v>
      </c>
      <c r="N4257" s="20">
        <v>0</v>
      </c>
      <c r="O4257" s="20">
        <v>0</v>
      </c>
      <c r="P4257" s="158">
        <v>0</v>
      </c>
      <c r="Q4257" s="45" t="s">
        <v>154</v>
      </c>
    </row>
    <row r="4258" spans="1:17" ht="144" x14ac:dyDescent="0.25">
      <c r="A4258" s="23">
        <v>40590</v>
      </c>
      <c r="B4258" s="23">
        <v>40590</v>
      </c>
      <c r="C4258" s="24">
        <v>2011</v>
      </c>
      <c r="D4258" s="35" t="s">
        <v>28</v>
      </c>
      <c r="E4258" s="6" t="s">
        <v>149</v>
      </c>
      <c r="F4258" s="7" t="s">
        <v>60</v>
      </c>
      <c r="G4258" s="44" t="s">
        <v>908</v>
      </c>
      <c r="H4258" s="44" t="s">
        <v>6242</v>
      </c>
      <c r="I4258" s="20">
        <v>1</v>
      </c>
      <c r="J4258" s="20">
        <v>29</v>
      </c>
      <c r="K4258" s="20">
        <v>0</v>
      </c>
      <c r="L4258" s="20">
        <v>0</v>
      </c>
      <c r="M4258" s="20">
        <v>0</v>
      </c>
      <c r="N4258" s="20">
        <v>0</v>
      </c>
      <c r="O4258" s="20">
        <v>0</v>
      </c>
      <c r="P4258" s="158">
        <v>0</v>
      </c>
      <c r="Q4258" s="45" t="s">
        <v>154</v>
      </c>
    </row>
    <row r="4259" spans="1:17" ht="108" x14ac:dyDescent="0.25">
      <c r="A4259" s="23">
        <v>40619</v>
      </c>
      <c r="B4259" s="23">
        <v>40619</v>
      </c>
      <c r="C4259" s="24">
        <v>2011</v>
      </c>
      <c r="D4259" s="24" t="s">
        <v>141</v>
      </c>
      <c r="E4259" s="30" t="s">
        <v>142</v>
      </c>
      <c r="F4259" s="7" t="s">
        <v>60</v>
      </c>
      <c r="G4259" s="44" t="s">
        <v>2667</v>
      </c>
      <c r="H4259" s="44" t="s">
        <v>6243</v>
      </c>
      <c r="I4259" s="20">
        <v>0</v>
      </c>
      <c r="J4259" s="20">
        <v>2</v>
      </c>
      <c r="K4259" s="20">
        <v>0</v>
      </c>
      <c r="L4259" s="20">
        <v>0</v>
      </c>
      <c r="M4259" s="20">
        <v>0</v>
      </c>
      <c r="N4259" s="20">
        <v>0</v>
      </c>
      <c r="O4259" s="20">
        <v>0</v>
      </c>
      <c r="P4259" s="26">
        <v>0.80640000000000001</v>
      </c>
      <c r="Q4259" s="45" t="s">
        <v>154</v>
      </c>
    </row>
    <row r="4260" spans="1:17" ht="108" x14ac:dyDescent="0.25">
      <c r="A4260" s="23">
        <v>40618</v>
      </c>
      <c r="B4260" s="23">
        <v>40618</v>
      </c>
      <c r="C4260" s="24">
        <v>2011</v>
      </c>
      <c r="D4260" s="24" t="s">
        <v>141</v>
      </c>
      <c r="E4260" s="30" t="s">
        <v>142</v>
      </c>
      <c r="F4260" s="7" t="s">
        <v>60</v>
      </c>
      <c r="G4260" s="44" t="s">
        <v>2671</v>
      </c>
      <c r="H4260" s="44" t="s">
        <v>6244</v>
      </c>
      <c r="I4260" s="20">
        <v>6</v>
      </c>
      <c r="J4260" s="20">
        <v>13</v>
      </c>
      <c r="K4260" s="20">
        <v>0</v>
      </c>
      <c r="L4260" s="20">
        <v>0</v>
      </c>
      <c r="M4260" s="20">
        <v>0</v>
      </c>
      <c r="N4260" s="20">
        <v>0</v>
      </c>
      <c r="O4260" s="20">
        <v>0</v>
      </c>
      <c r="P4260" s="26">
        <v>0.65300000000000002</v>
      </c>
      <c r="Q4260" s="45" t="s">
        <v>154</v>
      </c>
    </row>
    <row r="4261" spans="1:17" ht="60" x14ac:dyDescent="0.25">
      <c r="A4261" s="23">
        <v>40618</v>
      </c>
      <c r="B4261" s="23">
        <v>40618</v>
      </c>
      <c r="C4261" s="24">
        <v>2011</v>
      </c>
      <c r="D4261" s="24" t="s">
        <v>141</v>
      </c>
      <c r="E4261" s="30" t="s">
        <v>142</v>
      </c>
      <c r="F4261" s="7" t="s">
        <v>60</v>
      </c>
      <c r="G4261" s="44" t="s">
        <v>2026</v>
      </c>
      <c r="H4261" s="126" t="s">
        <v>6245</v>
      </c>
      <c r="I4261" s="20">
        <v>3</v>
      </c>
      <c r="J4261" s="20">
        <v>3</v>
      </c>
      <c r="K4261" s="20">
        <v>0</v>
      </c>
      <c r="L4261" s="20">
        <v>0</v>
      </c>
      <c r="M4261" s="20">
        <v>0</v>
      </c>
      <c r="N4261" s="20">
        <v>0</v>
      </c>
      <c r="O4261" s="20">
        <v>0</v>
      </c>
      <c r="P4261" s="158">
        <v>0</v>
      </c>
      <c r="Q4261" s="45" t="s">
        <v>154</v>
      </c>
    </row>
    <row r="4262" spans="1:17" ht="96" x14ac:dyDescent="0.25">
      <c r="A4262" s="23">
        <v>40617</v>
      </c>
      <c r="B4262" s="23">
        <v>40617</v>
      </c>
      <c r="C4262" s="24">
        <v>2011</v>
      </c>
      <c r="D4262" s="35" t="s">
        <v>17</v>
      </c>
      <c r="E4262" s="49" t="s">
        <v>1597</v>
      </c>
      <c r="F4262" s="7" t="s">
        <v>60</v>
      </c>
      <c r="G4262" s="44" t="s">
        <v>4208</v>
      </c>
      <c r="H4262" s="44" t="s">
        <v>6246</v>
      </c>
      <c r="I4262" s="20">
        <v>0</v>
      </c>
      <c r="J4262" s="20">
        <v>65</v>
      </c>
      <c r="K4262" s="20">
        <v>13</v>
      </c>
      <c r="L4262" s="20">
        <v>0</v>
      </c>
      <c r="M4262" s="20">
        <v>0</v>
      </c>
      <c r="N4262" s="20">
        <v>0</v>
      </c>
      <c r="O4262" s="20">
        <v>0</v>
      </c>
      <c r="P4262" s="26">
        <v>2.0049999999999999</v>
      </c>
      <c r="Q4262" s="45" t="s">
        <v>154</v>
      </c>
    </row>
    <row r="4263" spans="1:17" ht="84" x14ac:dyDescent="0.25">
      <c r="A4263" s="23">
        <v>40617</v>
      </c>
      <c r="B4263" s="23">
        <v>40617</v>
      </c>
      <c r="C4263" s="24">
        <v>2011</v>
      </c>
      <c r="D4263" s="24" t="s">
        <v>141</v>
      </c>
      <c r="E4263" s="30" t="s">
        <v>142</v>
      </c>
      <c r="F4263" s="7" t="s">
        <v>60</v>
      </c>
      <c r="G4263" s="44" t="s">
        <v>6247</v>
      </c>
      <c r="H4263" s="44" t="s">
        <v>6248</v>
      </c>
      <c r="I4263" s="20">
        <v>0</v>
      </c>
      <c r="J4263" s="20">
        <v>3</v>
      </c>
      <c r="K4263" s="20">
        <v>0</v>
      </c>
      <c r="L4263" s="20">
        <v>0</v>
      </c>
      <c r="M4263" s="20">
        <v>0</v>
      </c>
      <c r="N4263" s="20">
        <v>0</v>
      </c>
      <c r="O4263" s="20">
        <v>0</v>
      </c>
      <c r="P4263" s="26">
        <v>1</v>
      </c>
      <c r="Q4263" s="45" t="s">
        <v>154</v>
      </c>
    </row>
    <row r="4264" spans="1:17" ht="144" x14ac:dyDescent="0.25">
      <c r="A4264" s="23">
        <v>40617</v>
      </c>
      <c r="B4264" s="23">
        <v>40617</v>
      </c>
      <c r="C4264" s="24">
        <v>2011</v>
      </c>
      <c r="D4264" s="351" t="s">
        <v>23</v>
      </c>
      <c r="E4264" s="22" t="s">
        <v>86</v>
      </c>
      <c r="F4264" s="28" t="s">
        <v>160</v>
      </c>
      <c r="G4264" s="44" t="s">
        <v>6249</v>
      </c>
      <c r="H4264" s="44" t="s">
        <v>6250</v>
      </c>
      <c r="I4264" s="20">
        <v>0</v>
      </c>
      <c r="J4264" s="20">
        <v>900</v>
      </c>
      <c r="K4264" s="20">
        <v>180</v>
      </c>
      <c r="L4264" s="20">
        <v>0</v>
      </c>
      <c r="M4264" s="20">
        <v>0</v>
      </c>
      <c r="N4264" s="20">
        <v>0</v>
      </c>
      <c r="O4264" s="20">
        <v>0</v>
      </c>
      <c r="P4264" s="26">
        <v>0.56340000000000001</v>
      </c>
      <c r="Q4264" s="45" t="s">
        <v>154</v>
      </c>
    </row>
    <row r="4265" spans="1:17" ht="60" x14ac:dyDescent="0.25">
      <c r="A4265" s="23">
        <v>40723</v>
      </c>
      <c r="B4265" s="23">
        <v>40723</v>
      </c>
      <c r="C4265" s="24">
        <v>2011</v>
      </c>
      <c r="D4265" s="351" t="s">
        <v>23</v>
      </c>
      <c r="E4265" s="14" t="s">
        <v>32</v>
      </c>
      <c r="F4265" s="28" t="s">
        <v>160</v>
      </c>
      <c r="G4265" s="44" t="s">
        <v>6251</v>
      </c>
      <c r="H4265" s="44" t="s">
        <v>6252</v>
      </c>
      <c r="I4265" s="20">
        <v>5</v>
      </c>
      <c r="J4265" s="20">
        <v>11130</v>
      </c>
      <c r="K4265" s="20">
        <v>2226</v>
      </c>
      <c r="L4265" s="20">
        <v>9</v>
      </c>
      <c r="M4265" s="20">
        <v>3</v>
      </c>
      <c r="N4265" s="20">
        <v>0</v>
      </c>
      <c r="O4265" s="20">
        <v>37260</v>
      </c>
      <c r="P4265" s="26">
        <v>2848.27</v>
      </c>
      <c r="Q4265" s="45" t="s">
        <v>22</v>
      </c>
    </row>
    <row r="4266" spans="1:17" ht="84" x14ac:dyDescent="0.25">
      <c r="A4266" s="23">
        <v>40612</v>
      </c>
      <c r="B4266" s="23">
        <v>40612</v>
      </c>
      <c r="C4266" s="24">
        <v>2011</v>
      </c>
      <c r="D4266" s="24" t="s">
        <v>141</v>
      </c>
      <c r="E4266" s="30" t="s">
        <v>142</v>
      </c>
      <c r="F4266" s="7" t="s">
        <v>56</v>
      </c>
      <c r="G4266" s="44" t="s">
        <v>218</v>
      </c>
      <c r="H4266" s="44" t="s">
        <v>6253</v>
      </c>
      <c r="I4266" s="20">
        <v>0</v>
      </c>
      <c r="J4266" s="20">
        <v>37</v>
      </c>
      <c r="K4266" s="20">
        <v>0</v>
      </c>
      <c r="L4266" s="20">
        <v>0</v>
      </c>
      <c r="M4266" s="20">
        <v>0</v>
      </c>
      <c r="N4266" s="20">
        <v>0</v>
      </c>
      <c r="O4266" s="20">
        <v>0</v>
      </c>
      <c r="P4266" s="26">
        <v>0.4</v>
      </c>
      <c r="Q4266" s="45" t="s">
        <v>154</v>
      </c>
    </row>
    <row r="4267" spans="1:17" ht="72" x14ac:dyDescent="0.25">
      <c r="A4267" s="23">
        <v>40612</v>
      </c>
      <c r="B4267" s="23">
        <v>40612</v>
      </c>
      <c r="C4267" s="24">
        <v>2011</v>
      </c>
      <c r="D4267" s="24" t="s">
        <v>141</v>
      </c>
      <c r="E4267" s="30" t="s">
        <v>142</v>
      </c>
      <c r="F4267" s="7" t="s">
        <v>56</v>
      </c>
      <c r="G4267" s="44" t="s">
        <v>3592</v>
      </c>
      <c r="H4267" s="126" t="s">
        <v>6254</v>
      </c>
      <c r="I4267" s="20">
        <v>0</v>
      </c>
      <c r="J4267" s="20">
        <v>13</v>
      </c>
      <c r="K4267" s="20">
        <v>0</v>
      </c>
      <c r="L4267" s="20">
        <v>0</v>
      </c>
      <c r="M4267" s="20">
        <v>0</v>
      </c>
      <c r="N4267" s="20">
        <v>0</v>
      </c>
      <c r="O4267" s="20">
        <v>0</v>
      </c>
      <c r="P4267" s="26">
        <v>0.31280000000000002</v>
      </c>
      <c r="Q4267" s="45" t="s">
        <v>154</v>
      </c>
    </row>
    <row r="4268" spans="1:17" ht="132" x14ac:dyDescent="0.25">
      <c r="A4268" s="23">
        <v>40622</v>
      </c>
      <c r="B4268" s="23">
        <v>40622</v>
      </c>
      <c r="C4268" s="24">
        <v>2011</v>
      </c>
      <c r="D4268" s="24" t="s">
        <v>141</v>
      </c>
      <c r="E4268" s="30" t="s">
        <v>142</v>
      </c>
      <c r="F4268" s="7" t="s">
        <v>56</v>
      </c>
      <c r="G4268" s="44" t="s">
        <v>646</v>
      </c>
      <c r="H4268" s="126" t="s">
        <v>6255</v>
      </c>
      <c r="I4268" s="20">
        <v>0</v>
      </c>
      <c r="J4268" s="20">
        <v>8</v>
      </c>
      <c r="K4268" s="20">
        <v>0</v>
      </c>
      <c r="L4268" s="20">
        <v>0</v>
      </c>
      <c r="M4268" s="20">
        <v>0</v>
      </c>
      <c r="N4268" s="20">
        <v>0</v>
      </c>
      <c r="O4268" s="20">
        <v>0</v>
      </c>
      <c r="P4268" s="26">
        <v>0.71279999999999999</v>
      </c>
      <c r="Q4268" s="45" t="s">
        <v>154</v>
      </c>
    </row>
    <row r="4269" spans="1:17" ht="96" x14ac:dyDescent="0.25">
      <c r="A4269" s="23">
        <v>40611</v>
      </c>
      <c r="B4269" s="23">
        <v>40611</v>
      </c>
      <c r="C4269" s="24">
        <v>2011</v>
      </c>
      <c r="D4269" s="24" t="s">
        <v>141</v>
      </c>
      <c r="E4269" s="30" t="s">
        <v>142</v>
      </c>
      <c r="F4269" s="7" t="s">
        <v>56</v>
      </c>
      <c r="G4269" s="44" t="s">
        <v>2786</v>
      </c>
      <c r="H4269" s="44" t="s">
        <v>6256</v>
      </c>
      <c r="I4269" s="20">
        <v>1</v>
      </c>
      <c r="J4269" s="20">
        <v>9</v>
      </c>
      <c r="K4269" s="20">
        <v>0</v>
      </c>
      <c r="L4269" s="20">
        <v>0</v>
      </c>
      <c r="M4269" s="20">
        <v>0</v>
      </c>
      <c r="N4269" s="20">
        <v>0</v>
      </c>
      <c r="O4269" s="20">
        <v>0</v>
      </c>
      <c r="P4269" s="26">
        <v>0.4</v>
      </c>
      <c r="Q4269" s="45" t="s">
        <v>154</v>
      </c>
    </row>
    <row r="4270" spans="1:17" ht="48" x14ac:dyDescent="0.25">
      <c r="A4270" s="23">
        <v>40754</v>
      </c>
      <c r="B4270" s="23">
        <v>40754</v>
      </c>
      <c r="C4270" s="24">
        <v>2011</v>
      </c>
      <c r="D4270" s="35" t="s">
        <v>28</v>
      </c>
      <c r="E4270" s="30" t="s">
        <v>133</v>
      </c>
      <c r="F4270" s="7" t="s">
        <v>56</v>
      </c>
      <c r="G4270" s="44" t="s">
        <v>218</v>
      </c>
      <c r="H4270" s="44" t="s">
        <v>6257</v>
      </c>
      <c r="I4270" s="20">
        <v>0</v>
      </c>
      <c r="J4270" s="20">
        <f>(1*5+1)</f>
        <v>6</v>
      </c>
      <c r="K4270" s="20">
        <v>1</v>
      </c>
      <c r="L4270" s="20">
        <v>0</v>
      </c>
      <c r="M4270" s="20">
        <v>0</v>
      </c>
      <c r="N4270" s="20">
        <v>0</v>
      </c>
      <c r="O4270" s="20">
        <v>0</v>
      </c>
      <c r="P4270" s="26">
        <v>6.5799999999999997E-2</v>
      </c>
      <c r="Q4270" s="45" t="s">
        <v>154</v>
      </c>
    </row>
    <row r="4271" spans="1:17" ht="108" x14ac:dyDescent="0.25">
      <c r="A4271" s="23">
        <v>40804</v>
      </c>
      <c r="B4271" s="23">
        <v>40804</v>
      </c>
      <c r="C4271" s="24">
        <v>2011</v>
      </c>
      <c r="D4271" s="24" t="s">
        <v>141</v>
      </c>
      <c r="E4271" s="30" t="s">
        <v>142</v>
      </c>
      <c r="F4271" s="7" t="s">
        <v>53</v>
      </c>
      <c r="G4271" s="44" t="s">
        <v>1885</v>
      </c>
      <c r="H4271" s="44" t="s">
        <v>6258</v>
      </c>
      <c r="I4271" s="20">
        <v>7</v>
      </c>
      <c r="J4271" s="20">
        <v>13</v>
      </c>
      <c r="K4271" s="20">
        <v>0</v>
      </c>
      <c r="L4271" s="20">
        <v>0</v>
      </c>
      <c r="M4271" s="20">
        <v>0</v>
      </c>
      <c r="N4271" s="20">
        <v>0</v>
      </c>
      <c r="O4271" s="20">
        <v>0</v>
      </c>
      <c r="P4271" s="158">
        <v>0</v>
      </c>
      <c r="Q4271" s="45" t="s">
        <v>154</v>
      </c>
    </row>
    <row r="4272" spans="1:17" ht="72" x14ac:dyDescent="0.25">
      <c r="A4272" s="23">
        <v>40611</v>
      </c>
      <c r="B4272" s="23">
        <v>40611</v>
      </c>
      <c r="C4272" s="24">
        <v>2011</v>
      </c>
      <c r="D4272" s="351" t="s">
        <v>23</v>
      </c>
      <c r="E4272" s="22" t="s">
        <v>86</v>
      </c>
      <c r="F4272" s="7" t="s">
        <v>49</v>
      </c>
      <c r="G4272" s="44" t="s">
        <v>49</v>
      </c>
      <c r="H4272" s="44" t="s">
        <v>6259</v>
      </c>
      <c r="I4272" s="20">
        <v>0</v>
      </c>
      <c r="J4272" s="20">
        <v>1000</v>
      </c>
      <c r="K4272" s="20">
        <v>200</v>
      </c>
      <c r="L4272" s="20">
        <v>0</v>
      </c>
      <c r="M4272" s="20">
        <v>0</v>
      </c>
      <c r="N4272" s="20">
        <v>0</v>
      </c>
      <c r="O4272" s="20">
        <v>0</v>
      </c>
      <c r="P4272" s="26">
        <v>6.2600000000000003E-2</v>
      </c>
      <c r="Q4272" s="45" t="s">
        <v>154</v>
      </c>
    </row>
    <row r="4273" spans="1:17" ht="48" x14ac:dyDescent="0.25">
      <c r="A4273" s="23">
        <v>40611</v>
      </c>
      <c r="B4273" s="23">
        <v>40611</v>
      </c>
      <c r="C4273" s="24">
        <v>2011</v>
      </c>
      <c r="D4273" s="35" t="s">
        <v>28</v>
      </c>
      <c r="E4273" s="30" t="s">
        <v>125</v>
      </c>
      <c r="F4273" s="28" t="s">
        <v>157</v>
      </c>
      <c r="G4273" s="44" t="s">
        <v>3606</v>
      </c>
      <c r="H4273" s="44" t="s">
        <v>6260</v>
      </c>
      <c r="I4273" s="20">
        <v>0</v>
      </c>
      <c r="J4273" s="20">
        <v>300</v>
      </c>
      <c r="K4273" s="20">
        <v>0</v>
      </c>
      <c r="L4273" s="20">
        <v>0</v>
      </c>
      <c r="M4273" s="20">
        <v>0</v>
      </c>
      <c r="N4273" s="20">
        <v>0</v>
      </c>
      <c r="O4273" s="20">
        <v>0</v>
      </c>
      <c r="P4273" s="158">
        <v>0</v>
      </c>
      <c r="Q4273" s="45" t="s">
        <v>154</v>
      </c>
    </row>
    <row r="4274" spans="1:17" ht="72" x14ac:dyDescent="0.25">
      <c r="A4274" s="23">
        <v>40611</v>
      </c>
      <c r="B4274" s="23">
        <v>40611</v>
      </c>
      <c r="C4274" s="24">
        <v>2011</v>
      </c>
      <c r="D4274" s="24" t="s">
        <v>141</v>
      </c>
      <c r="E4274" s="30" t="s">
        <v>142</v>
      </c>
      <c r="F4274" s="28" t="s">
        <v>157</v>
      </c>
      <c r="G4274" s="44" t="s">
        <v>6060</v>
      </c>
      <c r="H4274" s="44" t="s">
        <v>6261</v>
      </c>
      <c r="I4274" s="20">
        <v>0</v>
      </c>
      <c r="J4274" s="20">
        <v>17</v>
      </c>
      <c r="K4274" s="20">
        <v>0</v>
      </c>
      <c r="L4274" s="20">
        <v>0</v>
      </c>
      <c r="M4274" s="20">
        <v>0</v>
      </c>
      <c r="N4274" s="20">
        <v>0</v>
      </c>
      <c r="O4274" s="20">
        <v>0</v>
      </c>
      <c r="P4274" s="26">
        <v>0.4</v>
      </c>
      <c r="Q4274" s="45" t="s">
        <v>154</v>
      </c>
    </row>
    <row r="4275" spans="1:17" ht="72" x14ac:dyDescent="0.25">
      <c r="A4275" s="23">
        <v>40610</v>
      </c>
      <c r="B4275" s="23">
        <v>40610</v>
      </c>
      <c r="C4275" s="24">
        <v>2011</v>
      </c>
      <c r="D4275" s="24" t="s">
        <v>141</v>
      </c>
      <c r="E4275" s="30" t="s">
        <v>142</v>
      </c>
      <c r="F4275" s="28" t="s">
        <v>157</v>
      </c>
      <c r="G4275" s="44" t="s">
        <v>6060</v>
      </c>
      <c r="H4275" s="44" t="s">
        <v>6262</v>
      </c>
      <c r="I4275" s="20">
        <v>0</v>
      </c>
      <c r="J4275" s="20">
        <v>8</v>
      </c>
      <c r="K4275" s="20">
        <v>0</v>
      </c>
      <c r="L4275" s="20">
        <v>0</v>
      </c>
      <c r="M4275" s="20">
        <v>0</v>
      </c>
      <c r="N4275" s="20">
        <v>0</v>
      </c>
      <c r="O4275" s="20">
        <v>0</v>
      </c>
      <c r="P4275" s="26">
        <v>0.2268</v>
      </c>
      <c r="Q4275" s="45" t="s">
        <v>154</v>
      </c>
    </row>
    <row r="4276" spans="1:17" ht="144" x14ac:dyDescent="0.25">
      <c r="A4276" s="23">
        <v>40610</v>
      </c>
      <c r="B4276" s="23">
        <v>40610</v>
      </c>
      <c r="C4276" s="24">
        <v>2011</v>
      </c>
      <c r="D4276" s="35" t="s">
        <v>28</v>
      </c>
      <c r="E4276" s="6" t="s">
        <v>149</v>
      </c>
      <c r="F4276" s="28" t="s">
        <v>157</v>
      </c>
      <c r="G4276" s="44" t="s">
        <v>6263</v>
      </c>
      <c r="H4276" s="44" t="s">
        <v>6264</v>
      </c>
      <c r="I4276" s="20">
        <v>0</v>
      </c>
      <c r="J4276" s="20">
        <v>2000</v>
      </c>
      <c r="K4276" s="20">
        <v>0</v>
      </c>
      <c r="L4276" s="20">
        <v>0</v>
      </c>
      <c r="M4276" s="20">
        <v>0</v>
      </c>
      <c r="N4276" s="20">
        <v>0</v>
      </c>
      <c r="O4276" s="20">
        <v>0</v>
      </c>
      <c r="P4276" s="26">
        <v>0</v>
      </c>
      <c r="Q4276" s="45" t="s">
        <v>154</v>
      </c>
    </row>
    <row r="4277" spans="1:17" ht="156" x14ac:dyDescent="0.25">
      <c r="A4277" s="23">
        <v>40645</v>
      </c>
      <c r="B4277" s="23">
        <v>40645</v>
      </c>
      <c r="C4277" s="24">
        <v>2011</v>
      </c>
      <c r="D4277" s="24" t="s">
        <v>141</v>
      </c>
      <c r="E4277" s="42" t="s">
        <v>447</v>
      </c>
      <c r="F4277" s="28" t="s">
        <v>157</v>
      </c>
      <c r="G4277" s="44" t="s">
        <v>5925</v>
      </c>
      <c r="H4277" s="44" t="s">
        <v>6265</v>
      </c>
      <c r="I4277" s="20">
        <v>0</v>
      </c>
      <c r="J4277" s="20">
        <v>44</v>
      </c>
      <c r="K4277" s="20">
        <v>0</v>
      </c>
      <c r="L4277" s="20">
        <v>0</v>
      </c>
      <c r="M4277" s="20">
        <v>0</v>
      </c>
      <c r="N4277" s="20">
        <v>0</v>
      </c>
      <c r="O4277" s="20">
        <v>0</v>
      </c>
      <c r="P4277" s="26">
        <v>0.1512</v>
      </c>
      <c r="Q4277" s="45" t="s">
        <v>154</v>
      </c>
    </row>
    <row r="4278" spans="1:17" ht="84" x14ac:dyDescent="0.25">
      <c r="A4278" s="23">
        <v>40610</v>
      </c>
      <c r="B4278" s="23">
        <v>40610</v>
      </c>
      <c r="C4278" s="24">
        <v>2011</v>
      </c>
      <c r="D4278" s="35" t="s">
        <v>28</v>
      </c>
      <c r="E4278" s="30" t="s">
        <v>133</v>
      </c>
      <c r="F4278" s="28" t="s">
        <v>157</v>
      </c>
      <c r="G4278" s="44" t="s">
        <v>3606</v>
      </c>
      <c r="H4278" s="44" t="s">
        <v>6266</v>
      </c>
      <c r="I4278" s="20">
        <v>0</v>
      </c>
      <c r="J4278" s="20">
        <v>6</v>
      </c>
      <c r="K4278" s="20">
        <v>0</v>
      </c>
      <c r="L4278" s="20">
        <v>0</v>
      </c>
      <c r="M4278" s="20">
        <v>0</v>
      </c>
      <c r="N4278" s="20">
        <v>0</v>
      </c>
      <c r="O4278" s="20">
        <v>0</v>
      </c>
      <c r="P4278" s="158">
        <v>0</v>
      </c>
      <c r="Q4278" s="45" t="s">
        <v>154</v>
      </c>
    </row>
    <row r="4279" spans="1:17" ht="84" x14ac:dyDescent="0.25">
      <c r="A4279" s="23">
        <v>40610</v>
      </c>
      <c r="B4279" s="23">
        <v>40610</v>
      </c>
      <c r="C4279" s="24">
        <v>2011</v>
      </c>
      <c r="D4279" s="24" t="s">
        <v>141</v>
      </c>
      <c r="E4279" s="30" t="s">
        <v>142</v>
      </c>
      <c r="F4279" s="28" t="s">
        <v>157</v>
      </c>
      <c r="G4279" s="44" t="s">
        <v>5923</v>
      </c>
      <c r="H4279" s="44" t="s">
        <v>6267</v>
      </c>
      <c r="I4279" s="20">
        <v>0</v>
      </c>
      <c r="J4279" s="20">
        <v>12</v>
      </c>
      <c r="K4279" s="20">
        <v>0</v>
      </c>
      <c r="L4279" s="20">
        <v>0</v>
      </c>
      <c r="M4279" s="20">
        <v>0</v>
      </c>
      <c r="N4279" s="20">
        <v>0</v>
      </c>
      <c r="O4279" s="20">
        <v>0</v>
      </c>
      <c r="P4279" s="26">
        <v>0.1512</v>
      </c>
      <c r="Q4279" s="45" t="s">
        <v>154</v>
      </c>
    </row>
    <row r="4280" spans="1:17" ht="156" x14ac:dyDescent="0.25">
      <c r="A4280" s="23">
        <v>40609</v>
      </c>
      <c r="B4280" s="23">
        <v>40609</v>
      </c>
      <c r="C4280" s="24">
        <v>2011</v>
      </c>
      <c r="D4280" s="35" t="s">
        <v>28</v>
      </c>
      <c r="E4280" s="6" t="s">
        <v>149</v>
      </c>
      <c r="F4280" s="28" t="s">
        <v>157</v>
      </c>
      <c r="G4280" s="44" t="s">
        <v>6268</v>
      </c>
      <c r="H4280" s="44" t="s">
        <v>6269</v>
      </c>
      <c r="I4280" s="20">
        <v>0</v>
      </c>
      <c r="J4280" s="20">
        <v>4</v>
      </c>
      <c r="K4280" s="20">
        <v>0</v>
      </c>
      <c r="L4280" s="20">
        <v>0</v>
      </c>
      <c r="M4280" s="20">
        <v>0</v>
      </c>
      <c r="N4280" s="20">
        <v>0</v>
      </c>
      <c r="O4280" s="20">
        <v>0</v>
      </c>
      <c r="P4280" s="158">
        <v>0</v>
      </c>
      <c r="Q4280" s="45" t="s">
        <v>154</v>
      </c>
    </row>
    <row r="4281" spans="1:17" ht="84" x14ac:dyDescent="0.25">
      <c r="A4281" s="23">
        <v>40609</v>
      </c>
      <c r="B4281" s="23">
        <v>40609</v>
      </c>
      <c r="C4281" s="24">
        <v>2011</v>
      </c>
      <c r="D4281" s="351" t="s">
        <v>23</v>
      </c>
      <c r="E4281" s="22" t="s">
        <v>86</v>
      </c>
      <c r="F4281" s="28" t="s">
        <v>157</v>
      </c>
      <c r="G4281" s="44" t="s">
        <v>6060</v>
      </c>
      <c r="H4281" s="44" t="s">
        <v>6270</v>
      </c>
      <c r="I4281" s="20">
        <v>0</v>
      </c>
      <c r="J4281" s="20">
        <f>(9*5)</f>
        <v>45</v>
      </c>
      <c r="K4281" s="20">
        <v>9</v>
      </c>
      <c r="L4281" s="20">
        <v>0</v>
      </c>
      <c r="M4281" s="20">
        <v>0</v>
      </c>
      <c r="N4281" s="20">
        <v>0</v>
      </c>
      <c r="O4281" s="20">
        <v>0</v>
      </c>
      <c r="P4281" s="26">
        <v>8.9999999999999993E-3</v>
      </c>
      <c r="Q4281" s="45" t="s">
        <v>154</v>
      </c>
    </row>
    <row r="4282" spans="1:17" ht="108" x14ac:dyDescent="0.25">
      <c r="A4282" s="23">
        <v>40608</v>
      </c>
      <c r="B4282" s="23">
        <v>40608</v>
      </c>
      <c r="C4282" s="24">
        <v>2011</v>
      </c>
      <c r="D4282" s="24" t="s">
        <v>141</v>
      </c>
      <c r="E4282" s="30" t="s">
        <v>142</v>
      </c>
      <c r="F4282" s="7" t="s">
        <v>45</v>
      </c>
      <c r="G4282" s="44" t="s">
        <v>2890</v>
      </c>
      <c r="H4282" s="44" t="s">
        <v>6271</v>
      </c>
      <c r="I4282" s="20">
        <v>0</v>
      </c>
      <c r="J4282" s="20">
        <v>1</v>
      </c>
      <c r="K4282" s="20">
        <v>0</v>
      </c>
      <c r="L4282" s="20">
        <v>0</v>
      </c>
      <c r="M4282" s="20">
        <v>0</v>
      </c>
      <c r="N4282" s="20">
        <v>0</v>
      </c>
      <c r="O4282" s="20">
        <v>0</v>
      </c>
      <c r="P4282" s="26">
        <v>0.45</v>
      </c>
      <c r="Q4282" s="45" t="s">
        <v>154</v>
      </c>
    </row>
    <row r="4283" spans="1:17" ht="36" x14ac:dyDescent="0.25">
      <c r="A4283" s="23">
        <v>40756</v>
      </c>
      <c r="B4283" s="23">
        <v>40756</v>
      </c>
      <c r="C4283" s="24">
        <v>2011</v>
      </c>
      <c r="D4283" s="351" t="s">
        <v>23</v>
      </c>
      <c r="E4283" s="22" t="s">
        <v>86</v>
      </c>
      <c r="F4283" s="7" t="s">
        <v>36</v>
      </c>
      <c r="G4283" s="44" t="s">
        <v>232</v>
      </c>
      <c r="H4283" s="44" t="s">
        <v>6272</v>
      </c>
      <c r="I4283" s="20">
        <v>0</v>
      </c>
      <c r="J4283" s="46">
        <f>(77*5)</f>
        <v>385</v>
      </c>
      <c r="K4283" s="20">
        <v>77</v>
      </c>
      <c r="L4283" s="20">
        <v>0</v>
      </c>
      <c r="M4283" s="20">
        <v>0</v>
      </c>
      <c r="N4283" s="20">
        <v>0</v>
      </c>
      <c r="O4283" s="20">
        <v>0</v>
      </c>
      <c r="P4283" s="47">
        <v>0.1925</v>
      </c>
      <c r="Q4283" s="45" t="s">
        <v>154</v>
      </c>
    </row>
    <row r="4284" spans="1:17" ht="409.5" x14ac:dyDescent="0.25">
      <c r="A4284" s="23">
        <v>40697</v>
      </c>
      <c r="B4284" s="23">
        <v>40697</v>
      </c>
      <c r="C4284" s="24">
        <v>2011</v>
      </c>
      <c r="D4284" s="351" t="s">
        <v>23</v>
      </c>
      <c r="E4284" s="22" t="s">
        <v>86</v>
      </c>
      <c r="F4284" s="7" t="s">
        <v>36</v>
      </c>
      <c r="G4284" s="44" t="s">
        <v>6273</v>
      </c>
      <c r="H4284" s="44" t="s">
        <v>6274</v>
      </c>
      <c r="I4284" s="20">
        <v>4</v>
      </c>
      <c r="J4284" s="46">
        <v>365</v>
      </c>
      <c r="K4284" s="20">
        <v>73</v>
      </c>
      <c r="L4284" s="20">
        <v>0</v>
      </c>
      <c r="M4284" s="20">
        <v>0</v>
      </c>
      <c r="N4284" s="20">
        <v>0</v>
      </c>
      <c r="O4284" s="20">
        <v>0</v>
      </c>
      <c r="P4284" s="47">
        <v>0.1825</v>
      </c>
      <c r="Q4284" s="45" t="s">
        <v>154</v>
      </c>
    </row>
    <row r="4285" spans="1:17" ht="120" x14ac:dyDescent="0.25">
      <c r="A4285" s="23">
        <v>40604</v>
      </c>
      <c r="B4285" s="23">
        <v>40604</v>
      </c>
      <c r="C4285" s="24">
        <v>2011</v>
      </c>
      <c r="D4285" s="24" t="s">
        <v>141</v>
      </c>
      <c r="E4285" s="30" t="s">
        <v>142</v>
      </c>
      <c r="F4285" s="7" t="s">
        <v>30</v>
      </c>
      <c r="G4285" s="44" t="s">
        <v>901</v>
      </c>
      <c r="H4285" s="44" t="s">
        <v>6275</v>
      </c>
      <c r="I4285" s="20">
        <v>0</v>
      </c>
      <c r="J4285" s="20">
        <v>1</v>
      </c>
      <c r="K4285" s="20">
        <v>0</v>
      </c>
      <c r="L4285" s="20">
        <v>0</v>
      </c>
      <c r="M4285" s="20">
        <v>0</v>
      </c>
      <c r="N4285" s="20">
        <v>0</v>
      </c>
      <c r="O4285" s="20">
        <v>0</v>
      </c>
      <c r="P4285" s="26">
        <v>0.45</v>
      </c>
      <c r="Q4285" s="45" t="s">
        <v>154</v>
      </c>
    </row>
    <row r="4286" spans="1:17" ht="72" x14ac:dyDescent="0.25">
      <c r="A4286" s="23">
        <v>40604</v>
      </c>
      <c r="B4286" s="23">
        <v>40604</v>
      </c>
      <c r="C4286" s="24">
        <v>2011</v>
      </c>
      <c r="D4286" s="24" t="s">
        <v>141</v>
      </c>
      <c r="E4286" s="49" t="s">
        <v>1600</v>
      </c>
      <c r="F4286" s="7" t="s">
        <v>30</v>
      </c>
      <c r="G4286" s="44" t="s">
        <v>1078</v>
      </c>
      <c r="H4286" s="44" t="s">
        <v>6276</v>
      </c>
      <c r="I4286" s="20">
        <v>0</v>
      </c>
      <c r="J4286" s="20">
        <v>17</v>
      </c>
      <c r="K4286" s="20">
        <v>0</v>
      </c>
      <c r="L4286" s="20">
        <v>0</v>
      </c>
      <c r="M4286" s="20">
        <v>0</v>
      </c>
      <c r="N4286" s="20">
        <v>0</v>
      </c>
      <c r="O4286" s="20">
        <v>0</v>
      </c>
      <c r="P4286" s="158">
        <v>0</v>
      </c>
      <c r="Q4286" s="45" t="s">
        <v>154</v>
      </c>
    </row>
    <row r="4287" spans="1:17" ht="144" x14ac:dyDescent="0.25">
      <c r="A4287" s="23">
        <v>40603</v>
      </c>
      <c r="B4287" s="23">
        <v>40603</v>
      </c>
      <c r="C4287" s="24">
        <v>2011</v>
      </c>
      <c r="D4287" s="351" t="s">
        <v>23</v>
      </c>
      <c r="E4287" s="41" t="s">
        <v>2722</v>
      </c>
      <c r="F4287" s="7" t="s">
        <v>58</v>
      </c>
      <c r="G4287" s="44" t="s">
        <v>2718</v>
      </c>
      <c r="H4287" s="44" t="s">
        <v>6277</v>
      </c>
      <c r="I4287" s="20">
        <v>1</v>
      </c>
      <c r="J4287" s="20">
        <v>1</v>
      </c>
      <c r="K4287" s="20">
        <v>0</v>
      </c>
      <c r="L4287" s="20">
        <v>0</v>
      </c>
      <c r="M4287" s="20">
        <v>0</v>
      </c>
      <c r="N4287" s="20">
        <v>0</v>
      </c>
      <c r="O4287" s="20">
        <v>0</v>
      </c>
      <c r="P4287" s="26">
        <v>2.1899999999999999E-2</v>
      </c>
      <c r="Q4287" s="45" t="s">
        <v>154</v>
      </c>
    </row>
    <row r="4288" spans="1:17" ht="120" x14ac:dyDescent="0.25">
      <c r="A4288" s="23">
        <v>40600</v>
      </c>
      <c r="B4288" s="23">
        <v>40600</v>
      </c>
      <c r="C4288" s="24">
        <v>2011</v>
      </c>
      <c r="D4288" s="35" t="s">
        <v>28</v>
      </c>
      <c r="E4288" s="6" t="s">
        <v>149</v>
      </c>
      <c r="F4288" s="7" t="s">
        <v>87</v>
      </c>
      <c r="G4288" s="44" t="s">
        <v>2259</v>
      </c>
      <c r="H4288" s="44" t="s">
        <v>6278</v>
      </c>
      <c r="I4288" s="20">
        <v>0</v>
      </c>
      <c r="J4288" s="20">
        <v>4</v>
      </c>
      <c r="K4288" s="20">
        <v>0</v>
      </c>
      <c r="L4288" s="20">
        <v>0</v>
      </c>
      <c r="M4288" s="20">
        <v>0</v>
      </c>
      <c r="N4288" s="20">
        <v>0</v>
      </c>
      <c r="O4288" s="20">
        <v>0</v>
      </c>
      <c r="P4288" s="158">
        <v>0</v>
      </c>
      <c r="Q4288" s="45" t="s">
        <v>154</v>
      </c>
    </row>
    <row r="4289" spans="1:17" ht="120" x14ac:dyDescent="0.25">
      <c r="A4289" s="23">
        <v>40600</v>
      </c>
      <c r="B4289" s="23">
        <v>40600</v>
      </c>
      <c r="C4289" s="24">
        <v>2011</v>
      </c>
      <c r="D4289" s="24" t="s">
        <v>141</v>
      </c>
      <c r="E4289" s="30" t="s">
        <v>142</v>
      </c>
      <c r="F4289" s="7" t="s">
        <v>87</v>
      </c>
      <c r="G4289" s="44" t="s">
        <v>936</v>
      </c>
      <c r="H4289" s="44" t="s">
        <v>6279</v>
      </c>
      <c r="I4289" s="20">
        <v>4</v>
      </c>
      <c r="J4289" s="20">
        <v>10</v>
      </c>
      <c r="K4289" s="20">
        <v>0</v>
      </c>
      <c r="L4289" s="20">
        <v>0</v>
      </c>
      <c r="M4289" s="20">
        <v>0</v>
      </c>
      <c r="N4289" s="20">
        <v>0</v>
      </c>
      <c r="O4289" s="20">
        <v>0</v>
      </c>
      <c r="P4289" s="158">
        <v>0</v>
      </c>
      <c r="Q4289" s="45" t="s">
        <v>154</v>
      </c>
    </row>
    <row r="4290" spans="1:17" ht="84" x14ac:dyDescent="0.25">
      <c r="A4290" s="23">
        <v>40596</v>
      </c>
      <c r="B4290" s="23">
        <v>40596</v>
      </c>
      <c r="C4290" s="24">
        <v>2011</v>
      </c>
      <c r="D4290" s="351" t="s">
        <v>23</v>
      </c>
      <c r="E4290" s="22" t="s">
        <v>86</v>
      </c>
      <c r="F4290" s="7" t="s">
        <v>75</v>
      </c>
      <c r="G4290" s="44" t="s">
        <v>6280</v>
      </c>
      <c r="H4290" s="44" t="s">
        <v>6281</v>
      </c>
      <c r="I4290" s="20">
        <v>0</v>
      </c>
      <c r="J4290" s="20">
        <v>175</v>
      </c>
      <c r="K4290" s="20">
        <v>35</v>
      </c>
      <c r="L4290" s="20">
        <v>0</v>
      </c>
      <c r="M4290" s="20">
        <v>0</v>
      </c>
      <c r="N4290" s="20">
        <v>0</v>
      </c>
      <c r="O4290" s="20">
        <v>0</v>
      </c>
      <c r="P4290" s="26">
        <v>0.35</v>
      </c>
      <c r="Q4290" s="45" t="s">
        <v>154</v>
      </c>
    </row>
    <row r="4291" spans="1:17" ht="96" x14ac:dyDescent="0.25">
      <c r="A4291" s="23">
        <v>40596</v>
      </c>
      <c r="B4291" s="23">
        <v>40596</v>
      </c>
      <c r="C4291" s="24">
        <v>2011</v>
      </c>
      <c r="D4291" s="35" t="s">
        <v>28</v>
      </c>
      <c r="E4291" s="30" t="s">
        <v>133</v>
      </c>
      <c r="F4291" s="7" t="s">
        <v>72</v>
      </c>
      <c r="G4291" s="44" t="s">
        <v>4028</v>
      </c>
      <c r="H4291" s="44" t="s">
        <v>6282</v>
      </c>
      <c r="I4291" s="20">
        <v>0</v>
      </c>
      <c r="J4291" s="20">
        <v>25</v>
      </c>
      <c r="K4291" s="20">
        <v>5</v>
      </c>
      <c r="L4291" s="20">
        <v>0</v>
      </c>
      <c r="M4291" s="20">
        <v>0</v>
      </c>
      <c r="N4291" s="20">
        <v>0</v>
      </c>
      <c r="O4291" s="20">
        <v>0</v>
      </c>
      <c r="P4291" s="26">
        <v>2.75E-2</v>
      </c>
      <c r="Q4291" s="45" t="s">
        <v>154</v>
      </c>
    </row>
    <row r="4292" spans="1:17" ht="240" x14ac:dyDescent="0.25">
      <c r="A4292" s="23">
        <v>40596</v>
      </c>
      <c r="B4292" s="23">
        <v>40596</v>
      </c>
      <c r="C4292" s="24">
        <v>2011</v>
      </c>
      <c r="D4292" s="351" t="s">
        <v>23</v>
      </c>
      <c r="E4292" s="22" t="s">
        <v>86</v>
      </c>
      <c r="F4292" s="7" t="s">
        <v>72</v>
      </c>
      <c r="G4292" s="44" t="s">
        <v>6283</v>
      </c>
      <c r="H4292" s="44" t="s">
        <v>6284</v>
      </c>
      <c r="I4292" s="20">
        <v>1</v>
      </c>
      <c r="J4292" s="20">
        <v>3200</v>
      </c>
      <c r="K4292" s="20">
        <v>1</v>
      </c>
      <c r="L4292" s="20">
        <v>0</v>
      </c>
      <c r="M4292" s="20">
        <v>0</v>
      </c>
      <c r="N4292" s="20">
        <v>0</v>
      </c>
      <c r="O4292" s="20">
        <v>0</v>
      </c>
      <c r="P4292" s="26">
        <v>0.12</v>
      </c>
      <c r="Q4292" s="45" t="s">
        <v>154</v>
      </c>
    </row>
    <row r="4293" spans="1:17" ht="108" x14ac:dyDescent="0.25">
      <c r="A4293" s="23">
        <v>40595</v>
      </c>
      <c r="B4293" s="23">
        <v>40595</v>
      </c>
      <c r="C4293" s="24">
        <v>2011</v>
      </c>
      <c r="D4293" s="35" t="s">
        <v>17</v>
      </c>
      <c r="E4293" s="49" t="s">
        <v>1597</v>
      </c>
      <c r="F4293" s="7" t="s">
        <v>72</v>
      </c>
      <c r="G4293" s="44" t="s">
        <v>6285</v>
      </c>
      <c r="H4293" s="44" t="s">
        <v>6286</v>
      </c>
      <c r="I4293" s="20">
        <v>0</v>
      </c>
      <c r="J4293" s="20">
        <v>40</v>
      </c>
      <c r="K4293" s="20">
        <v>8</v>
      </c>
      <c r="L4293" s="20">
        <v>0</v>
      </c>
      <c r="M4293" s="20">
        <v>0</v>
      </c>
      <c r="N4293" s="20">
        <v>0</v>
      </c>
      <c r="O4293" s="20">
        <v>0</v>
      </c>
      <c r="P4293" s="26">
        <v>0.59199999999999997</v>
      </c>
      <c r="Q4293" s="45" t="s">
        <v>154</v>
      </c>
    </row>
    <row r="4294" spans="1:17" ht="409.5" x14ac:dyDescent="0.25">
      <c r="A4294" s="23">
        <v>40595</v>
      </c>
      <c r="B4294" s="23">
        <v>40595</v>
      </c>
      <c r="C4294" s="24">
        <v>2011</v>
      </c>
      <c r="D4294" s="351" t="s">
        <v>23</v>
      </c>
      <c r="E4294" s="22" t="s">
        <v>86</v>
      </c>
      <c r="F4294" s="7" t="s">
        <v>72</v>
      </c>
      <c r="G4294" s="44" t="s">
        <v>6287</v>
      </c>
      <c r="H4294" s="44" t="s">
        <v>6288</v>
      </c>
      <c r="I4294" s="20">
        <v>0</v>
      </c>
      <c r="J4294" s="20">
        <f>(139*5)</f>
        <v>695</v>
      </c>
      <c r="K4294" s="20">
        <v>139</v>
      </c>
      <c r="L4294" s="20">
        <v>0</v>
      </c>
      <c r="M4294" s="20">
        <v>0</v>
      </c>
      <c r="N4294" s="20">
        <v>0</v>
      </c>
      <c r="O4294" s="20">
        <v>0</v>
      </c>
      <c r="P4294" s="26">
        <v>0.34749999999999998</v>
      </c>
      <c r="Q4294" s="45" t="s">
        <v>154</v>
      </c>
    </row>
    <row r="4295" spans="1:17" ht="72" x14ac:dyDescent="0.25">
      <c r="A4295" s="23">
        <v>40595</v>
      </c>
      <c r="B4295" s="23">
        <v>40595</v>
      </c>
      <c r="C4295" s="24">
        <v>2011</v>
      </c>
      <c r="D4295" s="24" t="s">
        <v>141</v>
      </c>
      <c r="E4295" s="30" t="s">
        <v>142</v>
      </c>
      <c r="F4295" s="7" t="s">
        <v>68</v>
      </c>
      <c r="G4295" s="44" t="s">
        <v>6289</v>
      </c>
      <c r="H4295" s="44" t="s">
        <v>6290</v>
      </c>
      <c r="I4295" s="20">
        <v>0</v>
      </c>
      <c r="J4295" s="20">
        <v>2</v>
      </c>
      <c r="K4295" s="20">
        <v>0</v>
      </c>
      <c r="L4295" s="20">
        <v>0</v>
      </c>
      <c r="M4295" s="20">
        <v>0</v>
      </c>
      <c r="N4295" s="20">
        <v>0</v>
      </c>
      <c r="O4295" s="20">
        <v>0</v>
      </c>
      <c r="P4295" s="26">
        <v>0.45</v>
      </c>
      <c r="Q4295" s="45" t="s">
        <v>154</v>
      </c>
    </row>
    <row r="4296" spans="1:17" ht="108" x14ac:dyDescent="0.25">
      <c r="A4296" s="23">
        <v>40595</v>
      </c>
      <c r="B4296" s="23">
        <v>40595</v>
      </c>
      <c r="C4296" s="24">
        <v>2011</v>
      </c>
      <c r="D4296" s="24" t="s">
        <v>141</v>
      </c>
      <c r="E4296" s="30" t="s">
        <v>142</v>
      </c>
      <c r="F4296" s="7" t="s">
        <v>68</v>
      </c>
      <c r="G4296" s="44" t="s">
        <v>1121</v>
      </c>
      <c r="H4296" s="159" t="s">
        <v>6291</v>
      </c>
      <c r="I4296" s="20">
        <v>0</v>
      </c>
      <c r="J4296" s="20">
        <v>25</v>
      </c>
      <c r="K4296" s="20">
        <v>0</v>
      </c>
      <c r="L4296" s="20">
        <v>0</v>
      </c>
      <c r="M4296" s="20">
        <v>0</v>
      </c>
      <c r="N4296" s="20">
        <v>0</v>
      </c>
      <c r="O4296" s="20">
        <v>0</v>
      </c>
      <c r="P4296" s="26">
        <v>0.4</v>
      </c>
      <c r="Q4296" s="45" t="s">
        <v>154</v>
      </c>
    </row>
    <row r="4297" spans="1:17" ht="60" x14ac:dyDescent="0.25">
      <c r="A4297" s="23">
        <v>40594</v>
      </c>
      <c r="B4297" s="23">
        <v>40594</v>
      </c>
      <c r="C4297" s="24">
        <v>2011</v>
      </c>
      <c r="D4297" s="35" t="s">
        <v>28</v>
      </c>
      <c r="E4297" s="30" t="s">
        <v>133</v>
      </c>
      <c r="F4297" s="7" t="s">
        <v>65</v>
      </c>
      <c r="G4297" s="44" t="s">
        <v>6292</v>
      </c>
      <c r="H4297" s="44" t="s">
        <v>6293</v>
      </c>
      <c r="I4297" s="20">
        <v>2</v>
      </c>
      <c r="J4297" s="20">
        <v>2</v>
      </c>
      <c r="K4297" s="20">
        <v>0</v>
      </c>
      <c r="L4297" s="20">
        <v>0</v>
      </c>
      <c r="M4297" s="20">
        <v>0</v>
      </c>
      <c r="N4297" s="20">
        <v>0</v>
      </c>
      <c r="O4297" s="20">
        <v>0</v>
      </c>
      <c r="P4297" s="158">
        <v>0</v>
      </c>
      <c r="Q4297" s="45" t="s">
        <v>154</v>
      </c>
    </row>
    <row r="4298" spans="1:17" ht="84" x14ac:dyDescent="0.25">
      <c r="A4298" s="23">
        <v>40714</v>
      </c>
      <c r="B4298" s="23">
        <v>40714</v>
      </c>
      <c r="C4298" s="24">
        <v>2011</v>
      </c>
      <c r="D4298" s="35" t="s">
        <v>28</v>
      </c>
      <c r="E4298" s="6" t="s">
        <v>149</v>
      </c>
      <c r="F4298" s="7" t="s">
        <v>65</v>
      </c>
      <c r="G4298" s="44" t="s">
        <v>1632</v>
      </c>
      <c r="H4298" s="44" t="s">
        <v>6294</v>
      </c>
      <c r="I4298" s="20">
        <v>0</v>
      </c>
      <c r="J4298" s="20">
        <v>15</v>
      </c>
      <c r="K4298" s="20">
        <v>0</v>
      </c>
      <c r="L4298" s="20">
        <v>0</v>
      </c>
      <c r="M4298" s="20">
        <v>0</v>
      </c>
      <c r="N4298" s="20">
        <v>0</v>
      </c>
      <c r="O4298" s="20">
        <v>0</v>
      </c>
      <c r="P4298" s="158">
        <v>0</v>
      </c>
      <c r="Q4298" s="45" t="s">
        <v>154</v>
      </c>
    </row>
    <row r="4299" spans="1:17" ht="108" x14ac:dyDescent="0.25">
      <c r="A4299" s="23">
        <v>40687</v>
      </c>
      <c r="B4299" s="23">
        <v>40687</v>
      </c>
      <c r="C4299" s="24">
        <v>2011</v>
      </c>
      <c r="D4299" s="35" t="s">
        <v>28</v>
      </c>
      <c r="E4299" s="6" t="s">
        <v>149</v>
      </c>
      <c r="F4299" s="7" t="s">
        <v>62</v>
      </c>
      <c r="G4299" s="44" t="s">
        <v>165</v>
      </c>
      <c r="H4299" s="44" t="s">
        <v>6295</v>
      </c>
      <c r="I4299" s="20">
        <v>0</v>
      </c>
      <c r="J4299" s="20">
        <v>470</v>
      </c>
      <c r="K4299" s="20">
        <v>0</v>
      </c>
      <c r="L4299" s="20">
        <v>1</v>
      </c>
      <c r="M4299" s="20">
        <v>0</v>
      </c>
      <c r="N4299" s="20">
        <v>0</v>
      </c>
      <c r="O4299" s="20">
        <v>0</v>
      </c>
      <c r="P4299" s="158">
        <v>0</v>
      </c>
      <c r="Q4299" s="45" t="s">
        <v>154</v>
      </c>
    </row>
    <row r="4300" spans="1:17" ht="108" x14ac:dyDescent="0.25">
      <c r="A4300" s="23">
        <v>40592</v>
      </c>
      <c r="B4300" s="23">
        <v>40592</v>
      </c>
      <c r="C4300" s="24">
        <v>2011</v>
      </c>
      <c r="D4300" s="35" t="s">
        <v>28</v>
      </c>
      <c r="E4300" s="6" t="s">
        <v>149</v>
      </c>
      <c r="F4300" s="7" t="s">
        <v>53</v>
      </c>
      <c r="G4300" s="44" t="s">
        <v>878</v>
      </c>
      <c r="H4300" s="44" t="s">
        <v>6296</v>
      </c>
      <c r="I4300" s="20">
        <v>0</v>
      </c>
      <c r="J4300" s="20">
        <v>40</v>
      </c>
      <c r="K4300" s="20">
        <v>8</v>
      </c>
      <c r="L4300" s="20">
        <v>0</v>
      </c>
      <c r="M4300" s="20">
        <v>0</v>
      </c>
      <c r="N4300" s="20">
        <v>0</v>
      </c>
      <c r="O4300" s="20">
        <v>0</v>
      </c>
      <c r="P4300" s="26">
        <v>0.96</v>
      </c>
      <c r="Q4300" s="45" t="s">
        <v>154</v>
      </c>
    </row>
    <row r="4301" spans="1:17" ht="24" x14ac:dyDescent="0.25">
      <c r="A4301" s="23">
        <v>40638</v>
      </c>
      <c r="B4301" s="23">
        <v>40638</v>
      </c>
      <c r="C4301" s="24">
        <v>2011</v>
      </c>
      <c r="D4301" s="35" t="s">
        <v>28</v>
      </c>
      <c r="E4301" s="6" t="s">
        <v>149</v>
      </c>
      <c r="F4301" s="7" t="s">
        <v>60</v>
      </c>
      <c r="G4301" s="44" t="s">
        <v>908</v>
      </c>
      <c r="H4301" s="44" t="s">
        <v>6297</v>
      </c>
      <c r="I4301" s="20">
        <v>0</v>
      </c>
      <c r="J4301" s="20">
        <v>25</v>
      </c>
      <c r="K4301" s="20">
        <v>0</v>
      </c>
      <c r="L4301" s="20">
        <v>0</v>
      </c>
      <c r="M4301" s="20">
        <v>0</v>
      </c>
      <c r="N4301" s="20">
        <v>0</v>
      </c>
      <c r="O4301" s="20">
        <v>0</v>
      </c>
      <c r="P4301" s="158">
        <v>0</v>
      </c>
      <c r="Q4301" s="45" t="s">
        <v>154</v>
      </c>
    </row>
    <row r="4302" spans="1:17" ht="96" x14ac:dyDescent="0.25">
      <c r="A4302" s="23">
        <v>40762</v>
      </c>
      <c r="B4302" s="23">
        <v>40762</v>
      </c>
      <c r="C4302" s="24">
        <v>2011</v>
      </c>
      <c r="D4302" s="24" t="s">
        <v>141</v>
      </c>
      <c r="E4302" s="49" t="s">
        <v>1600</v>
      </c>
      <c r="F4302" s="7" t="s">
        <v>60</v>
      </c>
      <c r="G4302" s="44" t="s">
        <v>2597</v>
      </c>
      <c r="H4302" s="44" t="s">
        <v>6298</v>
      </c>
      <c r="I4302" s="20">
        <v>0</v>
      </c>
      <c r="J4302" s="20">
        <v>9</v>
      </c>
      <c r="K4302" s="20">
        <v>0</v>
      </c>
      <c r="L4302" s="20">
        <v>0</v>
      </c>
      <c r="M4302" s="20">
        <v>0</v>
      </c>
      <c r="N4302" s="20">
        <v>0</v>
      </c>
      <c r="O4302" s="20">
        <v>0</v>
      </c>
      <c r="P4302" s="158">
        <v>0</v>
      </c>
      <c r="Q4302" s="45" t="s">
        <v>154</v>
      </c>
    </row>
    <row r="4303" spans="1:17" ht="48" x14ac:dyDescent="0.25">
      <c r="A4303" s="23">
        <v>40589</v>
      </c>
      <c r="B4303" s="23">
        <v>40589</v>
      </c>
      <c r="C4303" s="24">
        <v>2011</v>
      </c>
      <c r="D4303" s="35" t="s">
        <v>17</v>
      </c>
      <c r="E4303" s="49" t="s">
        <v>1597</v>
      </c>
      <c r="F4303" s="28" t="s">
        <v>160</v>
      </c>
      <c r="G4303" s="44" t="s">
        <v>4164</v>
      </c>
      <c r="H4303" s="44" t="s">
        <v>6299</v>
      </c>
      <c r="I4303" s="20">
        <v>1</v>
      </c>
      <c r="J4303" s="20">
        <v>1</v>
      </c>
      <c r="K4303" s="20">
        <v>0</v>
      </c>
      <c r="L4303" s="20">
        <v>0</v>
      </c>
      <c r="M4303" s="20">
        <v>0</v>
      </c>
      <c r="N4303" s="20">
        <v>0</v>
      </c>
      <c r="O4303" s="20">
        <v>0</v>
      </c>
      <c r="P4303" s="26">
        <v>0</v>
      </c>
      <c r="Q4303" s="45" t="s">
        <v>154</v>
      </c>
    </row>
    <row r="4304" spans="1:17" ht="108" x14ac:dyDescent="0.25">
      <c r="A4304" s="23">
        <v>40589</v>
      </c>
      <c r="B4304" s="23">
        <v>40589</v>
      </c>
      <c r="C4304" s="24">
        <v>2011</v>
      </c>
      <c r="D4304" s="35" t="s">
        <v>28</v>
      </c>
      <c r="E4304" s="30" t="s">
        <v>133</v>
      </c>
      <c r="F4304" s="28" t="s">
        <v>160</v>
      </c>
      <c r="G4304" s="44" t="s">
        <v>3424</v>
      </c>
      <c r="H4304" s="44" t="s">
        <v>6300</v>
      </c>
      <c r="I4304" s="20">
        <v>2</v>
      </c>
      <c r="J4304" s="20">
        <v>3</v>
      </c>
      <c r="K4304" s="20">
        <v>0</v>
      </c>
      <c r="L4304" s="20">
        <v>0</v>
      </c>
      <c r="M4304" s="20">
        <v>0</v>
      </c>
      <c r="N4304" s="20">
        <v>0</v>
      </c>
      <c r="O4304" s="20">
        <v>0</v>
      </c>
      <c r="P4304" s="158">
        <v>0</v>
      </c>
      <c r="Q4304" s="45" t="s">
        <v>154</v>
      </c>
    </row>
    <row r="4305" spans="1:17" ht="132" x14ac:dyDescent="0.25">
      <c r="A4305" s="23">
        <v>40587</v>
      </c>
      <c r="B4305" s="23">
        <v>40587</v>
      </c>
      <c r="C4305" s="24">
        <v>2011</v>
      </c>
      <c r="D4305" s="351" t="s">
        <v>23</v>
      </c>
      <c r="E4305" s="22" t="s">
        <v>86</v>
      </c>
      <c r="F4305" s="7" t="s">
        <v>58</v>
      </c>
      <c r="G4305" s="44" t="s">
        <v>6301</v>
      </c>
      <c r="H4305" s="44" t="s">
        <v>6302</v>
      </c>
      <c r="I4305" s="20">
        <v>0</v>
      </c>
      <c r="J4305" s="20">
        <v>236</v>
      </c>
      <c r="K4305" s="20">
        <v>42</v>
      </c>
      <c r="L4305" s="20">
        <v>0</v>
      </c>
      <c r="M4305" s="20">
        <v>0</v>
      </c>
      <c r="N4305" s="20">
        <v>0</v>
      </c>
      <c r="O4305" s="20">
        <v>0</v>
      </c>
      <c r="P4305" s="26">
        <v>0.3649</v>
      </c>
      <c r="Q4305" s="45" t="s">
        <v>154</v>
      </c>
    </row>
    <row r="4306" spans="1:17" ht="132" x14ac:dyDescent="0.25">
      <c r="A4306" s="23">
        <v>40586</v>
      </c>
      <c r="B4306" s="23">
        <v>40586</v>
      </c>
      <c r="C4306" s="24">
        <v>2011</v>
      </c>
      <c r="D4306" s="351" t="s">
        <v>23</v>
      </c>
      <c r="E4306" s="22" t="s">
        <v>86</v>
      </c>
      <c r="F4306" s="7" t="s">
        <v>58</v>
      </c>
      <c r="G4306" s="44" t="s">
        <v>6303</v>
      </c>
      <c r="H4306" s="44" t="s">
        <v>6304</v>
      </c>
      <c r="I4306" s="20">
        <v>0</v>
      </c>
      <c r="J4306" s="20">
        <v>45</v>
      </c>
      <c r="K4306" s="20">
        <v>9</v>
      </c>
      <c r="L4306" s="20">
        <v>1</v>
      </c>
      <c r="M4306" s="20">
        <v>0</v>
      </c>
      <c r="N4306" s="20">
        <v>0</v>
      </c>
      <c r="O4306" s="20">
        <v>0</v>
      </c>
      <c r="P4306" s="26">
        <v>3.8473E-2</v>
      </c>
      <c r="Q4306" s="45" t="s">
        <v>154</v>
      </c>
    </row>
    <row r="4307" spans="1:17" ht="96" x14ac:dyDescent="0.25">
      <c r="A4307" s="23">
        <v>40586</v>
      </c>
      <c r="B4307" s="23">
        <v>40586</v>
      </c>
      <c r="C4307" s="24">
        <v>2011</v>
      </c>
      <c r="D4307" s="351" t="s">
        <v>23</v>
      </c>
      <c r="E4307" s="22" t="s">
        <v>86</v>
      </c>
      <c r="F4307" s="7" t="s">
        <v>58</v>
      </c>
      <c r="G4307" s="44" t="s">
        <v>6046</v>
      </c>
      <c r="H4307" s="44" t="s">
        <v>6305</v>
      </c>
      <c r="I4307" s="20">
        <v>0</v>
      </c>
      <c r="J4307" s="20">
        <f>(35*5)</f>
        <v>175</v>
      </c>
      <c r="K4307" s="20">
        <v>35</v>
      </c>
      <c r="L4307" s="20">
        <v>0</v>
      </c>
      <c r="M4307" s="20">
        <v>0</v>
      </c>
      <c r="N4307" s="20">
        <v>0</v>
      </c>
      <c r="O4307" s="20">
        <v>0</v>
      </c>
      <c r="P4307" s="26">
        <v>3.1E-2</v>
      </c>
      <c r="Q4307" s="45" t="s">
        <v>154</v>
      </c>
    </row>
    <row r="4308" spans="1:17" ht="168" x14ac:dyDescent="0.25">
      <c r="A4308" s="23">
        <v>40586</v>
      </c>
      <c r="B4308" s="23">
        <v>40586</v>
      </c>
      <c r="C4308" s="24">
        <v>2011</v>
      </c>
      <c r="D4308" s="35" t="s">
        <v>17</v>
      </c>
      <c r="E4308" s="49" t="s">
        <v>1597</v>
      </c>
      <c r="F4308" s="7" t="s">
        <v>58</v>
      </c>
      <c r="G4308" s="44" t="s">
        <v>6306</v>
      </c>
      <c r="H4308" s="44" t="s">
        <v>6307</v>
      </c>
      <c r="I4308" s="20">
        <v>0</v>
      </c>
      <c r="J4308" s="20">
        <f>(4*5)</f>
        <v>20</v>
      </c>
      <c r="K4308" s="20">
        <v>4</v>
      </c>
      <c r="L4308" s="20">
        <v>0</v>
      </c>
      <c r="M4308" s="20">
        <v>0</v>
      </c>
      <c r="N4308" s="20">
        <v>0</v>
      </c>
      <c r="O4308" s="20">
        <v>0</v>
      </c>
      <c r="P4308" s="26">
        <v>0.120252</v>
      </c>
      <c r="Q4308" s="45" t="s">
        <v>154</v>
      </c>
    </row>
    <row r="4309" spans="1:17" ht="60" x14ac:dyDescent="0.25">
      <c r="A4309" s="23">
        <v>40584</v>
      </c>
      <c r="B4309" s="23">
        <v>40584</v>
      </c>
      <c r="C4309" s="24">
        <v>2011</v>
      </c>
      <c r="D4309" s="24" t="s">
        <v>141</v>
      </c>
      <c r="E4309" s="30" t="s">
        <v>142</v>
      </c>
      <c r="F4309" s="7" t="s">
        <v>56</v>
      </c>
      <c r="G4309" s="44" t="s">
        <v>711</v>
      </c>
      <c r="H4309" s="126" t="s">
        <v>6308</v>
      </c>
      <c r="I4309" s="20">
        <v>1</v>
      </c>
      <c r="J4309" s="20">
        <v>13</v>
      </c>
      <c r="K4309" s="20">
        <v>0</v>
      </c>
      <c r="L4309" s="20">
        <v>0</v>
      </c>
      <c r="M4309" s="20">
        <v>0</v>
      </c>
      <c r="N4309" s="20">
        <v>0</v>
      </c>
      <c r="O4309" s="20">
        <v>0</v>
      </c>
      <c r="P4309" s="26">
        <v>0.4</v>
      </c>
      <c r="Q4309" s="45" t="s">
        <v>154</v>
      </c>
    </row>
    <row r="4310" spans="1:17" ht="60" x14ac:dyDescent="0.25">
      <c r="A4310" s="23">
        <v>40637</v>
      </c>
      <c r="B4310" s="23">
        <v>40637</v>
      </c>
      <c r="C4310" s="24">
        <v>2011</v>
      </c>
      <c r="D4310" s="35" t="s">
        <v>28</v>
      </c>
      <c r="E4310" s="6" t="s">
        <v>149</v>
      </c>
      <c r="F4310" s="28" t="s">
        <v>157</v>
      </c>
      <c r="G4310" s="44" t="s">
        <v>6309</v>
      </c>
      <c r="H4310" s="44" t="s">
        <v>6310</v>
      </c>
      <c r="I4310" s="20">
        <v>0</v>
      </c>
      <c r="J4310" s="20">
        <v>0</v>
      </c>
      <c r="K4310" s="20">
        <v>0</v>
      </c>
      <c r="L4310" s="20">
        <v>0</v>
      </c>
      <c r="M4310" s="20">
        <v>0</v>
      </c>
      <c r="N4310" s="20">
        <v>0</v>
      </c>
      <c r="O4310" s="20">
        <v>0</v>
      </c>
      <c r="P4310" s="26">
        <v>0.8</v>
      </c>
      <c r="Q4310" s="45" t="s">
        <v>154</v>
      </c>
    </row>
    <row r="4311" spans="1:17" ht="132" x14ac:dyDescent="0.25">
      <c r="A4311" s="23">
        <v>40581</v>
      </c>
      <c r="B4311" s="23">
        <v>40581</v>
      </c>
      <c r="C4311" s="24">
        <v>2011</v>
      </c>
      <c r="D4311" s="24" t="s">
        <v>141</v>
      </c>
      <c r="E4311" s="30" t="s">
        <v>142</v>
      </c>
      <c r="F4311" s="28" t="s">
        <v>157</v>
      </c>
      <c r="G4311" s="44" t="s">
        <v>6056</v>
      </c>
      <c r="H4311" s="44" t="s">
        <v>6311</v>
      </c>
      <c r="I4311" s="20">
        <v>0</v>
      </c>
      <c r="J4311" s="20">
        <v>3</v>
      </c>
      <c r="K4311" s="20">
        <v>0</v>
      </c>
      <c r="L4311" s="20">
        <v>0</v>
      </c>
      <c r="M4311" s="20">
        <v>0</v>
      </c>
      <c r="N4311" s="20">
        <v>0</v>
      </c>
      <c r="O4311" s="20">
        <v>0</v>
      </c>
      <c r="P4311" s="26">
        <v>0.52559999999999996</v>
      </c>
      <c r="Q4311" s="45" t="s">
        <v>154</v>
      </c>
    </row>
    <row r="4312" spans="1:17" ht="84" x14ac:dyDescent="0.25">
      <c r="A4312" s="23">
        <v>40581</v>
      </c>
      <c r="B4312" s="23">
        <v>40581</v>
      </c>
      <c r="C4312" s="24">
        <v>2011</v>
      </c>
      <c r="D4312" s="351" t="s">
        <v>23</v>
      </c>
      <c r="E4312" s="22" t="s">
        <v>86</v>
      </c>
      <c r="F4312" s="28" t="s">
        <v>157</v>
      </c>
      <c r="G4312" s="44" t="s">
        <v>3658</v>
      </c>
      <c r="H4312" s="44" t="s">
        <v>6312</v>
      </c>
      <c r="I4312" s="20">
        <v>1</v>
      </c>
      <c r="J4312" s="20">
        <v>6</v>
      </c>
      <c r="K4312" s="20">
        <v>0</v>
      </c>
      <c r="L4312" s="20">
        <v>0</v>
      </c>
      <c r="M4312" s="20">
        <v>0</v>
      </c>
      <c r="N4312" s="20">
        <v>0</v>
      </c>
      <c r="O4312" s="20">
        <v>0</v>
      </c>
      <c r="P4312" s="26">
        <v>0.12</v>
      </c>
      <c r="Q4312" s="45" t="s">
        <v>154</v>
      </c>
    </row>
    <row r="4313" spans="1:17" ht="108" x14ac:dyDescent="0.25">
      <c r="A4313" s="23">
        <v>40580</v>
      </c>
      <c r="B4313" s="23">
        <v>40580</v>
      </c>
      <c r="C4313" s="24">
        <v>2011</v>
      </c>
      <c r="D4313" s="24" t="s">
        <v>141</v>
      </c>
      <c r="E4313" s="30" t="s">
        <v>142</v>
      </c>
      <c r="F4313" s="7" t="s">
        <v>45</v>
      </c>
      <c r="G4313" s="44" t="s">
        <v>6313</v>
      </c>
      <c r="H4313" s="44" t="s">
        <v>6314</v>
      </c>
      <c r="I4313" s="20">
        <v>0</v>
      </c>
      <c r="J4313" s="20">
        <v>3</v>
      </c>
      <c r="K4313" s="20">
        <v>0</v>
      </c>
      <c r="L4313" s="20">
        <v>0</v>
      </c>
      <c r="M4313" s="20">
        <v>0</v>
      </c>
      <c r="N4313" s="20">
        <v>0</v>
      </c>
      <c r="O4313" s="20">
        <v>0</v>
      </c>
      <c r="P4313" s="26">
        <v>0.27500000000000002</v>
      </c>
      <c r="Q4313" s="45" t="s">
        <v>154</v>
      </c>
    </row>
    <row r="4314" spans="1:17" ht="156" x14ac:dyDescent="0.25">
      <c r="A4314" s="23">
        <v>40580</v>
      </c>
      <c r="B4314" s="23">
        <v>40580</v>
      </c>
      <c r="C4314" s="24">
        <v>2011</v>
      </c>
      <c r="D4314" s="35" t="s">
        <v>28</v>
      </c>
      <c r="E4314" s="6" t="s">
        <v>149</v>
      </c>
      <c r="F4314" s="7" t="s">
        <v>45</v>
      </c>
      <c r="G4314" s="44" t="s">
        <v>4108</v>
      </c>
      <c r="H4314" s="44" t="s">
        <v>6315</v>
      </c>
      <c r="I4314" s="20">
        <v>0</v>
      </c>
      <c r="J4314" s="20">
        <v>45</v>
      </c>
      <c r="K4314" s="20">
        <v>4</v>
      </c>
      <c r="L4314" s="20">
        <v>0</v>
      </c>
      <c r="M4314" s="20">
        <v>0</v>
      </c>
      <c r="N4314" s="20">
        <v>0</v>
      </c>
      <c r="O4314" s="20">
        <v>0</v>
      </c>
      <c r="P4314" s="26">
        <v>0.112</v>
      </c>
      <c r="Q4314" s="45" t="s">
        <v>154</v>
      </c>
    </row>
    <row r="4315" spans="1:17" ht="156" x14ac:dyDescent="0.25">
      <c r="A4315" s="23">
        <v>40579</v>
      </c>
      <c r="B4315" s="23">
        <v>40579</v>
      </c>
      <c r="C4315" s="24">
        <v>2011</v>
      </c>
      <c r="D4315" s="24" t="s">
        <v>141</v>
      </c>
      <c r="E4315" s="30" t="s">
        <v>142</v>
      </c>
      <c r="F4315" s="7" t="s">
        <v>40</v>
      </c>
      <c r="G4315" s="44" t="s">
        <v>569</v>
      </c>
      <c r="H4315" s="44" t="s">
        <v>6316</v>
      </c>
      <c r="I4315" s="20">
        <v>1</v>
      </c>
      <c r="J4315" s="20">
        <v>2</v>
      </c>
      <c r="K4315" s="20">
        <v>0</v>
      </c>
      <c r="L4315" s="20">
        <v>0</v>
      </c>
      <c r="M4315" s="20">
        <v>0</v>
      </c>
      <c r="N4315" s="20">
        <v>0</v>
      </c>
      <c r="O4315" s="20">
        <v>0</v>
      </c>
      <c r="P4315" s="26">
        <v>0.45</v>
      </c>
      <c r="Q4315" s="45" t="s">
        <v>154</v>
      </c>
    </row>
    <row r="4316" spans="1:17" ht="72" x14ac:dyDescent="0.25">
      <c r="A4316" s="23">
        <v>40579</v>
      </c>
      <c r="B4316" s="23">
        <v>40579</v>
      </c>
      <c r="C4316" s="24">
        <v>2011</v>
      </c>
      <c r="D4316" s="35" t="s">
        <v>28</v>
      </c>
      <c r="E4316" s="30" t="s">
        <v>133</v>
      </c>
      <c r="F4316" s="7" t="s">
        <v>40</v>
      </c>
      <c r="G4316" s="44" t="s">
        <v>6317</v>
      </c>
      <c r="H4316" s="44" t="s">
        <v>6318</v>
      </c>
      <c r="I4316" s="20">
        <v>0</v>
      </c>
      <c r="J4316" s="20">
        <v>5</v>
      </c>
      <c r="K4316" s="20">
        <v>0</v>
      </c>
      <c r="L4316" s="20">
        <v>0</v>
      </c>
      <c r="M4316" s="20">
        <v>0</v>
      </c>
      <c r="N4316" s="20">
        <v>0</v>
      </c>
      <c r="O4316" s="20">
        <v>0</v>
      </c>
      <c r="P4316" s="26">
        <v>0</v>
      </c>
      <c r="Q4316" s="45" t="s">
        <v>154</v>
      </c>
    </row>
    <row r="4317" spans="1:17" ht="120" x14ac:dyDescent="0.25">
      <c r="A4317" s="23">
        <v>40589</v>
      </c>
      <c r="B4317" s="23">
        <v>40589</v>
      </c>
      <c r="C4317" s="24">
        <v>2011</v>
      </c>
      <c r="D4317" s="24" t="s">
        <v>141</v>
      </c>
      <c r="E4317" s="30" t="s">
        <v>142</v>
      </c>
      <c r="F4317" s="7" t="s">
        <v>40</v>
      </c>
      <c r="G4317" s="44" t="s">
        <v>4333</v>
      </c>
      <c r="H4317" s="44" t="s">
        <v>6319</v>
      </c>
      <c r="I4317" s="20">
        <v>2</v>
      </c>
      <c r="J4317" s="20">
        <v>2</v>
      </c>
      <c r="K4317" s="20">
        <v>0</v>
      </c>
      <c r="L4317" s="20">
        <v>0</v>
      </c>
      <c r="M4317" s="20">
        <v>0</v>
      </c>
      <c r="N4317" s="20">
        <v>0</v>
      </c>
      <c r="O4317" s="20">
        <v>0</v>
      </c>
      <c r="P4317" s="26">
        <v>1.5</v>
      </c>
      <c r="Q4317" s="45" t="s">
        <v>154</v>
      </c>
    </row>
    <row r="4318" spans="1:17" ht="120" x14ac:dyDescent="0.25">
      <c r="A4318" s="23">
        <v>40578</v>
      </c>
      <c r="B4318" s="23">
        <v>40578</v>
      </c>
      <c r="C4318" s="24">
        <v>2011</v>
      </c>
      <c r="D4318" s="35" t="s">
        <v>28</v>
      </c>
      <c r="E4318" s="30" t="s">
        <v>125</v>
      </c>
      <c r="F4318" s="7" t="s">
        <v>36</v>
      </c>
      <c r="G4318" s="44" t="s">
        <v>4280</v>
      </c>
      <c r="H4318" s="44" t="s">
        <v>6320</v>
      </c>
      <c r="I4318" s="20">
        <v>0</v>
      </c>
      <c r="J4318" s="20">
        <v>55</v>
      </c>
      <c r="K4318" s="20">
        <v>0</v>
      </c>
      <c r="L4318" s="20">
        <v>0</v>
      </c>
      <c r="M4318" s="20">
        <v>0</v>
      </c>
      <c r="N4318" s="20">
        <v>0</v>
      </c>
      <c r="O4318" s="20">
        <v>0</v>
      </c>
      <c r="P4318" s="26">
        <v>0</v>
      </c>
      <c r="Q4318" s="45" t="s">
        <v>154</v>
      </c>
    </row>
    <row r="4319" spans="1:17" ht="72" x14ac:dyDescent="0.25">
      <c r="A4319" s="23">
        <v>40636</v>
      </c>
      <c r="B4319" s="23">
        <v>40636</v>
      </c>
      <c r="C4319" s="24">
        <v>2011</v>
      </c>
      <c r="D4319" s="351" t="s">
        <v>23</v>
      </c>
      <c r="E4319" s="22" t="s">
        <v>86</v>
      </c>
      <c r="F4319" s="7" t="s">
        <v>36</v>
      </c>
      <c r="G4319" s="44" t="s">
        <v>3747</v>
      </c>
      <c r="H4319" s="44" t="s">
        <v>6321</v>
      </c>
      <c r="I4319" s="20">
        <v>0</v>
      </c>
      <c r="J4319" s="46">
        <f>(52*5)</f>
        <v>260</v>
      </c>
      <c r="K4319" s="20">
        <v>52</v>
      </c>
      <c r="L4319" s="20">
        <v>0</v>
      </c>
      <c r="M4319" s="20">
        <v>0</v>
      </c>
      <c r="N4319" s="20">
        <v>0</v>
      </c>
      <c r="O4319" s="20">
        <v>0</v>
      </c>
      <c r="P4319" s="47">
        <v>0.13</v>
      </c>
      <c r="Q4319" s="45" t="s">
        <v>154</v>
      </c>
    </row>
    <row r="4320" spans="1:17" ht="84" x14ac:dyDescent="0.25">
      <c r="A4320" s="23">
        <v>40606</v>
      </c>
      <c r="B4320" s="23">
        <v>40606</v>
      </c>
      <c r="C4320" s="24">
        <v>2011</v>
      </c>
      <c r="D4320" s="351" t="s">
        <v>23</v>
      </c>
      <c r="E4320" s="22" t="s">
        <v>86</v>
      </c>
      <c r="F4320" s="7" t="s">
        <v>36</v>
      </c>
      <c r="G4320" s="44" t="s">
        <v>6322</v>
      </c>
      <c r="H4320" s="44" t="s">
        <v>6323</v>
      </c>
      <c r="I4320" s="20">
        <v>0</v>
      </c>
      <c r="J4320" s="46">
        <f>(40*5)</f>
        <v>200</v>
      </c>
      <c r="K4320" s="20">
        <v>40</v>
      </c>
      <c r="L4320" s="20">
        <v>0</v>
      </c>
      <c r="M4320" s="20">
        <v>0</v>
      </c>
      <c r="N4320" s="20">
        <v>0</v>
      </c>
      <c r="O4320" s="20">
        <v>0</v>
      </c>
      <c r="P4320" s="47">
        <v>0.1</v>
      </c>
      <c r="Q4320" s="45" t="s">
        <v>154</v>
      </c>
    </row>
    <row r="4321" spans="1:17" ht="252" x14ac:dyDescent="0.25">
      <c r="A4321" s="23">
        <v>40637</v>
      </c>
      <c r="B4321" s="23">
        <v>40637</v>
      </c>
      <c r="C4321" s="24">
        <v>2011</v>
      </c>
      <c r="D4321" s="351" t="s">
        <v>23</v>
      </c>
      <c r="E4321" s="22" t="s">
        <v>86</v>
      </c>
      <c r="F4321" s="7" t="s">
        <v>36</v>
      </c>
      <c r="G4321" s="44" t="s">
        <v>6324</v>
      </c>
      <c r="H4321" s="44" t="s">
        <v>6325</v>
      </c>
      <c r="I4321" s="20">
        <v>0</v>
      </c>
      <c r="J4321" s="46">
        <v>575</v>
      </c>
      <c r="K4321" s="20">
        <v>115</v>
      </c>
      <c r="L4321" s="20">
        <v>0</v>
      </c>
      <c r="M4321" s="20">
        <v>0</v>
      </c>
      <c r="N4321" s="20">
        <v>0</v>
      </c>
      <c r="O4321" s="20">
        <v>0</v>
      </c>
      <c r="P4321" s="47">
        <v>3.5900000000000001E-2</v>
      </c>
      <c r="Q4321" s="45" t="s">
        <v>154</v>
      </c>
    </row>
    <row r="4322" spans="1:17" ht="132" x14ac:dyDescent="0.25">
      <c r="A4322" s="23">
        <v>40577</v>
      </c>
      <c r="B4322" s="23">
        <v>40577</v>
      </c>
      <c r="C4322" s="24">
        <v>2011</v>
      </c>
      <c r="D4322" s="35" t="s">
        <v>17</v>
      </c>
      <c r="E4322" s="49" t="s">
        <v>1597</v>
      </c>
      <c r="F4322" s="7" t="s">
        <v>36</v>
      </c>
      <c r="G4322" s="44" t="s">
        <v>3747</v>
      </c>
      <c r="H4322" s="44" t="s">
        <v>6326</v>
      </c>
      <c r="I4322" s="20">
        <v>0</v>
      </c>
      <c r="J4322" s="20">
        <f>(12*5)</f>
        <v>60</v>
      </c>
      <c r="K4322" s="20">
        <v>12</v>
      </c>
      <c r="L4322" s="20">
        <v>0</v>
      </c>
      <c r="M4322" s="20">
        <v>0</v>
      </c>
      <c r="N4322" s="20">
        <v>0</v>
      </c>
      <c r="O4322" s="20">
        <v>0</v>
      </c>
      <c r="P4322" s="26">
        <v>0.33600000000000002</v>
      </c>
      <c r="Q4322" s="45" t="s">
        <v>154</v>
      </c>
    </row>
    <row r="4323" spans="1:17" ht="132" x14ac:dyDescent="0.25">
      <c r="A4323" s="23">
        <v>40577</v>
      </c>
      <c r="B4323" s="23">
        <v>40577</v>
      </c>
      <c r="C4323" s="24">
        <v>2011</v>
      </c>
      <c r="D4323" s="351" t="s">
        <v>23</v>
      </c>
      <c r="E4323" s="49" t="s">
        <v>5893</v>
      </c>
      <c r="F4323" s="7" t="s">
        <v>36</v>
      </c>
      <c r="G4323" s="44" t="s">
        <v>6327</v>
      </c>
      <c r="H4323" s="44" t="s">
        <v>6328</v>
      </c>
      <c r="I4323" s="20">
        <v>3</v>
      </c>
      <c r="J4323" s="20">
        <v>4</v>
      </c>
      <c r="K4323" s="20">
        <v>0</v>
      </c>
      <c r="L4323" s="20">
        <v>0</v>
      </c>
      <c r="M4323" s="20">
        <v>0</v>
      </c>
      <c r="N4323" s="20">
        <v>0</v>
      </c>
      <c r="O4323" s="20">
        <v>0</v>
      </c>
      <c r="P4323" s="26">
        <v>0</v>
      </c>
      <c r="Q4323" s="45" t="s">
        <v>154</v>
      </c>
    </row>
    <row r="4324" spans="1:17" ht="84" x14ac:dyDescent="0.25">
      <c r="A4324" s="23">
        <v>40828</v>
      </c>
      <c r="B4324" s="23">
        <v>40828</v>
      </c>
      <c r="C4324" s="24">
        <v>2011</v>
      </c>
      <c r="D4324" s="351" t="s">
        <v>23</v>
      </c>
      <c r="E4324" s="14" t="s">
        <v>32</v>
      </c>
      <c r="F4324" s="7" t="s">
        <v>60</v>
      </c>
      <c r="G4324" s="44" t="s">
        <v>6329</v>
      </c>
      <c r="H4324" s="44" t="s">
        <v>6330</v>
      </c>
      <c r="I4324" s="20">
        <v>5</v>
      </c>
      <c r="J4324" s="20">
        <v>6129</v>
      </c>
      <c r="K4324" s="20">
        <v>29</v>
      </c>
      <c r="L4324" s="20">
        <v>47</v>
      </c>
      <c r="M4324" s="20">
        <v>0</v>
      </c>
      <c r="N4324" s="20">
        <v>0</v>
      </c>
      <c r="O4324" s="20">
        <v>2977.19</v>
      </c>
      <c r="P4324" s="26">
        <v>1120.3499999999999</v>
      </c>
      <c r="Q4324" s="45" t="s">
        <v>5944</v>
      </c>
    </row>
    <row r="4325" spans="1:17" ht="132" x14ac:dyDescent="0.25">
      <c r="A4325" s="23">
        <v>40575</v>
      </c>
      <c r="B4325" s="23">
        <v>40575</v>
      </c>
      <c r="C4325" s="24">
        <v>2011</v>
      </c>
      <c r="D4325" s="24" t="s">
        <v>141</v>
      </c>
      <c r="E4325" s="30" t="s">
        <v>142</v>
      </c>
      <c r="F4325" s="7" t="s">
        <v>56</v>
      </c>
      <c r="G4325" s="44" t="s">
        <v>2786</v>
      </c>
      <c r="H4325" s="44" t="s">
        <v>6331</v>
      </c>
      <c r="I4325" s="20">
        <v>1</v>
      </c>
      <c r="J4325" s="20">
        <v>2</v>
      </c>
      <c r="K4325" s="20">
        <v>0</v>
      </c>
      <c r="L4325" s="20">
        <v>0</v>
      </c>
      <c r="M4325" s="20">
        <v>0</v>
      </c>
      <c r="N4325" s="20">
        <v>0</v>
      </c>
      <c r="O4325" s="20">
        <v>0</v>
      </c>
      <c r="P4325" s="26">
        <v>0.80378000000000005</v>
      </c>
      <c r="Q4325" s="45" t="s">
        <v>154</v>
      </c>
    </row>
    <row r="4326" spans="1:17" ht="216" x14ac:dyDescent="0.25">
      <c r="A4326" s="23">
        <v>40574</v>
      </c>
      <c r="B4326" s="23">
        <v>40574</v>
      </c>
      <c r="C4326" s="24">
        <v>2011</v>
      </c>
      <c r="D4326" s="351" t="s">
        <v>23</v>
      </c>
      <c r="E4326" s="22" t="s">
        <v>86</v>
      </c>
      <c r="F4326" s="7" t="s">
        <v>101</v>
      </c>
      <c r="G4326" s="44" t="s">
        <v>6332</v>
      </c>
      <c r="H4326" s="44" t="s">
        <v>6333</v>
      </c>
      <c r="I4326" s="20">
        <v>1</v>
      </c>
      <c r="J4326" s="20">
        <v>410</v>
      </c>
      <c r="K4326" s="20">
        <v>82</v>
      </c>
      <c r="L4326" s="20">
        <v>0</v>
      </c>
      <c r="M4326" s="20">
        <v>0</v>
      </c>
      <c r="N4326" s="20">
        <v>0</v>
      </c>
      <c r="O4326" s="20">
        <v>0</v>
      </c>
      <c r="P4326" s="26">
        <v>0.1198</v>
      </c>
      <c r="Q4326" s="45" t="s">
        <v>154</v>
      </c>
    </row>
    <row r="4327" spans="1:17" ht="84" x14ac:dyDescent="0.25">
      <c r="A4327" s="23">
        <v>40574</v>
      </c>
      <c r="B4327" s="23">
        <v>40574</v>
      </c>
      <c r="C4327" s="24">
        <v>2011</v>
      </c>
      <c r="D4327" s="24" t="s">
        <v>141</v>
      </c>
      <c r="E4327" s="30" t="s">
        <v>142</v>
      </c>
      <c r="F4327" s="28" t="s">
        <v>163</v>
      </c>
      <c r="G4327" s="44" t="s">
        <v>6334</v>
      </c>
      <c r="H4327" s="44" t="s">
        <v>6335</v>
      </c>
      <c r="I4327" s="20">
        <v>0</v>
      </c>
      <c r="J4327" s="20">
        <v>1</v>
      </c>
      <c r="K4327" s="20">
        <v>0</v>
      </c>
      <c r="L4327" s="20">
        <v>0</v>
      </c>
      <c r="M4327" s="20">
        <v>0</v>
      </c>
      <c r="N4327" s="20">
        <v>0</v>
      </c>
      <c r="O4327" s="20">
        <v>0</v>
      </c>
      <c r="P4327" s="26">
        <v>0.78024000000000004</v>
      </c>
      <c r="Q4327" s="45" t="s">
        <v>154</v>
      </c>
    </row>
    <row r="4328" spans="1:17" ht="120" x14ac:dyDescent="0.25">
      <c r="A4328" s="23">
        <v>40574</v>
      </c>
      <c r="B4328" s="23">
        <v>40574</v>
      </c>
      <c r="C4328" s="24">
        <v>2011</v>
      </c>
      <c r="D4328" s="24" t="s">
        <v>141</v>
      </c>
      <c r="E4328" s="30" t="s">
        <v>142</v>
      </c>
      <c r="F4328" s="28" t="s">
        <v>210</v>
      </c>
      <c r="G4328" s="44" t="s">
        <v>2303</v>
      </c>
      <c r="H4328" s="44" t="s">
        <v>6336</v>
      </c>
      <c r="I4328" s="20">
        <v>1</v>
      </c>
      <c r="J4328" s="20">
        <v>2</v>
      </c>
      <c r="K4328" s="20">
        <v>0</v>
      </c>
      <c r="L4328" s="20">
        <v>0</v>
      </c>
      <c r="M4328" s="20">
        <v>0</v>
      </c>
      <c r="N4328" s="20">
        <v>0</v>
      </c>
      <c r="O4328" s="20">
        <v>0</v>
      </c>
      <c r="P4328" s="26">
        <v>0.45</v>
      </c>
      <c r="Q4328" s="45" t="s">
        <v>154</v>
      </c>
    </row>
    <row r="4329" spans="1:17" ht="72" x14ac:dyDescent="0.25">
      <c r="A4329" s="23">
        <v>40797</v>
      </c>
      <c r="B4329" s="23">
        <v>40797</v>
      </c>
      <c r="C4329" s="24">
        <v>2011</v>
      </c>
      <c r="D4329" s="351" t="s">
        <v>23</v>
      </c>
      <c r="E4329" s="22" t="s">
        <v>86</v>
      </c>
      <c r="F4329" s="28" t="s">
        <v>210</v>
      </c>
      <c r="G4329" s="44" t="s">
        <v>6337</v>
      </c>
      <c r="H4329" s="44" t="s">
        <v>6338</v>
      </c>
      <c r="I4329" s="20">
        <v>1</v>
      </c>
      <c r="J4329" s="20">
        <v>544</v>
      </c>
      <c r="K4329" s="20">
        <v>28</v>
      </c>
      <c r="L4329" s="20">
        <v>0</v>
      </c>
      <c r="M4329" s="20">
        <v>0</v>
      </c>
      <c r="N4329" s="20">
        <v>0</v>
      </c>
      <c r="O4329" s="20">
        <v>0</v>
      </c>
      <c r="P4329" s="26">
        <v>7.0000000000000007E-2</v>
      </c>
      <c r="Q4329" s="45" t="s">
        <v>154</v>
      </c>
    </row>
    <row r="4330" spans="1:17" ht="144" x14ac:dyDescent="0.25">
      <c r="A4330" s="23">
        <v>40571</v>
      </c>
      <c r="B4330" s="23">
        <v>40571</v>
      </c>
      <c r="C4330" s="24">
        <v>2011</v>
      </c>
      <c r="D4330" s="24" t="s">
        <v>141</v>
      </c>
      <c r="E4330" s="30" t="s">
        <v>142</v>
      </c>
      <c r="F4330" s="7" t="s">
        <v>91</v>
      </c>
      <c r="G4330" s="44" t="s">
        <v>2315</v>
      </c>
      <c r="H4330" s="44" t="s">
        <v>6339</v>
      </c>
      <c r="I4330" s="20">
        <v>0</v>
      </c>
      <c r="J4330" s="20">
        <v>2</v>
      </c>
      <c r="K4330" s="20">
        <v>0</v>
      </c>
      <c r="L4330" s="20">
        <v>0</v>
      </c>
      <c r="M4330" s="20">
        <v>0</v>
      </c>
      <c r="N4330" s="20">
        <v>0</v>
      </c>
      <c r="O4330" s="20">
        <v>0</v>
      </c>
      <c r="P4330" s="26">
        <v>0.96</v>
      </c>
      <c r="Q4330" s="45" t="s">
        <v>154</v>
      </c>
    </row>
    <row r="4331" spans="1:17" ht="96" x14ac:dyDescent="0.25">
      <c r="A4331" s="23">
        <v>40570</v>
      </c>
      <c r="B4331" s="23">
        <v>40570</v>
      </c>
      <c r="C4331" s="24">
        <v>2011</v>
      </c>
      <c r="D4331" s="351" t="s">
        <v>23</v>
      </c>
      <c r="E4331" s="22" t="s">
        <v>86</v>
      </c>
      <c r="F4331" s="7" t="s">
        <v>91</v>
      </c>
      <c r="G4331" s="44" t="s">
        <v>2315</v>
      </c>
      <c r="H4331" s="44" t="s">
        <v>6340</v>
      </c>
      <c r="I4331" s="20">
        <v>0</v>
      </c>
      <c r="J4331" s="20">
        <v>42</v>
      </c>
      <c r="K4331" s="20">
        <v>0</v>
      </c>
      <c r="L4331" s="20">
        <v>0</v>
      </c>
      <c r="M4331" s="20">
        <v>0</v>
      </c>
      <c r="N4331" s="20">
        <v>0</v>
      </c>
      <c r="O4331" s="20">
        <v>0</v>
      </c>
      <c r="P4331" s="26">
        <v>1.323</v>
      </c>
      <c r="Q4331" s="45" t="s">
        <v>154</v>
      </c>
    </row>
    <row r="4332" spans="1:17" ht="156" x14ac:dyDescent="0.25">
      <c r="A4332" s="23">
        <v>40689</v>
      </c>
      <c r="B4332" s="23">
        <v>40689</v>
      </c>
      <c r="C4332" s="24">
        <v>2011</v>
      </c>
      <c r="D4332" s="35" t="s">
        <v>28</v>
      </c>
      <c r="E4332" s="6" t="s">
        <v>149</v>
      </c>
      <c r="F4332" s="7" t="s">
        <v>87</v>
      </c>
      <c r="G4332" s="44" t="s">
        <v>2608</v>
      </c>
      <c r="H4332" s="44" t="s">
        <v>6341</v>
      </c>
      <c r="I4332" s="20">
        <v>0</v>
      </c>
      <c r="J4332" s="20">
        <v>240</v>
      </c>
      <c r="K4332" s="20">
        <v>0</v>
      </c>
      <c r="L4332" s="20">
        <v>1</v>
      </c>
      <c r="M4332" s="20">
        <v>0</v>
      </c>
      <c r="N4332" s="20">
        <v>0</v>
      </c>
      <c r="O4332" s="20">
        <v>0</v>
      </c>
      <c r="P4332" s="26">
        <v>0</v>
      </c>
      <c r="Q4332" s="45" t="s">
        <v>154</v>
      </c>
    </row>
    <row r="4333" spans="1:17" ht="96" x14ac:dyDescent="0.25">
      <c r="A4333" s="23">
        <v>40569</v>
      </c>
      <c r="B4333" s="23">
        <v>40569</v>
      </c>
      <c r="C4333" s="24">
        <v>2011</v>
      </c>
      <c r="D4333" s="24" t="s">
        <v>141</v>
      </c>
      <c r="E4333" s="30" t="s">
        <v>142</v>
      </c>
      <c r="F4333" s="7" t="s">
        <v>87</v>
      </c>
      <c r="G4333" s="44" t="s">
        <v>257</v>
      </c>
      <c r="H4333" s="44" t="s">
        <v>6342</v>
      </c>
      <c r="I4333" s="20">
        <v>0</v>
      </c>
      <c r="J4333" s="20">
        <v>5</v>
      </c>
      <c r="K4333" s="20">
        <v>0</v>
      </c>
      <c r="L4333" s="20">
        <v>0</v>
      </c>
      <c r="M4333" s="20">
        <v>0</v>
      </c>
      <c r="N4333" s="20">
        <v>0</v>
      </c>
      <c r="O4333" s="20">
        <v>0</v>
      </c>
      <c r="P4333" s="26">
        <v>3.78E-2</v>
      </c>
      <c r="Q4333" s="45" t="s">
        <v>154</v>
      </c>
    </row>
    <row r="4334" spans="1:17" ht="96" x14ac:dyDescent="0.25">
      <c r="A4334" s="23">
        <v>40568</v>
      </c>
      <c r="B4334" s="23">
        <v>40568</v>
      </c>
      <c r="C4334" s="24">
        <v>2011</v>
      </c>
      <c r="D4334" s="24" t="s">
        <v>141</v>
      </c>
      <c r="E4334" s="30" t="s">
        <v>142</v>
      </c>
      <c r="F4334" s="7" t="s">
        <v>84</v>
      </c>
      <c r="G4334" s="44" t="s">
        <v>2846</v>
      </c>
      <c r="H4334" s="44" t="s">
        <v>6343</v>
      </c>
      <c r="I4334" s="20">
        <v>1</v>
      </c>
      <c r="J4334" s="20">
        <v>2</v>
      </c>
      <c r="K4334" s="20">
        <v>0</v>
      </c>
      <c r="L4334" s="20">
        <v>0</v>
      </c>
      <c r="M4334" s="20">
        <v>0</v>
      </c>
      <c r="N4334" s="20">
        <v>0</v>
      </c>
      <c r="O4334" s="20">
        <v>0</v>
      </c>
      <c r="P4334" s="26">
        <v>1.5</v>
      </c>
      <c r="Q4334" s="45" t="s">
        <v>154</v>
      </c>
    </row>
    <row r="4335" spans="1:17" ht="168" x14ac:dyDescent="0.25">
      <c r="A4335" s="23">
        <v>40568</v>
      </c>
      <c r="B4335" s="23">
        <v>40568</v>
      </c>
      <c r="C4335" s="24">
        <v>2011</v>
      </c>
      <c r="D4335" s="35" t="s">
        <v>28</v>
      </c>
      <c r="E4335" s="30" t="s">
        <v>133</v>
      </c>
      <c r="F4335" s="7" t="s">
        <v>84</v>
      </c>
      <c r="G4335" s="44" t="s">
        <v>6344</v>
      </c>
      <c r="H4335" s="44" t="s">
        <v>6345</v>
      </c>
      <c r="I4335" s="20">
        <v>1</v>
      </c>
      <c r="J4335" s="20">
        <v>1</v>
      </c>
      <c r="K4335" s="20">
        <v>0</v>
      </c>
      <c r="L4335" s="20">
        <v>0</v>
      </c>
      <c r="M4335" s="20">
        <v>0</v>
      </c>
      <c r="N4335" s="20">
        <v>0</v>
      </c>
      <c r="O4335" s="20">
        <v>0</v>
      </c>
      <c r="P4335" s="26">
        <v>0</v>
      </c>
      <c r="Q4335" s="45" t="s">
        <v>154</v>
      </c>
    </row>
    <row r="4336" spans="1:17" ht="192" x14ac:dyDescent="0.25">
      <c r="A4336" s="23">
        <v>40567</v>
      </c>
      <c r="B4336" s="23">
        <v>40567</v>
      </c>
      <c r="C4336" s="24">
        <v>2011</v>
      </c>
      <c r="D4336" s="24" t="s">
        <v>141</v>
      </c>
      <c r="E4336" s="30" t="s">
        <v>142</v>
      </c>
      <c r="F4336" s="7" t="s">
        <v>84</v>
      </c>
      <c r="G4336" s="44" t="s">
        <v>3740</v>
      </c>
      <c r="H4336" s="44" t="s">
        <v>6346</v>
      </c>
      <c r="I4336" s="20">
        <v>2</v>
      </c>
      <c r="J4336" s="20">
        <v>7</v>
      </c>
      <c r="K4336" s="20">
        <v>0</v>
      </c>
      <c r="L4336" s="20">
        <v>0</v>
      </c>
      <c r="M4336" s="20">
        <v>0</v>
      </c>
      <c r="N4336" s="20">
        <v>0</v>
      </c>
      <c r="O4336" s="20">
        <v>0</v>
      </c>
      <c r="P4336" s="26">
        <v>1</v>
      </c>
      <c r="Q4336" s="45" t="s">
        <v>154</v>
      </c>
    </row>
    <row r="4337" spans="1:17" ht="108" x14ac:dyDescent="0.25">
      <c r="A4337" s="23">
        <v>40688</v>
      </c>
      <c r="B4337" s="23">
        <v>40688</v>
      </c>
      <c r="C4337" s="24">
        <v>2011</v>
      </c>
      <c r="D4337" s="351" t="s">
        <v>23</v>
      </c>
      <c r="E4337" s="22" t="s">
        <v>86</v>
      </c>
      <c r="F4337" s="7" t="s">
        <v>84</v>
      </c>
      <c r="G4337" s="44" t="s">
        <v>2143</v>
      </c>
      <c r="H4337" s="44" t="s">
        <v>6347</v>
      </c>
      <c r="I4337" s="20">
        <v>2</v>
      </c>
      <c r="J4337" s="20">
        <v>5</v>
      </c>
      <c r="K4337" s="20">
        <v>0</v>
      </c>
      <c r="L4337" s="20">
        <v>0</v>
      </c>
      <c r="M4337" s="20">
        <v>0</v>
      </c>
      <c r="N4337" s="20">
        <v>0</v>
      </c>
      <c r="O4337" s="20">
        <v>0</v>
      </c>
      <c r="P4337" s="26">
        <v>0</v>
      </c>
      <c r="Q4337" s="45" t="s">
        <v>154</v>
      </c>
    </row>
    <row r="4338" spans="1:17" ht="24" x14ac:dyDescent="0.25">
      <c r="A4338" s="23">
        <v>40567</v>
      </c>
      <c r="B4338" s="23">
        <v>40567</v>
      </c>
      <c r="C4338" s="24">
        <v>2011</v>
      </c>
      <c r="D4338" s="351" t="s">
        <v>23</v>
      </c>
      <c r="E4338" s="28" t="s">
        <v>327</v>
      </c>
      <c r="F4338" s="7" t="s">
        <v>82</v>
      </c>
      <c r="G4338" s="44" t="s">
        <v>6348</v>
      </c>
      <c r="H4338" s="44" t="s">
        <v>6349</v>
      </c>
      <c r="I4338" s="20">
        <v>3</v>
      </c>
      <c r="J4338" s="20">
        <v>3</v>
      </c>
      <c r="K4338" s="20">
        <v>0</v>
      </c>
      <c r="L4338" s="20">
        <v>0</v>
      </c>
      <c r="M4338" s="20">
        <v>0</v>
      </c>
      <c r="N4338" s="20">
        <v>0</v>
      </c>
      <c r="O4338" s="20">
        <v>0</v>
      </c>
      <c r="P4338" s="26">
        <v>0</v>
      </c>
      <c r="Q4338" s="45" t="s">
        <v>2218</v>
      </c>
    </row>
    <row r="4339" spans="1:17" ht="108" x14ac:dyDescent="0.25">
      <c r="A4339" s="23">
        <v>40646</v>
      </c>
      <c r="B4339" s="23">
        <v>40646</v>
      </c>
      <c r="C4339" s="24">
        <v>2011</v>
      </c>
      <c r="D4339" s="35" t="s">
        <v>28</v>
      </c>
      <c r="E4339" s="6" t="s">
        <v>149</v>
      </c>
      <c r="F4339" s="7" t="s">
        <v>77</v>
      </c>
      <c r="G4339" s="44" t="s">
        <v>3679</v>
      </c>
      <c r="H4339" s="44" t="s">
        <v>6350</v>
      </c>
      <c r="I4339" s="20">
        <v>0</v>
      </c>
      <c r="J4339" s="20">
        <v>10</v>
      </c>
      <c r="K4339" s="20">
        <v>0</v>
      </c>
      <c r="L4339" s="20">
        <v>0</v>
      </c>
      <c r="M4339" s="20">
        <v>0</v>
      </c>
      <c r="N4339" s="20">
        <v>0</v>
      </c>
      <c r="O4339" s="20">
        <v>0</v>
      </c>
      <c r="P4339" s="158">
        <v>0</v>
      </c>
      <c r="Q4339" s="45" t="s">
        <v>154</v>
      </c>
    </row>
    <row r="4340" spans="1:17" ht="108" x14ac:dyDescent="0.25">
      <c r="A4340" s="23">
        <v>40566</v>
      </c>
      <c r="B4340" s="23">
        <v>40566</v>
      </c>
      <c r="C4340" s="24">
        <v>2011</v>
      </c>
      <c r="D4340" s="24" t="s">
        <v>141</v>
      </c>
      <c r="E4340" s="30" t="s">
        <v>142</v>
      </c>
      <c r="F4340" s="7" t="s">
        <v>75</v>
      </c>
      <c r="G4340" s="44" t="s">
        <v>6351</v>
      </c>
      <c r="H4340" s="44" t="s">
        <v>6352</v>
      </c>
      <c r="I4340" s="20">
        <v>1</v>
      </c>
      <c r="J4340" s="20">
        <v>2</v>
      </c>
      <c r="K4340" s="20">
        <v>1</v>
      </c>
      <c r="L4340" s="20">
        <v>0</v>
      </c>
      <c r="M4340" s="20">
        <v>0</v>
      </c>
      <c r="N4340" s="20">
        <v>0</v>
      </c>
      <c r="O4340" s="20">
        <v>0</v>
      </c>
      <c r="P4340" s="26">
        <v>0.65207999999999999</v>
      </c>
      <c r="Q4340" s="45" t="s">
        <v>154</v>
      </c>
    </row>
    <row r="4341" spans="1:17" ht="120" x14ac:dyDescent="0.25">
      <c r="A4341" s="23">
        <v>40564</v>
      </c>
      <c r="B4341" s="23">
        <v>40564</v>
      </c>
      <c r="C4341" s="24">
        <v>2011</v>
      </c>
      <c r="D4341" s="24" t="s">
        <v>141</v>
      </c>
      <c r="E4341" s="30" t="s">
        <v>142</v>
      </c>
      <c r="F4341" s="7" t="s">
        <v>68</v>
      </c>
      <c r="G4341" s="44" t="s">
        <v>6353</v>
      </c>
      <c r="H4341" s="44" t="s">
        <v>6354</v>
      </c>
      <c r="I4341" s="20">
        <v>6</v>
      </c>
      <c r="J4341" s="20">
        <v>8</v>
      </c>
      <c r="K4341" s="20">
        <v>0</v>
      </c>
      <c r="L4341" s="20">
        <v>1</v>
      </c>
      <c r="M4341" s="20">
        <v>0</v>
      </c>
      <c r="N4341" s="20">
        <v>0</v>
      </c>
      <c r="O4341" s="20">
        <v>0</v>
      </c>
      <c r="P4341" s="26">
        <v>0.27500000000000002</v>
      </c>
      <c r="Q4341" s="45" t="s">
        <v>154</v>
      </c>
    </row>
    <row r="4342" spans="1:17" ht="108" x14ac:dyDescent="0.25">
      <c r="A4342" s="23">
        <v>40563</v>
      </c>
      <c r="B4342" s="23">
        <v>40563</v>
      </c>
      <c r="C4342" s="24">
        <v>2011</v>
      </c>
      <c r="D4342" s="351" t="s">
        <v>23</v>
      </c>
      <c r="E4342" s="22" t="s">
        <v>86</v>
      </c>
      <c r="F4342" s="7" t="s">
        <v>65</v>
      </c>
      <c r="G4342" s="44" t="s">
        <v>418</v>
      </c>
      <c r="H4342" s="44" t="s">
        <v>6355</v>
      </c>
      <c r="I4342" s="20">
        <v>0</v>
      </c>
      <c r="J4342" s="20">
        <v>197</v>
      </c>
      <c r="K4342" s="20">
        <v>19</v>
      </c>
      <c r="L4342" s="20">
        <v>0</v>
      </c>
      <c r="M4342" s="20">
        <v>0</v>
      </c>
      <c r="N4342" s="20">
        <v>0</v>
      </c>
      <c r="O4342" s="20">
        <v>0</v>
      </c>
      <c r="P4342" s="26">
        <v>5.8999999999999999E-3</v>
      </c>
      <c r="Q4342" s="45" t="s">
        <v>154</v>
      </c>
    </row>
    <row r="4343" spans="1:17" ht="48" x14ac:dyDescent="0.25">
      <c r="A4343" s="23">
        <v>40563</v>
      </c>
      <c r="B4343" s="23">
        <v>40563</v>
      </c>
      <c r="C4343" s="24">
        <v>2011</v>
      </c>
      <c r="D4343" s="35" t="s">
        <v>28</v>
      </c>
      <c r="E4343" s="30" t="s">
        <v>125</v>
      </c>
      <c r="F4343" s="7" t="s">
        <v>62</v>
      </c>
      <c r="G4343" s="44" t="s">
        <v>165</v>
      </c>
      <c r="H4343" s="44" t="s">
        <v>6356</v>
      </c>
      <c r="I4343" s="20">
        <v>1</v>
      </c>
      <c r="J4343" s="20">
        <v>10</v>
      </c>
      <c r="K4343" s="20">
        <v>0</v>
      </c>
      <c r="L4343" s="20">
        <v>0</v>
      </c>
      <c r="M4343" s="20">
        <v>0</v>
      </c>
      <c r="N4343" s="20">
        <v>0</v>
      </c>
      <c r="O4343" s="20">
        <v>0</v>
      </c>
      <c r="P4343" s="26">
        <v>0</v>
      </c>
      <c r="Q4343" s="45" t="s">
        <v>154</v>
      </c>
    </row>
    <row r="4344" spans="1:17" ht="108" x14ac:dyDescent="0.25">
      <c r="A4344" s="23">
        <v>40631</v>
      </c>
      <c r="B4344" s="23">
        <v>40631</v>
      </c>
      <c r="C4344" s="24">
        <v>2011</v>
      </c>
      <c r="D4344" s="35" t="s">
        <v>28</v>
      </c>
      <c r="E4344" s="6" t="s">
        <v>149</v>
      </c>
      <c r="F4344" s="7" t="s">
        <v>62</v>
      </c>
      <c r="G4344" s="44" t="s">
        <v>165</v>
      </c>
      <c r="H4344" s="44" t="s">
        <v>6357</v>
      </c>
      <c r="I4344" s="20">
        <v>0</v>
      </c>
      <c r="J4344" s="20">
        <v>0</v>
      </c>
      <c r="K4344" s="20">
        <v>0</v>
      </c>
      <c r="L4344" s="20">
        <v>0</v>
      </c>
      <c r="M4344" s="20">
        <v>0</v>
      </c>
      <c r="N4344" s="20">
        <v>0</v>
      </c>
      <c r="O4344" s="20">
        <v>0</v>
      </c>
      <c r="P4344" s="26">
        <v>1.5</v>
      </c>
      <c r="Q4344" s="45" t="s">
        <v>154</v>
      </c>
    </row>
    <row r="4345" spans="1:17" ht="120" x14ac:dyDescent="0.25">
      <c r="A4345" s="23">
        <v>40562</v>
      </c>
      <c r="B4345" s="23">
        <v>40562</v>
      </c>
      <c r="C4345" s="24">
        <v>2011</v>
      </c>
      <c r="D4345" s="24" t="s">
        <v>141</v>
      </c>
      <c r="E4345" s="30" t="s">
        <v>142</v>
      </c>
      <c r="F4345" s="7" t="s">
        <v>62</v>
      </c>
      <c r="G4345" s="44" t="s">
        <v>165</v>
      </c>
      <c r="H4345" s="44" t="s">
        <v>6358</v>
      </c>
      <c r="I4345" s="20">
        <v>0</v>
      </c>
      <c r="J4345" s="20">
        <v>10</v>
      </c>
      <c r="K4345" s="20">
        <v>0</v>
      </c>
      <c r="L4345" s="20">
        <v>0</v>
      </c>
      <c r="M4345" s="20">
        <v>0</v>
      </c>
      <c r="N4345" s="20">
        <v>0</v>
      </c>
      <c r="O4345" s="20">
        <v>0</v>
      </c>
      <c r="P4345" s="26">
        <v>0.4</v>
      </c>
      <c r="Q4345" s="45" t="s">
        <v>154</v>
      </c>
    </row>
    <row r="4346" spans="1:17" ht="120" x14ac:dyDescent="0.25">
      <c r="A4346" s="23">
        <v>40584</v>
      </c>
      <c r="B4346" s="23">
        <v>40584</v>
      </c>
      <c r="C4346" s="24">
        <v>2011</v>
      </c>
      <c r="D4346" s="35" t="s">
        <v>28</v>
      </c>
      <c r="E4346" s="30" t="s">
        <v>133</v>
      </c>
      <c r="F4346" s="7" t="s">
        <v>53</v>
      </c>
      <c r="G4346" s="44" t="s">
        <v>6359</v>
      </c>
      <c r="H4346" s="44" t="s">
        <v>6360</v>
      </c>
      <c r="I4346" s="20">
        <v>1</v>
      </c>
      <c r="J4346" s="20">
        <v>4</v>
      </c>
      <c r="K4346" s="20">
        <v>0</v>
      </c>
      <c r="L4346" s="20">
        <v>0</v>
      </c>
      <c r="M4346" s="20">
        <v>0</v>
      </c>
      <c r="N4346" s="20">
        <v>0</v>
      </c>
      <c r="O4346" s="20">
        <v>0</v>
      </c>
      <c r="P4346" s="158">
        <v>0</v>
      </c>
      <c r="Q4346" s="45" t="s">
        <v>154</v>
      </c>
    </row>
    <row r="4347" spans="1:17" ht="108" x14ac:dyDescent="0.25">
      <c r="A4347" s="23">
        <v>40591</v>
      </c>
      <c r="B4347" s="23">
        <v>40591</v>
      </c>
      <c r="C4347" s="24">
        <v>2011</v>
      </c>
      <c r="D4347" s="35" t="s">
        <v>28</v>
      </c>
      <c r="E4347" s="30" t="s">
        <v>133</v>
      </c>
      <c r="F4347" s="7" t="s">
        <v>53</v>
      </c>
      <c r="G4347" s="44" t="s">
        <v>926</v>
      </c>
      <c r="H4347" s="44" t="s">
        <v>6361</v>
      </c>
      <c r="I4347" s="20">
        <v>1</v>
      </c>
      <c r="J4347" s="20">
        <v>5</v>
      </c>
      <c r="K4347" s="20">
        <v>0</v>
      </c>
      <c r="L4347" s="20">
        <v>0</v>
      </c>
      <c r="M4347" s="20">
        <v>0</v>
      </c>
      <c r="N4347" s="20">
        <v>0</v>
      </c>
      <c r="O4347" s="20">
        <v>0</v>
      </c>
      <c r="P4347" s="158">
        <v>0</v>
      </c>
      <c r="Q4347" s="45" t="s">
        <v>154</v>
      </c>
    </row>
    <row r="4348" spans="1:17" ht="108" x14ac:dyDescent="0.25">
      <c r="A4348" s="23">
        <v>40630</v>
      </c>
      <c r="B4348" s="23">
        <v>40602</v>
      </c>
      <c r="C4348" s="24">
        <v>2011</v>
      </c>
      <c r="D4348" s="35" t="s">
        <v>28</v>
      </c>
      <c r="E4348" s="6" t="s">
        <v>149</v>
      </c>
      <c r="F4348" s="7" t="s">
        <v>53</v>
      </c>
      <c r="G4348" s="44" t="s">
        <v>1304</v>
      </c>
      <c r="H4348" s="44" t="s">
        <v>6362</v>
      </c>
      <c r="I4348" s="20">
        <v>0</v>
      </c>
      <c r="J4348" s="20">
        <v>25</v>
      </c>
      <c r="K4348" s="20">
        <v>0</v>
      </c>
      <c r="L4348" s="20">
        <v>0</v>
      </c>
      <c r="M4348" s="20">
        <v>0</v>
      </c>
      <c r="N4348" s="20">
        <v>0</v>
      </c>
      <c r="O4348" s="20">
        <v>0</v>
      </c>
      <c r="P4348" s="158">
        <v>0</v>
      </c>
      <c r="Q4348" s="45" t="s">
        <v>154</v>
      </c>
    </row>
    <row r="4349" spans="1:17" ht="120" x14ac:dyDescent="0.25">
      <c r="A4349" s="23">
        <v>40558</v>
      </c>
      <c r="B4349" s="23">
        <v>40558</v>
      </c>
      <c r="C4349" s="24">
        <v>2011</v>
      </c>
      <c r="D4349" s="24" t="s">
        <v>141</v>
      </c>
      <c r="E4349" s="30" t="s">
        <v>142</v>
      </c>
      <c r="F4349" s="28" t="s">
        <v>160</v>
      </c>
      <c r="G4349" s="44" t="s">
        <v>428</v>
      </c>
      <c r="H4349" s="44" t="s">
        <v>6363</v>
      </c>
      <c r="I4349" s="20">
        <v>4</v>
      </c>
      <c r="J4349" s="20">
        <v>7</v>
      </c>
      <c r="K4349" s="20">
        <v>0</v>
      </c>
      <c r="L4349" s="20">
        <v>0</v>
      </c>
      <c r="M4349" s="20">
        <v>0</v>
      </c>
      <c r="N4349" s="20">
        <v>0</v>
      </c>
      <c r="O4349" s="20">
        <v>0</v>
      </c>
      <c r="P4349" s="26">
        <v>0.67500000000000004</v>
      </c>
      <c r="Q4349" s="45" t="s">
        <v>154</v>
      </c>
    </row>
    <row r="4350" spans="1:17" ht="84" x14ac:dyDescent="0.25">
      <c r="A4350" s="23">
        <v>40557</v>
      </c>
      <c r="B4350" s="23">
        <v>40557</v>
      </c>
      <c r="C4350" s="24">
        <v>2011</v>
      </c>
      <c r="D4350" s="35" t="s">
        <v>28</v>
      </c>
      <c r="E4350" s="6" t="s">
        <v>149</v>
      </c>
      <c r="F4350" s="7" t="s">
        <v>58</v>
      </c>
      <c r="G4350" s="44" t="s">
        <v>2718</v>
      </c>
      <c r="H4350" s="44" t="s">
        <v>6364</v>
      </c>
      <c r="I4350" s="20">
        <v>0</v>
      </c>
      <c r="J4350" s="20">
        <v>3</v>
      </c>
      <c r="K4350" s="20">
        <v>0</v>
      </c>
      <c r="L4350" s="20">
        <v>0</v>
      </c>
      <c r="M4350" s="20">
        <v>0</v>
      </c>
      <c r="N4350" s="20">
        <v>0</v>
      </c>
      <c r="O4350" s="20">
        <v>0</v>
      </c>
      <c r="P4350" s="158">
        <v>0</v>
      </c>
      <c r="Q4350" s="45" t="s">
        <v>154</v>
      </c>
    </row>
    <row r="4351" spans="1:17" ht="120" x14ac:dyDescent="0.25">
      <c r="A4351" s="23">
        <v>40557</v>
      </c>
      <c r="B4351" s="23">
        <v>40557</v>
      </c>
      <c r="C4351" s="24">
        <v>2011</v>
      </c>
      <c r="D4351" s="35" t="s">
        <v>28</v>
      </c>
      <c r="E4351" s="6" t="s">
        <v>149</v>
      </c>
      <c r="F4351" s="7" t="s">
        <v>58</v>
      </c>
      <c r="G4351" s="44" t="s">
        <v>4950</v>
      </c>
      <c r="H4351" s="44" t="s">
        <v>6365</v>
      </c>
      <c r="I4351" s="20">
        <v>0</v>
      </c>
      <c r="J4351" s="20">
        <v>2</v>
      </c>
      <c r="K4351" s="20">
        <v>1</v>
      </c>
      <c r="L4351" s="20">
        <v>0</v>
      </c>
      <c r="M4351" s="20">
        <v>0</v>
      </c>
      <c r="N4351" s="20">
        <v>0</v>
      </c>
      <c r="O4351" s="20">
        <v>0</v>
      </c>
      <c r="P4351" s="26">
        <v>0.128</v>
      </c>
      <c r="Q4351" s="45" t="s">
        <v>154</v>
      </c>
    </row>
    <row r="4352" spans="1:17" ht="120" x14ac:dyDescent="0.25">
      <c r="A4352" s="23">
        <v>40557</v>
      </c>
      <c r="B4352" s="23">
        <v>40557</v>
      </c>
      <c r="C4352" s="24">
        <v>2011</v>
      </c>
      <c r="D4352" s="24" t="s">
        <v>141</v>
      </c>
      <c r="E4352" s="30" t="s">
        <v>142</v>
      </c>
      <c r="F4352" s="7" t="s">
        <v>58</v>
      </c>
      <c r="G4352" s="44" t="s">
        <v>2769</v>
      </c>
      <c r="H4352" s="44" t="s">
        <v>6366</v>
      </c>
      <c r="I4352" s="20">
        <v>0</v>
      </c>
      <c r="J4352" s="20">
        <v>1</v>
      </c>
      <c r="K4352" s="20">
        <v>0</v>
      </c>
      <c r="L4352" s="20">
        <v>0</v>
      </c>
      <c r="M4352" s="20">
        <v>0</v>
      </c>
      <c r="N4352" s="20">
        <v>0</v>
      </c>
      <c r="O4352" s="20">
        <v>0</v>
      </c>
      <c r="P4352" s="26">
        <v>0.55000000000000004</v>
      </c>
      <c r="Q4352" s="45" t="s">
        <v>154</v>
      </c>
    </row>
    <row r="4353" spans="1:17" ht="132" x14ac:dyDescent="0.25">
      <c r="A4353" s="23">
        <v>40556</v>
      </c>
      <c r="B4353" s="23">
        <v>40556</v>
      </c>
      <c r="C4353" s="24">
        <v>2011</v>
      </c>
      <c r="D4353" s="24" t="s">
        <v>141</v>
      </c>
      <c r="E4353" s="30" t="s">
        <v>142</v>
      </c>
      <c r="F4353" s="7" t="s">
        <v>58</v>
      </c>
      <c r="G4353" s="44" t="s">
        <v>724</v>
      </c>
      <c r="H4353" s="44" t="s">
        <v>6367</v>
      </c>
      <c r="I4353" s="20">
        <v>0</v>
      </c>
      <c r="J4353" s="20">
        <v>12</v>
      </c>
      <c r="K4353" s="20">
        <v>1</v>
      </c>
      <c r="L4353" s="20">
        <v>0</v>
      </c>
      <c r="M4353" s="20">
        <v>0</v>
      </c>
      <c r="N4353" s="20">
        <v>0</v>
      </c>
      <c r="O4353" s="20">
        <v>0</v>
      </c>
      <c r="P4353" s="26">
        <v>0.72960000000000003</v>
      </c>
      <c r="Q4353" s="45" t="s">
        <v>154</v>
      </c>
    </row>
    <row r="4354" spans="1:17" ht="96" x14ac:dyDescent="0.25">
      <c r="A4354" s="23">
        <v>40556</v>
      </c>
      <c r="B4354" s="23">
        <v>40556</v>
      </c>
      <c r="C4354" s="24">
        <v>2011</v>
      </c>
      <c r="D4354" s="24" t="s">
        <v>141</v>
      </c>
      <c r="E4354" s="30" t="s">
        <v>142</v>
      </c>
      <c r="F4354" s="7" t="s">
        <v>58</v>
      </c>
      <c r="G4354" s="44" t="s">
        <v>6368</v>
      </c>
      <c r="H4354" s="44" t="s">
        <v>6369</v>
      </c>
      <c r="I4354" s="20">
        <v>0</v>
      </c>
      <c r="J4354" s="20">
        <v>24</v>
      </c>
      <c r="K4354" s="20">
        <v>0</v>
      </c>
      <c r="L4354" s="20">
        <v>0</v>
      </c>
      <c r="M4354" s="20">
        <v>0</v>
      </c>
      <c r="N4354" s="20">
        <v>0</v>
      </c>
      <c r="O4354" s="20">
        <v>0</v>
      </c>
      <c r="P4354" s="26">
        <v>0.4</v>
      </c>
      <c r="Q4354" s="45" t="s">
        <v>154</v>
      </c>
    </row>
    <row r="4355" spans="1:17" ht="108" x14ac:dyDescent="0.25">
      <c r="A4355" s="23">
        <v>40556</v>
      </c>
      <c r="B4355" s="23">
        <v>40556</v>
      </c>
      <c r="C4355" s="24">
        <v>2011</v>
      </c>
      <c r="D4355" s="351" t="s">
        <v>23</v>
      </c>
      <c r="E4355" s="22" t="s">
        <v>86</v>
      </c>
      <c r="F4355" s="7" t="s">
        <v>58</v>
      </c>
      <c r="G4355" s="44" t="s">
        <v>5823</v>
      </c>
      <c r="H4355" s="44" t="s">
        <v>6370</v>
      </c>
      <c r="I4355" s="20">
        <v>0</v>
      </c>
      <c r="J4355" s="20">
        <v>4</v>
      </c>
      <c r="K4355" s="20">
        <v>0</v>
      </c>
      <c r="L4355" s="20">
        <v>0</v>
      </c>
      <c r="M4355" s="20">
        <v>0</v>
      </c>
      <c r="N4355" s="20">
        <v>0</v>
      </c>
      <c r="O4355" s="20">
        <v>0</v>
      </c>
      <c r="P4355" s="26">
        <v>0.121862</v>
      </c>
      <c r="Q4355" s="45" t="s">
        <v>154</v>
      </c>
    </row>
    <row r="4356" spans="1:17" ht="240" x14ac:dyDescent="0.25">
      <c r="A4356" s="23">
        <v>40556</v>
      </c>
      <c r="B4356" s="23">
        <v>40556</v>
      </c>
      <c r="C4356" s="24">
        <v>2011</v>
      </c>
      <c r="D4356" s="351" t="s">
        <v>23</v>
      </c>
      <c r="E4356" s="22" t="s">
        <v>86</v>
      </c>
      <c r="F4356" s="7" t="s">
        <v>58</v>
      </c>
      <c r="G4356" s="44" t="s">
        <v>6371</v>
      </c>
      <c r="H4356" s="44" t="s">
        <v>6372</v>
      </c>
      <c r="I4356" s="20">
        <v>1</v>
      </c>
      <c r="J4356" s="20">
        <v>161</v>
      </c>
      <c r="K4356" s="20">
        <v>22</v>
      </c>
      <c r="L4356" s="20">
        <v>0</v>
      </c>
      <c r="M4356" s="20">
        <v>0</v>
      </c>
      <c r="N4356" s="20">
        <v>0</v>
      </c>
      <c r="O4356" s="20">
        <v>0</v>
      </c>
      <c r="P4356" s="26">
        <v>0.16250000000000001</v>
      </c>
      <c r="Q4356" s="45" t="s">
        <v>154</v>
      </c>
    </row>
    <row r="4357" spans="1:17" ht="144" x14ac:dyDescent="0.25">
      <c r="A4357" s="23">
        <v>40745</v>
      </c>
      <c r="B4357" s="23">
        <v>40745</v>
      </c>
      <c r="C4357" s="24">
        <v>2011</v>
      </c>
      <c r="D4357" s="35" t="s">
        <v>28</v>
      </c>
      <c r="E4357" s="30" t="s">
        <v>133</v>
      </c>
      <c r="F4357" s="7" t="s">
        <v>49</v>
      </c>
      <c r="G4357" s="44" t="s">
        <v>1445</v>
      </c>
      <c r="H4357" s="44" t="s">
        <v>6373</v>
      </c>
      <c r="I4357" s="20">
        <v>0</v>
      </c>
      <c r="J4357" s="20">
        <v>3</v>
      </c>
      <c r="K4357" s="20">
        <v>0</v>
      </c>
      <c r="L4357" s="20">
        <v>0</v>
      </c>
      <c r="M4357" s="20">
        <v>0</v>
      </c>
      <c r="N4357" s="20">
        <v>0</v>
      </c>
      <c r="O4357" s="20">
        <v>0</v>
      </c>
      <c r="P4357" s="158">
        <v>0</v>
      </c>
      <c r="Q4357" s="45" t="s">
        <v>154</v>
      </c>
    </row>
    <row r="4358" spans="1:17" ht="180" x14ac:dyDescent="0.25">
      <c r="A4358" s="23">
        <v>40551</v>
      </c>
      <c r="B4358" s="23">
        <v>40551</v>
      </c>
      <c r="C4358" s="24">
        <v>2011</v>
      </c>
      <c r="D4358" s="35" t="s">
        <v>28</v>
      </c>
      <c r="E4358" s="30" t="s">
        <v>125</v>
      </c>
      <c r="F4358" s="28" t="s">
        <v>157</v>
      </c>
      <c r="G4358" s="44" t="s">
        <v>6374</v>
      </c>
      <c r="H4358" s="44" t="s">
        <v>6375</v>
      </c>
      <c r="I4358" s="20">
        <v>0</v>
      </c>
      <c r="J4358" s="20">
        <v>450</v>
      </c>
      <c r="K4358" s="20">
        <v>0</v>
      </c>
      <c r="L4358" s="20">
        <v>0</v>
      </c>
      <c r="M4358" s="20">
        <v>0</v>
      </c>
      <c r="N4358" s="20">
        <v>0</v>
      </c>
      <c r="O4358" s="20">
        <v>0</v>
      </c>
      <c r="P4358" s="26">
        <v>0</v>
      </c>
      <c r="Q4358" s="45" t="s">
        <v>154</v>
      </c>
    </row>
    <row r="4359" spans="1:17" ht="132" x14ac:dyDescent="0.25">
      <c r="A4359" s="23">
        <v>40550</v>
      </c>
      <c r="B4359" s="23">
        <v>40550</v>
      </c>
      <c r="C4359" s="24">
        <v>2011</v>
      </c>
      <c r="D4359" s="35" t="s">
        <v>17</v>
      </c>
      <c r="E4359" s="49" t="s">
        <v>1597</v>
      </c>
      <c r="F4359" s="28" t="s">
        <v>157</v>
      </c>
      <c r="G4359" s="44" t="s">
        <v>5929</v>
      </c>
      <c r="H4359" s="44" t="s">
        <v>6376</v>
      </c>
      <c r="I4359" s="20">
        <v>0</v>
      </c>
      <c r="J4359" s="20">
        <v>30</v>
      </c>
      <c r="K4359" s="20">
        <v>0</v>
      </c>
      <c r="L4359" s="20">
        <v>0</v>
      </c>
      <c r="M4359" s="20">
        <v>0</v>
      </c>
      <c r="N4359" s="20">
        <v>0</v>
      </c>
      <c r="O4359" s="20">
        <v>0</v>
      </c>
      <c r="P4359" s="26">
        <v>0</v>
      </c>
      <c r="Q4359" s="45" t="s">
        <v>154</v>
      </c>
    </row>
    <row r="4360" spans="1:17" ht="120" x14ac:dyDescent="0.25">
      <c r="A4360" s="23">
        <v>40785</v>
      </c>
      <c r="B4360" s="23">
        <v>40785</v>
      </c>
      <c r="C4360" s="24">
        <v>2011</v>
      </c>
      <c r="D4360" s="24" t="s">
        <v>141</v>
      </c>
      <c r="E4360" s="30" t="s">
        <v>142</v>
      </c>
      <c r="F4360" s="28" t="s">
        <v>157</v>
      </c>
      <c r="G4360" s="44" t="s">
        <v>6377</v>
      </c>
      <c r="H4360" s="44" t="s">
        <v>6378</v>
      </c>
      <c r="I4360" s="20">
        <v>0</v>
      </c>
      <c r="J4360" s="20">
        <v>15</v>
      </c>
      <c r="K4360" s="20">
        <v>0</v>
      </c>
      <c r="L4360" s="20">
        <v>0</v>
      </c>
      <c r="M4360" s="20">
        <v>0</v>
      </c>
      <c r="N4360" s="20">
        <v>0</v>
      </c>
      <c r="O4360" s="20">
        <v>0</v>
      </c>
      <c r="P4360" s="158">
        <v>0</v>
      </c>
      <c r="Q4360" s="45" t="s">
        <v>154</v>
      </c>
    </row>
    <row r="4361" spans="1:17" ht="96" x14ac:dyDescent="0.25">
      <c r="A4361" s="23">
        <v>40629</v>
      </c>
      <c r="B4361" s="23">
        <v>40629</v>
      </c>
      <c r="C4361" s="24">
        <v>2011</v>
      </c>
      <c r="D4361" s="35" t="s">
        <v>28</v>
      </c>
      <c r="E4361" s="30" t="s">
        <v>133</v>
      </c>
      <c r="F4361" s="7" t="s">
        <v>45</v>
      </c>
      <c r="G4361" s="44" t="s">
        <v>1601</v>
      </c>
      <c r="H4361" s="44" t="s">
        <v>6379</v>
      </c>
      <c r="I4361" s="20">
        <v>1</v>
      </c>
      <c r="J4361" s="20">
        <v>6</v>
      </c>
      <c r="K4361" s="20">
        <v>0</v>
      </c>
      <c r="L4361" s="20">
        <v>0</v>
      </c>
      <c r="M4361" s="20">
        <v>0</v>
      </c>
      <c r="N4361" s="20">
        <v>0</v>
      </c>
      <c r="O4361" s="20">
        <v>0</v>
      </c>
      <c r="P4361" s="158">
        <v>0</v>
      </c>
      <c r="Q4361" s="45" t="s">
        <v>154</v>
      </c>
    </row>
    <row r="4362" spans="1:17" ht="120" x14ac:dyDescent="0.25">
      <c r="A4362" s="23">
        <v>40549</v>
      </c>
      <c r="B4362" s="23">
        <v>40549</v>
      </c>
      <c r="C4362" s="24">
        <v>2011</v>
      </c>
      <c r="D4362" s="35" t="s">
        <v>28</v>
      </c>
      <c r="E4362" s="30" t="s">
        <v>133</v>
      </c>
      <c r="F4362" s="7" t="s">
        <v>45</v>
      </c>
      <c r="G4362" s="44" t="s">
        <v>6380</v>
      </c>
      <c r="H4362" s="44" t="s">
        <v>6381</v>
      </c>
      <c r="I4362" s="20">
        <v>14</v>
      </c>
      <c r="J4362" s="20">
        <v>15</v>
      </c>
      <c r="K4362" s="20">
        <v>0</v>
      </c>
      <c r="L4362" s="20">
        <v>0</v>
      </c>
      <c r="M4362" s="20">
        <v>0</v>
      </c>
      <c r="N4362" s="20">
        <v>0</v>
      </c>
      <c r="O4362" s="20">
        <v>0</v>
      </c>
      <c r="P4362" s="158">
        <v>0</v>
      </c>
      <c r="Q4362" s="45" t="s">
        <v>154</v>
      </c>
    </row>
    <row r="4363" spans="1:17" ht="108" x14ac:dyDescent="0.25">
      <c r="A4363" s="23">
        <v>40548</v>
      </c>
      <c r="B4363" s="23">
        <v>40548</v>
      </c>
      <c r="C4363" s="24">
        <v>2011</v>
      </c>
      <c r="D4363" s="24" t="s">
        <v>141</v>
      </c>
      <c r="E4363" s="30" t="s">
        <v>142</v>
      </c>
      <c r="F4363" s="7" t="s">
        <v>40</v>
      </c>
      <c r="G4363" s="44" t="s">
        <v>6382</v>
      </c>
      <c r="H4363" s="44" t="s">
        <v>6383</v>
      </c>
      <c r="I4363" s="20">
        <v>0</v>
      </c>
      <c r="J4363" s="20">
        <v>7</v>
      </c>
      <c r="K4363" s="20">
        <v>0</v>
      </c>
      <c r="L4363" s="20">
        <v>0</v>
      </c>
      <c r="M4363" s="20">
        <v>0</v>
      </c>
      <c r="N4363" s="20">
        <v>0</v>
      </c>
      <c r="O4363" s="20">
        <v>0</v>
      </c>
      <c r="P4363" s="26">
        <v>0</v>
      </c>
      <c r="Q4363" s="45" t="s">
        <v>154</v>
      </c>
    </row>
    <row r="4364" spans="1:17" ht="84" x14ac:dyDescent="0.25">
      <c r="A4364" s="23">
        <v>40547</v>
      </c>
      <c r="B4364" s="23">
        <v>40547</v>
      </c>
      <c r="C4364" s="24">
        <v>2011</v>
      </c>
      <c r="D4364" s="351" t="s">
        <v>23</v>
      </c>
      <c r="E4364" s="22" t="s">
        <v>86</v>
      </c>
      <c r="F4364" s="7" t="s">
        <v>40</v>
      </c>
      <c r="G4364" s="44" t="s">
        <v>2043</v>
      </c>
      <c r="H4364" s="44" t="s">
        <v>6384</v>
      </c>
      <c r="I4364" s="20">
        <v>0</v>
      </c>
      <c r="J4364" s="20">
        <v>12</v>
      </c>
      <c r="K4364" s="20">
        <v>0</v>
      </c>
      <c r="L4364" s="20">
        <v>0</v>
      </c>
      <c r="M4364" s="20">
        <v>0</v>
      </c>
      <c r="N4364" s="20">
        <v>0</v>
      </c>
      <c r="O4364" s="20">
        <v>0</v>
      </c>
      <c r="P4364" s="26">
        <v>0</v>
      </c>
      <c r="Q4364" s="45" t="s">
        <v>154</v>
      </c>
    </row>
    <row r="4365" spans="1:17" ht="192" x14ac:dyDescent="0.25">
      <c r="A4365" s="23">
        <v>40728</v>
      </c>
      <c r="B4365" s="23">
        <v>40728</v>
      </c>
      <c r="C4365" s="24">
        <v>2011</v>
      </c>
      <c r="D4365" s="351" t="s">
        <v>23</v>
      </c>
      <c r="E4365" s="22" t="s">
        <v>86</v>
      </c>
      <c r="F4365" s="7" t="s">
        <v>36</v>
      </c>
      <c r="G4365" s="44" t="s">
        <v>6385</v>
      </c>
      <c r="H4365" s="44" t="s">
        <v>6386</v>
      </c>
      <c r="I4365" s="20">
        <v>0</v>
      </c>
      <c r="J4365" s="46">
        <v>55</v>
      </c>
      <c r="K4365" s="20">
        <v>11</v>
      </c>
      <c r="L4365" s="20">
        <v>0</v>
      </c>
      <c r="M4365" s="20">
        <v>0</v>
      </c>
      <c r="N4365" s="20">
        <v>0</v>
      </c>
      <c r="O4365" s="20">
        <v>0</v>
      </c>
      <c r="P4365" s="47">
        <v>2.75E-2</v>
      </c>
      <c r="Q4365" s="45" t="s">
        <v>154</v>
      </c>
    </row>
    <row r="4366" spans="1:17" ht="144" x14ac:dyDescent="0.25">
      <c r="A4366" s="23">
        <v>40545</v>
      </c>
      <c r="B4366" s="23">
        <v>40545</v>
      </c>
      <c r="C4366" s="24">
        <v>2011</v>
      </c>
      <c r="D4366" s="24" t="s">
        <v>130</v>
      </c>
      <c r="E4366" s="30" t="s">
        <v>136</v>
      </c>
      <c r="F4366" s="7" t="s">
        <v>30</v>
      </c>
      <c r="G4366" s="44" t="s">
        <v>901</v>
      </c>
      <c r="H4366" s="44" t="s">
        <v>6387</v>
      </c>
      <c r="I4366" s="20">
        <v>0</v>
      </c>
      <c r="J4366" s="20">
        <v>16</v>
      </c>
      <c r="K4366" s="20">
        <v>0</v>
      </c>
      <c r="L4366" s="20">
        <v>0</v>
      </c>
      <c r="M4366" s="20">
        <v>0</v>
      </c>
      <c r="N4366" s="20">
        <v>0</v>
      </c>
      <c r="O4366" s="20">
        <v>0</v>
      </c>
      <c r="P4366" s="26">
        <v>0</v>
      </c>
      <c r="Q4366" s="45" t="s">
        <v>154</v>
      </c>
    </row>
    <row r="4367" spans="1:17" ht="144" x14ac:dyDescent="0.25">
      <c r="A4367" s="23">
        <v>40817</v>
      </c>
      <c r="B4367" s="23">
        <v>40837</v>
      </c>
      <c r="C4367" s="24">
        <v>2011</v>
      </c>
      <c r="D4367" s="351" t="s">
        <v>23</v>
      </c>
      <c r="E4367" s="14" t="s">
        <v>52</v>
      </c>
      <c r="F4367" s="28" t="s">
        <v>151</v>
      </c>
      <c r="G4367" s="44" t="s">
        <v>6388</v>
      </c>
      <c r="H4367" s="44" t="s">
        <v>6389</v>
      </c>
      <c r="I4367" s="20">
        <v>0</v>
      </c>
      <c r="J4367" s="20">
        <v>5188</v>
      </c>
      <c r="K4367" s="20">
        <v>794</v>
      </c>
      <c r="L4367" s="20" t="s">
        <v>110</v>
      </c>
      <c r="M4367" s="20">
        <v>20</v>
      </c>
      <c r="N4367" s="20">
        <v>0</v>
      </c>
      <c r="O4367" s="20" t="s">
        <v>110</v>
      </c>
      <c r="P4367" s="26">
        <v>437.27721500000001</v>
      </c>
      <c r="Q4367" s="45" t="s">
        <v>3933</v>
      </c>
    </row>
    <row r="4368" spans="1:17" ht="60" x14ac:dyDescent="0.25">
      <c r="A4368" s="23">
        <v>40637</v>
      </c>
      <c r="B4368" s="23">
        <v>40637</v>
      </c>
      <c r="C4368" s="24">
        <v>2011</v>
      </c>
      <c r="D4368" s="351" t="s">
        <v>23</v>
      </c>
      <c r="E4368" s="22" t="s">
        <v>86</v>
      </c>
      <c r="F4368" s="7" t="s">
        <v>36</v>
      </c>
      <c r="G4368" s="44" t="s">
        <v>6390</v>
      </c>
      <c r="H4368" s="44" t="s">
        <v>6391</v>
      </c>
      <c r="I4368" s="20">
        <v>0</v>
      </c>
      <c r="J4368" s="46">
        <v>55</v>
      </c>
      <c r="K4368" s="20">
        <v>11</v>
      </c>
      <c r="L4368" s="20">
        <v>0</v>
      </c>
      <c r="M4368" s="20">
        <v>0</v>
      </c>
      <c r="N4368" s="20">
        <v>0</v>
      </c>
      <c r="O4368" s="20">
        <v>0</v>
      </c>
      <c r="P4368" s="47">
        <v>2.75E-2</v>
      </c>
      <c r="Q4368" s="45" t="s">
        <v>154</v>
      </c>
    </row>
    <row r="4369" spans="1:17" ht="168" x14ac:dyDescent="0.25">
      <c r="A4369" s="23">
        <v>40577</v>
      </c>
      <c r="B4369" s="23">
        <v>40577</v>
      </c>
      <c r="C4369" s="24">
        <v>2011</v>
      </c>
      <c r="D4369" s="351" t="s">
        <v>23</v>
      </c>
      <c r="E4369" s="22" t="s">
        <v>86</v>
      </c>
      <c r="F4369" s="7" t="s">
        <v>36</v>
      </c>
      <c r="G4369" s="44" t="s">
        <v>6392</v>
      </c>
      <c r="H4369" s="44" t="s">
        <v>6393</v>
      </c>
      <c r="I4369" s="20">
        <v>0</v>
      </c>
      <c r="J4369" s="46">
        <f>(11*5)</f>
        <v>55</v>
      </c>
      <c r="K4369" s="20">
        <v>11</v>
      </c>
      <c r="L4369" s="20">
        <v>0</v>
      </c>
      <c r="M4369" s="20">
        <v>0</v>
      </c>
      <c r="N4369" s="20">
        <v>0</v>
      </c>
      <c r="O4369" s="20">
        <v>0</v>
      </c>
      <c r="P4369" s="47">
        <v>2.75E-2</v>
      </c>
      <c r="Q4369" s="45" t="s">
        <v>154</v>
      </c>
    </row>
    <row r="4370" spans="1:17" ht="132" x14ac:dyDescent="0.25">
      <c r="A4370" s="23">
        <v>40577</v>
      </c>
      <c r="B4370" s="23">
        <v>40577</v>
      </c>
      <c r="C4370" s="24">
        <v>2011</v>
      </c>
      <c r="D4370" s="351" t="s">
        <v>23</v>
      </c>
      <c r="E4370" s="22" t="s">
        <v>86</v>
      </c>
      <c r="F4370" s="7" t="s">
        <v>36</v>
      </c>
      <c r="G4370" s="44" t="s">
        <v>3106</v>
      </c>
      <c r="H4370" s="44" t="s">
        <v>6394</v>
      </c>
      <c r="I4370" s="20">
        <v>0</v>
      </c>
      <c r="J4370" s="46">
        <f>(5*5)</f>
        <v>25</v>
      </c>
      <c r="K4370" s="20">
        <v>5</v>
      </c>
      <c r="L4370" s="20">
        <v>0</v>
      </c>
      <c r="M4370" s="20">
        <v>0</v>
      </c>
      <c r="N4370" s="20">
        <v>0</v>
      </c>
      <c r="O4370" s="20">
        <v>0</v>
      </c>
      <c r="P4370" s="47">
        <v>1.2500000000000001E-2</v>
      </c>
      <c r="Q4370" s="45" t="s">
        <v>154</v>
      </c>
    </row>
    <row r="4371" spans="1:17" ht="72" x14ac:dyDescent="0.25">
      <c r="A4371" s="23">
        <v>40814</v>
      </c>
      <c r="B4371" s="23">
        <v>40814</v>
      </c>
      <c r="C4371" s="24">
        <v>2011</v>
      </c>
      <c r="D4371" s="351" t="s">
        <v>23</v>
      </c>
      <c r="E4371" s="22" t="s">
        <v>86</v>
      </c>
      <c r="F4371" s="7" t="s">
        <v>53</v>
      </c>
      <c r="G4371" s="44" t="s">
        <v>6395</v>
      </c>
      <c r="H4371" s="44" t="s">
        <v>6396</v>
      </c>
      <c r="I4371" s="20">
        <v>3</v>
      </c>
      <c r="J4371" s="20" t="s">
        <v>110</v>
      </c>
      <c r="K4371" s="20" t="s">
        <v>110</v>
      </c>
      <c r="L4371" s="20" t="s">
        <v>110</v>
      </c>
      <c r="M4371" s="20" t="s">
        <v>110</v>
      </c>
      <c r="N4371" s="20">
        <v>0</v>
      </c>
      <c r="O4371" s="20" t="s">
        <v>110</v>
      </c>
      <c r="P4371" s="26">
        <v>58.503590000000003</v>
      </c>
      <c r="Q4371" s="45" t="s">
        <v>186</v>
      </c>
    </row>
    <row r="4372" spans="1:17" ht="60" x14ac:dyDescent="0.25">
      <c r="A4372" s="23">
        <v>40789</v>
      </c>
      <c r="B4372" s="23">
        <v>40789</v>
      </c>
      <c r="C4372" s="24">
        <v>2011</v>
      </c>
      <c r="D4372" s="351" t="s">
        <v>23</v>
      </c>
      <c r="E4372" s="22" t="s">
        <v>86</v>
      </c>
      <c r="F4372" s="7" t="s">
        <v>53</v>
      </c>
      <c r="G4372" s="44" t="s">
        <v>6397</v>
      </c>
      <c r="H4372" s="44" t="s">
        <v>6398</v>
      </c>
      <c r="I4372" s="20">
        <v>1</v>
      </c>
      <c r="J4372" s="20" t="s">
        <v>110</v>
      </c>
      <c r="K4372" s="20" t="s">
        <v>110</v>
      </c>
      <c r="L4372" s="20" t="s">
        <v>110</v>
      </c>
      <c r="M4372" s="20" t="s">
        <v>110</v>
      </c>
      <c r="N4372" s="20">
        <v>0</v>
      </c>
      <c r="O4372" s="20" t="s">
        <v>110</v>
      </c>
      <c r="P4372" s="26">
        <v>21.779174000000001</v>
      </c>
      <c r="Q4372" s="45" t="s">
        <v>186</v>
      </c>
    </row>
    <row r="4373" spans="1:17" ht="36" x14ac:dyDescent="0.25">
      <c r="A4373" s="23">
        <v>40719</v>
      </c>
      <c r="B4373" s="23">
        <v>40719</v>
      </c>
      <c r="C4373" s="24">
        <v>2011</v>
      </c>
      <c r="D4373" s="351" t="s">
        <v>23</v>
      </c>
      <c r="E4373" s="22" t="s">
        <v>86</v>
      </c>
      <c r="F4373" s="7" t="s">
        <v>60</v>
      </c>
      <c r="G4373" s="44" t="s">
        <v>4208</v>
      </c>
      <c r="H4373" s="44" t="s">
        <v>6399</v>
      </c>
      <c r="I4373" s="20">
        <v>0</v>
      </c>
      <c r="J4373" s="20" t="s">
        <v>110</v>
      </c>
      <c r="K4373" s="20" t="s">
        <v>110</v>
      </c>
      <c r="L4373" s="20" t="s">
        <v>110</v>
      </c>
      <c r="M4373" s="20" t="s">
        <v>110</v>
      </c>
      <c r="N4373" s="20">
        <v>0</v>
      </c>
      <c r="O4373" s="20" t="s">
        <v>110</v>
      </c>
      <c r="P4373" s="26">
        <v>7.0820730000000003</v>
      </c>
      <c r="Q4373" s="45" t="s">
        <v>186</v>
      </c>
    </row>
    <row r="4374" spans="1:17" ht="60" x14ac:dyDescent="0.25">
      <c r="A4374" s="23">
        <v>40738</v>
      </c>
      <c r="B4374" s="23">
        <v>40739</v>
      </c>
      <c r="C4374" s="24">
        <v>2011</v>
      </c>
      <c r="D4374" s="351" t="s">
        <v>23</v>
      </c>
      <c r="E4374" s="22" t="s">
        <v>86</v>
      </c>
      <c r="F4374" s="7" t="s">
        <v>72</v>
      </c>
      <c r="G4374" s="44" t="s">
        <v>6400</v>
      </c>
      <c r="H4374" s="44" t="s">
        <v>6401</v>
      </c>
      <c r="I4374" s="20">
        <v>2</v>
      </c>
      <c r="J4374" s="20">
        <v>10119</v>
      </c>
      <c r="K4374" s="20">
        <v>73</v>
      </c>
      <c r="L4374" s="20" t="s">
        <v>110</v>
      </c>
      <c r="M4374" s="20" t="s">
        <v>110</v>
      </c>
      <c r="N4374" s="20">
        <v>0</v>
      </c>
      <c r="O4374" s="20" t="s">
        <v>110</v>
      </c>
      <c r="P4374" s="26">
        <v>252.39732900000001</v>
      </c>
      <c r="Q4374" s="45" t="s">
        <v>186</v>
      </c>
    </row>
    <row r="4375" spans="1:17" ht="84" x14ac:dyDescent="0.25">
      <c r="A4375" s="23">
        <v>40776</v>
      </c>
      <c r="B4375" s="23">
        <v>40776</v>
      </c>
      <c r="C4375" s="24">
        <v>2011</v>
      </c>
      <c r="D4375" s="351" t="s">
        <v>23</v>
      </c>
      <c r="E4375" s="22" t="s">
        <v>86</v>
      </c>
      <c r="F4375" s="7" t="s">
        <v>72</v>
      </c>
      <c r="G4375" s="44" t="s">
        <v>6402</v>
      </c>
      <c r="H4375" s="44" t="s">
        <v>6403</v>
      </c>
      <c r="I4375" s="20">
        <v>4</v>
      </c>
      <c r="J4375" s="20">
        <v>1729</v>
      </c>
      <c r="K4375" s="20">
        <v>46</v>
      </c>
      <c r="L4375" s="20" t="s">
        <v>110</v>
      </c>
      <c r="M4375" s="20" t="s">
        <v>110</v>
      </c>
      <c r="N4375" s="20">
        <v>0</v>
      </c>
      <c r="O4375" s="20" t="s">
        <v>110</v>
      </c>
      <c r="P4375" s="26">
        <v>87.239120999999997</v>
      </c>
      <c r="Q4375" s="45" t="s">
        <v>186</v>
      </c>
    </row>
    <row r="4376" spans="1:17" ht="36" x14ac:dyDescent="0.25">
      <c r="A4376" s="23">
        <v>40776</v>
      </c>
      <c r="B4376" s="23">
        <v>40776</v>
      </c>
      <c r="C4376" s="24">
        <v>2011</v>
      </c>
      <c r="D4376" s="351" t="s">
        <v>23</v>
      </c>
      <c r="E4376" s="22" t="s">
        <v>86</v>
      </c>
      <c r="F4376" s="7" t="s">
        <v>72</v>
      </c>
      <c r="G4376" s="44" t="s">
        <v>6404</v>
      </c>
      <c r="H4376" s="44" t="s">
        <v>6405</v>
      </c>
      <c r="I4376" s="20">
        <v>0</v>
      </c>
      <c r="J4376" s="20" t="s">
        <v>110</v>
      </c>
      <c r="K4376" s="20">
        <v>11</v>
      </c>
      <c r="L4376" s="20" t="s">
        <v>110</v>
      </c>
      <c r="M4376" s="20">
        <v>4</v>
      </c>
      <c r="N4376" s="20">
        <v>0</v>
      </c>
      <c r="O4376" s="20" t="s">
        <v>110</v>
      </c>
      <c r="P4376" s="26">
        <v>42.894120000000001</v>
      </c>
      <c r="Q4376" s="45" t="s">
        <v>186</v>
      </c>
    </row>
    <row r="4377" spans="1:17" ht="48" x14ac:dyDescent="0.25">
      <c r="A4377" s="23">
        <v>40782</v>
      </c>
      <c r="B4377" s="23">
        <v>40782</v>
      </c>
      <c r="C4377" s="24">
        <v>2011</v>
      </c>
      <c r="D4377" s="35" t="s">
        <v>17</v>
      </c>
      <c r="E4377" s="49" t="s">
        <v>1597</v>
      </c>
      <c r="F4377" s="7" t="s">
        <v>72</v>
      </c>
      <c r="G4377" s="44" t="s">
        <v>6406</v>
      </c>
      <c r="H4377" s="44" t="s">
        <v>6407</v>
      </c>
      <c r="I4377" s="20">
        <v>3</v>
      </c>
      <c r="J4377" s="20">
        <v>10048</v>
      </c>
      <c r="K4377" s="20">
        <v>303</v>
      </c>
      <c r="L4377" s="20" t="s">
        <v>110</v>
      </c>
      <c r="M4377" s="20" t="s">
        <v>110</v>
      </c>
      <c r="N4377" s="20">
        <v>0</v>
      </c>
      <c r="O4377" s="20" t="s">
        <v>110</v>
      </c>
      <c r="P4377" s="26">
        <v>255.16598000000002</v>
      </c>
      <c r="Q4377" s="45" t="s">
        <v>186</v>
      </c>
    </row>
    <row r="4378" spans="1:17" ht="48" x14ac:dyDescent="0.25">
      <c r="A4378" s="23">
        <v>40786</v>
      </c>
      <c r="B4378" s="23">
        <v>40787</v>
      </c>
      <c r="C4378" s="24">
        <v>2011</v>
      </c>
      <c r="D4378" s="351" t="s">
        <v>23</v>
      </c>
      <c r="E4378" s="22" t="s">
        <v>86</v>
      </c>
      <c r="F4378" s="7" t="s">
        <v>72</v>
      </c>
      <c r="G4378" s="44" t="s">
        <v>6408</v>
      </c>
      <c r="H4378" s="44" t="s">
        <v>6409</v>
      </c>
      <c r="I4378" s="20">
        <v>0</v>
      </c>
      <c r="J4378" s="20">
        <v>2332</v>
      </c>
      <c r="K4378" s="20">
        <v>12</v>
      </c>
      <c r="L4378" s="20" t="s">
        <v>110</v>
      </c>
      <c r="M4378" s="20" t="s">
        <v>110</v>
      </c>
      <c r="N4378" s="20">
        <v>0</v>
      </c>
      <c r="O4378" s="20" t="s">
        <v>110</v>
      </c>
      <c r="P4378" s="26">
        <v>69.886206000000001</v>
      </c>
      <c r="Q4378" s="45" t="s">
        <v>186</v>
      </c>
    </row>
    <row r="4379" spans="1:17" ht="48" x14ac:dyDescent="0.25">
      <c r="A4379" s="23">
        <v>40787</v>
      </c>
      <c r="B4379" s="23">
        <v>40787</v>
      </c>
      <c r="C4379" s="24">
        <v>2011</v>
      </c>
      <c r="D4379" s="351" t="s">
        <v>23</v>
      </c>
      <c r="E4379" s="22" t="s">
        <v>86</v>
      </c>
      <c r="F4379" s="7" t="s">
        <v>72</v>
      </c>
      <c r="G4379" s="44" t="s">
        <v>5363</v>
      </c>
      <c r="H4379" s="44" t="s">
        <v>6410</v>
      </c>
      <c r="I4379" s="20">
        <v>0</v>
      </c>
      <c r="J4379" s="20">
        <v>1795</v>
      </c>
      <c r="K4379" s="20" t="s">
        <v>110</v>
      </c>
      <c r="L4379" s="20" t="s">
        <v>110</v>
      </c>
      <c r="M4379" s="20" t="s">
        <v>110</v>
      </c>
      <c r="N4379" s="20">
        <v>0</v>
      </c>
      <c r="O4379" s="20" t="s">
        <v>110</v>
      </c>
      <c r="P4379" s="26">
        <v>302.79186100000004</v>
      </c>
      <c r="Q4379" s="45" t="s">
        <v>186</v>
      </c>
    </row>
    <row r="4380" spans="1:17" ht="48" x14ac:dyDescent="0.25">
      <c r="A4380" s="23">
        <v>40803</v>
      </c>
      <c r="B4380" s="23">
        <v>40808</v>
      </c>
      <c r="C4380" s="24">
        <v>2011</v>
      </c>
      <c r="D4380" s="35" t="s">
        <v>17</v>
      </c>
      <c r="E4380" s="49" t="s">
        <v>1597</v>
      </c>
      <c r="F4380" s="7" t="s">
        <v>72</v>
      </c>
      <c r="G4380" s="44" t="s">
        <v>6411</v>
      </c>
      <c r="H4380" s="44" t="s">
        <v>6412</v>
      </c>
      <c r="I4380" s="20">
        <v>0</v>
      </c>
      <c r="J4380" s="20">
        <v>965</v>
      </c>
      <c r="K4380" s="20">
        <v>193</v>
      </c>
      <c r="L4380" s="20" t="s">
        <v>110</v>
      </c>
      <c r="M4380" s="20" t="s">
        <v>110</v>
      </c>
      <c r="N4380" s="20">
        <v>0</v>
      </c>
      <c r="O4380" s="20" t="s">
        <v>110</v>
      </c>
      <c r="P4380" s="26">
        <v>82.454712999999998</v>
      </c>
      <c r="Q4380" s="45" t="s">
        <v>186</v>
      </c>
    </row>
    <row r="4381" spans="1:17" ht="48" x14ac:dyDescent="0.25">
      <c r="A4381" s="23">
        <v>40777</v>
      </c>
      <c r="B4381" s="23">
        <v>40777</v>
      </c>
      <c r="C4381" s="24">
        <v>2011</v>
      </c>
      <c r="D4381" s="351" t="s">
        <v>23</v>
      </c>
      <c r="E4381" s="22" t="s">
        <v>86</v>
      </c>
      <c r="F4381" s="7" t="s">
        <v>75</v>
      </c>
      <c r="G4381" s="44" t="s">
        <v>6413</v>
      </c>
      <c r="H4381" s="44" t="s">
        <v>6414</v>
      </c>
      <c r="I4381" s="20">
        <v>1</v>
      </c>
      <c r="J4381" s="20">
        <v>95</v>
      </c>
      <c r="K4381" s="20">
        <v>19</v>
      </c>
      <c r="L4381" s="20" t="s">
        <v>110</v>
      </c>
      <c r="M4381" s="20" t="s">
        <v>110</v>
      </c>
      <c r="N4381" s="20">
        <v>0</v>
      </c>
      <c r="O4381" s="20" t="s">
        <v>110</v>
      </c>
      <c r="P4381" s="26">
        <v>706.37943199999995</v>
      </c>
      <c r="Q4381" s="45" t="s">
        <v>186</v>
      </c>
    </row>
    <row r="4382" spans="1:17" ht="48" x14ac:dyDescent="0.25">
      <c r="A4382" s="23">
        <v>40738</v>
      </c>
      <c r="B4382" s="23">
        <v>40738</v>
      </c>
      <c r="C4382" s="24">
        <v>2011</v>
      </c>
      <c r="D4382" s="351" t="s">
        <v>23</v>
      </c>
      <c r="E4382" s="22" t="s">
        <v>86</v>
      </c>
      <c r="F4382" s="7" t="s">
        <v>82</v>
      </c>
      <c r="G4382" s="44" t="s">
        <v>191</v>
      </c>
      <c r="H4382" s="44" t="s">
        <v>6415</v>
      </c>
      <c r="I4382" s="20">
        <v>0</v>
      </c>
      <c r="J4382" s="20">
        <v>1031</v>
      </c>
      <c r="K4382" s="20" t="s">
        <v>110</v>
      </c>
      <c r="L4382" s="20" t="s">
        <v>110</v>
      </c>
      <c r="M4382" s="20" t="s">
        <v>110</v>
      </c>
      <c r="N4382" s="20">
        <v>0</v>
      </c>
      <c r="O4382" s="20" t="s">
        <v>110</v>
      </c>
      <c r="P4382" s="26">
        <v>0.47521999999999998</v>
      </c>
      <c r="Q4382" s="45" t="s">
        <v>186</v>
      </c>
    </row>
    <row r="4383" spans="1:17" ht="60" x14ac:dyDescent="0.25">
      <c r="A4383" s="23">
        <v>40727</v>
      </c>
      <c r="B4383" s="23">
        <v>40731</v>
      </c>
      <c r="C4383" s="24">
        <v>2011</v>
      </c>
      <c r="D4383" s="351" t="s">
        <v>23</v>
      </c>
      <c r="E4383" s="14" t="s">
        <v>52</v>
      </c>
      <c r="F4383" s="7" t="s">
        <v>82</v>
      </c>
      <c r="G4383" s="44" t="s">
        <v>6416</v>
      </c>
      <c r="H4383" s="44" t="s">
        <v>6417</v>
      </c>
      <c r="I4383" s="20">
        <v>2</v>
      </c>
      <c r="J4383" s="20">
        <v>2</v>
      </c>
      <c r="K4383" s="20" t="s">
        <v>110</v>
      </c>
      <c r="L4383" s="20" t="s">
        <v>110</v>
      </c>
      <c r="M4383" s="20" t="s">
        <v>110</v>
      </c>
      <c r="N4383" s="20">
        <v>0</v>
      </c>
      <c r="O4383" s="20" t="s">
        <v>110</v>
      </c>
      <c r="P4383" s="26">
        <v>115.788917</v>
      </c>
      <c r="Q4383" s="45" t="s">
        <v>186</v>
      </c>
    </row>
    <row r="4384" spans="1:17" ht="108" x14ac:dyDescent="0.25">
      <c r="A4384" s="48">
        <v>40780</v>
      </c>
      <c r="B4384" s="48">
        <v>40780</v>
      </c>
      <c r="C4384" s="344">
        <v>2011</v>
      </c>
      <c r="D4384" s="351" t="s">
        <v>23</v>
      </c>
      <c r="E4384" s="22" t="s">
        <v>86</v>
      </c>
      <c r="F4384" s="7" t="s">
        <v>84</v>
      </c>
      <c r="G4384" s="33" t="s">
        <v>1802</v>
      </c>
      <c r="H4384" s="33" t="s">
        <v>6418</v>
      </c>
      <c r="I4384" s="157">
        <v>0</v>
      </c>
      <c r="J4384" s="142">
        <v>4</v>
      </c>
      <c r="K4384" s="142">
        <v>0</v>
      </c>
      <c r="L4384" s="142">
        <v>0</v>
      </c>
      <c r="M4384" s="142">
        <v>0</v>
      </c>
      <c r="N4384" s="20">
        <v>0</v>
      </c>
      <c r="O4384" s="142">
        <v>0</v>
      </c>
      <c r="P4384" s="158">
        <v>0</v>
      </c>
      <c r="Q4384" s="157" t="s">
        <v>154</v>
      </c>
    </row>
    <row r="4385" spans="1:17" ht="24" x14ac:dyDescent="0.25">
      <c r="A4385" s="48">
        <v>40811</v>
      </c>
      <c r="B4385" s="48">
        <v>40811</v>
      </c>
      <c r="C4385" s="344">
        <v>2011</v>
      </c>
      <c r="D4385" s="351" t="s">
        <v>23</v>
      </c>
      <c r="E4385" s="22" t="s">
        <v>86</v>
      </c>
      <c r="F4385" s="7" t="s">
        <v>84</v>
      </c>
      <c r="G4385" s="33" t="s">
        <v>3740</v>
      </c>
      <c r="H4385" s="33" t="s">
        <v>6419</v>
      </c>
      <c r="I4385" s="157">
        <v>1</v>
      </c>
      <c r="J4385" s="142">
        <v>1</v>
      </c>
      <c r="K4385" s="142">
        <v>0</v>
      </c>
      <c r="L4385" s="142">
        <v>0</v>
      </c>
      <c r="M4385" s="142">
        <v>0</v>
      </c>
      <c r="N4385" s="20">
        <v>0</v>
      </c>
      <c r="O4385" s="142">
        <v>0</v>
      </c>
      <c r="P4385" s="158">
        <v>0</v>
      </c>
      <c r="Q4385" s="157" t="s">
        <v>154</v>
      </c>
    </row>
    <row r="4386" spans="1:17" ht="60" x14ac:dyDescent="0.25">
      <c r="A4386" s="23">
        <v>40724</v>
      </c>
      <c r="B4386" s="23">
        <v>40724</v>
      </c>
      <c r="C4386" s="24">
        <v>2011</v>
      </c>
      <c r="D4386" s="351" t="s">
        <v>23</v>
      </c>
      <c r="E4386" s="22" t="s">
        <v>86</v>
      </c>
      <c r="F4386" s="7" t="s">
        <v>91</v>
      </c>
      <c r="G4386" s="44" t="s">
        <v>6420</v>
      </c>
      <c r="H4386" s="44" t="s">
        <v>6421</v>
      </c>
      <c r="I4386" s="20">
        <v>0</v>
      </c>
      <c r="J4386" s="20">
        <v>22673</v>
      </c>
      <c r="K4386" s="20">
        <v>259</v>
      </c>
      <c r="L4386" s="20" t="s">
        <v>110</v>
      </c>
      <c r="M4386" s="20" t="s">
        <v>110</v>
      </c>
      <c r="N4386" s="20">
        <v>0</v>
      </c>
      <c r="O4386" s="20" t="s">
        <v>110</v>
      </c>
      <c r="P4386" s="26">
        <v>71.640325999999988</v>
      </c>
      <c r="Q4386" s="45" t="s">
        <v>186</v>
      </c>
    </row>
    <row r="4387" spans="1:17" ht="60" x14ac:dyDescent="0.25">
      <c r="A4387" s="23">
        <v>40738</v>
      </c>
      <c r="B4387" s="23">
        <v>40738</v>
      </c>
      <c r="C4387" s="24">
        <v>2011</v>
      </c>
      <c r="D4387" s="351" t="s">
        <v>23</v>
      </c>
      <c r="E4387" s="14" t="s">
        <v>52</v>
      </c>
      <c r="F4387" s="28" t="s">
        <v>210</v>
      </c>
      <c r="G4387" s="44" t="s">
        <v>6422</v>
      </c>
      <c r="H4387" s="44" t="s">
        <v>6423</v>
      </c>
      <c r="I4387" s="20">
        <v>0</v>
      </c>
      <c r="J4387" s="20">
        <v>2105</v>
      </c>
      <c r="K4387" s="20">
        <v>101</v>
      </c>
      <c r="L4387" s="20" t="s">
        <v>110</v>
      </c>
      <c r="M4387" s="20" t="s">
        <v>110</v>
      </c>
      <c r="N4387" s="20">
        <v>0</v>
      </c>
      <c r="O4387" s="20" t="s">
        <v>110</v>
      </c>
      <c r="P4387" s="26">
        <v>511.29445099999998</v>
      </c>
      <c r="Q4387" s="45" t="s">
        <v>186</v>
      </c>
    </row>
    <row r="4388" spans="1:17" ht="72" x14ac:dyDescent="0.25">
      <c r="A4388" s="23">
        <v>40776</v>
      </c>
      <c r="B4388" s="23">
        <v>40776</v>
      </c>
      <c r="C4388" s="24">
        <v>2011</v>
      </c>
      <c r="D4388" s="351" t="s">
        <v>23</v>
      </c>
      <c r="E4388" s="22" t="s">
        <v>86</v>
      </c>
      <c r="F4388" s="28" t="s">
        <v>210</v>
      </c>
      <c r="G4388" s="44" t="s">
        <v>6424</v>
      </c>
      <c r="H4388" s="44" t="s">
        <v>6425</v>
      </c>
      <c r="I4388" s="20">
        <v>0</v>
      </c>
      <c r="J4388" s="20">
        <v>17154</v>
      </c>
      <c r="K4388" s="20">
        <v>57</v>
      </c>
      <c r="L4388" s="20">
        <v>2</v>
      </c>
      <c r="M4388" s="20" t="s">
        <v>110</v>
      </c>
      <c r="N4388" s="20">
        <v>0</v>
      </c>
      <c r="O4388" s="20" t="s">
        <v>110</v>
      </c>
      <c r="P4388" s="26">
        <v>41.062848000000002</v>
      </c>
      <c r="Q4388" s="45" t="s">
        <v>186</v>
      </c>
    </row>
    <row r="4389" spans="1:17" ht="108" x14ac:dyDescent="0.25">
      <c r="A4389" s="23">
        <v>40787</v>
      </c>
      <c r="B4389" s="23">
        <v>40787</v>
      </c>
      <c r="C4389" s="24">
        <v>2011</v>
      </c>
      <c r="D4389" s="351" t="s">
        <v>23</v>
      </c>
      <c r="E4389" s="22" t="s">
        <v>86</v>
      </c>
      <c r="F4389" s="28" t="s">
        <v>210</v>
      </c>
      <c r="G4389" s="44" t="s">
        <v>6426</v>
      </c>
      <c r="H4389" s="44" t="s">
        <v>6427</v>
      </c>
      <c r="I4389" s="20">
        <v>0</v>
      </c>
      <c r="J4389" s="20">
        <v>2135</v>
      </c>
      <c r="K4389" s="20">
        <v>427</v>
      </c>
      <c r="L4389" s="20" t="s">
        <v>110</v>
      </c>
      <c r="M4389" s="20" t="s">
        <v>110</v>
      </c>
      <c r="N4389" s="20">
        <v>0</v>
      </c>
      <c r="O4389" s="20" t="s">
        <v>110</v>
      </c>
      <c r="P4389" s="26">
        <v>414.96927199999999</v>
      </c>
      <c r="Q4389" s="45" t="s">
        <v>186</v>
      </c>
    </row>
    <row r="4390" spans="1:17" ht="48" x14ac:dyDescent="0.25">
      <c r="A4390" s="23">
        <v>40799</v>
      </c>
      <c r="B4390" s="23">
        <v>40799</v>
      </c>
      <c r="C4390" s="24">
        <v>2011</v>
      </c>
      <c r="D4390" s="351" t="s">
        <v>23</v>
      </c>
      <c r="E4390" s="22" t="s">
        <v>86</v>
      </c>
      <c r="F4390" s="28" t="s">
        <v>210</v>
      </c>
      <c r="G4390" s="44" t="s">
        <v>6428</v>
      </c>
      <c r="H4390" s="44" t="s">
        <v>6429</v>
      </c>
      <c r="I4390" s="20">
        <v>0</v>
      </c>
      <c r="J4390" s="20">
        <v>240</v>
      </c>
      <c r="K4390" s="20">
        <v>48</v>
      </c>
      <c r="L4390" s="20">
        <v>2</v>
      </c>
      <c r="M4390" s="20" t="s">
        <v>110</v>
      </c>
      <c r="N4390" s="20">
        <v>0</v>
      </c>
      <c r="O4390" s="20" t="s">
        <v>110</v>
      </c>
      <c r="P4390" s="26">
        <v>230.470156</v>
      </c>
      <c r="Q4390" s="45" t="s">
        <v>186</v>
      </c>
    </row>
    <row r="4391" spans="1:17" ht="60" x14ac:dyDescent="0.25">
      <c r="A4391" s="23">
        <v>40832</v>
      </c>
      <c r="B4391" s="23">
        <v>40832</v>
      </c>
      <c r="C4391" s="24">
        <v>2011</v>
      </c>
      <c r="D4391" s="351" t="s">
        <v>23</v>
      </c>
      <c r="E4391" s="22" t="s">
        <v>86</v>
      </c>
      <c r="F4391" s="28" t="s">
        <v>210</v>
      </c>
      <c r="G4391" s="44" t="s">
        <v>6430</v>
      </c>
      <c r="H4391" s="44" t="s">
        <v>6431</v>
      </c>
      <c r="I4391" s="20">
        <v>0</v>
      </c>
      <c r="J4391" s="20">
        <v>19891</v>
      </c>
      <c r="K4391" s="20">
        <v>101</v>
      </c>
      <c r="L4391" s="20" t="s">
        <v>110</v>
      </c>
      <c r="M4391" s="20" t="s">
        <v>110</v>
      </c>
      <c r="N4391" s="20">
        <v>0</v>
      </c>
      <c r="O4391" s="20" t="s">
        <v>110</v>
      </c>
      <c r="P4391" s="26">
        <v>323.69134300000002</v>
      </c>
      <c r="Q4391" s="45" t="s">
        <v>186</v>
      </c>
    </row>
    <row r="4392" spans="1:17" ht="60" x14ac:dyDescent="0.25">
      <c r="A4392" s="23">
        <v>40664</v>
      </c>
      <c r="B4392" s="23">
        <v>40664</v>
      </c>
      <c r="C4392" s="24">
        <v>2011</v>
      </c>
      <c r="D4392" s="351" t="s">
        <v>23</v>
      </c>
      <c r="E4392" s="14" t="s">
        <v>24</v>
      </c>
      <c r="F4392" s="7" t="s">
        <v>25</v>
      </c>
      <c r="G4392" s="44" t="s">
        <v>6432</v>
      </c>
      <c r="H4392" s="44" t="s">
        <v>6433</v>
      </c>
      <c r="I4392" s="20">
        <v>0</v>
      </c>
      <c r="J4392" s="20" t="s">
        <v>110</v>
      </c>
      <c r="K4392" s="20">
        <v>0</v>
      </c>
      <c r="L4392" s="20">
        <v>0</v>
      </c>
      <c r="M4392" s="20">
        <v>0</v>
      </c>
      <c r="N4392" s="20">
        <v>0</v>
      </c>
      <c r="O4392" s="20" t="s">
        <v>110</v>
      </c>
      <c r="P4392" s="26">
        <v>47.216000000000001</v>
      </c>
      <c r="Q4392" s="45" t="s">
        <v>186</v>
      </c>
    </row>
    <row r="4393" spans="1:17" ht="48" x14ac:dyDescent="0.25">
      <c r="A4393" s="23">
        <v>40829</v>
      </c>
      <c r="B4393" s="23">
        <v>40830</v>
      </c>
      <c r="C4393" s="24">
        <v>2011</v>
      </c>
      <c r="D4393" s="35" t="s">
        <v>17</v>
      </c>
      <c r="E4393" s="49" t="s">
        <v>1597</v>
      </c>
      <c r="F4393" s="7" t="s">
        <v>36</v>
      </c>
      <c r="G4393" s="44" t="s">
        <v>6434</v>
      </c>
      <c r="H4393" s="44" t="s">
        <v>6435</v>
      </c>
      <c r="I4393" s="20">
        <v>0</v>
      </c>
      <c r="J4393" s="20">
        <v>9112</v>
      </c>
      <c r="K4393" s="20">
        <v>9</v>
      </c>
      <c r="L4393" s="20" t="s">
        <v>110</v>
      </c>
      <c r="M4393" s="20" t="s">
        <v>110</v>
      </c>
      <c r="N4393" s="20">
        <v>0</v>
      </c>
      <c r="O4393" s="20" t="s">
        <v>110</v>
      </c>
      <c r="P4393" s="26">
        <v>38.874074</v>
      </c>
      <c r="Q4393" s="45" t="s">
        <v>186</v>
      </c>
    </row>
    <row r="4394" spans="1:17" ht="60" x14ac:dyDescent="0.25">
      <c r="A4394" s="23">
        <v>40666</v>
      </c>
      <c r="B4394" s="23">
        <v>40666</v>
      </c>
      <c r="C4394" s="24">
        <v>2011</v>
      </c>
      <c r="D4394" s="351" t="s">
        <v>23</v>
      </c>
      <c r="E4394" s="22" t="s">
        <v>86</v>
      </c>
      <c r="F4394" s="7" t="s">
        <v>36</v>
      </c>
      <c r="G4394" s="44" t="s">
        <v>2276</v>
      </c>
      <c r="H4394" s="44" t="s">
        <v>6436</v>
      </c>
      <c r="I4394" s="20">
        <v>2</v>
      </c>
      <c r="J4394" s="46">
        <v>3</v>
      </c>
      <c r="K4394" s="20">
        <v>0</v>
      </c>
      <c r="L4394" s="20">
        <v>0</v>
      </c>
      <c r="M4394" s="20">
        <v>0</v>
      </c>
      <c r="N4394" s="20">
        <v>0</v>
      </c>
      <c r="O4394" s="20">
        <v>0</v>
      </c>
      <c r="P4394" s="47">
        <v>1E-3</v>
      </c>
      <c r="Q4394" s="45" t="s">
        <v>154</v>
      </c>
    </row>
    <row r="4395" spans="1:17" ht="48" x14ac:dyDescent="0.25">
      <c r="A4395" s="23">
        <v>40664</v>
      </c>
      <c r="B4395" s="23">
        <v>40877</v>
      </c>
      <c r="C4395" s="24">
        <v>2011</v>
      </c>
      <c r="D4395" s="351" t="s">
        <v>23</v>
      </c>
      <c r="E4395" s="14" t="s">
        <v>24</v>
      </c>
      <c r="F4395" s="7" t="s">
        <v>40</v>
      </c>
      <c r="G4395" s="44" t="s">
        <v>6437</v>
      </c>
      <c r="H4395" s="44" t="s">
        <v>6438</v>
      </c>
      <c r="I4395" s="20">
        <v>0</v>
      </c>
      <c r="J4395" s="20" t="s">
        <v>110</v>
      </c>
      <c r="K4395" s="20" t="s">
        <v>110</v>
      </c>
      <c r="L4395" s="20" t="s">
        <v>110</v>
      </c>
      <c r="M4395" s="20" t="s">
        <v>110</v>
      </c>
      <c r="N4395" s="20">
        <v>0</v>
      </c>
      <c r="O4395" s="20" t="s">
        <v>110</v>
      </c>
      <c r="P4395" s="26">
        <v>476.20408200000003</v>
      </c>
      <c r="Q4395" s="45" t="s">
        <v>186</v>
      </c>
    </row>
    <row r="4396" spans="1:17" ht="48" x14ac:dyDescent="0.25">
      <c r="A4396" s="23">
        <v>40664</v>
      </c>
      <c r="B4396" s="23">
        <v>40877</v>
      </c>
      <c r="C4396" s="24">
        <v>2011</v>
      </c>
      <c r="D4396" s="351" t="s">
        <v>23</v>
      </c>
      <c r="E4396" s="14" t="s">
        <v>24</v>
      </c>
      <c r="F4396" s="7" t="s">
        <v>45</v>
      </c>
      <c r="G4396" s="44" t="s">
        <v>6413</v>
      </c>
      <c r="H4396" s="44" t="s">
        <v>6439</v>
      </c>
      <c r="I4396" s="20">
        <v>0</v>
      </c>
      <c r="J4396" s="20" t="s">
        <v>110</v>
      </c>
      <c r="K4396" s="20" t="s">
        <v>110</v>
      </c>
      <c r="L4396" s="20" t="s">
        <v>110</v>
      </c>
      <c r="M4396" s="20" t="s">
        <v>110</v>
      </c>
      <c r="N4396" s="20">
        <v>0</v>
      </c>
      <c r="O4396" s="20" t="s">
        <v>110</v>
      </c>
      <c r="P4396" s="26">
        <v>9.1819400000000009</v>
      </c>
      <c r="Q4396" s="45" t="s">
        <v>186</v>
      </c>
    </row>
    <row r="4397" spans="1:17" ht="48" x14ac:dyDescent="0.25">
      <c r="A4397" s="23">
        <v>40664</v>
      </c>
      <c r="B4397" s="23">
        <v>40877</v>
      </c>
      <c r="C4397" s="24">
        <v>2011</v>
      </c>
      <c r="D4397" s="351" t="s">
        <v>23</v>
      </c>
      <c r="E4397" s="14" t="s">
        <v>24</v>
      </c>
      <c r="F4397" s="7" t="s">
        <v>49</v>
      </c>
      <c r="G4397" s="44" t="s">
        <v>6440</v>
      </c>
      <c r="H4397" s="44" t="s">
        <v>6441</v>
      </c>
      <c r="I4397" s="20">
        <v>0</v>
      </c>
      <c r="J4397" s="20" t="s">
        <v>110</v>
      </c>
      <c r="K4397" s="20" t="s">
        <v>110</v>
      </c>
      <c r="L4397" s="20" t="s">
        <v>110</v>
      </c>
      <c r="M4397" s="20" t="s">
        <v>110</v>
      </c>
      <c r="N4397" s="20">
        <v>0</v>
      </c>
      <c r="O4397" s="20" t="s">
        <v>110</v>
      </c>
      <c r="P4397" s="26">
        <v>185.8604</v>
      </c>
      <c r="Q4397" s="45" t="s">
        <v>186</v>
      </c>
    </row>
    <row r="4398" spans="1:17" ht="36" x14ac:dyDescent="0.25">
      <c r="A4398" s="23">
        <v>40887</v>
      </c>
      <c r="B4398" s="23">
        <v>40887</v>
      </c>
      <c r="C4398" s="24">
        <v>2011</v>
      </c>
      <c r="D4398" s="35" t="s">
        <v>17</v>
      </c>
      <c r="E4398" s="30" t="s">
        <v>122</v>
      </c>
      <c r="F4398" s="7" t="s">
        <v>58</v>
      </c>
      <c r="G4398" s="44" t="s">
        <v>6442</v>
      </c>
      <c r="H4398" s="44" t="s">
        <v>6443</v>
      </c>
      <c r="I4398" s="20">
        <v>2</v>
      </c>
      <c r="J4398" s="20">
        <v>3371</v>
      </c>
      <c r="K4398" s="20">
        <v>654</v>
      </c>
      <c r="L4398" s="20">
        <v>11</v>
      </c>
      <c r="M4398" s="20">
        <v>9</v>
      </c>
      <c r="N4398" s="20">
        <v>0</v>
      </c>
      <c r="O4398" s="20" t="s">
        <v>110</v>
      </c>
      <c r="P4398" s="26">
        <v>35.065789000000002</v>
      </c>
      <c r="Q4398" s="45" t="s">
        <v>186</v>
      </c>
    </row>
    <row r="4399" spans="1:17" ht="48" x14ac:dyDescent="0.25">
      <c r="A4399" s="23">
        <v>40664</v>
      </c>
      <c r="B4399" s="23">
        <v>40877</v>
      </c>
      <c r="C4399" s="24">
        <v>2011</v>
      </c>
      <c r="D4399" s="351" t="s">
        <v>23</v>
      </c>
      <c r="E4399" s="14" t="s">
        <v>24</v>
      </c>
      <c r="F4399" s="7" t="s">
        <v>60</v>
      </c>
      <c r="G4399" s="44" t="s">
        <v>6424</v>
      </c>
      <c r="H4399" s="44" t="s">
        <v>6444</v>
      </c>
      <c r="I4399" s="20">
        <v>0</v>
      </c>
      <c r="J4399" s="20" t="s">
        <v>110</v>
      </c>
      <c r="K4399" s="20" t="s">
        <v>110</v>
      </c>
      <c r="L4399" s="20" t="s">
        <v>110</v>
      </c>
      <c r="M4399" s="20" t="s">
        <v>110</v>
      </c>
      <c r="N4399" s="20">
        <v>0</v>
      </c>
      <c r="O4399" s="20" t="s">
        <v>110</v>
      </c>
      <c r="P4399" s="26">
        <v>16.684075</v>
      </c>
      <c r="Q4399" s="45" t="s">
        <v>186</v>
      </c>
    </row>
    <row r="4400" spans="1:17" ht="48" x14ac:dyDescent="0.25">
      <c r="A4400" s="23">
        <v>40664</v>
      </c>
      <c r="B4400" s="23">
        <v>40877</v>
      </c>
      <c r="C4400" s="24">
        <v>2011</v>
      </c>
      <c r="D4400" s="351" t="s">
        <v>23</v>
      </c>
      <c r="E4400" s="14" t="s">
        <v>24</v>
      </c>
      <c r="F4400" s="7" t="s">
        <v>87</v>
      </c>
      <c r="G4400" s="44" t="s">
        <v>6445</v>
      </c>
      <c r="H4400" s="44" t="s">
        <v>6446</v>
      </c>
      <c r="I4400" s="20">
        <v>0</v>
      </c>
      <c r="J4400" s="20" t="s">
        <v>110</v>
      </c>
      <c r="K4400" s="20" t="s">
        <v>110</v>
      </c>
      <c r="L4400" s="20" t="s">
        <v>110</v>
      </c>
      <c r="M4400" s="20" t="s">
        <v>110</v>
      </c>
      <c r="N4400" s="20">
        <v>0</v>
      </c>
      <c r="O4400" s="20" t="s">
        <v>110</v>
      </c>
      <c r="P4400" s="26">
        <v>32.936999</v>
      </c>
      <c r="Q4400" s="45" t="s">
        <v>186</v>
      </c>
    </row>
    <row r="4401" spans="1:17" ht="60" x14ac:dyDescent="0.25">
      <c r="A4401" s="23">
        <v>40664</v>
      </c>
      <c r="B4401" s="23">
        <v>40877</v>
      </c>
      <c r="C4401" s="24">
        <v>2011</v>
      </c>
      <c r="D4401" s="351" t="s">
        <v>23</v>
      </c>
      <c r="E4401" s="14" t="s">
        <v>24</v>
      </c>
      <c r="F4401" s="7" t="s">
        <v>101</v>
      </c>
      <c r="G4401" s="44" t="s">
        <v>6447</v>
      </c>
      <c r="H4401" s="44" t="s">
        <v>6448</v>
      </c>
      <c r="I4401" s="20">
        <v>0</v>
      </c>
      <c r="J4401" s="20" t="s">
        <v>110</v>
      </c>
      <c r="K4401" s="20" t="s">
        <v>110</v>
      </c>
      <c r="L4401" s="20" t="s">
        <v>110</v>
      </c>
      <c r="M4401" s="20" t="s">
        <v>110</v>
      </c>
      <c r="N4401" s="20">
        <v>0</v>
      </c>
      <c r="O4401" s="20" t="s">
        <v>110</v>
      </c>
      <c r="P4401" s="26">
        <v>62.352941999999999</v>
      </c>
      <c r="Q4401" s="45" t="s">
        <v>186</v>
      </c>
    </row>
    <row r="4402" spans="1:17" ht="60" x14ac:dyDescent="0.25">
      <c r="A4402" s="23">
        <v>40664</v>
      </c>
      <c r="B4402" s="23">
        <v>40877</v>
      </c>
      <c r="C4402" s="24">
        <v>2011</v>
      </c>
      <c r="D4402" s="351" t="s">
        <v>23</v>
      </c>
      <c r="E4402" s="14" t="s">
        <v>24</v>
      </c>
      <c r="F4402" s="7" t="s">
        <v>87</v>
      </c>
      <c r="G4402" s="44" t="s">
        <v>6449</v>
      </c>
      <c r="H4402" s="44" t="s">
        <v>6450</v>
      </c>
      <c r="I4402" s="20">
        <v>0</v>
      </c>
      <c r="J4402" s="20" t="s">
        <v>110</v>
      </c>
      <c r="K4402" s="20" t="s">
        <v>110</v>
      </c>
      <c r="L4402" s="20" t="s">
        <v>110</v>
      </c>
      <c r="M4402" s="20" t="s">
        <v>110</v>
      </c>
      <c r="N4402" s="20">
        <v>0</v>
      </c>
      <c r="O4402" s="20" t="s">
        <v>110</v>
      </c>
      <c r="P4402" s="26">
        <v>43.945262</v>
      </c>
      <c r="Q4402" s="45" t="s">
        <v>186</v>
      </c>
    </row>
    <row r="4403" spans="1:17" ht="48" x14ac:dyDescent="0.25">
      <c r="A4403" s="23">
        <v>40577</v>
      </c>
      <c r="B4403" s="23">
        <v>40577</v>
      </c>
      <c r="C4403" s="24">
        <v>2011</v>
      </c>
      <c r="D4403" s="351" t="s">
        <v>23</v>
      </c>
      <c r="E4403" s="28" t="s">
        <v>327</v>
      </c>
      <c r="F4403" s="28" t="s">
        <v>210</v>
      </c>
      <c r="G4403" s="44" t="s">
        <v>4720</v>
      </c>
      <c r="H4403" s="44" t="s">
        <v>6451</v>
      </c>
      <c r="I4403" s="20">
        <v>0</v>
      </c>
      <c r="J4403" s="20">
        <v>6427</v>
      </c>
      <c r="K4403" s="20">
        <v>0</v>
      </c>
      <c r="L4403" s="20">
        <v>0</v>
      </c>
      <c r="M4403" s="20">
        <v>0</v>
      </c>
      <c r="N4403" s="20">
        <v>0</v>
      </c>
      <c r="O4403" s="20">
        <v>0</v>
      </c>
      <c r="P4403" s="26">
        <v>1.7769999999999999</v>
      </c>
      <c r="Q4403" s="45" t="s">
        <v>186</v>
      </c>
    </row>
    <row r="4404" spans="1:17" ht="48" x14ac:dyDescent="0.25">
      <c r="A4404" s="23">
        <v>40577</v>
      </c>
      <c r="B4404" s="23">
        <v>40577</v>
      </c>
      <c r="C4404" s="24">
        <v>2011</v>
      </c>
      <c r="D4404" s="351" t="s">
        <v>23</v>
      </c>
      <c r="E4404" s="22" t="s">
        <v>42</v>
      </c>
      <c r="F4404" s="7" t="s">
        <v>101</v>
      </c>
      <c r="G4404" s="44" t="s">
        <v>6452</v>
      </c>
      <c r="H4404" s="44" t="s">
        <v>6451</v>
      </c>
      <c r="I4404" s="20">
        <v>0</v>
      </c>
      <c r="J4404" s="20">
        <v>40903</v>
      </c>
      <c r="K4404" s="20" t="s">
        <v>110</v>
      </c>
      <c r="L4404" s="20" t="s">
        <v>110</v>
      </c>
      <c r="M4404" s="20" t="s">
        <v>110</v>
      </c>
      <c r="N4404" s="20">
        <v>0</v>
      </c>
      <c r="O4404" s="20" t="s">
        <v>110</v>
      </c>
      <c r="P4404" s="26">
        <v>1.5116750000000001</v>
      </c>
      <c r="Q4404" s="45" t="s">
        <v>186</v>
      </c>
    </row>
    <row r="4405" spans="1:17" ht="48" x14ac:dyDescent="0.25">
      <c r="A4405" s="23">
        <v>40678</v>
      </c>
      <c r="B4405" s="23">
        <v>40678</v>
      </c>
      <c r="C4405" s="24">
        <v>2011</v>
      </c>
      <c r="D4405" s="351" t="s">
        <v>23</v>
      </c>
      <c r="E4405" s="49" t="s">
        <v>5893</v>
      </c>
      <c r="F4405" s="7" t="s">
        <v>97</v>
      </c>
      <c r="G4405" s="44" t="s">
        <v>6453</v>
      </c>
      <c r="H4405" s="44" t="s">
        <v>6454</v>
      </c>
      <c r="I4405" s="20">
        <v>0</v>
      </c>
      <c r="J4405" s="20">
        <v>2666</v>
      </c>
      <c r="K4405" s="20" t="s">
        <v>110</v>
      </c>
      <c r="L4405" s="20" t="s">
        <v>110</v>
      </c>
      <c r="M4405" s="20" t="s">
        <v>110</v>
      </c>
      <c r="N4405" s="20">
        <v>0</v>
      </c>
      <c r="O4405" s="20" t="s">
        <v>110</v>
      </c>
      <c r="P4405" s="26">
        <v>1.966</v>
      </c>
      <c r="Q4405" s="45" t="s">
        <v>186</v>
      </c>
    </row>
    <row r="4406" spans="1:17" ht="36" x14ac:dyDescent="0.25">
      <c r="A4406" s="23">
        <v>40739</v>
      </c>
      <c r="B4406" s="23">
        <v>40739</v>
      </c>
      <c r="C4406" s="24">
        <v>2011</v>
      </c>
      <c r="D4406" s="351" t="s">
        <v>23</v>
      </c>
      <c r="E4406" s="22" t="s">
        <v>86</v>
      </c>
      <c r="F4406" s="7" t="s">
        <v>72</v>
      </c>
      <c r="G4406" s="44" t="s">
        <v>6455</v>
      </c>
      <c r="H4406" s="44" t="s">
        <v>6456</v>
      </c>
      <c r="I4406" s="20">
        <v>0</v>
      </c>
      <c r="J4406" s="20">
        <v>567</v>
      </c>
      <c r="K4406" s="20" t="s">
        <v>110</v>
      </c>
      <c r="L4406" s="20" t="s">
        <v>110</v>
      </c>
      <c r="M4406" s="20" t="s">
        <v>110</v>
      </c>
      <c r="N4406" s="20">
        <v>0</v>
      </c>
      <c r="O4406" s="20" t="s">
        <v>110</v>
      </c>
      <c r="P4406" s="26">
        <v>0.159</v>
      </c>
      <c r="Q4406" s="45" t="s">
        <v>186</v>
      </c>
    </row>
    <row r="4407" spans="1:17" ht="48" x14ac:dyDescent="0.25">
      <c r="A4407" s="23">
        <v>40740</v>
      </c>
      <c r="B4407" s="23">
        <v>40740</v>
      </c>
      <c r="C4407" s="24">
        <v>2011</v>
      </c>
      <c r="D4407" s="351" t="s">
        <v>23</v>
      </c>
      <c r="E4407" s="22" t="s">
        <v>86</v>
      </c>
      <c r="F4407" s="7" t="s">
        <v>72</v>
      </c>
      <c r="G4407" s="44" t="s">
        <v>6457</v>
      </c>
      <c r="H4407" s="44" t="s">
        <v>6458</v>
      </c>
      <c r="I4407" s="20">
        <v>0</v>
      </c>
      <c r="J4407" s="20">
        <v>5816</v>
      </c>
      <c r="K4407" s="20" t="s">
        <v>110</v>
      </c>
      <c r="L4407" s="20" t="s">
        <v>110</v>
      </c>
      <c r="M4407" s="20" t="s">
        <v>110</v>
      </c>
      <c r="N4407" s="20">
        <v>0</v>
      </c>
      <c r="O4407" s="20" t="s">
        <v>110</v>
      </c>
      <c r="P4407" s="26">
        <v>1.7370000000000001</v>
      </c>
      <c r="Q4407" s="45" t="s">
        <v>186</v>
      </c>
    </row>
    <row r="4408" spans="1:17" ht="36" x14ac:dyDescent="0.25">
      <c r="A4408" s="23">
        <v>40829</v>
      </c>
      <c r="B4408" s="23">
        <v>40829</v>
      </c>
      <c r="C4408" s="24">
        <v>2011</v>
      </c>
      <c r="D4408" s="351" t="s">
        <v>23</v>
      </c>
      <c r="E4408" s="22" t="s">
        <v>86</v>
      </c>
      <c r="F4408" s="28" t="s">
        <v>151</v>
      </c>
      <c r="G4408" s="44" t="s">
        <v>1477</v>
      </c>
      <c r="H4408" s="44" t="s">
        <v>6459</v>
      </c>
      <c r="I4408" s="20">
        <v>0</v>
      </c>
      <c r="J4408" s="20" t="s">
        <v>110</v>
      </c>
      <c r="K4408" s="20" t="s">
        <v>110</v>
      </c>
      <c r="L4408" s="20" t="s">
        <v>110</v>
      </c>
      <c r="M4408" s="20" t="s">
        <v>110</v>
      </c>
      <c r="N4408" s="20">
        <v>0</v>
      </c>
      <c r="O4408" s="20" t="s">
        <v>110</v>
      </c>
      <c r="P4408" s="26">
        <v>3.36</v>
      </c>
      <c r="Q4408" s="45" t="s">
        <v>186</v>
      </c>
    </row>
    <row r="4409" spans="1:17" ht="60" x14ac:dyDescent="0.25">
      <c r="A4409" s="23">
        <v>40554</v>
      </c>
      <c r="B4409" s="23">
        <v>40554</v>
      </c>
      <c r="C4409" s="24">
        <v>2011</v>
      </c>
      <c r="D4409" s="351" t="s">
        <v>23</v>
      </c>
      <c r="E4409" s="22" t="s">
        <v>86</v>
      </c>
      <c r="F4409" s="28" t="s">
        <v>210</v>
      </c>
      <c r="G4409" s="44" t="s">
        <v>6460</v>
      </c>
      <c r="H4409" s="44" t="s">
        <v>6461</v>
      </c>
      <c r="I4409" s="20">
        <v>0</v>
      </c>
      <c r="J4409" s="20">
        <v>1901</v>
      </c>
      <c r="K4409" s="20">
        <v>0</v>
      </c>
      <c r="L4409" s="20">
        <v>0</v>
      </c>
      <c r="M4409" s="20">
        <v>0</v>
      </c>
      <c r="N4409" s="20">
        <v>0</v>
      </c>
      <c r="O4409" s="20">
        <v>3448.25</v>
      </c>
      <c r="P4409" s="26">
        <v>130.84700000000001</v>
      </c>
      <c r="Q4409" s="45" t="s">
        <v>2234</v>
      </c>
    </row>
    <row r="4410" spans="1:17" ht="72" x14ac:dyDescent="0.25">
      <c r="A4410" s="23">
        <v>40544</v>
      </c>
      <c r="B4410" s="23">
        <v>40602</v>
      </c>
      <c r="C4410" s="24">
        <v>2011</v>
      </c>
      <c r="D4410" s="351" t="s">
        <v>23</v>
      </c>
      <c r="E4410" s="14" t="s">
        <v>24</v>
      </c>
      <c r="F4410" s="7" t="s">
        <v>33</v>
      </c>
      <c r="G4410" s="44" t="s">
        <v>6462</v>
      </c>
      <c r="H4410" s="44" t="s">
        <v>6463</v>
      </c>
      <c r="I4410" s="20">
        <v>0</v>
      </c>
      <c r="J4410" s="20">
        <v>2447</v>
      </c>
      <c r="K4410" s="20">
        <v>0</v>
      </c>
      <c r="L4410" s="20">
        <v>0</v>
      </c>
      <c r="M4410" s="20">
        <v>0</v>
      </c>
      <c r="N4410" s="20">
        <v>0</v>
      </c>
      <c r="O4410" s="20">
        <v>0</v>
      </c>
      <c r="P4410" s="26">
        <v>30.870999999999999</v>
      </c>
      <c r="Q4410" s="45" t="s">
        <v>4663</v>
      </c>
    </row>
    <row r="4411" spans="1:17" ht="60" x14ac:dyDescent="0.25">
      <c r="A4411" s="23">
        <v>40544</v>
      </c>
      <c r="B4411" s="23">
        <v>40602</v>
      </c>
      <c r="C4411" s="24">
        <v>2011</v>
      </c>
      <c r="D4411" s="351" t="s">
        <v>23</v>
      </c>
      <c r="E4411" s="14" t="s">
        <v>24</v>
      </c>
      <c r="F4411" s="7" t="s">
        <v>49</v>
      </c>
      <c r="G4411" s="44" t="s">
        <v>2765</v>
      </c>
      <c r="H4411" s="44" t="s">
        <v>6464</v>
      </c>
      <c r="I4411" s="20">
        <v>0</v>
      </c>
      <c r="J4411" s="20">
        <v>1363</v>
      </c>
      <c r="K4411" s="20">
        <v>0</v>
      </c>
      <c r="L4411" s="20">
        <v>0</v>
      </c>
      <c r="M4411" s="20">
        <v>0</v>
      </c>
      <c r="N4411" s="20">
        <v>0</v>
      </c>
      <c r="O4411" s="20">
        <v>0</v>
      </c>
      <c r="P4411" s="26">
        <v>2.851</v>
      </c>
      <c r="Q4411" s="45" t="s">
        <v>4663</v>
      </c>
    </row>
    <row r="4412" spans="1:17" ht="48" x14ac:dyDescent="0.25">
      <c r="A4412" s="23">
        <v>40544</v>
      </c>
      <c r="B4412" s="23">
        <v>40633</v>
      </c>
      <c r="C4412" s="24">
        <v>2011</v>
      </c>
      <c r="D4412" s="351" t="s">
        <v>23</v>
      </c>
      <c r="E4412" s="14" t="s">
        <v>24</v>
      </c>
      <c r="F4412" s="7" t="s">
        <v>82</v>
      </c>
      <c r="G4412" s="44" t="s">
        <v>6424</v>
      </c>
      <c r="H4412" s="44" t="s">
        <v>6465</v>
      </c>
      <c r="I4412" s="20">
        <v>0</v>
      </c>
      <c r="J4412" s="20">
        <v>6886</v>
      </c>
      <c r="K4412" s="20">
        <v>0</v>
      </c>
      <c r="L4412" s="20">
        <v>0</v>
      </c>
      <c r="M4412" s="20">
        <v>0</v>
      </c>
      <c r="N4412" s="20">
        <v>0</v>
      </c>
      <c r="O4412" s="20">
        <v>0</v>
      </c>
      <c r="P4412" s="26">
        <v>19.126999999999999</v>
      </c>
      <c r="Q4412" s="45" t="s">
        <v>4663</v>
      </c>
    </row>
    <row r="4413" spans="1:17" ht="60" x14ac:dyDescent="0.25">
      <c r="A4413" s="23">
        <v>40544</v>
      </c>
      <c r="B4413" s="23">
        <v>40633</v>
      </c>
      <c r="C4413" s="24">
        <v>2011</v>
      </c>
      <c r="D4413" s="351" t="s">
        <v>23</v>
      </c>
      <c r="E4413" s="14" t="s">
        <v>24</v>
      </c>
      <c r="F4413" s="28" t="s">
        <v>210</v>
      </c>
      <c r="G4413" s="44" t="s">
        <v>6466</v>
      </c>
      <c r="H4413" s="44" t="s">
        <v>6467</v>
      </c>
      <c r="I4413" s="20">
        <v>0</v>
      </c>
      <c r="J4413" s="20">
        <v>12577</v>
      </c>
      <c r="K4413" s="20">
        <v>0</v>
      </c>
      <c r="L4413" s="20">
        <v>0</v>
      </c>
      <c r="M4413" s="20">
        <v>0</v>
      </c>
      <c r="N4413" s="20">
        <v>0</v>
      </c>
      <c r="O4413" s="20">
        <v>31342.400000000001</v>
      </c>
      <c r="P4413" s="26">
        <v>484.291</v>
      </c>
      <c r="Q4413" s="45" t="s">
        <v>2234</v>
      </c>
    </row>
    <row r="4414" spans="1:17" ht="36" x14ac:dyDescent="0.25">
      <c r="A4414" s="23">
        <v>40634</v>
      </c>
      <c r="B4414" s="23">
        <v>40634</v>
      </c>
      <c r="C4414" s="24">
        <v>2011</v>
      </c>
      <c r="D4414" s="351" t="s">
        <v>23</v>
      </c>
      <c r="E4414" s="14" t="s">
        <v>24</v>
      </c>
      <c r="F4414" s="7" t="s">
        <v>82</v>
      </c>
      <c r="G4414" s="44" t="s">
        <v>6468</v>
      </c>
      <c r="H4414" s="44" t="s">
        <v>6469</v>
      </c>
      <c r="I4414" s="20">
        <v>0</v>
      </c>
      <c r="J4414" s="20">
        <v>265</v>
      </c>
      <c r="K4414" s="20">
        <v>0</v>
      </c>
      <c r="L4414" s="20">
        <v>0</v>
      </c>
      <c r="M4414" s="20"/>
      <c r="N4414" s="20">
        <v>0</v>
      </c>
      <c r="O4414" s="20">
        <v>266.75</v>
      </c>
      <c r="P4414" s="26">
        <v>12.372419466549999</v>
      </c>
      <c r="Q4414" s="45" t="s">
        <v>2234</v>
      </c>
    </row>
    <row r="4415" spans="1:17" ht="72" x14ac:dyDescent="0.25">
      <c r="A4415" s="23">
        <v>40575</v>
      </c>
      <c r="B4415" s="23">
        <v>40575</v>
      </c>
      <c r="C4415" s="24">
        <v>2011</v>
      </c>
      <c r="D4415" s="351" t="s">
        <v>23</v>
      </c>
      <c r="E4415" s="14" t="s">
        <v>24</v>
      </c>
      <c r="F4415" s="7" t="s">
        <v>75</v>
      </c>
      <c r="G4415" s="44" t="s">
        <v>6470</v>
      </c>
      <c r="H4415" s="44" t="s">
        <v>6471</v>
      </c>
      <c r="I4415" s="20">
        <v>0</v>
      </c>
      <c r="J4415" s="20">
        <v>6022</v>
      </c>
      <c r="K4415" s="20">
        <v>0</v>
      </c>
      <c r="L4415" s="20">
        <v>0</v>
      </c>
      <c r="M4415" s="20">
        <v>0</v>
      </c>
      <c r="N4415" s="20">
        <v>0</v>
      </c>
      <c r="O4415" s="20">
        <v>5341.14</v>
      </c>
      <c r="P4415" s="26">
        <v>24.84</v>
      </c>
      <c r="Q4415" s="45" t="s">
        <v>2234</v>
      </c>
    </row>
    <row r="4416" spans="1:17" ht="72" x14ac:dyDescent="0.25">
      <c r="A4416" s="23">
        <v>40664</v>
      </c>
      <c r="B4416" s="23">
        <v>40664</v>
      </c>
      <c r="C4416" s="24">
        <v>2011</v>
      </c>
      <c r="D4416" s="351" t="s">
        <v>23</v>
      </c>
      <c r="E4416" s="14" t="s">
        <v>24</v>
      </c>
      <c r="F4416" s="7" t="s">
        <v>75</v>
      </c>
      <c r="G4416" s="44" t="s">
        <v>6472</v>
      </c>
      <c r="H4416" s="44" t="s">
        <v>6473</v>
      </c>
      <c r="I4416" s="20">
        <v>0</v>
      </c>
      <c r="J4416" s="20">
        <v>259</v>
      </c>
      <c r="K4416" s="20">
        <v>0</v>
      </c>
      <c r="L4416" s="20">
        <v>0</v>
      </c>
      <c r="M4416" s="20">
        <v>0</v>
      </c>
      <c r="N4416" s="20">
        <v>0</v>
      </c>
      <c r="O4416" s="20">
        <v>0</v>
      </c>
      <c r="P4416" s="26">
        <v>2.4180000000000001</v>
      </c>
      <c r="Q4416" s="45" t="s">
        <v>6474</v>
      </c>
    </row>
    <row r="4417" spans="1:17" ht="72" x14ac:dyDescent="0.25">
      <c r="A4417" s="23">
        <v>40664</v>
      </c>
      <c r="B4417" s="23">
        <v>40664</v>
      </c>
      <c r="C4417" s="24">
        <v>2011</v>
      </c>
      <c r="D4417" s="351" t="s">
        <v>23</v>
      </c>
      <c r="E4417" s="14" t="s">
        <v>24</v>
      </c>
      <c r="F4417" s="7" t="s">
        <v>82</v>
      </c>
      <c r="G4417" s="44" t="s">
        <v>6475</v>
      </c>
      <c r="H4417" s="44" t="s">
        <v>6473</v>
      </c>
      <c r="I4417" s="20">
        <v>0</v>
      </c>
      <c r="J4417" s="20">
        <v>5610</v>
      </c>
      <c r="K4417" s="20">
        <v>0</v>
      </c>
      <c r="L4417" s="20">
        <v>0</v>
      </c>
      <c r="M4417" s="20">
        <v>0</v>
      </c>
      <c r="N4417" s="20">
        <v>0</v>
      </c>
      <c r="O4417" s="20">
        <v>0</v>
      </c>
      <c r="P4417" s="26">
        <v>14.895</v>
      </c>
      <c r="Q4417" s="45" t="s">
        <v>6474</v>
      </c>
    </row>
    <row r="4418" spans="1:17" ht="72" x14ac:dyDescent="0.25">
      <c r="A4418" s="23">
        <v>40603</v>
      </c>
      <c r="B4418" s="23">
        <v>40603</v>
      </c>
      <c r="C4418" s="24">
        <v>2011</v>
      </c>
      <c r="D4418" s="351" t="s">
        <v>23</v>
      </c>
      <c r="E4418" s="14" t="s">
        <v>24</v>
      </c>
      <c r="F4418" s="7" t="s">
        <v>68</v>
      </c>
      <c r="G4418" s="44" t="s">
        <v>6476</v>
      </c>
      <c r="H4418" s="44" t="s">
        <v>6473</v>
      </c>
      <c r="I4418" s="20">
        <v>0</v>
      </c>
      <c r="J4418" s="20">
        <v>12206</v>
      </c>
      <c r="K4418" s="20">
        <v>0</v>
      </c>
      <c r="L4418" s="20">
        <v>0</v>
      </c>
      <c r="M4418" s="20">
        <v>0</v>
      </c>
      <c r="N4418" s="20">
        <v>0</v>
      </c>
      <c r="O4418" s="20">
        <v>0</v>
      </c>
      <c r="P4418" s="26">
        <v>12.811</v>
      </c>
      <c r="Q4418" s="45" t="s">
        <v>6474</v>
      </c>
    </row>
    <row r="4419" spans="1:17" ht="48" x14ac:dyDescent="0.25">
      <c r="A4419" s="23">
        <v>40697</v>
      </c>
      <c r="B4419" s="23">
        <v>40697</v>
      </c>
      <c r="C4419" s="24">
        <v>2011</v>
      </c>
      <c r="D4419" s="351" t="s">
        <v>23</v>
      </c>
      <c r="E4419" s="22" t="s">
        <v>42</v>
      </c>
      <c r="F4419" s="28" t="s">
        <v>210</v>
      </c>
      <c r="G4419" s="44" t="s">
        <v>6477</v>
      </c>
      <c r="H4419" s="44" t="s">
        <v>6478</v>
      </c>
      <c r="I4419" s="20">
        <v>0</v>
      </c>
      <c r="J4419" s="20">
        <v>2839</v>
      </c>
      <c r="K4419" s="20">
        <v>0</v>
      </c>
      <c r="L4419" s="20">
        <v>0</v>
      </c>
      <c r="M4419" s="20">
        <v>0</v>
      </c>
      <c r="N4419" s="20">
        <v>0</v>
      </c>
      <c r="O4419" s="20">
        <v>9282.52</v>
      </c>
      <c r="P4419" s="26">
        <v>76.867000000000004</v>
      </c>
      <c r="Q4419" s="45" t="s">
        <v>2234</v>
      </c>
    </row>
    <row r="4420" spans="1:17" ht="48" x14ac:dyDescent="0.25">
      <c r="A4420" s="23">
        <v>40696</v>
      </c>
      <c r="B4420" s="23">
        <v>40696</v>
      </c>
      <c r="C4420" s="24">
        <v>2011</v>
      </c>
      <c r="D4420" s="351" t="s">
        <v>23</v>
      </c>
      <c r="E4420" s="22" t="s">
        <v>42</v>
      </c>
      <c r="F4420" s="7" t="s">
        <v>75</v>
      </c>
      <c r="G4420" s="44" t="s">
        <v>6479</v>
      </c>
      <c r="H4420" s="44" t="s">
        <v>6480</v>
      </c>
      <c r="I4420" s="20">
        <v>0</v>
      </c>
      <c r="J4420" s="20">
        <v>483</v>
      </c>
      <c r="K4420" s="20">
        <v>0</v>
      </c>
      <c r="L4420" s="20">
        <v>0</v>
      </c>
      <c r="M4420" s="20">
        <v>0</v>
      </c>
      <c r="N4420" s="20">
        <v>0</v>
      </c>
      <c r="O4420" s="20">
        <v>1582.15</v>
      </c>
      <c r="P4420" s="26">
        <v>11.606493552140002</v>
      </c>
      <c r="Q4420" s="45" t="s">
        <v>2234</v>
      </c>
    </row>
    <row r="4421" spans="1:17" ht="48" x14ac:dyDescent="0.25">
      <c r="A4421" s="23">
        <v>40696</v>
      </c>
      <c r="B4421" s="23">
        <v>40696</v>
      </c>
      <c r="C4421" s="24">
        <v>2011</v>
      </c>
      <c r="D4421" s="351" t="s">
        <v>23</v>
      </c>
      <c r="E4421" s="22" t="s">
        <v>42</v>
      </c>
      <c r="F4421" s="7" t="s">
        <v>97</v>
      </c>
      <c r="G4421" s="44" t="s">
        <v>3519</v>
      </c>
      <c r="H4421" s="44" t="s">
        <v>6481</v>
      </c>
      <c r="I4421" s="20">
        <v>0</v>
      </c>
      <c r="J4421" s="20">
        <v>1152</v>
      </c>
      <c r="K4421" s="20">
        <v>0</v>
      </c>
      <c r="L4421" s="20">
        <v>0</v>
      </c>
      <c r="M4421" s="20">
        <v>0</v>
      </c>
      <c r="N4421" s="20">
        <v>0</v>
      </c>
      <c r="O4421" s="20">
        <v>3648.25</v>
      </c>
      <c r="P4421" s="26">
        <v>29.992000000000001</v>
      </c>
      <c r="Q4421" s="45" t="s">
        <v>2234</v>
      </c>
    </row>
    <row r="4422" spans="1:17" ht="84" x14ac:dyDescent="0.25">
      <c r="A4422" s="23">
        <v>40664</v>
      </c>
      <c r="B4422" s="23">
        <v>40664</v>
      </c>
      <c r="C4422" s="24">
        <v>2011</v>
      </c>
      <c r="D4422" s="351" t="s">
        <v>23</v>
      </c>
      <c r="E4422" s="14" t="s">
        <v>24</v>
      </c>
      <c r="F4422" s="28" t="s">
        <v>210</v>
      </c>
      <c r="G4422" s="44" t="s">
        <v>6482</v>
      </c>
      <c r="H4422" s="44" t="s">
        <v>6483</v>
      </c>
      <c r="I4422" s="20">
        <v>0</v>
      </c>
      <c r="J4422" s="20">
        <v>1796</v>
      </c>
      <c r="K4422" s="20">
        <v>0</v>
      </c>
      <c r="L4422" s="20">
        <v>0</v>
      </c>
      <c r="M4422" s="20">
        <v>0</v>
      </c>
      <c r="N4422" s="20">
        <v>0</v>
      </c>
      <c r="O4422" s="20">
        <v>3447</v>
      </c>
      <c r="P4422" s="26">
        <v>45.786999999999999</v>
      </c>
      <c r="Q4422" s="45" t="s">
        <v>2234</v>
      </c>
    </row>
    <row r="4423" spans="1:17" ht="48" x14ac:dyDescent="0.25">
      <c r="A4423" s="23">
        <v>40696</v>
      </c>
      <c r="B4423" s="23">
        <v>40696</v>
      </c>
      <c r="C4423" s="24">
        <v>2011</v>
      </c>
      <c r="D4423" s="351" t="s">
        <v>23</v>
      </c>
      <c r="E4423" s="22" t="s">
        <v>42</v>
      </c>
      <c r="F4423" s="7" t="s">
        <v>75</v>
      </c>
      <c r="G4423" s="44" t="s">
        <v>6484</v>
      </c>
      <c r="H4423" s="44" t="s">
        <v>6485</v>
      </c>
      <c r="I4423" s="20">
        <v>0</v>
      </c>
      <c r="J4423" s="20">
        <v>2575</v>
      </c>
      <c r="K4423" s="20">
        <v>0</v>
      </c>
      <c r="L4423" s="20">
        <v>0</v>
      </c>
      <c r="M4423" s="20">
        <v>0</v>
      </c>
      <c r="N4423" s="20">
        <v>0</v>
      </c>
      <c r="O4423" s="20">
        <v>6987.5</v>
      </c>
      <c r="P4423" s="26">
        <v>51.259</v>
      </c>
      <c r="Q4423" s="45" t="s">
        <v>2234</v>
      </c>
    </row>
    <row r="4424" spans="1:17" ht="60" x14ac:dyDescent="0.25">
      <c r="A4424" s="23">
        <v>40664</v>
      </c>
      <c r="B4424" s="23">
        <v>40664</v>
      </c>
      <c r="C4424" s="24">
        <v>2011</v>
      </c>
      <c r="D4424" s="351" t="s">
        <v>23</v>
      </c>
      <c r="E4424" s="14" t="s">
        <v>24</v>
      </c>
      <c r="F4424" s="28" t="s">
        <v>210</v>
      </c>
      <c r="G4424" s="44" t="s">
        <v>6486</v>
      </c>
      <c r="H4424" s="44" t="s">
        <v>6487</v>
      </c>
      <c r="I4424" s="20">
        <v>0</v>
      </c>
      <c r="J4424" s="20">
        <v>1979</v>
      </c>
      <c r="K4424" s="20">
        <v>0</v>
      </c>
      <c r="L4424" s="20">
        <v>0</v>
      </c>
      <c r="M4424" s="20">
        <v>0</v>
      </c>
      <c r="N4424" s="20">
        <v>0</v>
      </c>
      <c r="O4424" s="20">
        <v>7072.14</v>
      </c>
      <c r="P4424" s="26">
        <v>66.852000000000004</v>
      </c>
      <c r="Q4424" s="45" t="s">
        <v>2234</v>
      </c>
    </row>
    <row r="4425" spans="1:17" ht="84" x14ac:dyDescent="0.25">
      <c r="A4425" s="23">
        <v>40715</v>
      </c>
      <c r="B4425" s="23">
        <v>40715</v>
      </c>
      <c r="C4425" s="24">
        <v>2011</v>
      </c>
      <c r="D4425" s="351" t="s">
        <v>23</v>
      </c>
      <c r="E4425" s="22" t="s">
        <v>86</v>
      </c>
      <c r="F4425" s="7" t="s">
        <v>62</v>
      </c>
      <c r="G4425" s="44" t="s">
        <v>6032</v>
      </c>
      <c r="H4425" s="44" t="s">
        <v>6488</v>
      </c>
      <c r="I4425" s="20">
        <v>0</v>
      </c>
      <c r="J4425" s="20">
        <v>598</v>
      </c>
      <c r="K4425" s="20">
        <v>0</v>
      </c>
      <c r="L4425" s="20">
        <v>0</v>
      </c>
      <c r="M4425" s="20">
        <v>0</v>
      </c>
      <c r="N4425" s="20">
        <v>0</v>
      </c>
      <c r="O4425" s="20">
        <v>1591.99</v>
      </c>
      <c r="P4425" s="26">
        <v>81.253</v>
      </c>
      <c r="Q4425" s="45" t="s">
        <v>2234</v>
      </c>
    </row>
    <row r="4426" spans="1:17" ht="60" x14ac:dyDescent="0.25">
      <c r="A4426" s="23">
        <v>40664</v>
      </c>
      <c r="B4426" s="23">
        <v>40664</v>
      </c>
      <c r="C4426" s="24">
        <v>2011</v>
      </c>
      <c r="D4426" s="351" t="s">
        <v>23</v>
      </c>
      <c r="E4426" s="14" t="s">
        <v>24</v>
      </c>
      <c r="F4426" s="7" t="s">
        <v>60</v>
      </c>
      <c r="G4426" s="44" t="s">
        <v>6489</v>
      </c>
      <c r="H4426" s="44" t="s">
        <v>6490</v>
      </c>
      <c r="I4426" s="20">
        <v>0</v>
      </c>
      <c r="J4426" s="20">
        <v>4437</v>
      </c>
      <c r="K4426" s="20">
        <v>0</v>
      </c>
      <c r="L4426" s="20">
        <v>0</v>
      </c>
      <c r="M4426" s="20">
        <v>0</v>
      </c>
      <c r="N4426" s="20">
        <v>0</v>
      </c>
      <c r="O4426" s="20">
        <v>0</v>
      </c>
      <c r="P4426" s="26">
        <v>10.375999999999999</v>
      </c>
      <c r="Q4426" s="45" t="s">
        <v>6474</v>
      </c>
    </row>
    <row r="4427" spans="1:17" ht="48" x14ac:dyDescent="0.25">
      <c r="A4427" s="23">
        <v>40634</v>
      </c>
      <c r="B4427" s="23">
        <v>40634</v>
      </c>
      <c r="C4427" s="24">
        <v>2011</v>
      </c>
      <c r="D4427" s="351" t="s">
        <v>23</v>
      </c>
      <c r="E4427" s="14" t="s">
        <v>24</v>
      </c>
      <c r="F4427" s="7" t="s">
        <v>75</v>
      </c>
      <c r="G4427" s="44" t="s">
        <v>6491</v>
      </c>
      <c r="H4427" s="44" t="s">
        <v>6492</v>
      </c>
      <c r="I4427" s="20">
        <v>0</v>
      </c>
      <c r="J4427" s="20">
        <v>670</v>
      </c>
      <c r="K4427" s="20">
        <v>0</v>
      </c>
      <c r="L4427" s="20">
        <v>0</v>
      </c>
      <c r="M4427" s="20">
        <v>0</v>
      </c>
      <c r="N4427" s="20">
        <v>0</v>
      </c>
      <c r="O4427" s="20">
        <v>407</v>
      </c>
      <c r="P4427" s="26">
        <v>4.7189999999999994</v>
      </c>
      <c r="Q4427" s="45" t="s">
        <v>2234</v>
      </c>
    </row>
    <row r="4428" spans="1:17" ht="48" x14ac:dyDescent="0.25">
      <c r="A4428" s="23">
        <v>40634</v>
      </c>
      <c r="B4428" s="23">
        <v>40634</v>
      </c>
      <c r="C4428" s="24">
        <v>2011</v>
      </c>
      <c r="D4428" s="351" t="s">
        <v>23</v>
      </c>
      <c r="E4428" s="14" t="s">
        <v>24</v>
      </c>
      <c r="F4428" s="7" t="s">
        <v>62</v>
      </c>
      <c r="G4428" s="44" t="s">
        <v>6493</v>
      </c>
      <c r="H4428" s="44" t="s">
        <v>6494</v>
      </c>
      <c r="I4428" s="20">
        <v>0</v>
      </c>
      <c r="J4428" s="20">
        <v>1749</v>
      </c>
      <c r="K4428" s="20">
        <v>0</v>
      </c>
      <c r="L4428" s="20">
        <v>0</v>
      </c>
      <c r="M4428" s="20">
        <v>0</v>
      </c>
      <c r="N4428" s="20">
        <v>0</v>
      </c>
      <c r="O4428" s="20">
        <v>1172.6300000000001</v>
      </c>
      <c r="P4428" s="26">
        <v>47.408999999999999</v>
      </c>
      <c r="Q4428" s="45" t="s">
        <v>2234</v>
      </c>
    </row>
    <row r="4429" spans="1:17" ht="48" x14ac:dyDescent="0.25">
      <c r="A4429" s="23">
        <v>40634</v>
      </c>
      <c r="B4429" s="23">
        <v>40634</v>
      </c>
      <c r="C4429" s="24">
        <v>2011</v>
      </c>
      <c r="D4429" s="351" t="s">
        <v>23</v>
      </c>
      <c r="E4429" s="14" t="s">
        <v>24</v>
      </c>
      <c r="F4429" s="28" t="s">
        <v>210</v>
      </c>
      <c r="G4429" s="44" t="s">
        <v>6495</v>
      </c>
      <c r="H4429" s="44" t="s">
        <v>6496</v>
      </c>
      <c r="I4429" s="20">
        <v>0</v>
      </c>
      <c r="J4429" s="20">
        <v>1823</v>
      </c>
      <c r="K4429" s="20">
        <v>0</v>
      </c>
      <c r="L4429" s="20">
        <v>0</v>
      </c>
      <c r="M4429" s="20">
        <v>0</v>
      </c>
      <c r="N4429" s="20">
        <v>0</v>
      </c>
      <c r="O4429" s="20">
        <v>4517.5</v>
      </c>
      <c r="P4429" s="26">
        <v>31.843</v>
      </c>
      <c r="Q4429" s="45" t="s">
        <v>2234</v>
      </c>
    </row>
    <row r="4430" spans="1:17" ht="60" x14ac:dyDescent="0.25">
      <c r="A4430" s="23">
        <v>40723</v>
      </c>
      <c r="B4430" s="23">
        <v>40723</v>
      </c>
      <c r="C4430" s="24">
        <v>2011</v>
      </c>
      <c r="D4430" s="351" t="s">
        <v>23</v>
      </c>
      <c r="E4430" s="22" t="s">
        <v>86</v>
      </c>
      <c r="F4430" s="28" t="s">
        <v>210</v>
      </c>
      <c r="G4430" s="44" t="s">
        <v>6497</v>
      </c>
      <c r="H4430" s="44" t="s">
        <v>6498</v>
      </c>
      <c r="I4430" s="20">
        <v>0</v>
      </c>
      <c r="J4430" s="20">
        <v>361</v>
      </c>
      <c r="K4430" s="20">
        <v>0</v>
      </c>
      <c r="L4430" s="20">
        <v>0</v>
      </c>
      <c r="M4430" s="20">
        <v>0</v>
      </c>
      <c r="N4430" s="20">
        <v>0</v>
      </c>
      <c r="O4430" s="20">
        <v>249</v>
      </c>
      <c r="P4430" s="26">
        <v>3.9339999999999997</v>
      </c>
      <c r="Q4430" s="45" t="s">
        <v>2234</v>
      </c>
    </row>
    <row r="4431" spans="1:17" ht="60" x14ac:dyDescent="0.25">
      <c r="A4431" s="23">
        <v>40724</v>
      </c>
      <c r="B4431" s="23">
        <v>40724</v>
      </c>
      <c r="C4431" s="24">
        <v>2011</v>
      </c>
      <c r="D4431" s="351" t="s">
        <v>23</v>
      </c>
      <c r="E4431" s="22" t="s">
        <v>86</v>
      </c>
      <c r="F4431" s="7" t="s">
        <v>82</v>
      </c>
      <c r="G4431" s="44" t="s">
        <v>6499</v>
      </c>
      <c r="H4431" s="44" t="s">
        <v>6500</v>
      </c>
      <c r="I4431" s="20">
        <v>0</v>
      </c>
      <c r="J4431" s="20">
        <v>1913</v>
      </c>
      <c r="K4431" s="20">
        <v>0</v>
      </c>
      <c r="L4431" s="20">
        <v>0</v>
      </c>
      <c r="M4431" s="20">
        <v>0</v>
      </c>
      <c r="N4431" s="20">
        <v>0</v>
      </c>
      <c r="O4431" s="20">
        <v>6476.45</v>
      </c>
      <c r="P4431" s="26">
        <v>18.483000000000001</v>
      </c>
      <c r="Q4431" s="45" t="s">
        <v>2234</v>
      </c>
    </row>
    <row r="4432" spans="1:17" ht="48" x14ac:dyDescent="0.25">
      <c r="A4432" s="23">
        <v>40695</v>
      </c>
      <c r="B4432" s="23">
        <v>40695</v>
      </c>
      <c r="C4432" s="24">
        <v>2011</v>
      </c>
      <c r="D4432" s="351" t="s">
        <v>23</v>
      </c>
      <c r="E4432" s="14" t="s">
        <v>24</v>
      </c>
      <c r="F4432" s="7" t="s">
        <v>60</v>
      </c>
      <c r="G4432" s="44" t="s">
        <v>6501</v>
      </c>
      <c r="H4432" s="44" t="s">
        <v>6502</v>
      </c>
      <c r="I4432" s="20">
        <v>0</v>
      </c>
      <c r="J4432" s="20">
        <v>1002</v>
      </c>
      <c r="K4432" s="20">
        <v>0</v>
      </c>
      <c r="L4432" s="20">
        <v>0</v>
      </c>
      <c r="M4432" s="20">
        <v>0</v>
      </c>
      <c r="N4432" s="20">
        <v>0</v>
      </c>
      <c r="O4432" s="20">
        <v>0</v>
      </c>
      <c r="P4432" s="26">
        <v>3.8319999999999999</v>
      </c>
      <c r="Q4432" s="45" t="s">
        <v>6474</v>
      </c>
    </row>
    <row r="4433" spans="1:17" ht="48" x14ac:dyDescent="0.25">
      <c r="A4433" s="23">
        <v>40664</v>
      </c>
      <c r="B4433" s="23">
        <v>40664</v>
      </c>
      <c r="C4433" s="24">
        <v>2011</v>
      </c>
      <c r="D4433" s="351" t="s">
        <v>23</v>
      </c>
      <c r="E4433" s="14" t="s">
        <v>24</v>
      </c>
      <c r="F4433" s="7" t="s">
        <v>60</v>
      </c>
      <c r="G4433" s="44" t="s">
        <v>6503</v>
      </c>
      <c r="H4433" s="44" t="s">
        <v>6502</v>
      </c>
      <c r="I4433" s="20">
        <v>0</v>
      </c>
      <c r="J4433" s="20">
        <v>1171</v>
      </c>
      <c r="K4433" s="20">
        <v>0</v>
      </c>
      <c r="L4433" s="20">
        <v>0</v>
      </c>
      <c r="M4433" s="20">
        <v>0</v>
      </c>
      <c r="N4433" s="20">
        <v>0</v>
      </c>
      <c r="O4433" s="20">
        <v>0</v>
      </c>
      <c r="P4433" s="26">
        <v>4.2889999999999997</v>
      </c>
      <c r="Q4433" s="45" t="s">
        <v>6474</v>
      </c>
    </row>
    <row r="4434" spans="1:17" ht="48" x14ac:dyDescent="0.25">
      <c r="A4434" s="23">
        <v>40664</v>
      </c>
      <c r="B4434" s="23">
        <v>40664</v>
      </c>
      <c r="C4434" s="24">
        <v>2011</v>
      </c>
      <c r="D4434" s="351" t="s">
        <v>23</v>
      </c>
      <c r="E4434" s="14" t="s">
        <v>24</v>
      </c>
      <c r="F4434" s="7" t="s">
        <v>40</v>
      </c>
      <c r="G4434" s="44" t="s">
        <v>6504</v>
      </c>
      <c r="H4434" s="44" t="s">
        <v>6502</v>
      </c>
      <c r="I4434" s="20">
        <v>0</v>
      </c>
      <c r="J4434" s="20">
        <v>3458</v>
      </c>
      <c r="K4434" s="20">
        <v>0</v>
      </c>
      <c r="L4434" s="20">
        <v>0</v>
      </c>
      <c r="M4434" s="20">
        <v>0</v>
      </c>
      <c r="N4434" s="20">
        <v>0</v>
      </c>
      <c r="O4434" s="20">
        <v>0</v>
      </c>
      <c r="P4434" s="26">
        <v>28.988</v>
      </c>
      <c r="Q4434" s="45" t="s">
        <v>6474</v>
      </c>
    </row>
    <row r="4435" spans="1:17" ht="48" x14ac:dyDescent="0.25">
      <c r="A4435" s="23">
        <v>40664</v>
      </c>
      <c r="B4435" s="23">
        <v>40664</v>
      </c>
      <c r="C4435" s="24">
        <v>2011</v>
      </c>
      <c r="D4435" s="351" t="s">
        <v>23</v>
      </c>
      <c r="E4435" s="14" t="s">
        <v>24</v>
      </c>
      <c r="F4435" s="7" t="s">
        <v>60</v>
      </c>
      <c r="G4435" s="44" t="s">
        <v>6505</v>
      </c>
      <c r="H4435" s="44" t="s">
        <v>6502</v>
      </c>
      <c r="I4435" s="20">
        <v>0</v>
      </c>
      <c r="J4435" s="20">
        <v>540</v>
      </c>
      <c r="K4435" s="20">
        <v>0</v>
      </c>
      <c r="L4435" s="20">
        <v>0</v>
      </c>
      <c r="M4435" s="20">
        <v>0</v>
      </c>
      <c r="N4435" s="20">
        <v>0</v>
      </c>
      <c r="O4435" s="20">
        <v>0</v>
      </c>
      <c r="P4435" s="26">
        <v>1.498</v>
      </c>
      <c r="Q4435" s="45" t="s">
        <v>6474</v>
      </c>
    </row>
    <row r="4436" spans="1:17" ht="60" x14ac:dyDescent="0.25">
      <c r="A4436" s="23">
        <v>40695</v>
      </c>
      <c r="B4436" s="23">
        <v>40695</v>
      </c>
      <c r="C4436" s="24">
        <v>2011</v>
      </c>
      <c r="D4436" s="351" t="s">
        <v>23</v>
      </c>
      <c r="E4436" s="14" t="s">
        <v>24</v>
      </c>
      <c r="F4436" s="7" t="s">
        <v>25</v>
      </c>
      <c r="G4436" s="44" t="s">
        <v>6506</v>
      </c>
      <c r="H4436" s="44" t="s">
        <v>6507</v>
      </c>
      <c r="I4436" s="20">
        <v>0</v>
      </c>
      <c r="J4436" s="20">
        <v>8980</v>
      </c>
      <c r="K4436" s="20">
        <v>0</v>
      </c>
      <c r="L4436" s="20">
        <v>0</v>
      </c>
      <c r="M4436" s="20">
        <v>0</v>
      </c>
      <c r="N4436" s="20">
        <v>0</v>
      </c>
      <c r="O4436" s="20">
        <v>24680</v>
      </c>
      <c r="P4436" s="26">
        <v>447.65800000000002</v>
      </c>
      <c r="Q4436" s="45" t="s">
        <v>2234</v>
      </c>
    </row>
    <row r="4437" spans="1:17" ht="60" x14ac:dyDescent="0.25">
      <c r="A4437" s="23">
        <v>40695</v>
      </c>
      <c r="B4437" s="23">
        <v>40695</v>
      </c>
      <c r="C4437" s="24">
        <v>2011</v>
      </c>
      <c r="D4437" s="351" t="s">
        <v>23</v>
      </c>
      <c r="E4437" s="14" t="s">
        <v>24</v>
      </c>
      <c r="F4437" s="7" t="s">
        <v>101</v>
      </c>
      <c r="G4437" s="44" t="s">
        <v>6476</v>
      </c>
      <c r="H4437" s="44" t="s">
        <v>6508</v>
      </c>
      <c r="I4437" s="20">
        <v>0</v>
      </c>
      <c r="J4437" s="20">
        <v>62098</v>
      </c>
      <c r="K4437" s="20">
        <v>0</v>
      </c>
      <c r="L4437" s="20">
        <v>0</v>
      </c>
      <c r="M4437" s="20">
        <v>0</v>
      </c>
      <c r="N4437" s="20">
        <v>0</v>
      </c>
      <c r="O4437" s="20">
        <v>267243.69</v>
      </c>
      <c r="P4437" s="26">
        <v>1700.04</v>
      </c>
      <c r="Q4437" s="45" t="s">
        <v>2234</v>
      </c>
    </row>
    <row r="4438" spans="1:17" ht="48" x14ac:dyDescent="0.25">
      <c r="A4438" s="23">
        <v>40695</v>
      </c>
      <c r="B4438" s="23">
        <v>40695</v>
      </c>
      <c r="C4438" s="24">
        <v>2011</v>
      </c>
      <c r="D4438" s="351" t="s">
        <v>23</v>
      </c>
      <c r="E4438" s="14" t="s">
        <v>24</v>
      </c>
      <c r="F4438" s="7" t="s">
        <v>49</v>
      </c>
      <c r="G4438" s="44" t="s">
        <v>6509</v>
      </c>
      <c r="H4438" s="44" t="s">
        <v>6510</v>
      </c>
      <c r="I4438" s="20">
        <v>0</v>
      </c>
      <c r="J4438" s="20">
        <v>73940</v>
      </c>
      <c r="K4438" s="20">
        <v>0</v>
      </c>
      <c r="L4438" s="20">
        <v>0</v>
      </c>
      <c r="M4438" s="20">
        <v>0</v>
      </c>
      <c r="N4438" s="20">
        <v>0</v>
      </c>
      <c r="O4438" s="20">
        <v>204855.32</v>
      </c>
      <c r="P4438" s="26">
        <v>1412.8090000000002</v>
      </c>
      <c r="Q4438" s="45" t="s">
        <v>2234</v>
      </c>
    </row>
    <row r="4439" spans="1:17" ht="60" x14ac:dyDescent="0.25">
      <c r="A4439" s="23">
        <v>40756</v>
      </c>
      <c r="B4439" s="23">
        <v>40756</v>
      </c>
      <c r="C4439" s="24">
        <v>2011</v>
      </c>
      <c r="D4439" s="351" t="s">
        <v>23</v>
      </c>
      <c r="E4439" s="14" t="s">
        <v>24</v>
      </c>
      <c r="F4439" s="7" t="s">
        <v>60</v>
      </c>
      <c r="G4439" s="44" t="s">
        <v>6511</v>
      </c>
      <c r="H4439" s="44" t="s">
        <v>6512</v>
      </c>
      <c r="I4439" s="20">
        <v>0</v>
      </c>
      <c r="J4439" s="20">
        <v>471</v>
      </c>
      <c r="K4439" s="20">
        <v>0</v>
      </c>
      <c r="L4439" s="20">
        <v>0</v>
      </c>
      <c r="M4439" s="20">
        <v>0</v>
      </c>
      <c r="N4439" s="20">
        <v>0</v>
      </c>
      <c r="O4439" s="20">
        <v>0</v>
      </c>
      <c r="P4439" s="26">
        <v>1.744</v>
      </c>
      <c r="Q4439" s="45" t="s">
        <v>6474</v>
      </c>
    </row>
    <row r="4440" spans="1:17" ht="60" x14ac:dyDescent="0.25">
      <c r="A4440" s="23">
        <v>40695</v>
      </c>
      <c r="B4440" s="23">
        <v>40695</v>
      </c>
      <c r="C4440" s="24">
        <v>2011</v>
      </c>
      <c r="D4440" s="351" t="s">
        <v>23</v>
      </c>
      <c r="E4440" s="14" t="s">
        <v>24</v>
      </c>
      <c r="F4440" s="7" t="s">
        <v>67</v>
      </c>
      <c r="G4440" s="44" t="s">
        <v>6513</v>
      </c>
      <c r="H4440" s="44" t="s">
        <v>6514</v>
      </c>
      <c r="I4440" s="20">
        <v>0</v>
      </c>
      <c r="J4440" s="20">
        <v>8409</v>
      </c>
      <c r="K4440" s="20">
        <v>0</v>
      </c>
      <c r="L4440" s="20">
        <v>0</v>
      </c>
      <c r="M4440" s="20">
        <v>0</v>
      </c>
      <c r="N4440" s="20">
        <v>0</v>
      </c>
      <c r="O4440" s="20">
        <v>18486</v>
      </c>
      <c r="P4440" s="26">
        <v>24.847999999999999</v>
      </c>
      <c r="Q4440" s="45" t="s">
        <v>2234</v>
      </c>
    </row>
    <row r="4441" spans="1:17" ht="132" x14ac:dyDescent="0.25">
      <c r="A4441" s="23">
        <v>40793</v>
      </c>
      <c r="B4441" s="23">
        <v>40795</v>
      </c>
      <c r="C4441" s="24">
        <v>2011</v>
      </c>
      <c r="D4441" s="351" t="s">
        <v>23</v>
      </c>
      <c r="E4441" s="22" t="s">
        <v>42</v>
      </c>
      <c r="F4441" s="7" t="s">
        <v>97</v>
      </c>
      <c r="G4441" s="44" t="s">
        <v>6424</v>
      </c>
      <c r="H4441" s="44" t="s">
        <v>6515</v>
      </c>
      <c r="I4441" s="20">
        <v>0</v>
      </c>
      <c r="J4441" s="20">
        <v>21861</v>
      </c>
      <c r="K4441" s="20">
        <v>0</v>
      </c>
      <c r="L4441" s="20">
        <v>0</v>
      </c>
      <c r="M4441" s="20">
        <v>0</v>
      </c>
      <c r="N4441" s="20">
        <v>0</v>
      </c>
      <c r="O4441" s="20">
        <v>86405.93</v>
      </c>
      <c r="P4441" s="26">
        <v>614.47199999999998</v>
      </c>
      <c r="Q4441" s="45" t="s">
        <v>2234</v>
      </c>
    </row>
    <row r="4442" spans="1:17" ht="72" x14ac:dyDescent="0.25">
      <c r="A4442" s="23">
        <v>40725</v>
      </c>
      <c r="B4442" s="23">
        <v>40725</v>
      </c>
      <c r="C4442" s="24">
        <v>2011</v>
      </c>
      <c r="D4442" s="351" t="s">
        <v>23</v>
      </c>
      <c r="E4442" s="14" t="s">
        <v>24</v>
      </c>
      <c r="F4442" s="7" t="s">
        <v>56</v>
      </c>
      <c r="G4442" s="44" t="s">
        <v>6516</v>
      </c>
      <c r="H4442" s="44" t="s">
        <v>6517</v>
      </c>
      <c r="I4442" s="20">
        <v>0</v>
      </c>
      <c r="J4442" s="20">
        <v>36019</v>
      </c>
      <c r="K4442" s="20">
        <v>0</v>
      </c>
      <c r="L4442" s="20">
        <v>0</v>
      </c>
      <c r="M4442" s="20">
        <v>0</v>
      </c>
      <c r="N4442" s="20">
        <v>0</v>
      </c>
      <c r="O4442" s="20">
        <v>123902.15</v>
      </c>
      <c r="P4442" s="26">
        <v>1551.2190000000001</v>
      </c>
      <c r="Q4442" s="45" t="s">
        <v>2234</v>
      </c>
    </row>
    <row r="4443" spans="1:17" ht="48" x14ac:dyDescent="0.25">
      <c r="A4443" s="23">
        <v>40794</v>
      </c>
      <c r="B4443" s="23">
        <v>40795</v>
      </c>
      <c r="C4443" s="24">
        <v>2011</v>
      </c>
      <c r="D4443" s="351" t="s">
        <v>23</v>
      </c>
      <c r="E4443" s="22" t="s">
        <v>42</v>
      </c>
      <c r="F4443" s="28" t="s">
        <v>210</v>
      </c>
      <c r="G4443" s="44" t="s">
        <v>6518</v>
      </c>
      <c r="H4443" s="44" t="s">
        <v>6519</v>
      </c>
      <c r="I4443" s="20">
        <v>0</v>
      </c>
      <c r="J4443" s="20">
        <v>614</v>
      </c>
      <c r="K4443" s="20">
        <v>0</v>
      </c>
      <c r="L4443" s="20">
        <v>0</v>
      </c>
      <c r="M4443" s="20">
        <v>0</v>
      </c>
      <c r="N4443" s="20">
        <v>0</v>
      </c>
      <c r="O4443" s="20">
        <v>1766.5</v>
      </c>
      <c r="P4443" s="26">
        <v>12.082000000000001</v>
      </c>
      <c r="Q4443" s="45" t="s">
        <v>2234</v>
      </c>
    </row>
    <row r="4444" spans="1:17" ht="48" x14ac:dyDescent="0.25">
      <c r="A4444" s="23">
        <v>40796</v>
      </c>
      <c r="B4444" s="23">
        <v>40796</v>
      </c>
      <c r="C4444" s="24">
        <v>2011</v>
      </c>
      <c r="D4444" s="351" t="s">
        <v>23</v>
      </c>
      <c r="E4444" s="22" t="s">
        <v>42</v>
      </c>
      <c r="F4444" s="7" t="s">
        <v>62</v>
      </c>
      <c r="G4444" s="44" t="s">
        <v>6520</v>
      </c>
      <c r="H4444" s="44" t="s">
        <v>6521</v>
      </c>
      <c r="I4444" s="20">
        <v>0</v>
      </c>
      <c r="J4444" s="20">
        <v>2178</v>
      </c>
      <c r="K4444" s="20">
        <v>0</v>
      </c>
      <c r="L4444" s="20">
        <v>0</v>
      </c>
      <c r="M4444" s="20">
        <v>0</v>
      </c>
      <c r="N4444" s="20">
        <v>0</v>
      </c>
      <c r="O4444" s="20">
        <v>5968.73</v>
      </c>
      <c r="P4444" s="26">
        <v>20.89</v>
      </c>
      <c r="Q4444" s="45" t="s">
        <v>2234</v>
      </c>
    </row>
    <row r="4445" spans="1:17" ht="48" x14ac:dyDescent="0.25">
      <c r="A4445" s="23">
        <v>40795</v>
      </c>
      <c r="B4445" s="23">
        <v>40795</v>
      </c>
      <c r="C4445" s="24">
        <v>2011</v>
      </c>
      <c r="D4445" s="351" t="s">
        <v>23</v>
      </c>
      <c r="E4445" s="22" t="s">
        <v>42</v>
      </c>
      <c r="F4445" s="7" t="s">
        <v>75</v>
      </c>
      <c r="G4445" s="44" t="s">
        <v>2190</v>
      </c>
      <c r="H4445" s="44" t="s">
        <v>6521</v>
      </c>
      <c r="I4445" s="20">
        <v>0</v>
      </c>
      <c r="J4445" s="20">
        <v>10957</v>
      </c>
      <c r="K4445" s="20">
        <v>0</v>
      </c>
      <c r="L4445" s="20">
        <v>0</v>
      </c>
      <c r="M4445" s="20">
        <v>0</v>
      </c>
      <c r="N4445" s="20">
        <v>0</v>
      </c>
      <c r="O4445" s="20">
        <v>24818.75</v>
      </c>
      <c r="P4445" s="26">
        <v>182.06800000000001</v>
      </c>
      <c r="Q4445" s="45" t="s">
        <v>2234</v>
      </c>
    </row>
    <row r="4446" spans="1:17" ht="48" x14ac:dyDescent="0.25">
      <c r="A4446" s="23">
        <v>40795</v>
      </c>
      <c r="B4446" s="23">
        <v>40795</v>
      </c>
      <c r="C4446" s="24">
        <v>2011</v>
      </c>
      <c r="D4446" s="351" t="s">
        <v>23</v>
      </c>
      <c r="E4446" s="22" t="s">
        <v>42</v>
      </c>
      <c r="F4446" s="28" t="s">
        <v>157</v>
      </c>
      <c r="G4446" s="44" t="s">
        <v>158</v>
      </c>
      <c r="H4446" s="44" t="s">
        <v>6522</v>
      </c>
      <c r="I4446" s="20">
        <v>0</v>
      </c>
      <c r="J4446" s="20">
        <v>883</v>
      </c>
      <c r="K4446" s="20">
        <v>0</v>
      </c>
      <c r="L4446" s="20">
        <v>0</v>
      </c>
      <c r="M4446" s="20">
        <v>0</v>
      </c>
      <c r="N4446" s="20">
        <v>0</v>
      </c>
      <c r="O4446" s="20">
        <v>1353.12</v>
      </c>
      <c r="P4446" s="26">
        <v>7.9749999999999996</v>
      </c>
      <c r="Q4446" s="45" t="s">
        <v>2234</v>
      </c>
    </row>
    <row r="4447" spans="1:17" ht="84" x14ac:dyDescent="0.25">
      <c r="A4447" s="23">
        <v>40795</v>
      </c>
      <c r="B4447" s="23">
        <v>40795</v>
      </c>
      <c r="C4447" s="24">
        <v>2011</v>
      </c>
      <c r="D4447" s="351" t="s">
        <v>23</v>
      </c>
      <c r="E4447" s="22" t="s">
        <v>42</v>
      </c>
      <c r="F4447" s="28" t="s">
        <v>160</v>
      </c>
      <c r="G4447" s="44" t="s">
        <v>6523</v>
      </c>
      <c r="H4447" s="44" t="s">
        <v>6524</v>
      </c>
      <c r="I4447" s="20">
        <v>0</v>
      </c>
      <c r="J4447" s="20">
        <v>1568</v>
      </c>
      <c r="K4447" s="20">
        <v>0</v>
      </c>
      <c r="L4447" s="20">
        <v>0</v>
      </c>
      <c r="M4447" s="20">
        <v>0</v>
      </c>
      <c r="N4447" s="20">
        <v>0</v>
      </c>
      <c r="O4447" s="20">
        <v>4455.1099999999997</v>
      </c>
      <c r="P4447" s="26">
        <v>37.149000000000001</v>
      </c>
      <c r="Q4447" s="45" t="s">
        <v>2234</v>
      </c>
    </row>
    <row r="4448" spans="1:17" ht="72" x14ac:dyDescent="0.25">
      <c r="A4448" s="23">
        <v>40756</v>
      </c>
      <c r="B4448" s="23">
        <v>40756</v>
      </c>
      <c r="C4448" s="24">
        <v>2011</v>
      </c>
      <c r="D4448" s="351" t="s">
        <v>23</v>
      </c>
      <c r="E4448" s="14" t="s">
        <v>24</v>
      </c>
      <c r="F4448" s="7" t="s">
        <v>49</v>
      </c>
      <c r="G4448" s="44" t="s">
        <v>6525</v>
      </c>
      <c r="H4448" s="44" t="s">
        <v>6526</v>
      </c>
      <c r="I4448" s="20">
        <v>0</v>
      </c>
      <c r="J4448" s="20">
        <v>10016</v>
      </c>
      <c r="K4448" s="20">
        <v>0</v>
      </c>
      <c r="L4448" s="20">
        <v>0</v>
      </c>
      <c r="M4448" s="20">
        <v>0</v>
      </c>
      <c r="N4448" s="20">
        <v>0</v>
      </c>
      <c r="O4448" s="20">
        <v>26446.75</v>
      </c>
      <c r="P4448" s="26">
        <v>181.553</v>
      </c>
      <c r="Q4448" s="45" t="s">
        <v>2234</v>
      </c>
    </row>
    <row r="4449" spans="1:17" ht="156" x14ac:dyDescent="0.25">
      <c r="A4449" s="23">
        <v>40725</v>
      </c>
      <c r="B4449" s="23">
        <v>40725</v>
      </c>
      <c r="C4449" s="24">
        <v>2011</v>
      </c>
      <c r="D4449" s="351" t="s">
        <v>23</v>
      </c>
      <c r="E4449" s="14" t="s">
        <v>24</v>
      </c>
      <c r="F4449" s="7" t="s">
        <v>91</v>
      </c>
      <c r="G4449" s="44" t="s">
        <v>6527</v>
      </c>
      <c r="H4449" s="44" t="s">
        <v>6528</v>
      </c>
      <c r="I4449" s="20">
        <v>0</v>
      </c>
      <c r="J4449" s="20">
        <v>8431</v>
      </c>
      <c r="K4449" s="20">
        <v>0</v>
      </c>
      <c r="L4449" s="20">
        <v>0</v>
      </c>
      <c r="M4449" s="20">
        <v>0</v>
      </c>
      <c r="N4449" s="20">
        <v>0</v>
      </c>
      <c r="O4449" s="20">
        <v>17637.919999999998</v>
      </c>
      <c r="P4449" s="26">
        <v>164.346</v>
      </c>
      <c r="Q4449" s="45" t="s">
        <v>2234</v>
      </c>
    </row>
    <row r="4450" spans="1:17" ht="132" x14ac:dyDescent="0.25">
      <c r="A4450" s="23">
        <v>40756</v>
      </c>
      <c r="B4450" s="23">
        <v>40756</v>
      </c>
      <c r="C4450" s="24">
        <v>2011</v>
      </c>
      <c r="D4450" s="351" t="s">
        <v>23</v>
      </c>
      <c r="E4450" s="14" t="s">
        <v>24</v>
      </c>
      <c r="F4450" s="7" t="s">
        <v>62</v>
      </c>
      <c r="G4450" s="44" t="s">
        <v>6529</v>
      </c>
      <c r="H4450" s="44" t="s">
        <v>6530</v>
      </c>
      <c r="I4450" s="20">
        <v>0</v>
      </c>
      <c r="J4450" s="20">
        <v>13477</v>
      </c>
      <c r="K4450" s="20">
        <v>0</v>
      </c>
      <c r="L4450" s="20">
        <v>0</v>
      </c>
      <c r="M4450" s="20">
        <v>0</v>
      </c>
      <c r="N4450" s="20">
        <v>0</v>
      </c>
      <c r="O4450" s="20">
        <v>28849.119999999999</v>
      </c>
      <c r="P4450" s="26">
        <v>257.57100000000003</v>
      </c>
      <c r="Q4450" s="45" t="s">
        <v>2234</v>
      </c>
    </row>
    <row r="4451" spans="1:17" ht="48" x14ac:dyDescent="0.25">
      <c r="A4451" s="23">
        <v>40787</v>
      </c>
      <c r="B4451" s="23">
        <v>40787</v>
      </c>
      <c r="C4451" s="24">
        <v>2011</v>
      </c>
      <c r="D4451" s="351" t="s">
        <v>23</v>
      </c>
      <c r="E4451" s="14" t="s">
        <v>24</v>
      </c>
      <c r="F4451" s="7" t="s">
        <v>82</v>
      </c>
      <c r="G4451" s="44" t="s">
        <v>6531</v>
      </c>
      <c r="H4451" s="44" t="s">
        <v>6532</v>
      </c>
      <c r="I4451" s="20">
        <v>0</v>
      </c>
      <c r="J4451" s="20">
        <v>546</v>
      </c>
      <c r="K4451" s="20">
        <v>0</v>
      </c>
      <c r="L4451" s="20">
        <v>0</v>
      </c>
      <c r="M4451" s="20">
        <v>0</v>
      </c>
      <c r="N4451" s="20">
        <v>0</v>
      </c>
      <c r="O4451" s="20">
        <v>502.3</v>
      </c>
      <c r="P4451" s="26">
        <v>2.3359999999999999</v>
      </c>
      <c r="Q4451" s="45" t="s">
        <v>2234</v>
      </c>
    </row>
    <row r="4452" spans="1:17" ht="48" x14ac:dyDescent="0.25">
      <c r="A4452" s="23">
        <v>40756</v>
      </c>
      <c r="B4452" s="23">
        <v>40756</v>
      </c>
      <c r="C4452" s="24">
        <v>2011</v>
      </c>
      <c r="D4452" s="351" t="s">
        <v>23</v>
      </c>
      <c r="E4452" s="14" t="s">
        <v>24</v>
      </c>
      <c r="F4452" s="7" t="s">
        <v>62</v>
      </c>
      <c r="G4452" s="44" t="s">
        <v>6533</v>
      </c>
      <c r="H4452" s="44" t="s">
        <v>6534</v>
      </c>
      <c r="I4452" s="20">
        <v>0</v>
      </c>
      <c r="J4452" s="20">
        <v>4490</v>
      </c>
      <c r="K4452" s="20">
        <v>0</v>
      </c>
      <c r="L4452" s="20">
        <v>0</v>
      </c>
      <c r="M4452" s="20">
        <v>0</v>
      </c>
      <c r="N4452" s="20">
        <v>0</v>
      </c>
      <c r="O4452" s="20">
        <v>13436.77</v>
      </c>
      <c r="P4452" s="26">
        <v>119.96680000000001</v>
      </c>
      <c r="Q4452" s="45" t="s">
        <v>2234</v>
      </c>
    </row>
    <row r="4453" spans="1:17" ht="48" x14ac:dyDescent="0.25">
      <c r="A4453" s="23">
        <v>40848</v>
      </c>
      <c r="B4453" s="23">
        <v>40848</v>
      </c>
      <c r="C4453" s="24">
        <v>2011</v>
      </c>
      <c r="D4453" s="351" t="s">
        <v>23</v>
      </c>
      <c r="E4453" s="14" t="s">
        <v>24</v>
      </c>
      <c r="F4453" s="7" t="s">
        <v>62</v>
      </c>
      <c r="G4453" s="44" t="s">
        <v>4143</v>
      </c>
      <c r="H4453" s="44" t="s">
        <v>6532</v>
      </c>
      <c r="I4453" s="20">
        <v>0</v>
      </c>
      <c r="J4453" s="20">
        <v>229</v>
      </c>
      <c r="K4453" s="20">
        <v>0</v>
      </c>
      <c r="L4453" s="20">
        <v>0</v>
      </c>
      <c r="M4453" s="20">
        <v>0</v>
      </c>
      <c r="N4453" s="20">
        <v>0</v>
      </c>
      <c r="O4453" s="20">
        <v>394.44</v>
      </c>
      <c r="P4453" s="26">
        <v>3.5209999999999999</v>
      </c>
      <c r="Q4453" s="45" t="s">
        <v>2234</v>
      </c>
    </row>
    <row r="4454" spans="1:17" ht="48" x14ac:dyDescent="0.25">
      <c r="A4454" s="23">
        <v>40848</v>
      </c>
      <c r="B4454" s="23">
        <v>40848</v>
      </c>
      <c r="C4454" s="24">
        <v>2011</v>
      </c>
      <c r="D4454" s="351" t="s">
        <v>23</v>
      </c>
      <c r="E4454" s="14" t="s">
        <v>24</v>
      </c>
      <c r="F4454" s="7" t="s">
        <v>45</v>
      </c>
      <c r="G4454" s="44" t="s">
        <v>6535</v>
      </c>
      <c r="H4454" s="44" t="s">
        <v>6534</v>
      </c>
      <c r="I4454" s="20">
        <v>0</v>
      </c>
      <c r="J4454" s="20">
        <v>9045</v>
      </c>
      <c r="K4454" s="20">
        <v>0</v>
      </c>
      <c r="L4454" s="20">
        <v>0</v>
      </c>
      <c r="M4454" s="20">
        <v>0</v>
      </c>
      <c r="N4454" s="20">
        <v>0</v>
      </c>
      <c r="O4454" s="20">
        <v>18102.03</v>
      </c>
      <c r="P4454" s="26">
        <v>101.15819999999999</v>
      </c>
      <c r="Q4454" s="45" t="s">
        <v>2234</v>
      </c>
    </row>
    <row r="4455" spans="1:17" ht="204" x14ac:dyDescent="0.25">
      <c r="A4455" s="23">
        <v>40878</v>
      </c>
      <c r="B4455" s="23">
        <v>40878</v>
      </c>
      <c r="C4455" s="24">
        <v>2011</v>
      </c>
      <c r="D4455" s="351" t="s">
        <v>23</v>
      </c>
      <c r="E4455" s="14" t="s">
        <v>24</v>
      </c>
      <c r="F4455" s="7" t="s">
        <v>45</v>
      </c>
      <c r="G4455" s="44" t="s">
        <v>6536</v>
      </c>
      <c r="H4455" s="44" t="s">
        <v>6537</v>
      </c>
      <c r="I4455" s="20">
        <v>0</v>
      </c>
      <c r="J4455" s="20">
        <v>5207</v>
      </c>
      <c r="K4455" s="20">
        <v>0</v>
      </c>
      <c r="L4455" s="20">
        <v>0</v>
      </c>
      <c r="M4455" s="20">
        <v>0</v>
      </c>
      <c r="N4455" s="20">
        <v>0</v>
      </c>
      <c r="O4455" s="20">
        <v>6937.76</v>
      </c>
      <c r="P4455" s="26">
        <v>57.286000000000001</v>
      </c>
      <c r="Q4455" s="45" t="s">
        <v>2234</v>
      </c>
    </row>
    <row r="4456" spans="1:17" ht="24" x14ac:dyDescent="0.25">
      <c r="A4456" s="23">
        <v>40544</v>
      </c>
      <c r="B4456" s="23">
        <v>40544</v>
      </c>
      <c r="C4456" s="24">
        <v>2011</v>
      </c>
      <c r="D4456" s="35" t="s">
        <v>28</v>
      </c>
      <c r="E4456" s="14" t="s">
        <v>29</v>
      </c>
      <c r="F4456" s="7" t="s">
        <v>25</v>
      </c>
      <c r="G4456" s="44" t="s">
        <v>2109</v>
      </c>
      <c r="H4456" s="44" t="s">
        <v>6538</v>
      </c>
      <c r="I4456" s="20">
        <v>0</v>
      </c>
      <c r="J4456" s="20">
        <v>0</v>
      </c>
      <c r="K4456" s="20">
        <v>0</v>
      </c>
      <c r="L4456" s="20">
        <v>0</v>
      </c>
      <c r="M4456" s="20">
        <v>0</v>
      </c>
      <c r="N4456" s="20">
        <v>0</v>
      </c>
      <c r="O4456" s="20">
        <v>1549.2</v>
      </c>
      <c r="P4456" s="26">
        <f>O4456*1000/1000000</f>
        <v>1.5491999999999999</v>
      </c>
      <c r="Q4456" s="45" t="s">
        <v>3556</v>
      </c>
    </row>
    <row r="4457" spans="1:17" ht="24" x14ac:dyDescent="0.25">
      <c r="A4457" s="23">
        <v>40544</v>
      </c>
      <c r="B4457" s="23">
        <v>40544</v>
      </c>
      <c r="C4457" s="24">
        <v>2011</v>
      </c>
      <c r="D4457" s="35" t="s">
        <v>28</v>
      </c>
      <c r="E4457" s="14" t="s">
        <v>29</v>
      </c>
      <c r="F4457" s="7" t="s">
        <v>30</v>
      </c>
      <c r="G4457" s="44" t="s">
        <v>2109</v>
      </c>
      <c r="H4457" s="44" t="s">
        <v>6538</v>
      </c>
      <c r="I4457" s="20">
        <v>0</v>
      </c>
      <c r="J4457" s="20">
        <v>0</v>
      </c>
      <c r="K4457" s="20">
        <v>0</v>
      </c>
      <c r="L4457" s="20">
        <v>0</v>
      </c>
      <c r="M4457" s="20">
        <v>0</v>
      </c>
      <c r="N4457" s="20">
        <v>0</v>
      </c>
      <c r="O4457" s="20">
        <v>19508.560000000001</v>
      </c>
      <c r="P4457" s="26">
        <f>O4457*1000/1000000</f>
        <v>19.508559999999999</v>
      </c>
      <c r="Q4457" s="45" t="s">
        <v>3556</v>
      </c>
    </row>
    <row r="4458" spans="1:17" ht="24" x14ac:dyDescent="0.25">
      <c r="A4458" s="23">
        <v>40544</v>
      </c>
      <c r="B4458" s="23">
        <v>40544</v>
      </c>
      <c r="C4458" s="24">
        <v>2011</v>
      </c>
      <c r="D4458" s="35" t="s">
        <v>28</v>
      </c>
      <c r="E4458" s="14" t="s">
        <v>29</v>
      </c>
      <c r="F4458" s="7" t="s">
        <v>33</v>
      </c>
      <c r="G4458" s="44" t="s">
        <v>2109</v>
      </c>
      <c r="H4458" s="44" t="s">
        <v>6538</v>
      </c>
      <c r="I4458" s="20">
        <v>0</v>
      </c>
      <c r="J4458" s="20">
        <v>0</v>
      </c>
      <c r="K4458" s="20">
        <v>0</v>
      </c>
      <c r="L4458" s="20">
        <v>0</v>
      </c>
      <c r="M4458" s="20">
        <v>0</v>
      </c>
      <c r="N4458" s="20">
        <v>0</v>
      </c>
      <c r="O4458" s="20">
        <v>32</v>
      </c>
      <c r="P4458" s="26">
        <f>O4458*1000/1000000</f>
        <v>3.2000000000000001E-2</v>
      </c>
      <c r="Q4458" s="45" t="s">
        <v>3556</v>
      </c>
    </row>
    <row r="4459" spans="1:17" ht="24" x14ac:dyDescent="0.25">
      <c r="A4459" s="23">
        <v>40544</v>
      </c>
      <c r="B4459" s="23">
        <v>40544</v>
      </c>
      <c r="C4459" s="24">
        <v>2011</v>
      </c>
      <c r="D4459" s="35" t="s">
        <v>28</v>
      </c>
      <c r="E4459" s="14" t="s">
        <v>29</v>
      </c>
      <c r="F4459" s="28" t="s">
        <v>151</v>
      </c>
      <c r="G4459" s="44" t="s">
        <v>2109</v>
      </c>
      <c r="H4459" s="44" t="s">
        <v>6538</v>
      </c>
      <c r="I4459" s="20">
        <v>0</v>
      </c>
      <c r="J4459" s="20">
        <v>0</v>
      </c>
      <c r="K4459" s="20">
        <v>0</v>
      </c>
      <c r="L4459" s="20">
        <v>0</v>
      </c>
      <c r="M4459" s="20">
        <v>0</v>
      </c>
      <c r="N4459" s="20">
        <v>0</v>
      </c>
      <c r="O4459" s="20">
        <v>4747.8</v>
      </c>
      <c r="P4459" s="26">
        <f>O4459*1000/1000000</f>
        <v>4.7477999999999998</v>
      </c>
      <c r="Q4459" s="45" t="s">
        <v>3556</v>
      </c>
    </row>
    <row r="4460" spans="1:17" ht="24" x14ac:dyDescent="0.25">
      <c r="A4460" s="23">
        <v>40544</v>
      </c>
      <c r="B4460" s="23">
        <v>40544</v>
      </c>
      <c r="C4460" s="24">
        <v>2011</v>
      </c>
      <c r="D4460" s="35" t="s">
        <v>28</v>
      </c>
      <c r="E4460" s="14" t="s">
        <v>29</v>
      </c>
      <c r="F4460" s="7" t="s">
        <v>45</v>
      </c>
      <c r="G4460" s="44" t="s">
        <v>2109</v>
      </c>
      <c r="H4460" s="44" t="s">
        <v>6538</v>
      </c>
      <c r="I4460" s="20">
        <v>0</v>
      </c>
      <c r="J4460" s="20">
        <v>0</v>
      </c>
      <c r="K4460" s="20">
        <v>0</v>
      </c>
      <c r="L4460" s="20">
        <v>0</v>
      </c>
      <c r="M4460" s="20">
        <v>0</v>
      </c>
      <c r="N4460" s="20">
        <v>0</v>
      </c>
      <c r="O4460" s="20">
        <v>424540.73</v>
      </c>
      <c r="P4460" s="26">
        <v>834.18169999999998</v>
      </c>
      <c r="Q4460" s="45" t="s">
        <v>6539</v>
      </c>
    </row>
    <row r="4461" spans="1:17" ht="24" x14ac:dyDescent="0.25">
      <c r="A4461" s="23">
        <v>40544</v>
      </c>
      <c r="B4461" s="23">
        <v>40544</v>
      </c>
      <c r="C4461" s="24">
        <v>2011</v>
      </c>
      <c r="D4461" s="35" t="s">
        <v>28</v>
      </c>
      <c r="E4461" s="14" t="s">
        <v>29</v>
      </c>
      <c r="F4461" s="7" t="s">
        <v>47</v>
      </c>
      <c r="G4461" s="44" t="s">
        <v>2109</v>
      </c>
      <c r="H4461" s="44" t="s">
        <v>6538</v>
      </c>
      <c r="I4461" s="20">
        <v>0</v>
      </c>
      <c r="J4461" s="20">
        <v>0</v>
      </c>
      <c r="K4461" s="20">
        <v>0</v>
      </c>
      <c r="L4461" s="20">
        <v>0</v>
      </c>
      <c r="M4461" s="20">
        <v>0</v>
      </c>
      <c r="N4461" s="20">
        <v>0</v>
      </c>
      <c r="O4461" s="20">
        <v>104</v>
      </c>
      <c r="P4461" s="26">
        <f t="shared" ref="P4461:P4487" si="14">O4461*1000/1000000</f>
        <v>0.104</v>
      </c>
      <c r="Q4461" s="45" t="s">
        <v>3556</v>
      </c>
    </row>
    <row r="4462" spans="1:17" ht="24" x14ac:dyDescent="0.25">
      <c r="A4462" s="23">
        <v>40544</v>
      </c>
      <c r="B4462" s="23">
        <v>40544</v>
      </c>
      <c r="C4462" s="24">
        <v>2011</v>
      </c>
      <c r="D4462" s="35" t="s">
        <v>28</v>
      </c>
      <c r="E4462" s="14" t="s">
        <v>29</v>
      </c>
      <c r="F4462" s="7" t="s">
        <v>36</v>
      </c>
      <c r="G4462" s="44" t="s">
        <v>2109</v>
      </c>
      <c r="H4462" s="44" t="s">
        <v>6538</v>
      </c>
      <c r="I4462" s="20">
        <v>0</v>
      </c>
      <c r="J4462" s="20">
        <v>0</v>
      </c>
      <c r="K4462" s="20">
        <v>0</v>
      </c>
      <c r="L4462" s="20">
        <v>0</v>
      </c>
      <c r="M4462" s="20">
        <v>0</v>
      </c>
      <c r="N4462" s="20">
        <v>0</v>
      </c>
      <c r="O4462" s="20">
        <v>14434.87</v>
      </c>
      <c r="P4462" s="26">
        <f t="shared" si="14"/>
        <v>14.43487</v>
      </c>
      <c r="Q4462" s="45" t="s">
        <v>3556</v>
      </c>
    </row>
    <row r="4463" spans="1:17" ht="24" x14ac:dyDescent="0.25">
      <c r="A4463" s="23">
        <v>40544</v>
      </c>
      <c r="B4463" s="23">
        <v>40544</v>
      </c>
      <c r="C4463" s="24">
        <v>2011</v>
      </c>
      <c r="D4463" s="35" t="s">
        <v>28</v>
      </c>
      <c r="E4463" s="14" t="s">
        <v>29</v>
      </c>
      <c r="F4463" s="7" t="s">
        <v>40</v>
      </c>
      <c r="G4463" s="44" t="s">
        <v>2109</v>
      </c>
      <c r="H4463" s="44" t="s">
        <v>6538</v>
      </c>
      <c r="I4463" s="20">
        <v>0</v>
      </c>
      <c r="J4463" s="20">
        <v>0</v>
      </c>
      <c r="K4463" s="20">
        <v>0</v>
      </c>
      <c r="L4463" s="20">
        <v>0</v>
      </c>
      <c r="M4463" s="20">
        <v>0</v>
      </c>
      <c r="N4463" s="20">
        <v>0</v>
      </c>
      <c r="O4463" s="20">
        <v>87920.05</v>
      </c>
      <c r="P4463" s="26">
        <f t="shared" si="14"/>
        <v>87.920050000000003</v>
      </c>
      <c r="Q4463" s="45" t="s">
        <v>3556</v>
      </c>
    </row>
    <row r="4464" spans="1:17" ht="24" x14ac:dyDescent="0.25">
      <c r="A4464" s="23">
        <v>40544</v>
      </c>
      <c r="B4464" s="23">
        <v>40544</v>
      </c>
      <c r="C4464" s="24">
        <v>2011</v>
      </c>
      <c r="D4464" s="35" t="s">
        <v>28</v>
      </c>
      <c r="E4464" s="14" t="s">
        <v>29</v>
      </c>
      <c r="F4464" s="28" t="s">
        <v>157</v>
      </c>
      <c r="G4464" s="44" t="s">
        <v>2109</v>
      </c>
      <c r="H4464" s="44" t="s">
        <v>6538</v>
      </c>
      <c r="I4464" s="20">
        <v>0</v>
      </c>
      <c r="J4464" s="20">
        <v>0</v>
      </c>
      <c r="K4464" s="20">
        <v>0</v>
      </c>
      <c r="L4464" s="20">
        <v>0</v>
      </c>
      <c r="M4464" s="20">
        <v>0</v>
      </c>
      <c r="N4464" s="20">
        <v>0</v>
      </c>
      <c r="O4464" s="20">
        <v>4415.62</v>
      </c>
      <c r="P4464" s="26">
        <f t="shared" si="14"/>
        <v>4.4156199999999997</v>
      </c>
      <c r="Q4464" s="45" t="s">
        <v>3556</v>
      </c>
    </row>
    <row r="4465" spans="1:17" ht="24" x14ac:dyDescent="0.25">
      <c r="A4465" s="23">
        <v>40544</v>
      </c>
      <c r="B4465" s="23">
        <v>40544</v>
      </c>
      <c r="C4465" s="24">
        <v>2011</v>
      </c>
      <c r="D4465" s="35" t="s">
        <v>28</v>
      </c>
      <c r="E4465" s="14" t="s">
        <v>29</v>
      </c>
      <c r="F4465" s="7" t="s">
        <v>49</v>
      </c>
      <c r="G4465" s="44" t="s">
        <v>2109</v>
      </c>
      <c r="H4465" s="44" t="s">
        <v>6538</v>
      </c>
      <c r="I4465" s="20">
        <v>0</v>
      </c>
      <c r="J4465" s="20">
        <v>0</v>
      </c>
      <c r="K4465" s="20">
        <v>0</v>
      </c>
      <c r="L4465" s="20">
        <v>0</v>
      </c>
      <c r="M4465" s="20">
        <v>0</v>
      </c>
      <c r="N4465" s="20">
        <v>0</v>
      </c>
      <c r="O4465" s="20">
        <v>42005.4</v>
      </c>
      <c r="P4465" s="26">
        <f t="shared" si="14"/>
        <v>42.005400000000002</v>
      </c>
      <c r="Q4465" s="45" t="s">
        <v>3556</v>
      </c>
    </row>
    <row r="4466" spans="1:17" ht="24" x14ac:dyDescent="0.25">
      <c r="A4466" s="23">
        <v>40544</v>
      </c>
      <c r="B4466" s="23">
        <v>40544</v>
      </c>
      <c r="C4466" s="24">
        <v>2011</v>
      </c>
      <c r="D4466" s="35" t="s">
        <v>28</v>
      </c>
      <c r="E4466" s="14" t="s">
        <v>29</v>
      </c>
      <c r="F4466" s="7" t="s">
        <v>56</v>
      </c>
      <c r="G4466" s="44" t="s">
        <v>2109</v>
      </c>
      <c r="H4466" s="44" t="s">
        <v>6538</v>
      </c>
      <c r="I4466" s="20">
        <v>0</v>
      </c>
      <c r="J4466" s="20">
        <v>0</v>
      </c>
      <c r="K4466" s="20">
        <v>0</v>
      </c>
      <c r="L4466" s="20">
        <v>0</v>
      </c>
      <c r="M4466" s="20">
        <v>0</v>
      </c>
      <c r="N4466" s="20">
        <v>0</v>
      </c>
      <c r="O4466" s="20">
        <v>2385</v>
      </c>
      <c r="P4466" s="26">
        <f t="shared" si="14"/>
        <v>2.3849999999999998</v>
      </c>
      <c r="Q4466" s="45" t="s">
        <v>3556</v>
      </c>
    </row>
    <row r="4467" spans="1:17" ht="24" x14ac:dyDescent="0.25">
      <c r="A4467" s="23">
        <v>40544</v>
      </c>
      <c r="B4467" s="23">
        <v>40544</v>
      </c>
      <c r="C4467" s="24">
        <v>2011</v>
      </c>
      <c r="D4467" s="35" t="s">
        <v>28</v>
      </c>
      <c r="E4467" s="14" t="s">
        <v>29</v>
      </c>
      <c r="F4467" s="7" t="s">
        <v>58</v>
      </c>
      <c r="G4467" s="44" t="s">
        <v>2109</v>
      </c>
      <c r="H4467" s="44" t="s">
        <v>6538</v>
      </c>
      <c r="I4467" s="20">
        <v>0</v>
      </c>
      <c r="J4467" s="20">
        <v>0</v>
      </c>
      <c r="K4467" s="20">
        <v>0</v>
      </c>
      <c r="L4467" s="20">
        <v>0</v>
      </c>
      <c r="M4467" s="20">
        <v>0</v>
      </c>
      <c r="N4467" s="20">
        <v>0</v>
      </c>
      <c r="O4467" s="20">
        <v>12818.25</v>
      </c>
      <c r="P4467" s="26">
        <f t="shared" si="14"/>
        <v>12.818250000000001</v>
      </c>
      <c r="Q4467" s="45" t="s">
        <v>3556</v>
      </c>
    </row>
    <row r="4468" spans="1:17" ht="24" x14ac:dyDescent="0.25">
      <c r="A4468" s="23">
        <v>40544</v>
      </c>
      <c r="B4468" s="23">
        <v>40544</v>
      </c>
      <c r="C4468" s="24">
        <v>2011</v>
      </c>
      <c r="D4468" s="35" t="s">
        <v>28</v>
      </c>
      <c r="E4468" s="14" t="s">
        <v>29</v>
      </c>
      <c r="F4468" s="28" t="s">
        <v>160</v>
      </c>
      <c r="G4468" s="44" t="s">
        <v>2109</v>
      </c>
      <c r="H4468" s="44" t="s">
        <v>6538</v>
      </c>
      <c r="I4468" s="20">
        <v>0</v>
      </c>
      <c r="J4468" s="20">
        <v>0</v>
      </c>
      <c r="K4468" s="20">
        <v>0</v>
      </c>
      <c r="L4468" s="20">
        <v>0</v>
      </c>
      <c r="M4468" s="20">
        <v>0</v>
      </c>
      <c r="N4468" s="20">
        <v>0</v>
      </c>
      <c r="O4468" s="20">
        <v>4076.38</v>
      </c>
      <c r="P4468" s="26">
        <f t="shared" si="14"/>
        <v>4.0763800000000003</v>
      </c>
      <c r="Q4468" s="45" t="s">
        <v>3556</v>
      </c>
    </row>
    <row r="4469" spans="1:17" ht="24" x14ac:dyDescent="0.25">
      <c r="A4469" s="23">
        <v>40544</v>
      </c>
      <c r="B4469" s="23">
        <v>40544</v>
      </c>
      <c r="C4469" s="24">
        <v>2011</v>
      </c>
      <c r="D4469" s="35" t="s">
        <v>28</v>
      </c>
      <c r="E4469" s="14" t="s">
        <v>29</v>
      </c>
      <c r="F4469" s="7" t="s">
        <v>60</v>
      </c>
      <c r="G4469" s="44" t="s">
        <v>2109</v>
      </c>
      <c r="H4469" s="44" t="s">
        <v>6538</v>
      </c>
      <c r="I4469" s="20">
        <v>0</v>
      </c>
      <c r="J4469" s="20">
        <v>380</v>
      </c>
      <c r="K4469" s="20">
        <v>0</v>
      </c>
      <c r="L4469" s="20">
        <v>0</v>
      </c>
      <c r="M4469" s="20">
        <v>0</v>
      </c>
      <c r="N4469" s="20">
        <v>0</v>
      </c>
      <c r="O4469" s="20">
        <v>28781</v>
      </c>
      <c r="P4469" s="26">
        <f t="shared" si="14"/>
        <v>28.780999999999999</v>
      </c>
      <c r="Q4469" s="45" t="s">
        <v>3556</v>
      </c>
    </row>
    <row r="4470" spans="1:17" ht="24" x14ac:dyDescent="0.25">
      <c r="A4470" s="23">
        <v>40544</v>
      </c>
      <c r="B4470" s="23">
        <v>40544</v>
      </c>
      <c r="C4470" s="24">
        <v>2011</v>
      </c>
      <c r="D4470" s="35" t="s">
        <v>28</v>
      </c>
      <c r="E4470" s="14" t="s">
        <v>29</v>
      </c>
      <c r="F4470" s="7" t="s">
        <v>53</v>
      </c>
      <c r="G4470" s="44" t="s">
        <v>2109</v>
      </c>
      <c r="H4470" s="44" t="s">
        <v>6538</v>
      </c>
      <c r="I4470" s="20">
        <v>0</v>
      </c>
      <c r="J4470" s="20">
        <v>0</v>
      </c>
      <c r="K4470" s="20">
        <v>0</v>
      </c>
      <c r="L4470" s="20">
        <v>0</v>
      </c>
      <c r="M4470" s="20">
        <v>0</v>
      </c>
      <c r="N4470" s="20">
        <v>0</v>
      </c>
      <c r="O4470" s="20">
        <v>9283.84</v>
      </c>
      <c r="P4470" s="26">
        <f t="shared" si="14"/>
        <v>9.2838399999999996</v>
      </c>
      <c r="Q4470" s="45" t="s">
        <v>3556</v>
      </c>
    </row>
    <row r="4471" spans="1:17" ht="24" x14ac:dyDescent="0.25">
      <c r="A4471" s="23">
        <v>40544</v>
      </c>
      <c r="B4471" s="23">
        <v>40544</v>
      </c>
      <c r="C4471" s="24">
        <v>2011</v>
      </c>
      <c r="D4471" s="35" t="s">
        <v>28</v>
      </c>
      <c r="E4471" s="14" t="s">
        <v>29</v>
      </c>
      <c r="F4471" s="7" t="s">
        <v>62</v>
      </c>
      <c r="G4471" s="44" t="s">
        <v>2109</v>
      </c>
      <c r="H4471" s="44" t="s">
        <v>6538</v>
      </c>
      <c r="I4471" s="20">
        <v>0</v>
      </c>
      <c r="J4471" s="20">
        <v>0</v>
      </c>
      <c r="K4471" s="20">
        <v>0</v>
      </c>
      <c r="L4471" s="20">
        <v>0</v>
      </c>
      <c r="M4471" s="20">
        <v>0</v>
      </c>
      <c r="N4471" s="20">
        <v>0</v>
      </c>
      <c r="O4471" s="20">
        <v>11840.1</v>
      </c>
      <c r="P4471" s="26">
        <f t="shared" si="14"/>
        <v>11.8401</v>
      </c>
      <c r="Q4471" s="45" t="s">
        <v>3556</v>
      </c>
    </row>
    <row r="4472" spans="1:17" ht="24" x14ac:dyDescent="0.25">
      <c r="A4472" s="23">
        <v>40544</v>
      </c>
      <c r="B4472" s="23">
        <v>40544</v>
      </c>
      <c r="C4472" s="24">
        <v>2011</v>
      </c>
      <c r="D4472" s="35" t="s">
        <v>28</v>
      </c>
      <c r="E4472" s="14" t="s">
        <v>29</v>
      </c>
      <c r="F4472" s="7" t="s">
        <v>65</v>
      </c>
      <c r="G4472" s="44" t="s">
        <v>2109</v>
      </c>
      <c r="H4472" s="44" t="s">
        <v>6538</v>
      </c>
      <c r="I4472" s="20">
        <v>0</v>
      </c>
      <c r="J4472" s="20">
        <v>0</v>
      </c>
      <c r="K4472" s="20">
        <v>0</v>
      </c>
      <c r="L4472" s="20">
        <v>0</v>
      </c>
      <c r="M4472" s="20">
        <v>0</v>
      </c>
      <c r="N4472" s="20">
        <v>0</v>
      </c>
      <c r="O4472" s="20">
        <v>2522.1999999999998</v>
      </c>
      <c r="P4472" s="26">
        <f t="shared" si="14"/>
        <v>2.5222000000000002</v>
      </c>
      <c r="Q4472" s="45" t="s">
        <v>3556</v>
      </c>
    </row>
    <row r="4473" spans="1:17" ht="24" x14ac:dyDescent="0.25">
      <c r="A4473" s="23">
        <v>40544</v>
      </c>
      <c r="B4473" s="23">
        <v>40544</v>
      </c>
      <c r="C4473" s="24">
        <v>2011</v>
      </c>
      <c r="D4473" s="35" t="s">
        <v>28</v>
      </c>
      <c r="E4473" s="14" t="s">
        <v>29</v>
      </c>
      <c r="F4473" s="7" t="s">
        <v>67</v>
      </c>
      <c r="G4473" s="44" t="s">
        <v>2109</v>
      </c>
      <c r="H4473" s="44" t="s">
        <v>6538</v>
      </c>
      <c r="I4473" s="20">
        <v>0</v>
      </c>
      <c r="J4473" s="20">
        <v>0</v>
      </c>
      <c r="K4473" s="20">
        <v>0</v>
      </c>
      <c r="L4473" s="20">
        <v>0</v>
      </c>
      <c r="M4473" s="20">
        <v>0</v>
      </c>
      <c r="N4473" s="20">
        <v>0</v>
      </c>
      <c r="O4473" s="20">
        <v>4560</v>
      </c>
      <c r="P4473" s="26">
        <f t="shared" si="14"/>
        <v>4.5599999999999996</v>
      </c>
      <c r="Q4473" s="45" t="s">
        <v>3556</v>
      </c>
    </row>
    <row r="4474" spans="1:17" ht="24" x14ac:dyDescent="0.25">
      <c r="A4474" s="23">
        <v>40544</v>
      </c>
      <c r="B4474" s="23">
        <v>40544</v>
      </c>
      <c r="C4474" s="24">
        <v>2011</v>
      </c>
      <c r="D4474" s="35" t="s">
        <v>28</v>
      </c>
      <c r="E4474" s="14" t="s">
        <v>29</v>
      </c>
      <c r="F4474" s="7" t="s">
        <v>68</v>
      </c>
      <c r="G4474" s="44" t="s">
        <v>2109</v>
      </c>
      <c r="H4474" s="44" t="s">
        <v>6538</v>
      </c>
      <c r="I4474" s="20">
        <v>0</v>
      </c>
      <c r="J4474" s="20">
        <v>164</v>
      </c>
      <c r="K4474" s="20">
        <v>0</v>
      </c>
      <c r="L4474" s="20">
        <v>0</v>
      </c>
      <c r="M4474" s="20">
        <v>0</v>
      </c>
      <c r="N4474" s="20">
        <v>0</v>
      </c>
      <c r="O4474" s="20">
        <v>17935.419999999998</v>
      </c>
      <c r="P4474" s="26">
        <f t="shared" si="14"/>
        <v>17.935420000000001</v>
      </c>
      <c r="Q4474" s="45" t="s">
        <v>3556</v>
      </c>
    </row>
    <row r="4475" spans="1:17" ht="24" x14ac:dyDescent="0.25">
      <c r="A4475" s="23">
        <v>40544</v>
      </c>
      <c r="B4475" s="23">
        <v>40544</v>
      </c>
      <c r="C4475" s="24">
        <v>2011</v>
      </c>
      <c r="D4475" s="35" t="s">
        <v>28</v>
      </c>
      <c r="E4475" s="14" t="s">
        <v>29</v>
      </c>
      <c r="F4475" s="7" t="s">
        <v>72</v>
      </c>
      <c r="G4475" s="44" t="s">
        <v>2109</v>
      </c>
      <c r="H4475" s="44" t="s">
        <v>6538</v>
      </c>
      <c r="I4475" s="20">
        <v>0</v>
      </c>
      <c r="J4475" s="20">
        <v>0</v>
      </c>
      <c r="K4475" s="20">
        <v>0</v>
      </c>
      <c r="L4475" s="20">
        <v>0</v>
      </c>
      <c r="M4475" s="20">
        <v>0</v>
      </c>
      <c r="N4475" s="20">
        <v>0</v>
      </c>
      <c r="O4475" s="20">
        <v>18176</v>
      </c>
      <c r="P4475" s="26">
        <f t="shared" si="14"/>
        <v>18.175999999999998</v>
      </c>
      <c r="Q4475" s="45" t="s">
        <v>3556</v>
      </c>
    </row>
    <row r="4476" spans="1:17" ht="24" x14ac:dyDescent="0.25">
      <c r="A4476" s="23">
        <v>40544</v>
      </c>
      <c r="B4476" s="23">
        <v>40544</v>
      </c>
      <c r="C4476" s="24">
        <v>2011</v>
      </c>
      <c r="D4476" s="35" t="s">
        <v>28</v>
      </c>
      <c r="E4476" s="14" t="s">
        <v>29</v>
      </c>
      <c r="F4476" s="7" t="s">
        <v>75</v>
      </c>
      <c r="G4476" s="44" t="s">
        <v>2109</v>
      </c>
      <c r="H4476" s="44" t="s">
        <v>6538</v>
      </c>
      <c r="I4476" s="20">
        <v>0</v>
      </c>
      <c r="J4476" s="20">
        <v>0</v>
      </c>
      <c r="K4476" s="20">
        <v>0</v>
      </c>
      <c r="L4476" s="20">
        <v>0</v>
      </c>
      <c r="M4476" s="20">
        <v>0</v>
      </c>
      <c r="N4476" s="20">
        <v>0</v>
      </c>
      <c r="O4476" s="20">
        <v>10901.64</v>
      </c>
      <c r="P4476" s="26">
        <f t="shared" si="14"/>
        <v>10.90164</v>
      </c>
      <c r="Q4476" s="45" t="s">
        <v>3556</v>
      </c>
    </row>
    <row r="4477" spans="1:17" ht="24" x14ac:dyDescent="0.25">
      <c r="A4477" s="23">
        <v>40544</v>
      </c>
      <c r="B4477" s="23">
        <v>40544</v>
      </c>
      <c r="C4477" s="24">
        <v>2011</v>
      </c>
      <c r="D4477" s="35" t="s">
        <v>28</v>
      </c>
      <c r="E4477" s="14" t="s">
        <v>29</v>
      </c>
      <c r="F4477" s="7" t="s">
        <v>77</v>
      </c>
      <c r="G4477" s="44" t="s">
        <v>2109</v>
      </c>
      <c r="H4477" s="44" t="s">
        <v>6538</v>
      </c>
      <c r="I4477" s="20">
        <v>0</v>
      </c>
      <c r="J4477" s="20">
        <v>0</v>
      </c>
      <c r="K4477" s="20">
        <v>0</v>
      </c>
      <c r="L4477" s="20">
        <v>0</v>
      </c>
      <c r="M4477" s="20">
        <v>0</v>
      </c>
      <c r="N4477" s="20">
        <v>0</v>
      </c>
      <c r="O4477" s="20">
        <v>2775.5</v>
      </c>
      <c r="P4477" s="26">
        <f t="shared" si="14"/>
        <v>2.7755000000000001</v>
      </c>
      <c r="Q4477" s="45" t="s">
        <v>3556</v>
      </c>
    </row>
    <row r="4478" spans="1:17" ht="24" x14ac:dyDescent="0.25">
      <c r="A4478" s="23">
        <v>40544</v>
      </c>
      <c r="B4478" s="23">
        <v>40544</v>
      </c>
      <c r="C4478" s="24">
        <v>2011</v>
      </c>
      <c r="D4478" s="35" t="s">
        <v>28</v>
      </c>
      <c r="E4478" s="14" t="s">
        <v>29</v>
      </c>
      <c r="F4478" s="7" t="s">
        <v>80</v>
      </c>
      <c r="G4478" s="44" t="s">
        <v>2109</v>
      </c>
      <c r="H4478" s="44" t="s">
        <v>6538</v>
      </c>
      <c r="I4478" s="20">
        <v>0</v>
      </c>
      <c r="J4478" s="20">
        <v>0</v>
      </c>
      <c r="K4478" s="20">
        <v>0</v>
      </c>
      <c r="L4478" s="20">
        <v>0</v>
      </c>
      <c r="M4478" s="20">
        <v>0</v>
      </c>
      <c r="N4478" s="20">
        <v>0</v>
      </c>
      <c r="O4478" s="20">
        <v>79022.2</v>
      </c>
      <c r="P4478" s="26">
        <f t="shared" si="14"/>
        <v>79.022199999999998</v>
      </c>
      <c r="Q4478" s="45" t="s">
        <v>3556</v>
      </c>
    </row>
    <row r="4479" spans="1:17" ht="24" x14ac:dyDescent="0.25">
      <c r="A4479" s="23">
        <v>40544</v>
      </c>
      <c r="B4479" s="23">
        <v>40544</v>
      </c>
      <c r="C4479" s="24">
        <v>2011</v>
      </c>
      <c r="D4479" s="35" t="s">
        <v>28</v>
      </c>
      <c r="E4479" s="14" t="s">
        <v>29</v>
      </c>
      <c r="F4479" s="7" t="s">
        <v>82</v>
      </c>
      <c r="G4479" s="44" t="s">
        <v>2109</v>
      </c>
      <c r="H4479" s="44" t="s">
        <v>6538</v>
      </c>
      <c r="I4479" s="20">
        <v>0</v>
      </c>
      <c r="J4479" s="20">
        <v>0</v>
      </c>
      <c r="K4479" s="20">
        <v>0</v>
      </c>
      <c r="L4479" s="20">
        <v>0</v>
      </c>
      <c r="M4479" s="20">
        <v>0</v>
      </c>
      <c r="N4479" s="20">
        <v>0</v>
      </c>
      <c r="O4479" s="20">
        <v>13496.75</v>
      </c>
      <c r="P4479" s="26">
        <f t="shared" si="14"/>
        <v>13.49675</v>
      </c>
      <c r="Q4479" s="45" t="s">
        <v>3556</v>
      </c>
    </row>
    <row r="4480" spans="1:17" ht="24" x14ac:dyDescent="0.25">
      <c r="A4480" s="23">
        <v>40544</v>
      </c>
      <c r="B4480" s="23">
        <v>40544</v>
      </c>
      <c r="C4480" s="24">
        <v>2011</v>
      </c>
      <c r="D4480" s="35" t="s">
        <v>28</v>
      </c>
      <c r="E4480" s="14" t="s">
        <v>29</v>
      </c>
      <c r="F4480" s="7" t="s">
        <v>84</v>
      </c>
      <c r="G4480" s="44" t="s">
        <v>2109</v>
      </c>
      <c r="H4480" s="44" t="s">
        <v>6538</v>
      </c>
      <c r="I4480" s="20">
        <v>0</v>
      </c>
      <c r="J4480" s="20">
        <v>0</v>
      </c>
      <c r="K4480" s="20">
        <v>0</v>
      </c>
      <c r="L4480" s="20">
        <v>0</v>
      </c>
      <c r="M4480" s="20">
        <v>0</v>
      </c>
      <c r="N4480" s="20">
        <v>0</v>
      </c>
      <c r="O4480" s="20">
        <v>4084</v>
      </c>
      <c r="P4480" s="26">
        <f t="shared" si="14"/>
        <v>4.0839999999999996</v>
      </c>
      <c r="Q4480" s="45" t="s">
        <v>3556</v>
      </c>
    </row>
    <row r="4481" spans="1:20" ht="24" x14ac:dyDescent="0.25">
      <c r="A4481" s="23">
        <v>40544</v>
      </c>
      <c r="B4481" s="23">
        <v>40544</v>
      </c>
      <c r="C4481" s="24">
        <v>2011</v>
      </c>
      <c r="D4481" s="35" t="s">
        <v>28</v>
      </c>
      <c r="E4481" s="14" t="s">
        <v>29</v>
      </c>
      <c r="F4481" s="7" t="s">
        <v>87</v>
      </c>
      <c r="G4481" s="44" t="s">
        <v>2109</v>
      </c>
      <c r="H4481" s="44" t="s">
        <v>6538</v>
      </c>
      <c r="I4481" s="20">
        <v>0</v>
      </c>
      <c r="J4481" s="20">
        <v>0</v>
      </c>
      <c r="K4481" s="20">
        <v>0</v>
      </c>
      <c r="L4481" s="20">
        <v>0</v>
      </c>
      <c r="M4481" s="20">
        <v>0</v>
      </c>
      <c r="N4481" s="20">
        <v>0</v>
      </c>
      <c r="O4481" s="20">
        <v>63237</v>
      </c>
      <c r="P4481" s="26">
        <f t="shared" si="14"/>
        <v>63.237000000000002</v>
      </c>
      <c r="Q4481" s="45" t="s">
        <v>3556</v>
      </c>
    </row>
    <row r="4482" spans="1:20" ht="24" x14ac:dyDescent="0.25">
      <c r="A4482" s="23">
        <v>40544</v>
      </c>
      <c r="B4482" s="23">
        <v>40544</v>
      </c>
      <c r="C4482" s="24">
        <v>2011</v>
      </c>
      <c r="D4482" s="35" t="s">
        <v>28</v>
      </c>
      <c r="E4482" s="14" t="s">
        <v>29</v>
      </c>
      <c r="F4482" s="25" t="s">
        <v>781</v>
      </c>
      <c r="G4482" s="44" t="s">
        <v>2109</v>
      </c>
      <c r="H4482" s="44" t="s">
        <v>6538</v>
      </c>
      <c r="I4482" s="20">
        <v>0</v>
      </c>
      <c r="J4482" s="20">
        <v>0</v>
      </c>
      <c r="K4482" s="20">
        <v>0</v>
      </c>
      <c r="L4482" s="20">
        <v>0</v>
      </c>
      <c r="M4482" s="20">
        <v>0</v>
      </c>
      <c r="N4482" s="20">
        <v>0</v>
      </c>
      <c r="O4482" s="20">
        <v>289</v>
      </c>
      <c r="P4482" s="26">
        <f t="shared" si="14"/>
        <v>0.28899999999999998</v>
      </c>
      <c r="Q4482" s="45" t="s">
        <v>3556</v>
      </c>
    </row>
    <row r="4483" spans="1:20" ht="24" x14ac:dyDescent="0.25">
      <c r="A4483" s="23">
        <v>40544</v>
      </c>
      <c r="B4483" s="23">
        <v>40544</v>
      </c>
      <c r="C4483" s="24">
        <v>2011</v>
      </c>
      <c r="D4483" s="35" t="s">
        <v>28</v>
      </c>
      <c r="E4483" s="14" t="s">
        <v>29</v>
      </c>
      <c r="F4483" s="7" t="s">
        <v>91</v>
      </c>
      <c r="G4483" s="44" t="s">
        <v>2109</v>
      </c>
      <c r="H4483" s="44" t="s">
        <v>6538</v>
      </c>
      <c r="I4483" s="20">
        <v>0</v>
      </c>
      <c r="J4483" s="20">
        <v>400</v>
      </c>
      <c r="K4483" s="20">
        <v>0</v>
      </c>
      <c r="L4483" s="20">
        <v>0</v>
      </c>
      <c r="M4483" s="20">
        <v>0</v>
      </c>
      <c r="N4483" s="20">
        <v>0</v>
      </c>
      <c r="O4483" s="20">
        <v>15958.8</v>
      </c>
      <c r="P4483" s="26">
        <f t="shared" si="14"/>
        <v>15.9588</v>
      </c>
      <c r="Q4483" s="45" t="s">
        <v>3556</v>
      </c>
    </row>
    <row r="4484" spans="1:20" ht="24" x14ac:dyDescent="0.25">
      <c r="A4484" s="23">
        <v>40544</v>
      </c>
      <c r="B4484" s="23">
        <v>40544</v>
      </c>
      <c r="C4484" s="24">
        <v>2011</v>
      </c>
      <c r="D4484" s="35" t="s">
        <v>28</v>
      </c>
      <c r="E4484" s="14" t="s">
        <v>29</v>
      </c>
      <c r="F4484" s="7" t="s">
        <v>97</v>
      </c>
      <c r="G4484" s="44" t="s">
        <v>2109</v>
      </c>
      <c r="H4484" s="44" t="s">
        <v>6538</v>
      </c>
      <c r="I4484" s="20">
        <v>0</v>
      </c>
      <c r="J4484" s="20">
        <v>0</v>
      </c>
      <c r="K4484" s="20">
        <v>0</v>
      </c>
      <c r="L4484" s="20">
        <v>0</v>
      </c>
      <c r="M4484" s="20">
        <v>0</v>
      </c>
      <c r="N4484" s="20">
        <v>0</v>
      </c>
      <c r="O4484" s="20">
        <v>1602.25</v>
      </c>
      <c r="P4484" s="26">
        <f t="shared" si="14"/>
        <v>1.60225</v>
      </c>
      <c r="Q4484" s="45" t="s">
        <v>3556</v>
      </c>
    </row>
    <row r="4485" spans="1:20" ht="24" x14ac:dyDescent="0.25">
      <c r="A4485" s="23">
        <v>40544</v>
      </c>
      <c r="B4485" s="23">
        <v>40544</v>
      </c>
      <c r="C4485" s="24">
        <v>2011</v>
      </c>
      <c r="D4485" s="35" t="s">
        <v>28</v>
      </c>
      <c r="E4485" s="14" t="s">
        <v>29</v>
      </c>
      <c r="F4485" s="28" t="s">
        <v>210</v>
      </c>
      <c r="G4485" s="44" t="s">
        <v>2109</v>
      </c>
      <c r="H4485" s="44" t="s">
        <v>6538</v>
      </c>
      <c r="I4485" s="20">
        <v>0</v>
      </c>
      <c r="J4485" s="20">
        <v>0</v>
      </c>
      <c r="K4485" s="20">
        <v>0</v>
      </c>
      <c r="L4485" s="20">
        <v>0</v>
      </c>
      <c r="M4485" s="20">
        <v>0</v>
      </c>
      <c r="N4485" s="20">
        <v>0</v>
      </c>
      <c r="O4485" s="20">
        <v>3664.75</v>
      </c>
      <c r="P4485" s="26">
        <f t="shared" si="14"/>
        <v>3.6647500000000002</v>
      </c>
      <c r="Q4485" s="45" t="s">
        <v>3556</v>
      </c>
    </row>
    <row r="4486" spans="1:20" ht="24" x14ac:dyDescent="0.25">
      <c r="A4486" s="23">
        <v>40544</v>
      </c>
      <c r="B4486" s="23">
        <v>40544</v>
      </c>
      <c r="C4486" s="24">
        <v>2011</v>
      </c>
      <c r="D4486" s="35" t="s">
        <v>28</v>
      </c>
      <c r="E4486" s="14" t="s">
        <v>29</v>
      </c>
      <c r="F4486" s="28" t="s">
        <v>163</v>
      </c>
      <c r="G4486" s="44" t="s">
        <v>2109</v>
      </c>
      <c r="H4486" s="44" t="s">
        <v>6538</v>
      </c>
      <c r="I4486" s="20">
        <v>0</v>
      </c>
      <c r="J4486" s="20">
        <v>0</v>
      </c>
      <c r="K4486" s="20">
        <v>0</v>
      </c>
      <c r="L4486" s="20">
        <v>0</v>
      </c>
      <c r="M4486" s="20">
        <v>0</v>
      </c>
      <c r="N4486" s="20">
        <v>0</v>
      </c>
      <c r="O4486" s="20">
        <v>7458</v>
      </c>
      <c r="P4486" s="26">
        <f t="shared" si="14"/>
        <v>7.4580000000000002</v>
      </c>
      <c r="Q4486" s="45" t="s">
        <v>3556</v>
      </c>
    </row>
    <row r="4487" spans="1:20" ht="24" x14ac:dyDescent="0.25">
      <c r="A4487" s="23">
        <v>40544</v>
      </c>
      <c r="B4487" s="23">
        <v>40544</v>
      </c>
      <c r="C4487" s="24">
        <v>2011</v>
      </c>
      <c r="D4487" s="35" t="s">
        <v>28</v>
      </c>
      <c r="E4487" s="14" t="s">
        <v>29</v>
      </c>
      <c r="F4487" s="7" t="s">
        <v>101</v>
      </c>
      <c r="G4487" s="44" t="s">
        <v>2109</v>
      </c>
      <c r="H4487" s="44" t="s">
        <v>6538</v>
      </c>
      <c r="I4487" s="20">
        <v>0</v>
      </c>
      <c r="J4487" s="20">
        <v>0</v>
      </c>
      <c r="K4487" s="20">
        <v>0</v>
      </c>
      <c r="L4487" s="20">
        <v>0</v>
      </c>
      <c r="M4487" s="20">
        <v>0</v>
      </c>
      <c r="N4487" s="20">
        <v>0</v>
      </c>
      <c r="O4487" s="20">
        <v>42278.5</v>
      </c>
      <c r="P4487" s="26">
        <f t="shared" si="14"/>
        <v>42.278500000000001</v>
      </c>
      <c r="Q4487" s="45" t="s">
        <v>3556</v>
      </c>
    </row>
    <row r="4488" spans="1:20" ht="24" x14ac:dyDescent="0.25">
      <c r="A4488" s="23">
        <v>40575</v>
      </c>
      <c r="B4488" s="23">
        <v>40575</v>
      </c>
      <c r="C4488" s="24">
        <v>2011</v>
      </c>
      <c r="D4488" s="351" t="s">
        <v>23</v>
      </c>
      <c r="E4488" s="22" t="s">
        <v>42</v>
      </c>
      <c r="F4488" s="7" t="s">
        <v>99</v>
      </c>
      <c r="G4488" s="44" t="s">
        <v>6540</v>
      </c>
      <c r="H4488" s="44" t="s">
        <v>6541</v>
      </c>
      <c r="I4488" s="20">
        <v>0</v>
      </c>
      <c r="J4488" s="20">
        <v>506016</v>
      </c>
      <c r="K4488" s="20">
        <v>0</v>
      </c>
      <c r="L4488" s="20">
        <v>0</v>
      </c>
      <c r="M4488" s="20">
        <v>0</v>
      </c>
      <c r="N4488" s="20">
        <v>0</v>
      </c>
      <c r="O4488" s="20">
        <v>186685.8</v>
      </c>
      <c r="P4488" s="26">
        <v>5652.165</v>
      </c>
      <c r="Q4488" s="45" t="s">
        <v>22</v>
      </c>
    </row>
    <row r="4489" spans="1:20" ht="36" x14ac:dyDescent="0.25">
      <c r="A4489" s="23">
        <v>40544</v>
      </c>
      <c r="B4489" s="23">
        <v>40544</v>
      </c>
      <c r="C4489" s="24">
        <v>2011</v>
      </c>
      <c r="D4489" s="351" t="s">
        <v>23</v>
      </c>
      <c r="E4489" s="28" t="s">
        <v>327</v>
      </c>
      <c r="F4489" s="7" t="s">
        <v>30</v>
      </c>
      <c r="G4489" s="44" t="s">
        <v>1078</v>
      </c>
      <c r="H4489" s="44" t="s">
        <v>6542</v>
      </c>
      <c r="I4489" s="20">
        <v>1</v>
      </c>
      <c r="J4489" s="20">
        <v>1</v>
      </c>
      <c r="K4489" s="20">
        <v>0</v>
      </c>
      <c r="L4489" s="20">
        <v>0</v>
      </c>
      <c r="M4489" s="20">
        <v>0</v>
      </c>
      <c r="N4489" s="20">
        <v>0</v>
      </c>
      <c r="O4489" s="20">
        <v>0</v>
      </c>
      <c r="P4489" s="26">
        <v>0</v>
      </c>
      <c r="Q4489" s="45" t="s">
        <v>2218</v>
      </c>
    </row>
    <row r="4490" spans="1:20" ht="36" x14ac:dyDescent="0.25">
      <c r="A4490" s="23">
        <v>40544</v>
      </c>
      <c r="B4490" s="23">
        <v>40544</v>
      </c>
      <c r="C4490" s="24">
        <v>2011</v>
      </c>
      <c r="D4490" s="351" t="s">
        <v>23</v>
      </c>
      <c r="E4490" s="28" t="s">
        <v>327</v>
      </c>
      <c r="F4490" s="7" t="s">
        <v>45</v>
      </c>
      <c r="G4490" s="44" t="s">
        <v>6543</v>
      </c>
      <c r="H4490" s="44" t="s">
        <v>6544</v>
      </c>
      <c r="I4490" s="20">
        <v>2</v>
      </c>
      <c r="J4490" s="20">
        <v>2</v>
      </c>
      <c r="K4490" s="20">
        <v>0</v>
      </c>
      <c r="L4490" s="20">
        <v>0</v>
      </c>
      <c r="M4490" s="20">
        <v>0</v>
      </c>
      <c r="N4490" s="20">
        <v>0</v>
      </c>
      <c r="O4490" s="20">
        <v>0</v>
      </c>
      <c r="P4490" s="26">
        <v>0</v>
      </c>
      <c r="Q4490" s="45" t="s">
        <v>2218</v>
      </c>
    </row>
    <row r="4491" spans="1:20" ht="48" x14ac:dyDescent="0.25">
      <c r="A4491" s="23">
        <v>40544</v>
      </c>
      <c r="B4491" s="23">
        <v>40908</v>
      </c>
      <c r="C4491" s="24">
        <v>2011</v>
      </c>
      <c r="D4491" s="351" t="s">
        <v>23</v>
      </c>
      <c r="E4491" s="28" t="s">
        <v>327</v>
      </c>
      <c r="F4491" s="7" t="s">
        <v>40</v>
      </c>
      <c r="G4491" s="44" t="s">
        <v>6545</v>
      </c>
      <c r="H4491" s="44" t="s">
        <v>6546</v>
      </c>
      <c r="I4491" s="20">
        <v>20</v>
      </c>
      <c r="J4491" s="20">
        <v>20</v>
      </c>
      <c r="K4491" s="20">
        <v>0</v>
      </c>
      <c r="L4491" s="20">
        <v>0</v>
      </c>
      <c r="M4491" s="20">
        <v>0</v>
      </c>
      <c r="N4491" s="20">
        <v>0</v>
      </c>
      <c r="O4491" s="20">
        <v>0</v>
      </c>
      <c r="P4491" s="26">
        <v>0</v>
      </c>
      <c r="Q4491" s="45" t="s">
        <v>2218</v>
      </c>
    </row>
    <row r="4492" spans="1:20" ht="36" x14ac:dyDescent="0.25">
      <c r="A4492" s="23">
        <v>40544</v>
      </c>
      <c r="B4492" s="23">
        <v>40908</v>
      </c>
      <c r="C4492" s="24">
        <v>2011</v>
      </c>
      <c r="D4492" s="351" t="s">
        <v>23</v>
      </c>
      <c r="E4492" s="28" t="s">
        <v>327</v>
      </c>
      <c r="F4492" s="7" t="s">
        <v>49</v>
      </c>
      <c r="G4492" s="44" t="s">
        <v>6547</v>
      </c>
      <c r="H4492" s="44" t="s">
        <v>6548</v>
      </c>
      <c r="I4492" s="20">
        <v>7</v>
      </c>
      <c r="J4492" s="20">
        <v>7</v>
      </c>
      <c r="K4492" s="20">
        <v>0</v>
      </c>
      <c r="L4492" s="20">
        <v>0</v>
      </c>
      <c r="M4492" s="20">
        <v>0</v>
      </c>
      <c r="N4492" s="20">
        <v>0</v>
      </c>
      <c r="O4492" s="20">
        <v>0</v>
      </c>
      <c r="P4492" s="26">
        <v>0</v>
      </c>
      <c r="Q4492" s="45" t="s">
        <v>2218</v>
      </c>
    </row>
    <row r="4493" spans="1:20" ht="24" x14ac:dyDescent="0.25">
      <c r="A4493" s="23">
        <v>40544</v>
      </c>
      <c r="B4493" s="23">
        <v>40908</v>
      </c>
      <c r="C4493" s="24">
        <v>2011</v>
      </c>
      <c r="D4493" s="351" t="s">
        <v>23</v>
      </c>
      <c r="E4493" s="28" t="s">
        <v>327</v>
      </c>
      <c r="F4493" s="28" t="s">
        <v>160</v>
      </c>
      <c r="G4493" s="44" t="s">
        <v>263</v>
      </c>
      <c r="H4493" s="44" t="s">
        <v>6549</v>
      </c>
      <c r="I4493" s="20">
        <v>1</v>
      </c>
      <c r="J4493" s="20">
        <v>1</v>
      </c>
      <c r="K4493" s="20">
        <v>0</v>
      </c>
      <c r="L4493" s="20">
        <v>0</v>
      </c>
      <c r="M4493" s="20">
        <v>0</v>
      </c>
      <c r="N4493" s="20">
        <v>0</v>
      </c>
      <c r="O4493" s="20">
        <v>0</v>
      </c>
      <c r="P4493" s="26">
        <v>0</v>
      </c>
      <c r="Q4493" s="45" t="s">
        <v>2218</v>
      </c>
    </row>
    <row r="4494" spans="1:20" ht="24" x14ac:dyDescent="0.25">
      <c r="A4494" s="23">
        <v>40544</v>
      </c>
      <c r="B4494" s="23">
        <v>40908</v>
      </c>
      <c r="C4494" s="24">
        <v>2011</v>
      </c>
      <c r="D4494" s="351" t="s">
        <v>23</v>
      </c>
      <c r="E4494" s="28" t="s">
        <v>327</v>
      </c>
      <c r="F4494" s="7" t="s">
        <v>82</v>
      </c>
      <c r="G4494" s="44" t="s">
        <v>6550</v>
      </c>
      <c r="H4494" s="44" t="s">
        <v>6551</v>
      </c>
      <c r="I4494" s="20">
        <v>1</v>
      </c>
      <c r="J4494" s="20">
        <v>1</v>
      </c>
      <c r="K4494" s="20">
        <v>0</v>
      </c>
      <c r="L4494" s="20">
        <v>0</v>
      </c>
      <c r="M4494" s="20">
        <v>0</v>
      </c>
      <c r="N4494" s="20">
        <v>0</v>
      </c>
      <c r="O4494" s="20">
        <v>0</v>
      </c>
      <c r="P4494" s="26">
        <v>0</v>
      </c>
      <c r="Q4494" s="45" t="s">
        <v>2218</v>
      </c>
    </row>
    <row r="4495" spans="1:20" ht="48" x14ac:dyDescent="0.25">
      <c r="A4495" s="23">
        <v>40544</v>
      </c>
      <c r="B4495" s="23">
        <v>40908</v>
      </c>
      <c r="C4495" s="24">
        <v>2011</v>
      </c>
      <c r="D4495" s="351" t="s">
        <v>23</v>
      </c>
      <c r="E4495" s="28" t="s">
        <v>327</v>
      </c>
      <c r="F4495" s="7" t="s">
        <v>87</v>
      </c>
      <c r="G4495" s="44" t="s">
        <v>6552</v>
      </c>
      <c r="H4495" s="44" t="s">
        <v>6553</v>
      </c>
      <c r="I4495" s="20">
        <v>12</v>
      </c>
      <c r="J4495" s="20">
        <v>12</v>
      </c>
      <c r="K4495" s="20">
        <v>0</v>
      </c>
      <c r="L4495" s="20">
        <v>0</v>
      </c>
      <c r="M4495" s="20">
        <v>0</v>
      </c>
      <c r="N4495" s="20">
        <v>0</v>
      </c>
      <c r="O4495" s="20">
        <v>0</v>
      </c>
      <c r="P4495" s="26">
        <v>0</v>
      </c>
      <c r="Q4495" s="45" t="s">
        <v>2218</v>
      </c>
    </row>
    <row r="4496" spans="1:20" s="162" customFormat="1" ht="48" x14ac:dyDescent="0.25">
      <c r="A4496" s="17">
        <v>40909</v>
      </c>
      <c r="B4496" s="17">
        <v>40909</v>
      </c>
      <c r="C4496" s="43">
        <v>2012</v>
      </c>
      <c r="D4496" s="351" t="s">
        <v>23</v>
      </c>
      <c r="E4496" s="22" t="s">
        <v>86</v>
      </c>
      <c r="F4496" s="7" t="s">
        <v>72</v>
      </c>
      <c r="G4496" s="146" t="s">
        <v>1954</v>
      </c>
      <c r="H4496" s="147" t="s">
        <v>6554</v>
      </c>
      <c r="I4496" s="148">
        <v>0</v>
      </c>
      <c r="J4496" s="46">
        <v>325</v>
      </c>
      <c r="K4496" s="46">
        <v>0</v>
      </c>
      <c r="L4496" s="46">
        <v>0</v>
      </c>
      <c r="M4496" s="46">
        <v>0</v>
      </c>
      <c r="N4496" s="46">
        <v>0</v>
      </c>
      <c r="O4496" s="46">
        <v>325</v>
      </c>
      <c r="P4496" s="47">
        <v>11.478999999999999</v>
      </c>
      <c r="Q4496" s="45" t="s">
        <v>2234</v>
      </c>
      <c r="R4496" s="160"/>
      <c r="S4496" s="161"/>
      <c r="T4496" s="161"/>
    </row>
    <row r="4497" spans="1:20" s="162" customFormat="1" ht="60" x14ac:dyDescent="0.25">
      <c r="A4497" s="17">
        <v>40909</v>
      </c>
      <c r="B4497" s="17">
        <v>40909</v>
      </c>
      <c r="C4497" s="43">
        <v>2012</v>
      </c>
      <c r="D4497" s="351" t="s">
        <v>23</v>
      </c>
      <c r="E4497" s="22" t="s">
        <v>86</v>
      </c>
      <c r="F4497" s="7" t="s">
        <v>72</v>
      </c>
      <c r="G4497" s="146" t="s">
        <v>6555</v>
      </c>
      <c r="H4497" s="147" t="s">
        <v>6556</v>
      </c>
      <c r="I4497" s="148">
        <v>0</v>
      </c>
      <c r="J4497" s="46">
        <v>449</v>
      </c>
      <c r="K4497" s="46">
        <v>0</v>
      </c>
      <c r="L4497" s="46">
        <v>0</v>
      </c>
      <c r="M4497" s="46">
        <v>0</v>
      </c>
      <c r="N4497" s="46">
        <v>0</v>
      </c>
      <c r="O4497" s="46">
        <v>438</v>
      </c>
      <c r="P4497" s="47">
        <v>2.2839999999999998</v>
      </c>
      <c r="Q4497" s="45" t="s">
        <v>2234</v>
      </c>
      <c r="R4497" s="160"/>
      <c r="S4497" s="161"/>
      <c r="T4497" s="161"/>
    </row>
    <row r="4498" spans="1:20" s="162" customFormat="1" ht="96" x14ac:dyDescent="0.25">
      <c r="A4498" s="17">
        <v>40909</v>
      </c>
      <c r="B4498" s="17">
        <v>40939</v>
      </c>
      <c r="C4498" s="43">
        <v>2012</v>
      </c>
      <c r="D4498" s="351" t="s">
        <v>23</v>
      </c>
      <c r="E4498" s="14" t="s">
        <v>24</v>
      </c>
      <c r="F4498" s="7" t="s">
        <v>45</v>
      </c>
      <c r="G4498" s="146" t="s">
        <v>6557</v>
      </c>
      <c r="H4498" s="147" t="s">
        <v>6558</v>
      </c>
      <c r="I4498" s="148">
        <v>0</v>
      </c>
      <c r="J4498" s="46">
        <v>1408</v>
      </c>
      <c r="K4498" s="46">
        <v>0</v>
      </c>
      <c r="L4498" s="46">
        <v>0</v>
      </c>
      <c r="M4498" s="46">
        <v>0</v>
      </c>
      <c r="N4498" s="46">
        <v>0</v>
      </c>
      <c r="O4498" s="46">
        <v>872.72</v>
      </c>
      <c r="P4498" s="47">
        <v>17.693999999999999</v>
      </c>
      <c r="Q4498" s="45" t="s">
        <v>2234</v>
      </c>
      <c r="R4498" s="160"/>
      <c r="S4498" s="161"/>
      <c r="T4498" s="161"/>
    </row>
    <row r="4499" spans="1:20" s="162" customFormat="1" ht="84" x14ac:dyDescent="0.25">
      <c r="A4499" s="17">
        <v>40950</v>
      </c>
      <c r="B4499" s="17">
        <v>40951</v>
      </c>
      <c r="C4499" s="43">
        <v>2012</v>
      </c>
      <c r="D4499" s="351" t="s">
        <v>23</v>
      </c>
      <c r="E4499" s="22" t="s">
        <v>86</v>
      </c>
      <c r="F4499" s="7" t="s">
        <v>62</v>
      </c>
      <c r="G4499" s="146" t="s">
        <v>6559</v>
      </c>
      <c r="H4499" s="147" t="s">
        <v>6560</v>
      </c>
      <c r="I4499" s="148">
        <v>0</v>
      </c>
      <c r="J4499" s="46">
        <v>208</v>
      </c>
      <c r="K4499" s="46">
        <v>0</v>
      </c>
      <c r="L4499" s="46">
        <v>0</v>
      </c>
      <c r="M4499" s="46">
        <v>0</v>
      </c>
      <c r="N4499" s="46">
        <v>0</v>
      </c>
      <c r="O4499" s="46">
        <v>436.65</v>
      </c>
      <c r="P4499" s="47">
        <v>87.608000000000004</v>
      </c>
      <c r="Q4499" s="45" t="s">
        <v>2234</v>
      </c>
      <c r="R4499" s="160"/>
      <c r="S4499" s="161"/>
      <c r="T4499" s="161"/>
    </row>
    <row r="4500" spans="1:20" s="162" customFormat="1" ht="36" x14ac:dyDescent="0.25">
      <c r="A4500" s="17">
        <v>40949</v>
      </c>
      <c r="B4500" s="17">
        <v>40950</v>
      </c>
      <c r="C4500" s="43">
        <v>2012</v>
      </c>
      <c r="D4500" s="351" t="s">
        <v>23</v>
      </c>
      <c r="E4500" s="22" t="s">
        <v>86</v>
      </c>
      <c r="F4500" s="7" t="s">
        <v>62</v>
      </c>
      <c r="G4500" s="146" t="s">
        <v>2163</v>
      </c>
      <c r="H4500" s="147" t="s">
        <v>6561</v>
      </c>
      <c r="I4500" s="148">
        <v>0</v>
      </c>
      <c r="J4500" s="46">
        <v>12</v>
      </c>
      <c r="K4500" s="46">
        <v>0</v>
      </c>
      <c r="L4500" s="46">
        <v>0</v>
      </c>
      <c r="M4500" s="46">
        <v>0</v>
      </c>
      <c r="N4500" s="46">
        <v>0</v>
      </c>
      <c r="O4500" s="46">
        <v>16</v>
      </c>
      <c r="P4500" s="47">
        <v>0.27400000000000002</v>
      </c>
      <c r="Q4500" s="45" t="s">
        <v>2234</v>
      </c>
      <c r="R4500" s="160"/>
      <c r="S4500" s="161"/>
      <c r="T4500" s="161"/>
    </row>
    <row r="4501" spans="1:20" s="162" customFormat="1" ht="60" x14ac:dyDescent="0.25">
      <c r="A4501" s="17">
        <v>40978</v>
      </c>
      <c r="B4501" s="17">
        <v>40978</v>
      </c>
      <c r="C4501" s="43">
        <v>2012</v>
      </c>
      <c r="D4501" s="351" t="s">
        <v>23</v>
      </c>
      <c r="E4501" s="30" t="s">
        <v>5893</v>
      </c>
      <c r="F4501" s="7" t="s">
        <v>62</v>
      </c>
      <c r="G4501" s="146" t="s">
        <v>6562</v>
      </c>
      <c r="H4501" s="147" t="s">
        <v>6563</v>
      </c>
      <c r="I4501" s="148">
        <v>0</v>
      </c>
      <c r="J4501" s="46">
        <v>103</v>
      </c>
      <c r="K4501" s="46">
        <v>0</v>
      </c>
      <c r="L4501" s="46">
        <v>0</v>
      </c>
      <c r="M4501" s="46">
        <v>0</v>
      </c>
      <c r="N4501" s="46">
        <v>0</v>
      </c>
      <c r="O4501" s="46">
        <v>248.96</v>
      </c>
      <c r="P4501" s="47">
        <v>24.896000000000001</v>
      </c>
      <c r="Q4501" s="45" t="s">
        <v>2234</v>
      </c>
      <c r="R4501" s="160"/>
      <c r="S4501" s="161"/>
      <c r="T4501" s="161"/>
    </row>
    <row r="4502" spans="1:20" s="162" customFormat="1" ht="72" x14ac:dyDescent="0.25">
      <c r="A4502" s="17">
        <v>40988</v>
      </c>
      <c r="B4502" s="17">
        <v>40988</v>
      </c>
      <c r="C4502" s="43">
        <v>2012</v>
      </c>
      <c r="D4502" s="351" t="s">
        <v>23</v>
      </c>
      <c r="E4502" s="30" t="s">
        <v>5893</v>
      </c>
      <c r="F4502" s="7" t="s">
        <v>40</v>
      </c>
      <c r="G4502" s="146" t="s">
        <v>6564</v>
      </c>
      <c r="H4502" s="147" t="s">
        <v>6565</v>
      </c>
      <c r="I4502" s="148">
        <v>0</v>
      </c>
      <c r="J4502" s="46">
        <v>38</v>
      </c>
      <c r="K4502" s="46">
        <v>0</v>
      </c>
      <c r="L4502" s="46">
        <v>0</v>
      </c>
      <c r="M4502" s="46">
        <v>0</v>
      </c>
      <c r="N4502" s="46">
        <v>0</v>
      </c>
      <c r="O4502" s="46">
        <v>215.4</v>
      </c>
      <c r="P4502" s="47">
        <v>8.6430000000000007</v>
      </c>
      <c r="Q4502" s="45" t="s">
        <v>2234</v>
      </c>
      <c r="R4502" s="160"/>
      <c r="S4502" s="161"/>
      <c r="T4502" s="161"/>
    </row>
    <row r="4503" spans="1:20" s="162" customFormat="1" ht="48" x14ac:dyDescent="0.25">
      <c r="A4503" s="17">
        <v>40999</v>
      </c>
      <c r="B4503" s="17">
        <v>40999</v>
      </c>
      <c r="C4503" s="43">
        <v>2012</v>
      </c>
      <c r="D4503" s="351" t="s">
        <v>23</v>
      </c>
      <c r="E4503" s="22" t="s">
        <v>86</v>
      </c>
      <c r="F4503" s="7" t="s">
        <v>72</v>
      </c>
      <c r="G4503" s="146" t="s">
        <v>6416</v>
      </c>
      <c r="H4503" s="147" t="s">
        <v>6566</v>
      </c>
      <c r="I4503" s="148">
        <v>0</v>
      </c>
      <c r="J4503" s="46">
        <v>466</v>
      </c>
      <c r="K4503" s="46">
        <v>0</v>
      </c>
      <c r="L4503" s="46">
        <v>0</v>
      </c>
      <c r="M4503" s="46">
        <v>0</v>
      </c>
      <c r="N4503" s="46">
        <v>0</v>
      </c>
      <c r="O4503" s="46">
        <v>466</v>
      </c>
      <c r="P4503" s="47">
        <v>2.4300000000000002</v>
      </c>
      <c r="Q4503" s="45" t="s">
        <v>2234</v>
      </c>
      <c r="R4503" s="160"/>
      <c r="S4503" s="161"/>
      <c r="T4503" s="161"/>
    </row>
    <row r="4504" spans="1:20" s="162" customFormat="1" ht="204" x14ac:dyDescent="0.25">
      <c r="A4504" s="17">
        <v>40969</v>
      </c>
      <c r="B4504" s="17">
        <v>40999</v>
      </c>
      <c r="C4504" s="43">
        <v>2012</v>
      </c>
      <c r="D4504" s="351" t="s">
        <v>23</v>
      </c>
      <c r="E4504" s="14" t="s">
        <v>24</v>
      </c>
      <c r="F4504" s="7" t="s">
        <v>45</v>
      </c>
      <c r="G4504" s="146" t="s">
        <v>6567</v>
      </c>
      <c r="H4504" s="147" t="s">
        <v>6568</v>
      </c>
      <c r="I4504" s="148">
        <v>0</v>
      </c>
      <c r="J4504" s="46">
        <v>767</v>
      </c>
      <c r="K4504" s="46">
        <v>0</v>
      </c>
      <c r="L4504" s="46">
        <v>0</v>
      </c>
      <c r="M4504" s="46">
        <v>0</v>
      </c>
      <c r="N4504" s="46">
        <v>0</v>
      </c>
      <c r="O4504" s="46">
        <v>0</v>
      </c>
      <c r="P4504" s="47">
        <v>7.8390000000000004</v>
      </c>
      <c r="Q4504" s="45" t="s">
        <v>2234</v>
      </c>
      <c r="R4504" s="160"/>
      <c r="S4504" s="161"/>
      <c r="T4504" s="161"/>
    </row>
    <row r="4505" spans="1:20" s="162" customFormat="1" ht="60" x14ac:dyDescent="0.25">
      <c r="A4505" s="17">
        <v>40999</v>
      </c>
      <c r="B4505" s="17">
        <v>40999</v>
      </c>
      <c r="C4505" s="43">
        <v>2012</v>
      </c>
      <c r="D4505" s="351" t="s">
        <v>23</v>
      </c>
      <c r="E4505" s="22" t="s">
        <v>86</v>
      </c>
      <c r="F4505" s="28" t="s">
        <v>210</v>
      </c>
      <c r="G4505" s="146" t="s">
        <v>1140</v>
      </c>
      <c r="H4505" s="147" t="s">
        <v>6569</v>
      </c>
      <c r="I4505" s="148">
        <v>0</v>
      </c>
      <c r="J4505" s="46">
        <v>334</v>
      </c>
      <c r="K4505" s="46">
        <v>0</v>
      </c>
      <c r="L4505" s="46">
        <v>0</v>
      </c>
      <c r="M4505" s="46">
        <v>0</v>
      </c>
      <c r="N4505" s="46">
        <v>0</v>
      </c>
      <c r="O4505" s="46">
        <v>915</v>
      </c>
      <c r="P4505" s="47">
        <v>90.1</v>
      </c>
      <c r="Q4505" s="45" t="s">
        <v>2234</v>
      </c>
      <c r="R4505" s="160"/>
      <c r="S4505" s="161"/>
      <c r="T4505" s="161"/>
    </row>
    <row r="4506" spans="1:20" s="162" customFormat="1" ht="48" x14ac:dyDescent="0.25">
      <c r="A4506" s="17">
        <v>40998</v>
      </c>
      <c r="B4506" s="17">
        <v>40998</v>
      </c>
      <c r="C4506" s="43">
        <v>2012</v>
      </c>
      <c r="D4506" s="351" t="s">
        <v>23</v>
      </c>
      <c r="E4506" s="30" t="s">
        <v>5893</v>
      </c>
      <c r="F4506" s="28" t="s">
        <v>210</v>
      </c>
      <c r="G4506" s="146" t="s">
        <v>6570</v>
      </c>
      <c r="H4506" s="147" t="s">
        <v>6571</v>
      </c>
      <c r="I4506" s="148">
        <v>0</v>
      </c>
      <c r="J4506" s="46">
        <v>405</v>
      </c>
      <c r="K4506" s="46">
        <v>0</v>
      </c>
      <c r="L4506" s="46">
        <v>0</v>
      </c>
      <c r="M4506" s="46">
        <v>0</v>
      </c>
      <c r="N4506" s="46">
        <v>0</v>
      </c>
      <c r="O4506" s="46">
        <v>541</v>
      </c>
      <c r="P4506" s="47">
        <v>59.530999999999999</v>
      </c>
      <c r="Q4506" s="45" t="s">
        <v>2234</v>
      </c>
      <c r="R4506" s="160"/>
      <c r="S4506" s="161"/>
      <c r="T4506" s="161"/>
    </row>
    <row r="4507" spans="1:20" s="162" customFormat="1" ht="48" x14ac:dyDescent="0.25">
      <c r="A4507" s="17">
        <v>41015</v>
      </c>
      <c r="B4507" s="17">
        <v>41015</v>
      </c>
      <c r="C4507" s="43">
        <v>2012</v>
      </c>
      <c r="D4507" s="351" t="s">
        <v>23</v>
      </c>
      <c r="E4507" s="30" t="s">
        <v>5893</v>
      </c>
      <c r="F4507" s="7" t="s">
        <v>40</v>
      </c>
      <c r="G4507" s="146" t="s">
        <v>6572</v>
      </c>
      <c r="H4507" s="147" t="s">
        <v>6573</v>
      </c>
      <c r="I4507" s="148">
        <v>0</v>
      </c>
      <c r="J4507" s="46">
        <v>127</v>
      </c>
      <c r="K4507" s="46">
        <v>0</v>
      </c>
      <c r="L4507" s="46">
        <v>0</v>
      </c>
      <c r="M4507" s="46">
        <v>0</v>
      </c>
      <c r="N4507" s="46">
        <v>0</v>
      </c>
      <c r="O4507" s="46">
        <v>258.33</v>
      </c>
      <c r="P4507" s="47">
        <v>26.766999999999999</v>
      </c>
      <c r="Q4507" s="45" t="s">
        <v>2234</v>
      </c>
      <c r="R4507" s="160"/>
      <c r="S4507" s="161"/>
      <c r="T4507" s="161"/>
    </row>
    <row r="4508" spans="1:20" s="162" customFormat="1" ht="60" x14ac:dyDescent="0.25">
      <c r="A4508" s="17">
        <v>41023</v>
      </c>
      <c r="B4508" s="17">
        <v>41024</v>
      </c>
      <c r="C4508" s="43">
        <v>2012</v>
      </c>
      <c r="D4508" s="351" t="s">
        <v>23</v>
      </c>
      <c r="E4508" s="30" t="s">
        <v>5893</v>
      </c>
      <c r="F4508" s="28" t="s">
        <v>210</v>
      </c>
      <c r="G4508" s="146" t="s">
        <v>6574</v>
      </c>
      <c r="H4508" s="147" t="s">
        <v>6575</v>
      </c>
      <c r="I4508" s="148">
        <v>0</v>
      </c>
      <c r="J4508" s="46">
        <v>2139</v>
      </c>
      <c r="K4508" s="46">
        <v>0</v>
      </c>
      <c r="L4508" s="46">
        <v>0</v>
      </c>
      <c r="M4508" s="46">
        <v>0</v>
      </c>
      <c r="N4508" s="46">
        <v>0</v>
      </c>
      <c r="O4508" s="46">
        <v>7437</v>
      </c>
      <c r="P4508" s="47">
        <v>84.081000000000003</v>
      </c>
      <c r="Q4508" s="45" t="s">
        <v>2234</v>
      </c>
      <c r="R4508" s="160"/>
      <c r="S4508" s="161"/>
      <c r="T4508" s="161"/>
    </row>
    <row r="4509" spans="1:20" s="162" customFormat="1" ht="36" x14ac:dyDescent="0.25">
      <c r="A4509" s="17">
        <v>41016</v>
      </c>
      <c r="B4509" s="17">
        <v>41016</v>
      </c>
      <c r="C4509" s="43">
        <v>2012</v>
      </c>
      <c r="D4509" s="351" t="s">
        <v>23</v>
      </c>
      <c r="E4509" s="22" t="s">
        <v>86</v>
      </c>
      <c r="F4509" s="28" t="s">
        <v>210</v>
      </c>
      <c r="G4509" s="146" t="s">
        <v>6205</v>
      </c>
      <c r="H4509" s="147" t="s">
        <v>6576</v>
      </c>
      <c r="I4509" s="148">
        <v>0</v>
      </c>
      <c r="J4509" s="46">
        <v>387</v>
      </c>
      <c r="K4509" s="46">
        <v>0</v>
      </c>
      <c r="L4509" s="46">
        <v>0</v>
      </c>
      <c r="M4509" s="46">
        <v>0</v>
      </c>
      <c r="N4509" s="46">
        <v>0</v>
      </c>
      <c r="O4509" s="46">
        <v>546</v>
      </c>
      <c r="P4509" s="47">
        <v>4.1429999999999998</v>
      </c>
      <c r="Q4509" s="45" t="s">
        <v>2234</v>
      </c>
      <c r="R4509" s="160"/>
      <c r="S4509" s="161"/>
      <c r="T4509" s="161"/>
    </row>
    <row r="4510" spans="1:20" s="162" customFormat="1" ht="48" x14ac:dyDescent="0.25">
      <c r="A4510" s="17">
        <v>41022</v>
      </c>
      <c r="B4510" s="17">
        <v>41026</v>
      </c>
      <c r="C4510" s="43">
        <v>2012</v>
      </c>
      <c r="D4510" s="351" t="s">
        <v>23</v>
      </c>
      <c r="E4510" s="30" t="s">
        <v>5893</v>
      </c>
      <c r="F4510" s="28" t="s">
        <v>210</v>
      </c>
      <c r="G4510" s="146" t="s">
        <v>6577</v>
      </c>
      <c r="H4510" s="147" t="s">
        <v>6578</v>
      </c>
      <c r="I4510" s="148">
        <v>0</v>
      </c>
      <c r="J4510" s="46">
        <v>110</v>
      </c>
      <c r="K4510" s="46">
        <v>0</v>
      </c>
      <c r="L4510" s="46">
        <v>0</v>
      </c>
      <c r="M4510" s="46">
        <v>0</v>
      </c>
      <c r="N4510" s="46">
        <v>0</v>
      </c>
      <c r="O4510" s="46">
        <v>263.5</v>
      </c>
      <c r="P4510" s="47">
        <v>2.972</v>
      </c>
      <c r="Q4510" s="45" t="s">
        <v>2234</v>
      </c>
      <c r="R4510" s="160"/>
      <c r="S4510" s="161"/>
      <c r="T4510" s="161"/>
    </row>
    <row r="4511" spans="1:20" s="162" customFormat="1" ht="48" x14ac:dyDescent="0.25">
      <c r="A4511" s="17">
        <v>41045</v>
      </c>
      <c r="B4511" s="17">
        <v>41046</v>
      </c>
      <c r="C4511" s="43">
        <v>2012</v>
      </c>
      <c r="D4511" s="351" t="s">
        <v>23</v>
      </c>
      <c r="E4511" s="22" t="s">
        <v>86</v>
      </c>
      <c r="F4511" s="7" t="s">
        <v>62</v>
      </c>
      <c r="G4511" s="146" t="s">
        <v>2163</v>
      </c>
      <c r="H4511" s="147" t="s">
        <v>6579</v>
      </c>
      <c r="I4511" s="148">
        <v>0</v>
      </c>
      <c r="J4511" s="46">
        <v>8</v>
      </c>
      <c r="K4511" s="46">
        <v>0</v>
      </c>
      <c r="L4511" s="46">
        <v>0</v>
      </c>
      <c r="M4511" s="46">
        <v>0</v>
      </c>
      <c r="N4511" s="46">
        <v>0</v>
      </c>
      <c r="O4511" s="46">
        <v>30</v>
      </c>
      <c r="P4511" s="47">
        <v>0.51300000000000001</v>
      </c>
      <c r="Q4511" s="45" t="s">
        <v>2234</v>
      </c>
      <c r="R4511" s="160"/>
      <c r="S4511" s="161"/>
      <c r="T4511" s="161"/>
    </row>
    <row r="4512" spans="1:20" s="162" customFormat="1" ht="60" x14ac:dyDescent="0.25">
      <c r="A4512" s="17">
        <v>41061</v>
      </c>
      <c r="B4512" s="17">
        <v>41061</v>
      </c>
      <c r="C4512" s="43">
        <v>2012</v>
      </c>
      <c r="D4512" s="351" t="s">
        <v>23</v>
      </c>
      <c r="E4512" s="30" t="s">
        <v>5893</v>
      </c>
      <c r="F4512" s="7" t="s">
        <v>40</v>
      </c>
      <c r="G4512" s="146" t="s">
        <v>6580</v>
      </c>
      <c r="H4512" s="147" t="s">
        <v>6581</v>
      </c>
      <c r="I4512" s="148">
        <v>0</v>
      </c>
      <c r="J4512" s="46">
        <v>387</v>
      </c>
      <c r="K4512" s="46">
        <v>0</v>
      </c>
      <c r="L4512" s="46">
        <v>0</v>
      </c>
      <c r="M4512" s="46">
        <v>0</v>
      </c>
      <c r="N4512" s="46">
        <v>0</v>
      </c>
      <c r="O4512" s="46">
        <v>1520.83</v>
      </c>
      <c r="P4512" s="47">
        <v>161.36000000000001</v>
      </c>
      <c r="Q4512" s="45" t="s">
        <v>2234</v>
      </c>
      <c r="R4512" s="160"/>
      <c r="S4512" s="161"/>
      <c r="T4512" s="161"/>
    </row>
    <row r="4513" spans="1:20" s="162" customFormat="1" ht="60" x14ac:dyDescent="0.25">
      <c r="A4513" s="17">
        <v>41000</v>
      </c>
      <c r="B4513" s="17">
        <v>41060</v>
      </c>
      <c r="C4513" s="43">
        <v>2012</v>
      </c>
      <c r="D4513" s="351" t="s">
        <v>23</v>
      </c>
      <c r="E4513" s="14" t="s">
        <v>24</v>
      </c>
      <c r="F4513" s="7" t="s">
        <v>62</v>
      </c>
      <c r="G4513" s="146" t="s">
        <v>6582</v>
      </c>
      <c r="H4513" s="147" t="s">
        <v>6583</v>
      </c>
      <c r="I4513" s="148">
        <v>0</v>
      </c>
      <c r="J4513" s="46">
        <v>55</v>
      </c>
      <c r="K4513" s="46">
        <v>0</v>
      </c>
      <c r="L4513" s="46">
        <v>0</v>
      </c>
      <c r="M4513" s="46">
        <v>0</v>
      </c>
      <c r="N4513" s="46">
        <v>0</v>
      </c>
      <c r="O4513" s="46">
        <v>154.55000000000001</v>
      </c>
      <c r="P4513" s="47">
        <v>2.097</v>
      </c>
      <c r="Q4513" s="45" t="s">
        <v>2234</v>
      </c>
      <c r="R4513" s="160"/>
      <c r="S4513" s="161"/>
      <c r="T4513" s="161"/>
    </row>
    <row r="4514" spans="1:20" s="162" customFormat="1" ht="96" x14ac:dyDescent="0.25">
      <c r="A4514" s="17">
        <v>41076</v>
      </c>
      <c r="B4514" s="17">
        <v>41077</v>
      </c>
      <c r="C4514" s="43">
        <v>2012</v>
      </c>
      <c r="D4514" s="351" t="s">
        <v>23</v>
      </c>
      <c r="E4514" s="22" t="s">
        <v>86</v>
      </c>
      <c r="F4514" s="7" t="s">
        <v>72</v>
      </c>
      <c r="G4514" s="146" t="s">
        <v>6584</v>
      </c>
      <c r="H4514" s="147" t="s">
        <v>6585</v>
      </c>
      <c r="I4514" s="148">
        <v>0</v>
      </c>
      <c r="J4514" s="46">
        <v>2598</v>
      </c>
      <c r="K4514" s="46">
        <v>0</v>
      </c>
      <c r="L4514" s="46">
        <v>0</v>
      </c>
      <c r="M4514" s="46">
        <v>0</v>
      </c>
      <c r="N4514" s="46">
        <v>12</v>
      </c>
      <c r="O4514" s="46">
        <v>4627.3999999999996</v>
      </c>
      <c r="P4514" s="47">
        <v>175.90600000000001</v>
      </c>
      <c r="Q4514" s="45" t="s">
        <v>2234</v>
      </c>
      <c r="R4514" s="160"/>
      <c r="S4514" s="161"/>
      <c r="T4514" s="161"/>
    </row>
    <row r="4515" spans="1:20" s="162" customFormat="1" ht="60" x14ac:dyDescent="0.25">
      <c r="A4515" s="17">
        <v>41077</v>
      </c>
      <c r="B4515" s="17">
        <v>41077</v>
      </c>
      <c r="C4515" s="43">
        <v>2012</v>
      </c>
      <c r="D4515" s="351" t="s">
        <v>23</v>
      </c>
      <c r="E4515" s="22" t="s">
        <v>86</v>
      </c>
      <c r="F4515" s="28" t="s">
        <v>210</v>
      </c>
      <c r="G4515" s="146" t="s">
        <v>6586</v>
      </c>
      <c r="H4515" s="147" t="s">
        <v>6587</v>
      </c>
      <c r="I4515" s="148">
        <v>0</v>
      </c>
      <c r="J4515" s="46">
        <v>303</v>
      </c>
      <c r="K4515" s="46">
        <v>0</v>
      </c>
      <c r="L4515" s="46">
        <v>0</v>
      </c>
      <c r="M4515" s="46">
        <v>0</v>
      </c>
      <c r="N4515" s="46">
        <v>0</v>
      </c>
      <c r="O4515" s="46">
        <v>948</v>
      </c>
      <c r="P4515" s="47">
        <v>9.7040000000000006</v>
      </c>
      <c r="Q4515" s="45" t="s">
        <v>2234</v>
      </c>
      <c r="R4515" s="160"/>
      <c r="S4515" s="161"/>
      <c r="T4515" s="161"/>
    </row>
    <row r="4516" spans="1:20" s="162" customFormat="1" ht="60" x14ac:dyDescent="0.25">
      <c r="A4516" s="23">
        <v>41002</v>
      </c>
      <c r="B4516" s="23">
        <v>41002</v>
      </c>
      <c r="C4516" s="43">
        <v>2012</v>
      </c>
      <c r="D4516" s="351" t="s">
        <v>23</v>
      </c>
      <c r="E4516" s="30" t="s">
        <v>5893</v>
      </c>
      <c r="F4516" s="7" t="s">
        <v>40</v>
      </c>
      <c r="G4516" s="146" t="s">
        <v>6588</v>
      </c>
      <c r="H4516" s="147" t="s">
        <v>6589</v>
      </c>
      <c r="I4516" s="148">
        <v>0</v>
      </c>
      <c r="J4516" s="46">
        <v>926</v>
      </c>
      <c r="K4516" s="46">
        <v>0</v>
      </c>
      <c r="L4516" s="46">
        <v>0</v>
      </c>
      <c r="M4516" s="46">
        <v>0</v>
      </c>
      <c r="N4516" s="46">
        <v>0</v>
      </c>
      <c r="O4516" s="46">
        <v>4649.74</v>
      </c>
      <c r="P4516" s="47">
        <v>481.78399999999999</v>
      </c>
      <c r="Q4516" s="45" t="s">
        <v>2234</v>
      </c>
      <c r="R4516" s="160"/>
      <c r="S4516" s="161"/>
      <c r="T4516" s="161"/>
    </row>
    <row r="4517" spans="1:20" s="162" customFormat="1" ht="192" x14ac:dyDescent="0.25">
      <c r="A4517" s="17">
        <v>41061</v>
      </c>
      <c r="B4517" s="17">
        <v>41090</v>
      </c>
      <c r="C4517" s="43">
        <v>2012</v>
      </c>
      <c r="D4517" s="351" t="s">
        <v>23</v>
      </c>
      <c r="E4517" s="14" t="s">
        <v>24</v>
      </c>
      <c r="F4517" s="7" t="s">
        <v>45</v>
      </c>
      <c r="G4517" s="146" t="s">
        <v>6590</v>
      </c>
      <c r="H4517" s="147" t="s">
        <v>6591</v>
      </c>
      <c r="I4517" s="148">
        <v>0</v>
      </c>
      <c r="J4517" s="46">
        <v>979</v>
      </c>
      <c r="K4517" s="46">
        <v>0</v>
      </c>
      <c r="L4517" s="46">
        <v>0</v>
      </c>
      <c r="M4517" s="46">
        <v>0</v>
      </c>
      <c r="N4517" s="46">
        <v>0</v>
      </c>
      <c r="O4517" s="46">
        <v>0</v>
      </c>
      <c r="P4517" s="47">
        <v>8.8569999999999993</v>
      </c>
      <c r="Q4517" s="45" t="s">
        <v>2234</v>
      </c>
      <c r="R4517" s="160"/>
      <c r="S4517" s="161"/>
      <c r="T4517" s="161"/>
    </row>
    <row r="4518" spans="1:20" s="162" customFormat="1" ht="96" x14ac:dyDescent="0.25">
      <c r="A4518" s="17">
        <v>41030</v>
      </c>
      <c r="B4518" s="17">
        <v>41121</v>
      </c>
      <c r="C4518" s="43">
        <v>2012</v>
      </c>
      <c r="D4518" s="351" t="s">
        <v>23</v>
      </c>
      <c r="E4518" s="14" t="s">
        <v>24</v>
      </c>
      <c r="F4518" s="7" t="s">
        <v>49</v>
      </c>
      <c r="G4518" s="146" t="s">
        <v>6592</v>
      </c>
      <c r="H4518" s="147" t="s">
        <v>6593</v>
      </c>
      <c r="I4518" s="148">
        <v>0</v>
      </c>
      <c r="J4518" s="46">
        <v>4228</v>
      </c>
      <c r="K4518" s="46">
        <v>0</v>
      </c>
      <c r="L4518" s="46">
        <v>0</v>
      </c>
      <c r="M4518" s="46">
        <v>0</v>
      </c>
      <c r="N4518" s="46">
        <v>0</v>
      </c>
      <c r="O4518" s="46">
        <v>6010.36</v>
      </c>
      <c r="P4518" s="47">
        <v>147.33799999999999</v>
      </c>
      <c r="Q4518" s="45" t="s">
        <v>2234</v>
      </c>
      <c r="R4518" s="160"/>
      <c r="S4518" s="161"/>
      <c r="T4518" s="161"/>
    </row>
    <row r="4519" spans="1:20" s="162" customFormat="1" ht="72" x14ac:dyDescent="0.25">
      <c r="A4519" s="17">
        <v>41130</v>
      </c>
      <c r="B4519" s="17">
        <v>41133</v>
      </c>
      <c r="C4519" s="43">
        <v>2012</v>
      </c>
      <c r="D4519" s="351" t="s">
        <v>23</v>
      </c>
      <c r="E4519" s="22" t="s">
        <v>86</v>
      </c>
      <c r="F4519" s="28" t="s">
        <v>210</v>
      </c>
      <c r="G4519" s="146" t="s">
        <v>6594</v>
      </c>
      <c r="H4519" s="147" t="s">
        <v>6595</v>
      </c>
      <c r="I4519" s="148">
        <v>0</v>
      </c>
      <c r="J4519" s="46">
        <v>2406</v>
      </c>
      <c r="K4519" s="46">
        <v>0</v>
      </c>
      <c r="L4519" s="46">
        <v>0</v>
      </c>
      <c r="M4519" s="46">
        <v>0</v>
      </c>
      <c r="N4519" s="46">
        <v>12</v>
      </c>
      <c r="O4519" s="46">
        <v>5517</v>
      </c>
      <c r="P4519" s="47">
        <v>147.84399999999999</v>
      </c>
      <c r="Q4519" s="45" t="s">
        <v>2234</v>
      </c>
      <c r="R4519" s="160"/>
      <c r="S4519" s="161"/>
      <c r="T4519" s="161"/>
    </row>
    <row r="4520" spans="1:20" s="162" customFormat="1" ht="60" x14ac:dyDescent="0.25">
      <c r="A4520" s="17">
        <v>41137</v>
      </c>
      <c r="B4520" s="17">
        <v>41137</v>
      </c>
      <c r="C4520" s="43">
        <v>2012</v>
      </c>
      <c r="D4520" s="351" t="s">
        <v>23</v>
      </c>
      <c r="E4520" s="30" t="s">
        <v>5893</v>
      </c>
      <c r="F4520" s="7" t="s">
        <v>62</v>
      </c>
      <c r="G4520" s="146" t="s">
        <v>5171</v>
      </c>
      <c r="H4520" s="147" t="s">
        <v>6596</v>
      </c>
      <c r="I4520" s="148">
        <v>0</v>
      </c>
      <c r="J4520" s="46">
        <v>111</v>
      </c>
      <c r="K4520" s="46">
        <v>0</v>
      </c>
      <c r="L4520" s="46">
        <v>0</v>
      </c>
      <c r="M4520" s="46">
        <v>0</v>
      </c>
      <c r="N4520" s="46">
        <v>0</v>
      </c>
      <c r="O4520" s="46">
        <v>416.52</v>
      </c>
      <c r="P4520" s="47">
        <v>6.5339999999999998</v>
      </c>
      <c r="Q4520" s="45" t="s">
        <v>2234</v>
      </c>
      <c r="R4520" s="160"/>
      <c r="S4520" s="161"/>
      <c r="T4520" s="161"/>
    </row>
    <row r="4521" spans="1:20" s="162" customFormat="1" ht="60" x14ac:dyDescent="0.25">
      <c r="A4521" s="17">
        <v>41153</v>
      </c>
      <c r="B4521" s="17">
        <v>41182</v>
      </c>
      <c r="C4521" s="43">
        <v>2012</v>
      </c>
      <c r="D4521" s="351" t="s">
        <v>23</v>
      </c>
      <c r="E4521" s="14" t="s">
        <v>24</v>
      </c>
      <c r="F4521" s="7" t="s">
        <v>62</v>
      </c>
      <c r="G4521" s="146" t="s">
        <v>3252</v>
      </c>
      <c r="H4521" s="147" t="s">
        <v>6597</v>
      </c>
      <c r="I4521" s="148">
        <v>0</v>
      </c>
      <c r="J4521" s="46">
        <v>4133</v>
      </c>
      <c r="K4521" s="46">
        <v>0</v>
      </c>
      <c r="L4521" s="46">
        <v>0</v>
      </c>
      <c r="M4521" s="46">
        <v>0</v>
      </c>
      <c r="N4521" s="46">
        <v>0</v>
      </c>
      <c r="O4521" s="46">
        <v>12601.13</v>
      </c>
      <c r="P4521" s="47">
        <v>177.93100000000001</v>
      </c>
      <c r="Q4521" s="45" t="s">
        <v>2234</v>
      </c>
      <c r="R4521" s="160"/>
      <c r="S4521" s="161"/>
      <c r="T4521" s="161"/>
    </row>
    <row r="4522" spans="1:20" s="162" customFormat="1" ht="60" x14ac:dyDescent="0.25">
      <c r="A4522" s="17">
        <v>41122</v>
      </c>
      <c r="B4522" s="17">
        <v>41213</v>
      </c>
      <c r="C4522" s="43">
        <v>2012</v>
      </c>
      <c r="D4522" s="351" t="s">
        <v>23</v>
      </c>
      <c r="E4522" s="14" t="s">
        <v>24</v>
      </c>
      <c r="F4522" s="7" t="s">
        <v>62</v>
      </c>
      <c r="G4522" s="146" t="s">
        <v>6598</v>
      </c>
      <c r="H4522" s="147" t="s">
        <v>6599</v>
      </c>
      <c r="I4522" s="148">
        <v>0</v>
      </c>
      <c r="J4522" s="46">
        <v>2526</v>
      </c>
      <c r="K4522" s="46">
        <v>0</v>
      </c>
      <c r="L4522" s="46">
        <v>0</v>
      </c>
      <c r="M4522" s="46">
        <v>0</v>
      </c>
      <c r="N4522" s="46">
        <v>0</v>
      </c>
      <c r="O4522" s="46">
        <v>7209.03</v>
      </c>
      <c r="P4522" s="47">
        <v>100.104</v>
      </c>
      <c r="Q4522" s="45" t="s">
        <v>2234</v>
      </c>
      <c r="R4522" s="160"/>
      <c r="S4522" s="161"/>
      <c r="T4522" s="161"/>
    </row>
    <row r="4523" spans="1:20" s="162" customFormat="1" ht="48" x14ac:dyDescent="0.25">
      <c r="A4523" s="17">
        <v>41215</v>
      </c>
      <c r="B4523" s="17">
        <v>41218</v>
      </c>
      <c r="C4523" s="43">
        <v>2012</v>
      </c>
      <c r="D4523" s="351" t="s">
        <v>23</v>
      </c>
      <c r="E4523" s="22" t="s">
        <v>86</v>
      </c>
      <c r="F4523" s="7" t="s">
        <v>62</v>
      </c>
      <c r="G4523" s="146" t="s">
        <v>6600</v>
      </c>
      <c r="H4523" s="147" t="s">
        <v>6601</v>
      </c>
      <c r="I4523" s="148">
        <v>0</v>
      </c>
      <c r="J4523" s="46">
        <v>125</v>
      </c>
      <c r="K4523" s="46">
        <v>0</v>
      </c>
      <c r="L4523" s="46">
        <v>0</v>
      </c>
      <c r="M4523" s="46">
        <v>0</v>
      </c>
      <c r="N4523" s="46">
        <v>0</v>
      </c>
      <c r="O4523" s="46">
        <v>395.52</v>
      </c>
      <c r="P4523" s="47">
        <v>5.5190000000000001</v>
      </c>
      <c r="Q4523" s="45" t="s">
        <v>2234</v>
      </c>
      <c r="R4523" s="160"/>
      <c r="S4523" s="161"/>
      <c r="T4523" s="161"/>
    </row>
    <row r="4524" spans="1:20" s="162" customFormat="1" ht="36" x14ac:dyDescent="0.25">
      <c r="A4524" s="17">
        <v>40909</v>
      </c>
      <c r="B4524" s="17">
        <v>40909</v>
      </c>
      <c r="C4524" s="43">
        <v>2012</v>
      </c>
      <c r="D4524" s="351" t="s">
        <v>23</v>
      </c>
      <c r="E4524" s="22" t="s">
        <v>86</v>
      </c>
      <c r="F4524" s="28" t="s">
        <v>210</v>
      </c>
      <c r="G4524" s="146" t="s">
        <v>6602</v>
      </c>
      <c r="H4524" s="147" t="s">
        <v>6603</v>
      </c>
      <c r="I4524" s="163">
        <v>0</v>
      </c>
      <c r="J4524" s="46">
        <v>24771</v>
      </c>
      <c r="K4524" s="46">
        <v>0</v>
      </c>
      <c r="L4524" s="46">
        <v>0</v>
      </c>
      <c r="M4524" s="46">
        <v>0</v>
      </c>
      <c r="N4524" s="46">
        <v>0</v>
      </c>
      <c r="O4524" s="46">
        <v>0</v>
      </c>
      <c r="P4524" s="47">
        <v>19.8</v>
      </c>
      <c r="Q4524" s="149" t="s">
        <v>186</v>
      </c>
      <c r="R4524" s="160"/>
      <c r="S4524" s="161"/>
      <c r="T4524" s="161"/>
    </row>
    <row r="4525" spans="1:20" s="162" customFormat="1" ht="60" x14ac:dyDescent="0.25">
      <c r="A4525" s="17">
        <v>40988</v>
      </c>
      <c r="B4525" s="17">
        <v>40988</v>
      </c>
      <c r="C4525" s="43">
        <v>2012</v>
      </c>
      <c r="D4525" s="35" t="s">
        <v>17</v>
      </c>
      <c r="E4525" s="30" t="s">
        <v>122</v>
      </c>
      <c r="F4525" s="7" t="s">
        <v>58</v>
      </c>
      <c r="G4525" s="146" t="s">
        <v>6604</v>
      </c>
      <c r="H4525" s="147" t="s">
        <v>6605</v>
      </c>
      <c r="I4525" s="163">
        <v>2</v>
      </c>
      <c r="J4525" s="46">
        <v>118000</v>
      </c>
      <c r="K4525" s="46">
        <v>20511</v>
      </c>
      <c r="L4525" s="46">
        <v>184</v>
      </c>
      <c r="M4525" s="46">
        <v>10</v>
      </c>
      <c r="N4525" s="46">
        <v>0</v>
      </c>
      <c r="O4525" s="46">
        <v>0</v>
      </c>
      <c r="P4525" s="47">
        <v>733</v>
      </c>
      <c r="Q4525" s="149" t="s">
        <v>22</v>
      </c>
      <c r="R4525" s="160"/>
      <c r="S4525" s="161"/>
      <c r="T4525" s="161"/>
    </row>
    <row r="4526" spans="1:20" s="162" customFormat="1" ht="60" x14ac:dyDescent="0.25">
      <c r="A4526" s="17">
        <v>40988</v>
      </c>
      <c r="B4526" s="17">
        <v>40988</v>
      </c>
      <c r="C4526" s="43">
        <v>2012</v>
      </c>
      <c r="D4526" s="35" t="s">
        <v>17</v>
      </c>
      <c r="E4526" s="30" t="s">
        <v>122</v>
      </c>
      <c r="F4526" s="7" t="s">
        <v>72</v>
      </c>
      <c r="G4526" s="146" t="s">
        <v>6606</v>
      </c>
      <c r="H4526" s="147" t="s">
        <v>6607</v>
      </c>
      <c r="I4526" s="163">
        <v>0</v>
      </c>
      <c r="J4526" s="46">
        <v>46242</v>
      </c>
      <c r="K4526" s="46">
        <v>3045</v>
      </c>
      <c r="L4526" s="46">
        <v>8</v>
      </c>
      <c r="M4526" s="46">
        <v>1</v>
      </c>
      <c r="N4526" s="46">
        <v>2610</v>
      </c>
      <c r="O4526" s="46">
        <v>0</v>
      </c>
      <c r="P4526" s="47">
        <v>686.5</v>
      </c>
      <c r="Q4526" s="149" t="s">
        <v>22</v>
      </c>
      <c r="R4526" s="160"/>
      <c r="S4526" s="161"/>
      <c r="T4526" s="161"/>
    </row>
    <row r="4527" spans="1:20" s="162" customFormat="1" ht="48" x14ac:dyDescent="0.25">
      <c r="A4527" s="17">
        <v>40987</v>
      </c>
      <c r="B4527" s="17">
        <v>40987</v>
      </c>
      <c r="C4527" s="43">
        <v>2012</v>
      </c>
      <c r="D4527" s="351" t="s">
        <v>23</v>
      </c>
      <c r="E4527" s="22" t="s">
        <v>42</v>
      </c>
      <c r="F4527" s="7" t="s">
        <v>40</v>
      </c>
      <c r="G4527" s="146" t="s">
        <v>4132</v>
      </c>
      <c r="H4527" s="147" t="s">
        <v>6608</v>
      </c>
      <c r="I4527" s="163">
        <v>0</v>
      </c>
      <c r="J4527" s="46">
        <v>1888</v>
      </c>
      <c r="K4527" s="46">
        <v>0</v>
      </c>
      <c r="L4527" s="46">
        <v>0</v>
      </c>
      <c r="M4527" s="46">
        <v>0</v>
      </c>
      <c r="N4527" s="46">
        <v>0</v>
      </c>
      <c r="O4527" s="46">
        <v>0</v>
      </c>
      <c r="P4527" s="47">
        <v>1.78</v>
      </c>
      <c r="Q4527" s="149" t="s">
        <v>186</v>
      </c>
      <c r="R4527" s="160"/>
      <c r="S4527" s="161"/>
      <c r="T4527" s="161"/>
    </row>
    <row r="4528" spans="1:20" s="162" customFormat="1" ht="24" x14ac:dyDescent="0.25">
      <c r="A4528" s="17">
        <v>40999</v>
      </c>
      <c r="B4528" s="17">
        <v>40999</v>
      </c>
      <c r="C4528" s="43">
        <v>2012</v>
      </c>
      <c r="D4528" s="351" t="s">
        <v>23</v>
      </c>
      <c r="E4528" s="30" t="s">
        <v>5893</v>
      </c>
      <c r="F4528" s="28" t="s">
        <v>210</v>
      </c>
      <c r="G4528" s="146" t="s">
        <v>6609</v>
      </c>
      <c r="H4528" s="147" t="s">
        <v>6610</v>
      </c>
      <c r="I4528" s="163">
        <v>0</v>
      </c>
      <c r="J4528" s="46">
        <v>2676</v>
      </c>
      <c r="K4528" s="46">
        <v>0</v>
      </c>
      <c r="L4528" s="46">
        <v>0</v>
      </c>
      <c r="M4528" s="46">
        <v>0</v>
      </c>
      <c r="N4528" s="46">
        <v>0</v>
      </c>
      <c r="O4528" s="46">
        <v>0</v>
      </c>
      <c r="P4528" s="47">
        <v>1.06</v>
      </c>
      <c r="Q4528" s="149" t="s">
        <v>186</v>
      </c>
      <c r="R4528" s="160"/>
      <c r="S4528" s="161"/>
      <c r="T4528" s="161"/>
    </row>
    <row r="4529" spans="1:20" s="162" customFormat="1" ht="24" x14ac:dyDescent="0.25">
      <c r="A4529" s="17">
        <v>41007</v>
      </c>
      <c r="B4529" s="17">
        <v>41007</v>
      </c>
      <c r="C4529" s="43">
        <v>2012</v>
      </c>
      <c r="D4529" s="351" t="s">
        <v>23</v>
      </c>
      <c r="E4529" s="22" t="s">
        <v>86</v>
      </c>
      <c r="F4529" s="28" t="s">
        <v>210</v>
      </c>
      <c r="G4529" s="146" t="s">
        <v>6611</v>
      </c>
      <c r="H4529" s="147" t="s">
        <v>6612</v>
      </c>
      <c r="I4529" s="163">
        <v>0</v>
      </c>
      <c r="J4529" s="46">
        <v>4589</v>
      </c>
      <c r="K4529" s="46">
        <v>123</v>
      </c>
      <c r="L4529" s="46">
        <v>0</v>
      </c>
      <c r="M4529" s="46">
        <v>0</v>
      </c>
      <c r="N4529" s="46">
        <v>0</v>
      </c>
      <c r="O4529" s="46">
        <v>0</v>
      </c>
      <c r="P4529" s="47">
        <v>137.01</v>
      </c>
      <c r="Q4529" s="149" t="s">
        <v>186</v>
      </c>
      <c r="R4529" s="160"/>
      <c r="S4529" s="161"/>
      <c r="T4529" s="161"/>
    </row>
    <row r="4530" spans="1:20" s="162" customFormat="1" ht="36" x14ac:dyDescent="0.25">
      <c r="A4530" s="17">
        <v>40998</v>
      </c>
      <c r="B4530" s="17">
        <v>40998</v>
      </c>
      <c r="C4530" s="43">
        <v>2012</v>
      </c>
      <c r="D4530" s="351" t="s">
        <v>23</v>
      </c>
      <c r="E4530" s="30" t="s">
        <v>5893</v>
      </c>
      <c r="F4530" s="28" t="s">
        <v>210</v>
      </c>
      <c r="G4530" s="146" t="s">
        <v>6613</v>
      </c>
      <c r="H4530" s="147" t="s">
        <v>6614</v>
      </c>
      <c r="I4530" s="163">
        <v>0</v>
      </c>
      <c r="J4530" s="46">
        <v>3047</v>
      </c>
      <c r="K4530" s="46">
        <v>0</v>
      </c>
      <c r="L4530" s="46">
        <v>0</v>
      </c>
      <c r="M4530" s="46">
        <v>0</v>
      </c>
      <c r="N4530" s="46">
        <v>0</v>
      </c>
      <c r="O4530" s="46">
        <v>0</v>
      </c>
      <c r="P4530" s="47">
        <v>1.5580000000000001</v>
      </c>
      <c r="Q4530" s="149" t="s">
        <v>186</v>
      </c>
      <c r="R4530" s="160"/>
      <c r="S4530" s="161"/>
      <c r="T4530" s="161"/>
    </row>
    <row r="4531" spans="1:20" s="162" customFormat="1" ht="36" x14ac:dyDescent="0.25">
      <c r="A4531" s="17">
        <v>41016</v>
      </c>
      <c r="B4531" s="17">
        <v>41016</v>
      </c>
      <c r="C4531" s="43">
        <v>2012</v>
      </c>
      <c r="D4531" s="351" t="s">
        <v>23</v>
      </c>
      <c r="E4531" s="22" t="s">
        <v>86</v>
      </c>
      <c r="F4531" s="28" t="s">
        <v>210</v>
      </c>
      <c r="G4531" s="146" t="s">
        <v>6615</v>
      </c>
      <c r="H4531" s="147" t="s">
        <v>6616</v>
      </c>
      <c r="I4531" s="163">
        <v>0</v>
      </c>
      <c r="J4531" s="46">
        <v>17455</v>
      </c>
      <c r="K4531" s="46">
        <v>87</v>
      </c>
      <c r="L4531" s="46">
        <v>0</v>
      </c>
      <c r="M4531" s="46">
        <v>0</v>
      </c>
      <c r="N4531" s="46">
        <v>0</v>
      </c>
      <c r="O4531" s="46">
        <v>0</v>
      </c>
      <c r="P4531" s="47">
        <v>52.49</v>
      </c>
      <c r="Q4531" s="149" t="s">
        <v>186</v>
      </c>
      <c r="R4531" s="160"/>
      <c r="S4531" s="161"/>
      <c r="T4531" s="161"/>
    </row>
    <row r="4532" spans="1:20" s="162" customFormat="1" ht="48" x14ac:dyDescent="0.25">
      <c r="A4532" s="17">
        <v>41011</v>
      </c>
      <c r="B4532" s="17">
        <v>41011</v>
      </c>
      <c r="C4532" s="43">
        <v>2012</v>
      </c>
      <c r="D4532" s="351" t="s">
        <v>23</v>
      </c>
      <c r="E4532" s="22" t="s">
        <v>86</v>
      </c>
      <c r="F4532" s="28" t="s">
        <v>210</v>
      </c>
      <c r="G4532" s="146" t="s">
        <v>6617</v>
      </c>
      <c r="H4532" s="147" t="s">
        <v>6618</v>
      </c>
      <c r="I4532" s="163">
        <v>0</v>
      </c>
      <c r="J4532" s="46">
        <v>14303</v>
      </c>
      <c r="K4532" s="46">
        <v>0</v>
      </c>
      <c r="L4532" s="46">
        <v>0</v>
      </c>
      <c r="M4532" s="46">
        <v>0</v>
      </c>
      <c r="N4532" s="46">
        <v>0</v>
      </c>
      <c r="O4532" s="46">
        <v>0</v>
      </c>
      <c r="P4532" s="47">
        <v>3.55</v>
      </c>
      <c r="Q4532" s="149" t="s">
        <v>186</v>
      </c>
      <c r="R4532" s="160"/>
      <c r="S4532" s="161"/>
      <c r="T4532" s="161"/>
    </row>
    <row r="4533" spans="1:20" s="162" customFormat="1" ht="36" x14ac:dyDescent="0.25">
      <c r="A4533" s="17">
        <v>41061</v>
      </c>
      <c r="B4533" s="17">
        <v>41061</v>
      </c>
      <c r="C4533" s="43">
        <v>2012</v>
      </c>
      <c r="D4533" s="351" t="s">
        <v>23</v>
      </c>
      <c r="E4533" s="30" t="s">
        <v>323</v>
      </c>
      <c r="F4533" s="7" t="s">
        <v>40</v>
      </c>
      <c r="G4533" s="146" t="s">
        <v>6580</v>
      </c>
      <c r="H4533" s="147" t="s">
        <v>6619</v>
      </c>
      <c r="I4533" s="163">
        <v>0</v>
      </c>
      <c r="J4533" s="46">
        <v>500</v>
      </c>
      <c r="K4533" s="46">
        <v>0</v>
      </c>
      <c r="L4533" s="46">
        <v>0</v>
      </c>
      <c r="M4533" s="46">
        <v>0</v>
      </c>
      <c r="N4533" s="46">
        <v>0</v>
      </c>
      <c r="O4533" s="46">
        <v>0</v>
      </c>
      <c r="P4533" s="47">
        <v>0.56000000000000005</v>
      </c>
      <c r="Q4533" s="149" t="s">
        <v>186</v>
      </c>
      <c r="R4533" s="160"/>
      <c r="S4533" s="161"/>
      <c r="T4533" s="161"/>
    </row>
    <row r="4534" spans="1:20" s="162" customFormat="1" ht="120" x14ac:dyDescent="0.25">
      <c r="A4534" s="17">
        <v>41077</v>
      </c>
      <c r="B4534" s="17">
        <v>41077</v>
      </c>
      <c r="C4534" s="43">
        <v>2012</v>
      </c>
      <c r="D4534" s="351" t="s">
        <v>23</v>
      </c>
      <c r="E4534" s="14" t="s">
        <v>32</v>
      </c>
      <c r="F4534" s="7" t="s">
        <v>58</v>
      </c>
      <c r="G4534" s="146" t="s">
        <v>6620</v>
      </c>
      <c r="H4534" s="147" t="s">
        <v>6621</v>
      </c>
      <c r="I4534" s="163">
        <v>2</v>
      </c>
      <c r="J4534" s="46">
        <v>45708</v>
      </c>
      <c r="K4534" s="46">
        <v>81</v>
      </c>
      <c r="L4534" s="46">
        <v>0</v>
      </c>
      <c r="M4534" s="46">
        <v>0</v>
      </c>
      <c r="N4534" s="46">
        <v>0</v>
      </c>
      <c r="O4534" s="46">
        <v>0</v>
      </c>
      <c r="P4534" s="47">
        <v>46.1</v>
      </c>
      <c r="Q4534" s="149" t="s">
        <v>186</v>
      </c>
      <c r="R4534" s="160"/>
      <c r="S4534" s="161"/>
      <c r="T4534" s="161"/>
    </row>
    <row r="4535" spans="1:20" s="162" customFormat="1" ht="60" x14ac:dyDescent="0.25">
      <c r="A4535" s="17">
        <v>41075</v>
      </c>
      <c r="B4535" s="17">
        <v>41077</v>
      </c>
      <c r="C4535" s="43">
        <v>2012</v>
      </c>
      <c r="D4535" s="351" t="s">
        <v>23</v>
      </c>
      <c r="E4535" s="14" t="s">
        <v>32</v>
      </c>
      <c r="F4535" s="7" t="s">
        <v>72</v>
      </c>
      <c r="G4535" s="146" t="s">
        <v>6622</v>
      </c>
      <c r="H4535" s="147" t="s">
        <v>6623</v>
      </c>
      <c r="I4535" s="163">
        <v>5</v>
      </c>
      <c r="J4535" s="46">
        <v>110385</v>
      </c>
      <c r="K4535" s="46">
        <v>12500</v>
      </c>
      <c r="L4535" s="46">
        <v>337</v>
      </c>
      <c r="M4535" s="46">
        <v>8</v>
      </c>
      <c r="N4535" s="46">
        <v>2722</v>
      </c>
      <c r="O4535" s="46">
        <v>79667.100000000006</v>
      </c>
      <c r="P4535" s="47">
        <v>2666.2449999999999</v>
      </c>
      <c r="Q4535" s="149" t="s">
        <v>22</v>
      </c>
      <c r="R4535" s="160"/>
      <c r="S4535" s="161"/>
      <c r="T4535" s="161"/>
    </row>
    <row r="4536" spans="1:20" s="162" customFormat="1" ht="36" x14ac:dyDescent="0.25">
      <c r="A4536" s="17">
        <v>41085</v>
      </c>
      <c r="B4536" s="17">
        <v>41085</v>
      </c>
      <c r="C4536" s="43">
        <v>2012</v>
      </c>
      <c r="D4536" s="351" t="s">
        <v>23</v>
      </c>
      <c r="E4536" s="14" t="s">
        <v>52</v>
      </c>
      <c r="F4536" s="7" t="s">
        <v>75</v>
      </c>
      <c r="G4536" s="146" t="s">
        <v>6624</v>
      </c>
      <c r="H4536" s="147" t="s">
        <v>6625</v>
      </c>
      <c r="I4536" s="163">
        <v>0</v>
      </c>
      <c r="J4536" s="46">
        <v>895</v>
      </c>
      <c r="K4536" s="46">
        <v>0</v>
      </c>
      <c r="L4536" s="46">
        <v>1</v>
      </c>
      <c r="M4536" s="46">
        <v>0</v>
      </c>
      <c r="N4536" s="46">
        <v>0</v>
      </c>
      <c r="O4536" s="46">
        <v>0</v>
      </c>
      <c r="P4536" s="47">
        <v>14.13</v>
      </c>
      <c r="Q4536" s="149" t="s">
        <v>186</v>
      </c>
      <c r="R4536" s="160"/>
      <c r="S4536" s="161"/>
      <c r="T4536" s="161"/>
    </row>
    <row r="4537" spans="1:20" s="162" customFormat="1" ht="48" x14ac:dyDescent="0.25">
      <c r="A4537" s="17">
        <v>41082</v>
      </c>
      <c r="B4537" s="17">
        <v>41082</v>
      </c>
      <c r="C4537" s="43">
        <v>2012</v>
      </c>
      <c r="D4537" s="351" t="s">
        <v>23</v>
      </c>
      <c r="E4537" s="22" t="s">
        <v>86</v>
      </c>
      <c r="F4537" s="7" t="s">
        <v>72</v>
      </c>
      <c r="G4537" s="146" t="s">
        <v>6626</v>
      </c>
      <c r="H4537" s="147" t="s">
        <v>6627</v>
      </c>
      <c r="I4537" s="163">
        <v>0</v>
      </c>
      <c r="J4537" s="46">
        <v>350</v>
      </c>
      <c r="K4537" s="46">
        <v>21</v>
      </c>
      <c r="L4537" s="46">
        <v>0</v>
      </c>
      <c r="M4537" s="46">
        <v>0</v>
      </c>
      <c r="N4537" s="46">
        <v>0</v>
      </c>
      <c r="O4537" s="46">
        <v>0</v>
      </c>
      <c r="P4537" s="47">
        <v>66</v>
      </c>
      <c r="Q4537" s="149" t="s">
        <v>186</v>
      </c>
      <c r="R4537" s="160"/>
      <c r="S4537" s="161"/>
      <c r="T4537" s="161"/>
    </row>
    <row r="4538" spans="1:20" s="162" customFormat="1" ht="24" x14ac:dyDescent="0.25">
      <c r="A4538" s="17">
        <v>41083</v>
      </c>
      <c r="B4538" s="17">
        <v>41083</v>
      </c>
      <c r="C4538" s="43">
        <v>2012</v>
      </c>
      <c r="D4538" s="351" t="s">
        <v>23</v>
      </c>
      <c r="E4538" s="22" t="s">
        <v>86</v>
      </c>
      <c r="F4538" s="7" t="s">
        <v>97</v>
      </c>
      <c r="G4538" s="146" t="s">
        <v>6628</v>
      </c>
      <c r="H4538" s="147" t="s">
        <v>6629</v>
      </c>
      <c r="I4538" s="163">
        <v>0</v>
      </c>
      <c r="J4538" s="46">
        <v>2296</v>
      </c>
      <c r="K4538" s="46">
        <v>0</v>
      </c>
      <c r="L4538" s="46">
        <v>0</v>
      </c>
      <c r="M4538" s="46">
        <v>0</v>
      </c>
      <c r="N4538" s="46">
        <v>0</v>
      </c>
      <c r="O4538" s="46">
        <v>0</v>
      </c>
      <c r="P4538" s="47">
        <v>0.218</v>
      </c>
      <c r="Q4538" s="149" t="s">
        <v>186</v>
      </c>
      <c r="R4538" s="160"/>
      <c r="S4538" s="161"/>
      <c r="T4538" s="161"/>
    </row>
    <row r="4539" spans="1:20" s="162" customFormat="1" ht="36" x14ac:dyDescent="0.25">
      <c r="A4539" s="17">
        <v>41110</v>
      </c>
      <c r="B4539" s="17">
        <v>41116</v>
      </c>
      <c r="C4539" s="43">
        <v>2012</v>
      </c>
      <c r="D4539" s="351" t="s">
        <v>23</v>
      </c>
      <c r="E4539" s="22" t="s">
        <v>86</v>
      </c>
      <c r="F4539" s="7" t="s">
        <v>101</v>
      </c>
      <c r="G4539" s="146" t="s">
        <v>6630</v>
      </c>
      <c r="H4539" s="147" t="s">
        <v>6631</v>
      </c>
      <c r="I4539" s="163">
        <v>0</v>
      </c>
      <c r="J4539" s="46">
        <v>1423</v>
      </c>
      <c r="K4539" s="46">
        <v>0</v>
      </c>
      <c r="L4539" s="46">
        <v>0</v>
      </c>
      <c r="M4539" s="46">
        <v>0</v>
      </c>
      <c r="N4539" s="46">
        <v>0</v>
      </c>
      <c r="O4539" s="46">
        <v>0</v>
      </c>
      <c r="P4539" s="47">
        <v>0.50360000000000005</v>
      </c>
      <c r="Q4539" s="149" t="s">
        <v>186</v>
      </c>
      <c r="R4539" s="160"/>
      <c r="S4539" s="161"/>
      <c r="T4539" s="161"/>
    </row>
    <row r="4540" spans="1:20" s="162" customFormat="1" ht="24" x14ac:dyDescent="0.25">
      <c r="A4540" s="17">
        <v>41130</v>
      </c>
      <c r="B4540" s="17">
        <v>41130</v>
      </c>
      <c r="C4540" s="43">
        <v>2012</v>
      </c>
      <c r="D4540" s="351" t="s">
        <v>23</v>
      </c>
      <c r="E4540" s="22" t="s">
        <v>86</v>
      </c>
      <c r="F4540" s="25" t="s">
        <v>781</v>
      </c>
      <c r="G4540" s="146" t="s">
        <v>6632</v>
      </c>
      <c r="H4540" s="147" t="s">
        <v>6633</v>
      </c>
      <c r="I4540" s="163">
        <v>0</v>
      </c>
      <c r="J4540" s="46">
        <v>30927</v>
      </c>
      <c r="K4540" s="46">
        <v>0</v>
      </c>
      <c r="L4540" s="46">
        <v>0</v>
      </c>
      <c r="M4540" s="46">
        <v>0</v>
      </c>
      <c r="N4540" s="46">
        <v>0</v>
      </c>
      <c r="O4540" s="46">
        <v>0</v>
      </c>
      <c r="P4540" s="47">
        <v>11.569000000000001</v>
      </c>
      <c r="Q4540" s="149" t="s">
        <v>186</v>
      </c>
      <c r="R4540" s="160"/>
      <c r="S4540" s="161"/>
      <c r="T4540" s="161"/>
    </row>
    <row r="4541" spans="1:20" s="162" customFormat="1" ht="36" x14ac:dyDescent="0.25">
      <c r="A4541" s="17">
        <v>41131</v>
      </c>
      <c r="B4541" s="17">
        <v>41131</v>
      </c>
      <c r="C4541" s="43">
        <v>2012</v>
      </c>
      <c r="D4541" s="351" t="s">
        <v>23</v>
      </c>
      <c r="E4541" s="14" t="s">
        <v>32</v>
      </c>
      <c r="F4541" s="7" t="s">
        <v>58</v>
      </c>
      <c r="G4541" s="146" t="s">
        <v>6634</v>
      </c>
      <c r="H4541" s="147" t="s">
        <v>6635</v>
      </c>
      <c r="I4541" s="163">
        <v>0</v>
      </c>
      <c r="J4541" s="46">
        <v>22829</v>
      </c>
      <c r="K4541" s="46">
        <v>194</v>
      </c>
      <c r="L4541" s="46">
        <v>14</v>
      </c>
      <c r="M4541" s="46">
        <v>2</v>
      </c>
      <c r="N4541" s="46">
        <v>0</v>
      </c>
      <c r="O4541" s="46">
        <v>0</v>
      </c>
      <c r="P4541" s="47">
        <v>170.6</v>
      </c>
      <c r="Q4541" s="149" t="s">
        <v>22</v>
      </c>
      <c r="R4541" s="160"/>
      <c r="S4541" s="161"/>
      <c r="T4541" s="161"/>
    </row>
    <row r="4542" spans="1:20" s="162" customFormat="1" x14ac:dyDescent="0.25">
      <c r="A4542" s="17">
        <v>41130</v>
      </c>
      <c r="B4542" s="17">
        <v>41130</v>
      </c>
      <c r="C4542" s="43">
        <v>2012</v>
      </c>
      <c r="D4542" s="351" t="s">
        <v>23</v>
      </c>
      <c r="E4542" s="14" t="s">
        <v>32</v>
      </c>
      <c r="F4542" s="28" t="s">
        <v>210</v>
      </c>
      <c r="G4542" s="146" t="s">
        <v>6636</v>
      </c>
      <c r="H4542" s="147" t="s">
        <v>6637</v>
      </c>
      <c r="I4542" s="163">
        <v>9</v>
      </c>
      <c r="J4542" s="46">
        <v>170792</v>
      </c>
      <c r="K4542" s="46">
        <v>2079</v>
      </c>
      <c r="L4542" s="46">
        <v>65</v>
      </c>
      <c r="M4542" s="46">
        <v>0</v>
      </c>
      <c r="N4542" s="46">
        <v>220</v>
      </c>
      <c r="O4542" s="46">
        <v>5517</v>
      </c>
      <c r="P4542" s="47">
        <v>5832.6419999999998</v>
      </c>
      <c r="Q4542" s="149" t="s">
        <v>22</v>
      </c>
      <c r="R4542" s="160"/>
      <c r="S4542" s="161"/>
      <c r="T4542" s="161"/>
    </row>
    <row r="4543" spans="1:20" s="162" customFormat="1" ht="24" x14ac:dyDescent="0.25">
      <c r="A4543" s="17">
        <v>41137</v>
      </c>
      <c r="B4543" s="17">
        <v>41138</v>
      </c>
      <c r="C4543" s="43">
        <v>2012</v>
      </c>
      <c r="D4543" s="351" t="s">
        <v>23</v>
      </c>
      <c r="E4543" s="22" t="s">
        <v>86</v>
      </c>
      <c r="F4543" s="7" t="s">
        <v>33</v>
      </c>
      <c r="G4543" s="146" t="s">
        <v>6638</v>
      </c>
      <c r="H4543" s="147" t="s">
        <v>6639</v>
      </c>
      <c r="I4543" s="163">
        <v>0</v>
      </c>
      <c r="J4543" s="46">
        <v>13132</v>
      </c>
      <c r="K4543" s="46">
        <v>0</v>
      </c>
      <c r="L4543" s="46">
        <v>0</v>
      </c>
      <c r="M4543" s="46">
        <v>0</v>
      </c>
      <c r="N4543" s="46">
        <v>0</v>
      </c>
      <c r="O4543" s="46">
        <v>0</v>
      </c>
      <c r="P4543" s="47">
        <v>37.744999999999997</v>
      </c>
      <c r="Q4543" s="27" t="s">
        <v>186</v>
      </c>
      <c r="R4543" s="160"/>
      <c r="S4543" s="164"/>
      <c r="T4543" s="164"/>
    </row>
    <row r="4544" spans="1:20" s="162" customFormat="1" ht="24" x14ac:dyDescent="0.25">
      <c r="A4544" s="17">
        <v>41142</v>
      </c>
      <c r="B4544" s="17">
        <v>41142</v>
      </c>
      <c r="C4544" s="43">
        <v>2012</v>
      </c>
      <c r="D4544" s="351" t="s">
        <v>23</v>
      </c>
      <c r="E4544" s="22" t="s">
        <v>86</v>
      </c>
      <c r="F4544" s="7" t="s">
        <v>33</v>
      </c>
      <c r="G4544" s="146" t="s">
        <v>247</v>
      </c>
      <c r="H4544" s="147" t="s">
        <v>6640</v>
      </c>
      <c r="I4544" s="163">
        <v>0</v>
      </c>
      <c r="J4544" s="46">
        <v>3750</v>
      </c>
      <c r="K4544" s="46">
        <v>0</v>
      </c>
      <c r="L4544" s="46">
        <v>0</v>
      </c>
      <c r="M4544" s="46">
        <v>0</v>
      </c>
      <c r="N4544" s="46">
        <v>0</v>
      </c>
      <c r="O4544" s="46">
        <v>0</v>
      </c>
      <c r="P4544" s="47">
        <v>12.72</v>
      </c>
      <c r="Q4544" s="27" t="s">
        <v>186</v>
      </c>
      <c r="R4544" s="160"/>
      <c r="S4544" s="164"/>
      <c r="T4544" s="164"/>
    </row>
    <row r="4545" spans="1:20" s="162" customFormat="1" ht="24" x14ac:dyDescent="0.25">
      <c r="A4545" s="17">
        <v>41141</v>
      </c>
      <c r="B4545" s="17">
        <v>41141</v>
      </c>
      <c r="C4545" s="43">
        <v>2012</v>
      </c>
      <c r="D4545" s="351" t="s">
        <v>23</v>
      </c>
      <c r="E4545" s="22" t="s">
        <v>86</v>
      </c>
      <c r="F4545" s="28" t="s">
        <v>210</v>
      </c>
      <c r="G4545" s="146" t="s">
        <v>6641</v>
      </c>
      <c r="H4545" s="147" t="s">
        <v>6642</v>
      </c>
      <c r="I4545" s="163">
        <v>0</v>
      </c>
      <c r="J4545" s="46">
        <v>9378</v>
      </c>
      <c r="K4545" s="46">
        <v>0</v>
      </c>
      <c r="L4545" s="46">
        <v>0</v>
      </c>
      <c r="M4545" s="46">
        <v>0</v>
      </c>
      <c r="N4545" s="46">
        <v>0</v>
      </c>
      <c r="O4545" s="46">
        <v>0</v>
      </c>
      <c r="P4545" s="47">
        <v>4.3147000000000002</v>
      </c>
      <c r="Q4545" s="27" t="s">
        <v>186</v>
      </c>
      <c r="R4545" s="160"/>
      <c r="S4545" s="164"/>
      <c r="T4545" s="164"/>
    </row>
    <row r="4546" spans="1:20" s="162" customFormat="1" ht="48" x14ac:dyDescent="0.25">
      <c r="A4546" s="17">
        <v>41146</v>
      </c>
      <c r="B4546" s="17">
        <v>41146</v>
      </c>
      <c r="C4546" s="43">
        <v>2012</v>
      </c>
      <c r="D4546" s="351" t="s">
        <v>23</v>
      </c>
      <c r="E4546" s="14" t="s">
        <v>32</v>
      </c>
      <c r="F4546" s="7" t="s">
        <v>72</v>
      </c>
      <c r="G4546" s="146" t="s">
        <v>6643</v>
      </c>
      <c r="H4546" s="147" t="s">
        <v>6644</v>
      </c>
      <c r="I4546" s="163">
        <v>0</v>
      </c>
      <c r="J4546" s="46">
        <v>1793</v>
      </c>
      <c r="K4546" s="46">
        <v>0</v>
      </c>
      <c r="L4546" s="46">
        <v>0</v>
      </c>
      <c r="M4546" s="46">
        <v>0</v>
      </c>
      <c r="N4546" s="46">
        <v>0</v>
      </c>
      <c r="O4546" s="46">
        <v>0</v>
      </c>
      <c r="P4546" s="47">
        <v>30.239000000000001</v>
      </c>
      <c r="Q4546" s="27" t="s">
        <v>186</v>
      </c>
      <c r="R4546" s="160"/>
      <c r="S4546" s="164"/>
      <c r="T4546" s="164"/>
    </row>
    <row r="4547" spans="1:20" s="162" customFormat="1" ht="24" x14ac:dyDescent="0.25">
      <c r="A4547" s="17">
        <v>41165</v>
      </c>
      <c r="B4547" s="17">
        <v>41165</v>
      </c>
      <c r="C4547" s="43">
        <v>2012</v>
      </c>
      <c r="D4547" s="351" t="s">
        <v>23</v>
      </c>
      <c r="E4547" s="14" t="s">
        <v>52</v>
      </c>
      <c r="F4547" s="7" t="s">
        <v>49</v>
      </c>
      <c r="G4547" s="146" t="s">
        <v>6645</v>
      </c>
      <c r="H4547" s="147" t="s">
        <v>6646</v>
      </c>
      <c r="I4547" s="163">
        <v>0</v>
      </c>
      <c r="J4547" s="46">
        <v>23854</v>
      </c>
      <c r="K4547" s="46">
        <v>0</v>
      </c>
      <c r="L4547" s="46">
        <v>0</v>
      </c>
      <c r="M4547" s="46">
        <v>0</v>
      </c>
      <c r="N4547" s="46">
        <v>0</v>
      </c>
      <c r="O4547" s="46">
        <v>0</v>
      </c>
      <c r="P4547" s="47">
        <v>9.2750000000000004</v>
      </c>
      <c r="Q4547" s="27" t="s">
        <v>186</v>
      </c>
      <c r="R4547" s="160"/>
      <c r="S4547" s="164"/>
      <c r="T4547" s="164"/>
    </row>
    <row r="4548" spans="1:20" s="162" customFormat="1" ht="48" x14ac:dyDescent="0.25">
      <c r="A4548" s="17">
        <v>41169</v>
      </c>
      <c r="B4548" s="17">
        <v>41169</v>
      </c>
      <c r="C4548" s="43">
        <v>2012</v>
      </c>
      <c r="D4548" s="351" t="s">
        <v>23</v>
      </c>
      <c r="E4548" s="22" t="s">
        <v>86</v>
      </c>
      <c r="F4548" s="28" t="s">
        <v>210</v>
      </c>
      <c r="G4548" s="146" t="s">
        <v>6647</v>
      </c>
      <c r="H4548" s="147" t="s">
        <v>6648</v>
      </c>
      <c r="I4548" s="163">
        <v>0</v>
      </c>
      <c r="J4548" s="46">
        <v>0</v>
      </c>
      <c r="K4548" s="46">
        <v>0</v>
      </c>
      <c r="L4548" s="46">
        <v>0</v>
      </c>
      <c r="M4548" s="46">
        <v>0</v>
      </c>
      <c r="N4548" s="46">
        <v>0</v>
      </c>
      <c r="O4548" s="46">
        <v>0</v>
      </c>
      <c r="P4548" s="47">
        <v>2.6880000000000002</v>
      </c>
      <c r="Q4548" s="27" t="s">
        <v>186</v>
      </c>
      <c r="R4548" s="160"/>
      <c r="S4548" s="164"/>
      <c r="T4548" s="164"/>
    </row>
    <row r="4549" spans="1:20" s="162" customFormat="1" ht="24" x14ac:dyDescent="0.25">
      <c r="A4549" s="17">
        <v>41179</v>
      </c>
      <c r="B4549" s="17">
        <v>41179</v>
      </c>
      <c r="C4549" s="43">
        <v>2012</v>
      </c>
      <c r="D4549" s="351" t="s">
        <v>23</v>
      </c>
      <c r="E4549" s="14" t="s">
        <v>32</v>
      </c>
      <c r="F4549" s="7" t="s">
        <v>33</v>
      </c>
      <c r="G4549" s="146" t="s">
        <v>6649</v>
      </c>
      <c r="H4549" s="147" t="s">
        <v>6650</v>
      </c>
      <c r="I4549" s="163">
        <v>0</v>
      </c>
      <c r="J4549" s="46">
        <v>16483</v>
      </c>
      <c r="K4549" s="46">
        <v>0</v>
      </c>
      <c r="L4549" s="46">
        <v>0</v>
      </c>
      <c r="M4549" s="46">
        <v>0</v>
      </c>
      <c r="N4549" s="46">
        <v>0</v>
      </c>
      <c r="O4549" s="46">
        <v>0</v>
      </c>
      <c r="P4549" s="47">
        <v>11.5</v>
      </c>
      <c r="Q4549" s="27" t="s">
        <v>186</v>
      </c>
      <c r="R4549" s="160"/>
      <c r="S4549" s="164"/>
      <c r="T4549" s="164"/>
    </row>
    <row r="4550" spans="1:20" s="162" customFormat="1" ht="60" x14ac:dyDescent="0.25">
      <c r="A4550" s="17">
        <v>41198</v>
      </c>
      <c r="B4550" s="17">
        <v>41199</v>
      </c>
      <c r="C4550" s="43">
        <v>2012</v>
      </c>
      <c r="D4550" s="351" t="s">
        <v>23</v>
      </c>
      <c r="E4550" s="14" t="s">
        <v>32</v>
      </c>
      <c r="F4550" s="7" t="s">
        <v>33</v>
      </c>
      <c r="G4550" s="146" t="s">
        <v>6651</v>
      </c>
      <c r="H4550" s="147" t="s">
        <v>6652</v>
      </c>
      <c r="I4550" s="163">
        <v>0</v>
      </c>
      <c r="J4550" s="46">
        <v>19268</v>
      </c>
      <c r="K4550" s="46">
        <v>39</v>
      </c>
      <c r="L4550" s="46">
        <v>0</v>
      </c>
      <c r="M4550" s="46">
        <v>0</v>
      </c>
      <c r="N4550" s="46">
        <v>1</v>
      </c>
      <c r="O4550" s="46">
        <v>1010.2</v>
      </c>
      <c r="P4550" s="47">
        <v>1833.72</v>
      </c>
      <c r="Q4550" s="46" t="s">
        <v>22</v>
      </c>
      <c r="R4550" s="160"/>
      <c r="S4550" s="165"/>
      <c r="T4550" s="165"/>
    </row>
    <row r="4551" spans="1:20" s="162" customFormat="1" ht="24" x14ac:dyDescent="0.25">
      <c r="A4551" s="17">
        <v>41228</v>
      </c>
      <c r="B4551" s="17">
        <v>41228</v>
      </c>
      <c r="C4551" s="43">
        <v>2012</v>
      </c>
      <c r="D4551" s="35" t="s">
        <v>17</v>
      </c>
      <c r="E4551" s="30" t="s">
        <v>122</v>
      </c>
      <c r="F4551" s="7" t="s">
        <v>58</v>
      </c>
      <c r="G4551" s="146" t="s">
        <v>6653</v>
      </c>
      <c r="H4551" s="147" t="s">
        <v>6654</v>
      </c>
      <c r="I4551" s="163">
        <v>0</v>
      </c>
      <c r="J4551" s="46">
        <v>350</v>
      </c>
      <c r="K4551" s="46">
        <v>31</v>
      </c>
      <c r="L4551" s="46">
        <v>25</v>
      </c>
      <c r="M4551" s="46">
        <v>4</v>
      </c>
      <c r="N4551" s="46">
        <v>0</v>
      </c>
      <c r="O4551" s="46">
        <v>0</v>
      </c>
      <c r="P4551" s="47">
        <v>54.896999999999998</v>
      </c>
      <c r="Q4551" s="27" t="s">
        <v>186</v>
      </c>
      <c r="R4551" s="160"/>
      <c r="S4551" s="164"/>
      <c r="T4551" s="164"/>
    </row>
    <row r="4552" spans="1:20" s="162" customFormat="1" ht="48" x14ac:dyDescent="0.25">
      <c r="A4552" s="17">
        <v>40937</v>
      </c>
      <c r="B4552" s="17">
        <v>40917</v>
      </c>
      <c r="C4552" s="43">
        <v>2012</v>
      </c>
      <c r="D4552" s="351" t="s">
        <v>23</v>
      </c>
      <c r="E4552" s="22" t="s">
        <v>86</v>
      </c>
      <c r="F4552" s="28" t="s">
        <v>210</v>
      </c>
      <c r="G4552" s="146" t="s">
        <v>6655</v>
      </c>
      <c r="H4552" s="147" t="s">
        <v>6656</v>
      </c>
      <c r="I4552" s="163">
        <v>0</v>
      </c>
      <c r="J4552" s="46">
        <v>23380</v>
      </c>
      <c r="K4552" s="46">
        <v>0</v>
      </c>
      <c r="L4552" s="46">
        <v>0</v>
      </c>
      <c r="M4552" s="46">
        <v>0</v>
      </c>
      <c r="N4552" s="46">
        <v>0</v>
      </c>
      <c r="O4552" s="46">
        <v>0</v>
      </c>
      <c r="P4552" s="47">
        <v>7.49</v>
      </c>
      <c r="Q4552" s="27" t="s">
        <v>186</v>
      </c>
      <c r="R4552" s="160"/>
      <c r="S4552" s="164"/>
      <c r="T4552" s="164"/>
    </row>
    <row r="4553" spans="1:20" s="162" customFormat="1" ht="36" x14ac:dyDescent="0.25">
      <c r="A4553" s="17">
        <v>40955</v>
      </c>
      <c r="B4553" s="17">
        <v>40955</v>
      </c>
      <c r="C4553" s="43">
        <v>2012</v>
      </c>
      <c r="D4553" s="351" t="s">
        <v>23</v>
      </c>
      <c r="E4553" s="22" t="s">
        <v>86</v>
      </c>
      <c r="F4553" s="28" t="s">
        <v>210</v>
      </c>
      <c r="G4553" s="146" t="s">
        <v>6657</v>
      </c>
      <c r="H4553" s="147" t="s">
        <v>6658</v>
      </c>
      <c r="I4553" s="163">
        <v>0</v>
      </c>
      <c r="J4553" s="46">
        <v>10343</v>
      </c>
      <c r="K4553" s="46">
        <v>0</v>
      </c>
      <c r="L4553" s="46">
        <v>0</v>
      </c>
      <c r="M4553" s="46">
        <v>0</v>
      </c>
      <c r="N4553" s="46">
        <v>0</v>
      </c>
      <c r="O4553" s="46">
        <v>0</v>
      </c>
      <c r="P4553" s="47">
        <v>2.96</v>
      </c>
      <c r="Q4553" s="27" t="s">
        <v>186</v>
      </c>
      <c r="R4553" s="160"/>
      <c r="S4553" s="164"/>
      <c r="T4553" s="164"/>
    </row>
    <row r="4554" spans="1:20" s="162" customFormat="1" ht="36" x14ac:dyDescent="0.25">
      <c r="A4554" s="17">
        <v>40956</v>
      </c>
      <c r="B4554" s="17">
        <v>40958</v>
      </c>
      <c r="C4554" s="43">
        <v>2012</v>
      </c>
      <c r="D4554" s="351" t="s">
        <v>23</v>
      </c>
      <c r="E4554" s="22" t="s">
        <v>42</v>
      </c>
      <c r="F4554" s="7" t="s">
        <v>40</v>
      </c>
      <c r="G4554" s="146" t="s">
        <v>6659</v>
      </c>
      <c r="H4554" s="147" t="s">
        <v>6660</v>
      </c>
      <c r="I4554" s="163">
        <v>0</v>
      </c>
      <c r="J4554" s="46">
        <v>10339</v>
      </c>
      <c r="K4554" s="46">
        <v>0</v>
      </c>
      <c r="L4554" s="46">
        <v>0</v>
      </c>
      <c r="M4554" s="46">
        <v>0</v>
      </c>
      <c r="N4554" s="46">
        <v>0</v>
      </c>
      <c r="O4554" s="46">
        <v>0</v>
      </c>
      <c r="P4554" s="47">
        <v>7.98</v>
      </c>
      <c r="Q4554" s="27" t="s">
        <v>186</v>
      </c>
      <c r="R4554" s="160"/>
      <c r="S4554" s="164"/>
      <c r="T4554" s="164"/>
    </row>
    <row r="4555" spans="1:20" s="162" customFormat="1" ht="36" x14ac:dyDescent="0.25">
      <c r="A4555" s="17">
        <v>40939</v>
      </c>
      <c r="B4555" s="17">
        <v>40939</v>
      </c>
      <c r="C4555" s="43">
        <v>2012</v>
      </c>
      <c r="D4555" s="24" t="s">
        <v>141</v>
      </c>
      <c r="E4555" s="30" t="s">
        <v>142</v>
      </c>
      <c r="F4555" s="7" t="s">
        <v>53</v>
      </c>
      <c r="G4555" s="146" t="s">
        <v>2309</v>
      </c>
      <c r="H4555" s="147" t="s">
        <v>6661</v>
      </c>
      <c r="I4555" s="163">
        <v>1</v>
      </c>
      <c r="J4555" s="46">
        <v>1</v>
      </c>
      <c r="K4555" s="46">
        <v>0</v>
      </c>
      <c r="L4555" s="46">
        <v>0</v>
      </c>
      <c r="M4555" s="46">
        <v>0</v>
      </c>
      <c r="N4555" s="46">
        <v>0</v>
      </c>
      <c r="O4555" s="46">
        <v>0</v>
      </c>
      <c r="P4555" s="47">
        <v>0</v>
      </c>
      <c r="Q4555" s="27" t="s">
        <v>154</v>
      </c>
      <c r="R4555" s="160"/>
      <c r="S4555" s="164"/>
      <c r="T4555" s="164"/>
    </row>
    <row r="4556" spans="1:20" s="162" customFormat="1" ht="24" x14ac:dyDescent="0.25">
      <c r="A4556" s="23">
        <v>40941</v>
      </c>
      <c r="B4556" s="23">
        <v>40941</v>
      </c>
      <c r="C4556" s="43">
        <v>2012</v>
      </c>
      <c r="D4556" s="35" t="s">
        <v>28</v>
      </c>
      <c r="E4556" s="6" t="s">
        <v>149</v>
      </c>
      <c r="F4556" s="7" t="s">
        <v>77</v>
      </c>
      <c r="G4556" s="146" t="s">
        <v>4341</v>
      </c>
      <c r="H4556" s="147" t="s">
        <v>6662</v>
      </c>
      <c r="I4556" s="163">
        <v>0</v>
      </c>
      <c r="J4556" s="46">
        <v>0</v>
      </c>
      <c r="K4556" s="46">
        <v>0</v>
      </c>
      <c r="L4556" s="46">
        <v>0</v>
      </c>
      <c r="M4556" s="46">
        <v>0</v>
      </c>
      <c r="N4556" s="46">
        <v>1</v>
      </c>
      <c r="O4556" s="46">
        <v>0</v>
      </c>
      <c r="P4556" s="47">
        <v>0.04</v>
      </c>
      <c r="Q4556" s="27" t="s">
        <v>154</v>
      </c>
      <c r="R4556" s="160"/>
      <c r="S4556" s="164"/>
      <c r="T4556" s="164"/>
    </row>
    <row r="4557" spans="1:20" s="162" customFormat="1" ht="84" x14ac:dyDescent="0.25">
      <c r="A4557" s="17">
        <v>40910</v>
      </c>
      <c r="B4557" s="17">
        <v>40910</v>
      </c>
      <c r="C4557" s="43">
        <v>2012</v>
      </c>
      <c r="D4557" s="351" t="s">
        <v>23</v>
      </c>
      <c r="E4557" s="22" t="s">
        <v>86</v>
      </c>
      <c r="F4557" s="28" t="s">
        <v>210</v>
      </c>
      <c r="G4557" s="146" t="s">
        <v>2109</v>
      </c>
      <c r="H4557" s="147" t="s">
        <v>6663</v>
      </c>
      <c r="I4557" s="163">
        <v>0</v>
      </c>
      <c r="J4557" s="46">
        <v>1995</v>
      </c>
      <c r="K4557" s="46">
        <v>399</v>
      </c>
      <c r="L4557" s="46">
        <v>0</v>
      </c>
      <c r="M4557" s="46">
        <v>0</v>
      </c>
      <c r="N4557" s="46">
        <v>0</v>
      </c>
      <c r="O4557" s="46">
        <v>0</v>
      </c>
      <c r="P4557" s="47">
        <f>(399*1050)/1000000</f>
        <v>0.41894999999999999</v>
      </c>
      <c r="Q4557" s="27" t="s">
        <v>154</v>
      </c>
      <c r="R4557" s="160"/>
      <c r="S4557" s="164"/>
      <c r="T4557" s="164"/>
    </row>
    <row r="4558" spans="1:20" s="162" customFormat="1" ht="84" x14ac:dyDescent="0.25">
      <c r="A4558" s="17">
        <v>40912</v>
      </c>
      <c r="B4558" s="17">
        <v>40912</v>
      </c>
      <c r="C4558" s="43">
        <v>2012</v>
      </c>
      <c r="D4558" s="35" t="s">
        <v>28</v>
      </c>
      <c r="E4558" s="6" t="s">
        <v>149</v>
      </c>
      <c r="F4558" s="7" t="s">
        <v>68</v>
      </c>
      <c r="G4558" s="146" t="s">
        <v>1121</v>
      </c>
      <c r="H4558" s="147" t="s">
        <v>6664</v>
      </c>
      <c r="I4558" s="163">
        <v>5</v>
      </c>
      <c r="J4558" s="46">
        <v>440</v>
      </c>
      <c r="K4558" s="46">
        <v>0</v>
      </c>
      <c r="L4558" s="46">
        <v>0</v>
      </c>
      <c r="M4558" s="46">
        <v>0</v>
      </c>
      <c r="N4558" s="46">
        <v>1</v>
      </c>
      <c r="O4558" s="46">
        <v>0</v>
      </c>
      <c r="P4558" s="47">
        <v>0</v>
      </c>
      <c r="Q4558" s="27" t="s">
        <v>154</v>
      </c>
      <c r="R4558" s="160"/>
      <c r="S4558" s="164"/>
      <c r="T4558" s="164"/>
    </row>
    <row r="4559" spans="1:20" s="162" customFormat="1" ht="84" x14ac:dyDescent="0.25">
      <c r="A4559" s="17">
        <v>40913</v>
      </c>
      <c r="B4559" s="17">
        <v>40913</v>
      </c>
      <c r="C4559" s="43">
        <v>2012</v>
      </c>
      <c r="D4559" s="35" t="s">
        <v>28</v>
      </c>
      <c r="E4559" s="6" t="s">
        <v>149</v>
      </c>
      <c r="F4559" s="7" t="s">
        <v>49</v>
      </c>
      <c r="G4559" s="146" t="s">
        <v>49</v>
      </c>
      <c r="H4559" s="147" t="s">
        <v>6665</v>
      </c>
      <c r="I4559" s="163">
        <v>0</v>
      </c>
      <c r="J4559" s="46">
        <v>1</v>
      </c>
      <c r="K4559" s="46">
        <v>0</v>
      </c>
      <c r="L4559" s="46">
        <v>0</v>
      </c>
      <c r="M4559" s="46">
        <v>0</v>
      </c>
      <c r="N4559" s="46">
        <v>1</v>
      </c>
      <c r="O4559" s="46">
        <v>0</v>
      </c>
      <c r="P4559" s="47">
        <v>0</v>
      </c>
      <c r="Q4559" s="27" t="s">
        <v>154</v>
      </c>
      <c r="R4559" s="160"/>
      <c r="S4559" s="164"/>
      <c r="T4559" s="164"/>
    </row>
    <row r="4560" spans="1:20" s="162" customFormat="1" ht="96" x14ac:dyDescent="0.25">
      <c r="A4560" s="17">
        <v>40914</v>
      </c>
      <c r="B4560" s="17">
        <v>40914</v>
      </c>
      <c r="C4560" s="43">
        <v>2012</v>
      </c>
      <c r="D4560" s="24" t="s">
        <v>141</v>
      </c>
      <c r="E4560" s="30" t="s">
        <v>142</v>
      </c>
      <c r="F4560" s="28" t="s">
        <v>210</v>
      </c>
      <c r="G4560" s="146" t="s">
        <v>6666</v>
      </c>
      <c r="H4560" s="147" t="s">
        <v>6667</v>
      </c>
      <c r="I4560" s="163">
        <v>0</v>
      </c>
      <c r="J4560" s="46">
        <v>0</v>
      </c>
      <c r="K4560" s="46">
        <v>0</v>
      </c>
      <c r="L4560" s="46">
        <v>0</v>
      </c>
      <c r="M4560" s="46">
        <v>0</v>
      </c>
      <c r="N4560" s="46">
        <v>0</v>
      </c>
      <c r="O4560" s="46">
        <v>0</v>
      </c>
      <c r="P4560" s="47">
        <v>0</v>
      </c>
      <c r="Q4560" s="27" t="s">
        <v>154</v>
      </c>
      <c r="R4560" s="160"/>
      <c r="S4560" s="164"/>
      <c r="T4560" s="164"/>
    </row>
    <row r="4561" spans="1:20" s="162" customFormat="1" ht="96" x14ac:dyDescent="0.25">
      <c r="A4561" s="17">
        <v>40914</v>
      </c>
      <c r="B4561" s="17">
        <v>40914</v>
      </c>
      <c r="C4561" s="43">
        <v>2012</v>
      </c>
      <c r="D4561" s="35" t="s">
        <v>28</v>
      </c>
      <c r="E4561" s="30" t="s">
        <v>125</v>
      </c>
      <c r="F4561" s="7" t="s">
        <v>84</v>
      </c>
      <c r="G4561" s="146" t="s">
        <v>257</v>
      </c>
      <c r="H4561" s="147" t="s">
        <v>6668</v>
      </c>
      <c r="I4561" s="163">
        <v>0</v>
      </c>
      <c r="J4561" s="46">
        <v>250</v>
      </c>
      <c r="K4561" s="46">
        <v>0</v>
      </c>
      <c r="L4561" s="46">
        <v>0</v>
      </c>
      <c r="M4561" s="46">
        <v>0</v>
      </c>
      <c r="N4561" s="46">
        <v>0</v>
      </c>
      <c r="O4561" s="46">
        <v>0</v>
      </c>
      <c r="P4561" s="47">
        <v>0</v>
      </c>
      <c r="Q4561" s="27" t="s">
        <v>154</v>
      </c>
      <c r="R4561" s="160"/>
      <c r="S4561" s="164"/>
      <c r="T4561" s="164"/>
    </row>
    <row r="4562" spans="1:20" s="162" customFormat="1" ht="96" x14ac:dyDescent="0.25">
      <c r="A4562" s="17">
        <v>40915</v>
      </c>
      <c r="B4562" s="17">
        <v>40915</v>
      </c>
      <c r="C4562" s="43">
        <v>2012</v>
      </c>
      <c r="D4562" s="35" t="s">
        <v>28</v>
      </c>
      <c r="E4562" s="6" t="s">
        <v>149</v>
      </c>
      <c r="F4562" s="7" t="s">
        <v>62</v>
      </c>
      <c r="G4562" s="146" t="s">
        <v>165</v>
      </c>
      <c r="H4562" s="147" t="s">
        <v>6669</v>
      </c>
      <c r="I4562" s="163">
        <v>0</v>
      </c>
      <c r="J4562" s="46">
        <v>1</v>
      </c>
      <c r="K4562" s="46">
        <v>0</v>
      </c>
      <c r="L4562" s="46">
        <v>0</v>
      </c>
      <c r="M4562" s="46">
        <v>0</v>
      </c>
      <c r="N4562" s="46">
        <v>0</v>
      </c>
      <c r="O4562" s="46">
        <v>0</v>
      </c>
      <c r="P4562" s="47">
        <v>2</v>
      </c>
      <c r="Q4562" s="27" t="s">
        <v>154</v>
      </c>
      <c r="R4562" s="160"/>
      <c r="S4562" s="164"/>
      <c r="T4562" s="164"/>
    </row>
    <row r="4563" spans="1:20" s="162" customFormat="1" ht="60" x14ac:dyDescent="0.25">
      <c r="A4563" s="17">
        <v>40915</v>
      </c>
      <c r="B4563" s="17">
        <v>40915</v>
      </c>
      <c r="C4563" s="43">
        <v>2012</v>
      </c>
      <c r="D4563" s="35" t="s">
        <v>28</v>
      </c>
      <c r="E4563" s="6" t="s">
        <v>149</v>
      </c>
      <c r="F4563" s="28" t="s">
        <v>210</v>
      </c>
      <c r="G4563" s="146" t="s">
        <v>893</v>
      </c>
      <c r="H4563" s="147" t="s">
        <v>6670</v>
      </c>
      <c r="I4563" s="163">
        <v>0</v>
      </c>
      <c r="J4563" s="46">
        <v>0</v>
      </c>
      <c r="K4563" s="46">
        <v>0</v>
      </c>
      <c r="L4563" s="46">
        <v>0</v>
      </c>
      <c r="M4563" s="46">
        <v>0</v>
      </c>
      <c r="N4563" s="46">
        <v>1</v>
      </c>
      <c r="O4563" s="46">
        <v>0</v>
      </c>
      <c r="P4563" s="47">
        <v>0</v>
      </c>
      <c r="Q4563" s="27" t="s">
        <v>154</v>
      </c>
      <c r="R4563" s="160"/>
      <c r="S4563" s="164"/>
      <c r="T4563" s="164"/>
    </row>
    <row r="4564" spans="1:20" s="162" customFormat="1" ht="96" x14ac:dyDescent="0.25">
      <c r="A4564" s="17">
        <v>40916</v>
      </c>
      <c r="B4564" s="17">
        <v>40916</v>
      </c>
      <c r="C4564" s="43">
        <v>2012</v>
      </c>
      <c r="D4564" s="24" t="s">
        <v>141</v>
      </c>
      <c r="E4564" s="30" t="s">
        <v>142</v>
      </c>
      <c r="F4564" s="7" t="s">
        <v>84</v>
      </c>
      <c r="G4564" s="146" t="s">
        <v>3161</v>
      </c>
      <c r="H4564" s="147" t="s">
        <v>6671</v>
      </c>
      <c r="I4564" s="163">
        <v>2</v>
      </c>
      <c r="J4564" s="46">
        <v>3</v>
      </c>
      <c r="K4564" s="46">
        <v>0</v>
      </c>
      <c r="L4564" s="46">
        <v>0</v>
      </c>
      <c r="M4564" s="46">
        <v>0</v>
      </c>
      <c r="N4564" s="46">
        <v>0</v>
      </c>
      <c r="O4564" s="46">
        <v>0</v>
      </c>
      <c r="P4564" s="47">
        <v>1.575</v>
      </c>
      <c r="Q4564" s="27" t="s">
        <v>154</v>
      </c>
      <c r="R4564" s="160"/>
      <c r="S4564" s="164"/>
      <c r="T4564" s="164"/>
    </row>
    <row r="4565" spans="1:20" s="162" customFormat="1" ht="72" x14ac:dyDescent="0.25">
      <c r="A4565" s="17">
        <v>40918</v>
      </c>
      <c r="B4565" s="17">
        <v>40918</v>
      </c>
      <c r="C4565" s="43">
        <v>2012</v>
      </c>
      <c r="D4565" s="35" t="s">
        <v>28</v>
      </c>
      <c r="E4565" s="6" t="s">
        <v>369</v>
      </c>
      <c r="F4565" s="7" t="s">
        <v>87</v>
      </c>
      <c r="G4565" s="146" t="s">
        <v>1714</v>
      </c>
      <c r="H4565" s="147" t="s">
        <v>6672</v>
      </c>
      <c r="I4565" s="163">
        <v>0</v>
      </c>
      <c r="J4565" s="46">
        <v>0</v>
      </c>
      <c r="K4565" s="46">
        <v>0</v>
      </c>
      <c r="L4565" s="46">
        <v>0</v>
      </c>
      <c r="M4565" s="46">
        <v>0</v>
      </c>
      <c r="N4565" s="46">
        <v>0</v>
      </c>
      <c r="O4565" s="46">
        <v>0</v>
      </c>
      <c r="P4565" s="47">
        <v>0</v>
      </c>
      <c r="Q4565" s="27" t="s">
        <v>154</v>
      </c>
      <c r="R4565" s="160"/>
      <c r="S4565" s="164"/>
      <c r="T4565" s="164"/>
    </row>
    <row r="4566" spans="1:20" s="162" customFormat="1" ht="84" x14ac:dyDescent="0.25">
      <c r="A4566" s="17">
        <v>40917</v>
      </c>
      <c r="B4566" s="17">
        <v>40917</v>
      </c>
      <c r="C4566" s="43">
        <v>2012</v>
      </c>
      <c r="D4566" s="35" t="s">
        <v>28</v>
      </c>
      <c r="E4566" s="6" t="s">
        <v>369</v>
      </c>
      <c r="F4566" s="28" t="s">
        <v>210</v>
      </c>
      <c r="G4566" s="146" t="s">
        <v>6486</v>
      </c>
      <c r="H4566" s="147" t="s">
        <v>6673</v>
      </c>
      <c r="I4566" s="163">
        <v>0</v>
      </c>
      <c r="J4566" s="46">
        <v>0</v>
      </c>
      <c r="K4566" s="46">
        <v>0</v>
      </c>
      <c r="L4566" s="46">
        <v>0</v>
      </c>
      <c r="M4566" s="46">
        <v>0</v>
      </c>
      <c r="N4566" s="46">
        <v>0</v>
      </c>
      <c r="O4566" s="46">
        <v>1</v>
      </c>
      <c r="P4566" s="47">
        <v>1.2999999999999999E-2</v>
      </c>
      <c r="Q4566" s="27" t="s">
        <v>154</v>
      </c>
      <c r="R4566" s="160"/>
      <c r="S4566" s="164"/>
      <c r="T4566" s="164"/>
    </row>
    <row r="4567" spans="1:20" s="162" customFormat="1" ht="168" x14ac:dyDescent="0.25">
      <c r="A4567" s="17">
        <v>40918</v>
      </c>
      <c r="B4567" s="17">
        <v>40918</v>
      </c>
      <c r="C4567" s="43">
        <v>2012</v>
      </c>
      <c r="D4567" s="35" t="s">
        <v>28</v>
      </c>
      <c r="E4567" s="30" t="s">
        <v>133</v>
      </c>
      <c r="F4567" s="7" t="s">
        <v>60</v>
      </c>
      <c r="G4567" s="146" t="s">
        <v>6674</v>
      </c>
      <c r="H4567" s="147" t="s">
        <v>6675</v>
      </c>
      <c r="I4567" s="163">
        <v>2</v>
      </c>
      <c r="J4567" s="46">
        <v>3</v>
      </c>
      <c r="K4567" s="46">
        <v>0</v>
      </c>
      <c r="L4567" s="46">
        <v>0</v>
      </c>
      <c r="M4567" s="46">
        <v>0</v>
      </c>
      <c r="N4567" s="46">
        <v>0</v>
      </c>
      <c r="O4567" s="46">
        <v>0</v>
      </c>
      <c r="P4567" s="47">
        <v>0</v>
      </c>
      <c r="Q4567" s="27" t="s">
        <v>154</v>
      </c>
      <c r="R4567" s="160"/>
      <c r="S4567" s="164"/>
      <c r="T4567" s="164"/>
    </row>
    <row r="4568" spans="1:20" s="162" customFormat="1" ht="120" x14ac:dyDescent="0.25">
      <c r="A4568" s="17">
        <v>40979</v>
      </c>
      <c r="B4568" s="17">
        <v>40979</v>
      </c>
      <c r="C4568" s="43">
        <v>2012</v>
      </c>
      <c r="D4568" s="35" t="s">
        <v>28</v>
      </c>
      <c r="E4568" s="30" t="s">
        <v>133</v>
      </c>
      <c r="F4568" s="7" t="s">
        <v>75</v>
      </c>
      <c r="G4568" s="146" t="s">
        <v>6676</v>
      </c>
      <c r="H4568" s="147" t="s">
        <v>6677</v>
      </c>
      <c r="I4568" s="163">
        <v>1</v>
      </c>
      <c r="J4568" s="46">
        <v>2</v>
      </c>
      <c r="K4568" s="46">
        <v>0</v>
      </c>
      <c r="L4568" s="46">
        <v>0</v>
      </c>
      <c r="M4568" s="46">
        <v>0</v>
      </c>
      <c r="N4568" s="46">
        <v>0</v>
      </c>
      <c r="O4568" s="46">
        <v>0</v>
      </c>
      <c r="P4568" s="47">
        <v>0</v>
      </c>
      <c r="Q4568" s="27" t="s">
        <v>154</v>
      </c>
      <c r="R4568" s="160"/>
      <c r="S4568" s="164"/>
      <c r="T4568" s="164"/>
    </row>
    <row r="4569" spans="1:20" s="162" customFormat="1" ht="72" x14ac:dyDescent="0.25">
      <c r="A4569" s="17">
        <v>40921</v>
      </c>
      <c r="B4569" s="17">
        <v>40921</v>
      </c>
      <c r="C4569" s="43">
        <v>2012</v>
      </c>
      <c r="D4569" s="24" t="s">
        <v>141</v>
      </c>
      <c r="E4569" s="30" t="s">
        <v>142</v>
      </c>
      <c r="F4569" s="7" t="s">
        <v>56</v>
      </c>
      <c r="G4569" s="146" t="s">
        <v>351</v>
      </c>
      <c r="H4569" s="147" t="s">
        <v>6678</v>
      </c>
      <c r="I4569" s="163">
        <v>1</v>
      </c>
      <c r="J4569" s="46">
        <v>1</v>
      </c>
      <c r="K4569" s="46">
        <v>0</v>
      </c>
      <c r="L4569" s="46">
        <v>0</v>
      </c>
      <c r="M4569" s="46">
        <v>0</v>
      </c>
      <c r="N4569" s="46">
        <v>0</v>
      </c>
      <c r="O4569" s="46">
        <v>0</v>
      </c>
      <c r="P4569" s="47">
        <v>0.76100000000000001</v>
      </c>
      <c r="Q4569" s="27" t="s">
        <v>154</v>
      </c>
      <c r="R4569" s="160"/>
      <c r="S4569" s="164"/>
      <c r="T4569" s="164"/>
    </row>
    <row r="4570" spans="1:20" s="162" customFormat="1" ht="132" x14ac:dyDescent="0.25">
      <c r="A4570" s="17">
        <v>40922</v>
      </c>
      <c r="B4570" s="17">
        <v>40922</v>
      </c>
      <c r="C4570" s="43">
        <v>2012</v>
      </c>
      <c r="D4570" s="35" t="s">
        <v>28</v>
      </c>
      <c r="E4570" s="30" t="s">
        <v>133</v>
      </c>
      <c r="F4570" s="7" t="s">
        <v>45</v>
      </c>
      <c r="G4570" s="146" t="s">
        <v>4108</v>
      </c>
      <c r="H4570" s="146" t="s">
        <v>6679</v>
      </c>
      <c r="I4570" s="163">
        <v>0</v>
      </c>
      <c r="J4570" s="46">
        <v>70</v>
      </c>
      <c r="K4570" s="46">
        <v>0</v>
      </c>
      <c r="L4570" s="46">
        <v>0</v>
      </c>
      <c r="M4570" s="46">
        <v>0</v>
      </c>
      <c r="N4570" s="46">
        <v>1</v>
      </c>
      <c r="O4570" s="46">
        <v>0</v>
      </c>
      <c r="P4570" s="47">
        <v>0</v>
      </c>
      <c r="Q4570" s="27" t="s">
        <v>154</v>
      </c>
      <c r="R4570" s="160"/>
      <c r="S4570" s="164"/>
      <c r="T4570" s="164"/>
    </row>
    <row r="4571" spans="1:20" s="162" customFormat="1" ht="120" x14ac:dyDescent="0.25">
      <c r="A4571" s="17">
        <v>40923</v>
      </c>
      <c r="B4571" s="17">
        <v>40923</v>
      </c>
      <c r="C4571" s="43">
        <v>2012</v>
      </c>
      <c r="D4571" s="35" t="s">
        <v>28</v>
      </c>
      <c r="E4571" s="30" t="s">
        <v>133</v>
      </c>
      <c r="F4571" s="7" t="s">
        <v>45</v>
      </c>
      <c r="G4571" s="146" t="s">
        <v>259</v>
      </c>
      <c r="H4571" s="147" t="s">
        <v>6680</v>
      </c>
      <c r="I4571" s="163">
        <v>0</v>
      </c>
      <c r="J4571" s="46">
        <v>33</v>
      </c>
      <c r="K4571" s="46">
        <v>8</v>
      </c>
      <c r="L4571" s="46">
        <v>0</v>
      </c>
      <c r="M4571" s="46">
        <v>0</v>
      </c>
      <c r="N4571" s="46">
        <v>0</v>
      </c>
      <c r="O4571" s="46">
        <v>0</v>
      </c>
      <c r="P4571" s="47">
        <f>((K4571*28000)+(39690*2))/1000000</f>
        <v>0.30337999999999998</v>
      </c>
      <c r="Q4571" s="27" t="s">
        <v>154</v>
      </c>
      <c r="R4571" s="160"/>
      <c r="S4571" s="164"/>
      <c r="T4571" s="164"/>
    </row>
    <row r="4572" spans="1:20" s="162" customFormat="1" ht="60" x14ac:dyDescent="0.25">
      <c r="A4572" s="17">
        <v>40923</v>
      </c>
      <c r="B4572" s="17">
        <v>40923</v>
      </c>
      <c r="C4572" s="43">
        <v>2012</v>
      </c>
      <c r="D4572" s="35" t="s">
        <v>28</v>
      </c>
      <c r="E4572" s="6" t="s">
        <v>149</v>
      </c>
      <c r="F4572" s="7" t="s">
        <v>97</v>
      </c>
      <c r="G4572" s="146" t="s">
        <v>6681</v>
      </c>
      <c r="H4572" s="147" t="s">
        <v>6682</v>
      </c>
      <c r="I4572" s="163">
        <v>0</v>
      </c>
      <c r="J4572" s="20">
        <v>1</v>
      </c>
      <c r="K4572" s="46">
        <v>0</v>
      </c>
      <c r="L4572" s="46">
        <v>0</v>
      </c>
      <c r="M4572" s="46">
        <v>0</v>
      </c>
      <c r="N4572" s="46">
        <v>0</v>
      </c>
      <c r="O4572" s="46">
        <v>0</v>
      </c>
      <c r="P4572" s="47">
        <v>0</v>
      </c>
      <c r="Q4572" s="27" t="s">
        <v>154</v>
      </c>
      <c r="R4572" s="160"/>
      <c r="S4572" s="164"/>
      <c r="T4572" s="164"/>
    </row>
    <row r="4573" spans="1:20" s="162" customFormat="1" ht="132" x14ac:dyDescent="0.25">
      <c r="A4573" s="23">
        <v>40925</v>
      </c>
      <c r="B4573" s="23">
        <v>40925</v>
      </c>
      <c r="C4573" s="43">
        <v>2012</v>
      </c>
      <c r="D4573" s="24" t="s">
        <v>141</v>
      </c>
      <c r="E4573" s="30" t="s">
        <v>142</v>
      </c>
      <c r="F4573" s="7" t="s">
        <v>84</v>
      </c>
      <c r="G4573" s="146" t="s">
        <v>3161</v>
      </c>
      <c r="H4573" s="147" t="s">
        <v>6683</v>
      </c>
      <c r="I4573" s="163">
        <v>1</v>
      </c>
      <c r="J4573" s="46">
        <v>44</v>
      </c>
      <c r="K4573" s="46">
        <v>0</v>
      </c>
      <c r="L4573" s="46">
        <v>0</v>
      </c>
      <c r="M4573" s="46">
        <v>0</v>
      </c>
      <c r="N4573" s="46">
        <v>0</v>
      </c>
      <c r="O4573" s="46">
        <v>0</v>
      </c>
      <c r="P4573" s="47">
        <v>0.70899999999999996</v>
      </c>
      <c r="Q4573" s="27" t="s">
        <v>154</v>
      </c>
      <c r="R4573" s="160"/>
      <c r="S4573" s="164"/>
      <c r="T4573" s="164"/>
    </row>
    <row r="4574" spans="1:20" s="162" customFormat="1" ht="168" x14ac:dyDescent="0.25">
      <c r="A4574" s="17">
        <v>40924</v>
      </c>
      <c r="B4574" s="17">
        <v>40924</v>
      </c>
      <c r="C4574" s="43">
        <v>2012</v>
      </c>
      <c r="D4574" s="35" t="s">
        <v>28</v>
      </c>
      <c r="E4574" s="6" t="s">
        <v>149</v>
      </c>
      <c r="F4574" s="28" t="s">
        <v>151</v>
      </c>
      <c r="G4574" s="146" t="s">
        <v>5506</v>
      </c>
      <c r="H4574" s="146" t="s">
        <v>6684</v>
      </c>
      <c r="I4574" s="163">
        <v>0</v>
      </c>
      <c r="J4574" s="46">
        <v>282</v>
      </c>
      <c r="K4574" s="46">
        <v>0</v>
      </c>
      <c r="L4574" s="46">
        <v>0</v>
      </c>
      <c r="M4574" s="46">
        <v>0</v>
      </c>
      <c r="N4574" s="46">
        <v>0</v>
      </c>
      <c r="O4574" s="46">
        <v>0</v>
      </c>
      <c r="P4574" s="47">
        <v>0</v>
      </c>
      <c r="Q4574" s="27" t="s">
        <v>154</v>
      </c>
      <c r="R4574" s="160"/>
      <c r="S4574" s="164"/>
      <c r="T4574" s="164"/>
    </row>
    <row r="4575" spans="1:20" s="162" customFormat="1" ht="144" x14ac:dyDescent="0.25">
      <c r="A4575" s="17">
        <v>40924</v>
      </c>
      <c r="B4575" s="17">
        <v>40924</v>
      </c>
      <c r="C4575" s="43">
        <v>2012</v>
      </c>
      <c r="D4575" s="24" t="s">
        <v>141</v>
      </c>
      <c r="E4575" s="30" t="s">
        <v>142</v>
      </c>
      <c r="F4575" s="7" t="s">
        <v>33</v>
      </c>
      <c r="G4575" s="146" t="s">
        <v>247</v>
      </c>
      <c r="H4575" s="146" t="s">
        <v>6685</v>
      </c>
      <c r="I4575" s="163">
        <v>0</v>
      </c>
      <c r="J4575" s="46">
        <v>2</v>
      </c>
      <c r="K4575" s="46">
        <v>0</v>
      </c>
      <c r="L4575" s="46">
        <v>0</v>
      </c>
      <c r="M4575" s="46">
        <v>0</v>
      </c>
      <c r="N4575" s="46">
        <v>0</v>
      </c>
      <c r="O4575" s="46">
        <v>0</v>
      </c>
      <c r="P4575" s="47">
        <v>1.575</v>
      </c>
      <c r="Q4575" s="27" t="s">
        <v>154</v>
      </c>
      <c r="R4575" s="160"/>
      <c r="S4575" s="164"/>
      <c r="T4575" s="164"/>
    </row>
    <row r="4576" spans="1:20" s="162" customFormat="1" ht="132" x14ac:dyDescent="0.25">
      <c r="A4576" s="17">
        <v>40926</v>
      </c>
      <c r="B4576" s="17">
        <v>40926</v>
      </c>
      <c r="C4576" s="43">
        <v>2012</v>
      </c>
      <c r="D4576" s="24" t="s">
        <v>141</v>
      </c>
      <c r="E4576" s="30" t="s">
        <v>142</v>
      </c>
      <c r="F4576" s="7" t="s">
        <v>40</v>
      </c>
      <c r="G4576" s="146" t="s">
        <v>6686</v>
      </c>
      <c r="H4576" s="146" t="s">
        <v>6687</v>
      </c>
      <c r="I4576" s="163">
        <v>0</v>
      </c>
      <c r="J4576" s="46">
        <v>1</v>
      </c>
      <c r="K4576" s="46">
        <v>0</v>
      </c>
      <c r="L4576" s="46">
        <v>0</v>
      </c>
      <c r="M4576" s="46">
        <v>0</v>
      </c>
      <c r="N4576" s="46">
        <v>0</v>
      </c>
      <c r="O4576" s="46">
        <v>0</v>
      </c>
      <c r="P4576" s="47">
        <f>((288750)+(128.1*27000))/1000000</f>
        <v>3.7474500000000002</v>
      </c>
      <c r="Q4576" s="27" t="s">
        <v>154</v>
      </c>
      <c r="R4576" s="160"/>
      <c r="S4576" s="164"/>
      <c r="T4576" s="164"/>
    </row>
    <row r="4577" spans="1:20" s="162" customFormat="1" ht="157.5" x14ac:dyDescent="0.25">
      <c r="A4577" s="17">
        <v>40927</v>
      </c>
      <c r="B4577" s="17">
        <v>40927</v>
      </c>
      <c r="C4577" s="43">
        <v>2012</v>
      </c>
      <c r="D4577" s="35" t="s">
        <v>28</v>
      </c>
      <c r="E4577" s="6" t="s">
        <v>369</v>
      </c>
      <c r="F4577" s="28" t="s">
        <v>210</v>
      </c>
      <c r="G4577" s="146" t="s">
        <v>6688</v>
      </c>
      <c r="H4577" s="147" t="s">
        <v>6689</v>
      </c>
      <c r="I4577" s="163">
        <v>0</v>
      </c>
      <c r="J4577" s="46">
        <v>0</v>
      </c>
      <c r="K4577" s="46">
        <v>0</v>
      </c>
      <c r="L4577" s="46">
        <v>0</v>
      </c>
      <c r="M4577" s="46">
        <v>0</v>
      </c>
      <c r="N4577" s="46">
        <v>0</v>
      </c>
      <c r="O4577" s="46">
        <v>0</v>
      </c>
      <c r="P4577" s="47">
        <v>0</v>
      </c>
      <c r="Q4577" s="27" t="s">
        <v>154</v>
      </c>
      <c r="R4577" s="160"/>
      <c r="S4577" s="164"/>
      <c r="T4577" s="164"/>
    </row>
    <row r="4578" spans="1:20" s="162" customFormat="1" ht="144" x14ac:dyDescent="0.25">
      <c r="A4578" s="17">
        <v>40927</v>
      </c>
      <c r="B4578" s="17">
        <v>40927</v>
      </c>
      <c r="C4578" s="43">
        <v>2012</v>
      </c>
      <c r="D4578" s="24" t="s">
        <v>141</v>
      </c>
      <c r="E4578" s="30" t="s">
        <v>142</v>
      </c>
      <c r="F4578" s="7" t="s">
        <v>60</v>
      </c>
      <c r="G4578" s="146" t="s">
        <v>3691</v>
      </c>
      <c r="H4578" s="147" t="s">
        <v>6690</v>
      </c>
      <c r="I4578" s="163">
        <v>1</v>
      </c>
      <c r="J4578" s="46">
        <v>25</v>
      </c>
      <c r="K4578" s="46">
        <v>0</v>
      </c>
      <c r="L4578" s="46">
        <v>0</v>
      </c>
      <c r="M4578" s="46">
        <v>0</v>
      </c>
      <c r="N4578" s="46">
        <v>0</v>
      </c>
      <c r="O4578" s="46">
        <v>0</v>
      </c>
      <c r="P4578" s="47">
        <v>0.42</v>
      </c>
      <c r="Q4578" s="27" t="s">
        <v>154</v>
      </c>
      <c r="R4578" s="160"/>
      <c r="S4578" s="164"/>
      <c r="T4578" s="164"/>
    </row>
    <row r="4579" spans="1:20" s="162" customFormat="1" ht="180" x14ac:dyDescent="0.25">
      <c r="A4579" s="17">
        <v>40928</v>
      </c>
      <c r="B4579" s="17">
        <v>40928</v>
      </c>
      <c r="C4579" s="43">
        <v>2012</v>
      </c>
      <c r="D4579" s="24" t="s">
        <v>141</v>
      </c>
      <c r="E4579" s="30" t="s">
        <v>1600</v>
      </c>
      <c r="F4579" s="7" t="s">
        <v>53</v>
      </c>
      <c r="G4579" s="146" t="s">
        <v>6691</v>
      </c>
      <c r="H4579" s="147" t="s">
        <v>6692</v>
      </c>
      <c r="I4579" s="163">
        <v>2</v>
      </c>
      <c r="J4579" s="46">
        <v>4</v>
      </c>
      <c r="K4579" s="46">
        <v>0</v>
      </c>
      <c r="L4579" s="46">
        <v>0</v>
      </c>
      <c r="M4579" s="46">
        <v>0</v>
      </c>
      <c r="N4579" s="46">
        <v>0</v>
      </c>
      <c r="O4579" s="46">
        <v>0</v>
      </c>
      <c r="P4579" s="47">
        <v>0</v>
      </c>
      <c r="Q4579" s="27" t="s">
        <v>154</v>
      </c>
      <c r="R4579" s="160"/>
      <c r="S4579" s="164"/>
      <c r="T4579" s="164"/>
    </row>
    <row r="4580" spans="1:20" s="162" customFormat="1" ht="72" x14ac:dyDescent="0.25">
      <c r="A4580" s="17">
        <v>40930</v>
      </c>
      <c r="B4580" s="17">
        <v>40930</v>
      </c>
      <c r="C4580" s="43">
        <v>2012</v>
      </c>
      <c r="D4580" s="35" t="s">
        <v>28</v>
      </c>
      <c r="E4580" s="30" t="s">
        <v>133</v>
      </c>
      <c r="F4580" s="7" t="s">
        <v>101</v>
      </c>
      <c r="G4580" s="146" t="s">
        <v>6693</v>
      </c>
      <c r="H4580" s="147" t="s">
        <v>6694</v>
      </c>
      <c r="I4580" s="163">
        <v>0</v>
      </c>
      <c r="J4580" s="46">
        <v>15</v>
      </c>
      <c r="K4580" s="46">
        <v>0</v>
      </c>
      <c r="L4580" s="46">
        <v>0</v>
      </c>
      <c r="M4580" s="46">
        <v>0</v>
      </c>
      <c r="N4580" s="46">
        <v>0</v>
      </c>
      <c r="O4580" s="46">
        <v>0</v>
      </c>
      <c r="P4580" s="47">
        <v>3.9690000000000003E-2</v>
      </c>
      <c r="Q4580" s="27" t="s">
        <v>154</v>
      </c>
      <c r="R4580" s="160"/>
      <c r="S4580" s="164"/>
      <c r="T4580" s="164"/>
    </row>
    <row r="4581" spans="1:20" s="162" customFormat="1" ht="108" x14ac:dyDescent="0.25">
      <c r="A4581" s="17">
        <v>40932</v>
      </c>
      <c r="B4581" s="17">
        <v>40932</v>
      </c>
      <c r="C4581" s="43">
        <v>2012</v>
      </c>
      <c r="D4581" s="24" t="s">
        <v>141</v>
      </c>
      <c r="E4581" s="30" t="s">
        <v>142</v>
      </c>
      <c r="F4581" s="7" t="s">
        <v>84</v>
      </c>
      <c r="G4581" s="146" t="s">
        <v>2152</v>
      </c>
      <c r="H4581" s="147" t="s">
        <v>6695</v>
      </c>
      <c r="I4581" s="163">
        <v>0</v>
      </c>
      <c r="J4581" s="46">
        <v>4</v>
      </c>
      <c r="K4581" s="46">
        <v>0</v>
      </c>
      <c r="L4581" s="46">
        <v>0</v>
      </c>
      <c r="M4581" s="46">
        <v>0</v>
      </c>
      <c r="N4581" s="46">
        <v>0</v>
      </c>
      <c r="O4581" s="46">
        <v>0</v>
      </c>
      <c r="P4581" s="47">
        <v>0</v>
      </c>
      <c r="Q4581" s="27" t="s">
        <v>154</v>
      </c>
      <c r="R4581" s="160"/>
      <c r="S4581" s="164"/>
      <c r="T4581" s="164"/>
    </row>
    <row r="4582" spans="1:20" s="162" customFormat="1" ht="96" x14ac:dyDescent="0.25">
      <c r="A4582" s="17">
        <v>40934</v>
      </c>
      <c r="B4582" s="17">
        <v>40934</v>
      </c>
      <c r="C4582" s="43">
        <v>2012</v>
      </c>
      <c r="D4582" s="35" t="s">
        <v>28</v>
      </c>
      <c r="E4582" s="30" t="s">
        <v>133</v>
      </c>
      <c r="F4582" s="7" t="s">
        <v>53</v>
      </c>
      <c r="G4582" s="146" t="s">
        <v>451</v>
      </c>
      <c r="H4582" s="147" t="s">
        <v>6696</v>
      </c>
      <c r="I4582" s="163">
        <v>1</v>
      </c>
      <c r="J4582" s="46">
        <v>4</v>
      </c>
      <c r="K4582" s="46">
        <v>0</v>
      </c>
      <c r="L4582" s="46">
        <v>0</v>
      </c>
      <c r="M4582" s="46">
        <v>0</v>
      </c>
      <c r="N4582" s="46">
        <v>1</v>
      </c>
      <c r="O4582" s="46">
        <v>0</v>
      </c>
      <c r="P4582" s="47">
        <v>0</v>
      </c>
      <c r="Q4582" s="27" t="s">
        <v>154</v>
      </c>
      <c r="R4582" s="160"/>
      <c r="S4582" s="164"/>
      <c r="T4582" s="164"/>
    </row>
    <row r="4583" spans="1:20" s="162" customFormat="1" ht="60" x14ac:dyDescent="0.25">
      <c r="A4583" s="23">
        <v>40936</v>
      </c>
      <c r="B4583" s="23">
        <v>40936</v>
      </c>
      <c r="C4583" s="43">
        <v>2012</v>
      </c>
      <c r="D4583" s="24" t="s">
        <v>141</v>
      </c>
      <c r="E4583" s="30" t="s">
        <v>142</v>
      </c>
      <c r="F4583" s="28" t="s">
        <v>210</v>
      </c>
      <c r="G4583" s="146" t="s">
        <v>6697</v>
      </c>
      <c r="H4583" s="147" t="s">
        <v>6698</v>
      </c>
      <c r="I4583" s="163">
        <v>2</v>
      </c>
      <c r="J4583" s="46">
        <v>2</v>
      </c>
      <c r="K4583" s="46">
        <v>0</v>
      </c>
      <c r="L4583" s="46">
        <v>0</v>
      </c>
      <c r="M4583" s="46">
        <v>0</v>
      </c>
      <c r="N4583" s="46">
        <v>0</v>
      </c>
      <c r="O4583" s="46">
        <v>0</v>
      </c>
      <c r="P4583" s="47">
        <v>0.42</v>
      </c>
      <c r="Q4583" s="27" t="s">
        <v>154</v>
      </c>
      <c r="R4583" s="160"/>
      <c r="S4583" s="164"/>
      <c r="T4583" s="164"/>
    </row>
    <row r="4584" spans="1:20" s="162" customFormat="1" ht="108" x14ac:dyDescent="0.25">
      <c r="A4584" s="17">
        <v>40936</v>
      </c>
      <c r="B4584" s="17">
        <v>40936</v>
      </c>
      <c r="C4584" s="43">
        <v>2012</v>
      </c>
      <c r="D4584" s="24" t="s">
        <v>141</v>
      </c>
      <c r="E4584" s="30" t="s">
        <v>142</v>
      </c>
      <c r="F4584" s="7" t="s">
        <v>87</v>
      </c>
      <c r="G4584" s="146" t="s">
        <v>4751</v>
      </c>
      <c r="H4584" s="147" t="s">
        <v>6699</v>
      </c>
      <c r="I4584" s="163">
        <v>0</v>
      </c>
      <c r="J4584" s="46">
        <v>3</v>
      </c>
      <c r="K4584" s="46">
        <v>0</v>
      </c>
      <c r="L4584" s="46">
        <v>0</v>
      </c>
      <c r="M4584" s="46">
        <v>0</v>
      </c>
      <c r="N4584" s="46">
        <v>0</v>
      </c>
      <c r="O4584" s="46">
        <v>0</v>
      </c>
      <c r="P4584" s="47">
        <v>1.575</v>
      </c>
      <c r="Q4584" s="27" t="s">
        <v>154</v>
      </c>
      <c r="R4584" s="160"/>
      <c r="S4584" s="164"/>
      <c r="T4584" s="164"/>
    </row>
    <row r="4585" spans="1:20" s="162" customFormat="1" ht="36" x14ac:dyDescent="0.25">
      <c r="A4585" s="17">
        <v>40939</v>
      </c>
      <c r="B4585" s="17">
        <v>40939</v>
      </c>
      <c r="C4585" s="43">
        <v>2012</v>
      </c>
      <c r="D4585" s="35" t="s">
        <v>28</v>
      </c>
      <c r="E4585" s="30" t="s">
        <v>133</v>
      </c>
      <c r="F4585" s="7" t="s">
        <v>97</v>
      </c>
      <c r="G4585" s="146" t="s">
        <v>6700</v>
      </c>
      <c r="H4585" s="147" t="s">
        <v>6701</v>
      </c>
      <c r="I4585" s="163">
        <v>0</v>
      </c>
      <c r="J4585" s="46">
        <v>1</v>
      </c>
      <c r="K4585" s="46">
        <v>0</v>
      </c>
      <c r="L4585" s="46">
        <v>0</v>
      </c>
      <c r="M4585" s="46">
        <v>0</v>
      </c>
      <c r="N4585" s="46">
        <v>0</v>
      </c>
      <c r="O4585" s="46">
        <v>0</v>
      </c>
      <c r="P4585" s="47">
        <v>0</v>
      </c>
      <c r="Q4585" s="27" t="s">
        <v>154</v>
      </c>
      <c r="R4585" s="160"/>
      <c r="S4585" s="164"/>
      <c r="T4585" s="164"/>
    </row>
    <row r="4586" spans="1:20" s="162" customFormat="1" ht="72" x14ac:dyDescent="0.25">
      <c r="A4586" s="17">
        <v>40938</v>
      </c>
      <c r="B4586" s="17">
        <v>40938</v>
      </c>
      <c r="C4586" s="43">
        <v>2012</v>
      </c>
      <c r="D4586" s="35" t="s">
        <v>28</v>
      </c>
      <c r="E4586" s="6" t="s">
        <v>149</v>
      </c>
      <c r="F4586" s="28" t="s">
        <v>163</v>
      </c>
      <c r="G4586" s="146" t="s">
        <v>4202</v>
      </c>
      <c r="H4586" s="147" t="s">
        <v>6702</v>
      </c>
      <c r="I4586" s="163">
        <v>0</v>
      </c>
      <c r="J4586" s="46">
        <v>1</v>
      </c>
      <c r="K4586" s="46">
        <v>0</v>
      </c>
      <c r="L4586" s="46">
        <v>0</v>
      </c>
      <c r="M4586" s="46">
        <v>0</v>
      </c>
      <c r="N4586" s="46">
        <v>0</v>
      </c>
      <c r="O4586" s="46">
        <v>0</v>
      </c>
      <c r="P4586" s="47">
        <v>0</v>
      </c>
      <c r="Q4586" s="27" t="s">
        <v>154</v>
      </c>
      <c r="R4586" s="160"/>
      <c r="S4586" s="164"/>
      <c r="T4586" s="164"/>
    </row>
    <row r="4587" spans="1:20" s="162" customFormat="1" ht="84" x14ac:dyDescent="0.25">
      <c r="A4587" s="17">
        <v>40939</v>
      </c>
      <c r="B4587" s="17">
        <v>40939</v>
      </c>
      <c r="C4587" s="43">
        <v>2012</v>
      </c>
      <c r="D4587" s="351" t="s">
        <v>23</v>
      </c>
      <c r="E4587" s="30" t="s">
        <v>5893</v>
      </c>
      <c r="F4587" s="7" t="s">
        <v>53</v>
      </c>
      <c r="G4587" s="146" t="s">
        <v>6703</v>
      </c>
      <c r="H4587" s="147" t="s">
        <v>6704</v>
      </c>
      <c r="I4587" s="163">
        <v>0</v>
      </c>
      <c r="J4587" s="46">
        <v>170</v>
      </c>
      <c r="K4587" s="46">
        <v>25</v>
      </c>
      <c r="L4587" s="46">
        <v>0</v>
      </c>
      <c r="M4587" s="46">
        <v>0</v>
      </c>
      <c r="N4587" s="46">
        <v>0</v>
      </c>
      <c r="O4587" s="46">
        <v>0</v>
      </c>
      <c r="P4587" s="47">
        <f>(25*28000)/1000000</f>
        <v>0.7</v>
      </c>
      <c r="Q4587" s="27" t="s">
        <v>154</v>
      </c>
      <c r="R4587" s="160"/>
      <c r="S4587" s="164"/>
      <c r="T4587" s="164"/>
    </row>
    <row r="4588" spans="1:20" s="162" customFormat="1" ht="108" x14ac:dyDescent="0.25">
      <c r="A4588" s="17">
        <v>40939</v>
      </c>
      <c r="B4588" s="17">
        <v>40939</v>
      </c>
      <c r="C4588" s="43">
        <v>2012</v>
      </c>
      <c r="D4588" s="351" t="s">
        <v>23</v>
      </c>
      <c r="E4588" s="30" t="s">
        <v>5893</v>
      </c>
      <c r="F4588" s="28" t="s">
        <v>160</v>
      </c>
      <c r="G4588" s="146" t="s">
        <v>6705</v>
      </c>
      <c r="H4588" s="147" t="s">
        <v>6706</v>
      </c>
      <c r="I4588" s="163">
        <v>0</v>
      </c>
      <c r="J4588" s="46">
        <v>12</v>
      </c>
      <c r="K4588" s="46">
        <v>3</v>
      </c>
      <c r="L4588" s="46">
        <v>0</v>
      </c>
      <c r="M4588" s="46">
        <v>0</v>
      </c>
      <c r="N4588" s="46">
        <v>1</v>
      </c>
      <c r="O4588" s="46">
        <v>0</v>
      </c>
      <c r="P4588" s="47">
        <f>(3*28000)/1000000</f>
        <v>8.4000000000000005E-2</v>
      </c>
      <c r="Q4588" s="27" t="s">
        <v>154</v>
      </c>
      <c r="R4588" s="160"/>
      <c r="S4588" s="164"/>
      <c r="T4588" s="164"/>
    </row>
    <row r="4589" spans="1:20" s="162" customFormat="1" ht="60" x14ac:dyDescent="0.25">
      <c r="A4589" s="17">
        <v>40940</v>
      </c>
      <c r="B4589" s="17">
        <v>40940</v>
      </c>
      <c r="C4589" s="43">
        <v>2012</v>
      </c>
      <c r="D4589" s="35" t="s">
        <v>28</v>
      </c>
      <c r="E4589" s="30" t="s">
        <v>133</v>
      </c>
      <c r="F4589" s="28" t="s">
        <v>210</v>
      </c>
      <c r="G4589" s="146" t="s">
        <v>6707</v>
      </c>
      <c r="H4589" s="147" t="s">
        <v>6708</v>
      </c>
      <c r="I4589" s="163">
        <v>0</v>
      </c>
      <c r="J4589" s="46">
        <v>5</v>
      </c>
      <c r="K4589" s="46">
        <v>0</v>
      </c>
      <c r="L4589" s="46">
        <v>0</v>
      </c>
      <c r="M4589" s="46">
        <v>0</v>
      </c>
      <c r="N4589" s="46">
        <v>0</v>
      </c>
      <c r="O4589" s="46">
        <v>0</v>
      </c>
      <c r="P4589" s="47">
        <v>0</v>
      </c>
      <c r="Q4589" s="27" t="s">
        <v>154</v>
      </c>
      <c r="R4589" s="160"/>
      <c r="S4589" s="164"/>
      <c r="T4589" s="164"/>
    </row>
    <row r="4590" spans="1:20" s="162" customFormat="1" ht="132" x14ac:dyDescent="0.25">
      <c r="A4590" s="17">
        <v>40940</v>
      </c>
      <c r="B4590" s="17">
        <v>40940</v>
      </c>
      <c r="C4590" s="43">
        <v>2012</v>
      </c>
      <c r="D4590" s="35" t="s">
        <v>28</v>
      </c>
      <c r="E4590" s="30" t="s">
        <v>125</v>
      </c>
      <c r="F4590" s="7" t="s">
        <v>72</v>
      </c>
      <c r="G4590" s="146" t="s">
        <v>6709</v>
      </c>
      <c r="H4590" s="147" t="s">
        <v>6710</v>
      </c>
      <c r="I4590" s="163">
        <v>0</v>
      </c>
      <c r="J4590" s="46">
        <v>300</v>
      </c>
      <c r="K4590" s="46">
        <v>0</v>
      </c>
      <c r="L4590" s="46">
        <v>0</v>
      </c>
      <c r="M4590" s="46">
        <v>0</v>
      </c>
      <c r="N4590" s="46">
        <v>0</v>
      </c>
      <c r="O4590" s="46">
        <v>0</v>
      </c>
      <c r="P4590" s="47">
        <v>0</v>
      </c>
      <c r="Q4590" s="27" t="s">
        <v>154</v>
      </c>
      <c r="R4590" s="160"/>
      <c r="S4590" s="164"/>
      <c r="T4590" s="164"/>
    </row>
    <row r="4591" spans="1:20" s="162" customFormat="1" ht="72" x14ac:dyDescent="0.25">
      <c r="A4591" s="17">
        <v>40941</v>
      </c>
      <c r="B4591" s="17">
        <v>40941</v>
      </c>
      <c r="C4591" s="43">
        <v>2012</v>
      </c>
      <c r="D4591" s="35" t="s">
        <v>28</v>
      </c>
      <c r="E4591" s="30" t="s">
        <v>136</v>
      </c>
      <c r="F4591" s="7" t="s">
        <v>53</v>
      </c>
      <c r="G4591" s="146" t="s">
        <v>6711</v>
      </c>
      <c r="H4591" s="147" t="s">
        <v>6712</v>
      </c>
      <c r="I4591" s="163">
        <v>2</v>
      </c>
      <c r="J4591" s="46">
        <v>8</v>
      </c>
      <c r="K4591" s="46">
        <v>0</v>
      </c>
      <c r="L4591" s="46">
        <v>0</v>
      </c>
      <c r="M4591" s="46">
        <v>0</v>
      </c>
      <c r="N4591" s="46">
        <v>0</v>
      </c>
      <c r="O4591" s="46">
        <v>0</v>
      </c>
      <c r="P4591" s="47">
        <v>0</v>
      </c>
      <c r="Q4591" s="27" t="s">
        <v>154</v>
      </c>
      <c r="R4591" s="160"/>
      <c r="S4591" s="164"/>
      <c r="T4591" s="164"/>
    </row>
    <row r="4592" spans="1:20" s="162" customFormat="1" ht="144" x14ac:dyDescent="0.25">
      <c r="A4592" s="17">
        <v>40944</v>
      </c>
      <c r="B4592" s="17">
        <v>40944</v>
      </c>
      <c r="C4592" s="43">
        <v>2012</v>
      </c>
      <c r="D4592" s="35" t="s">
        <v>28</v>
      </c>
      <c r="E4592" s="30" t="s">
        <v>133</v>
      </c>
      <c r="F4592" s="7" t="s">
        <v>53</v>
      </c>
      <c r="G4592" s="146" t="s">
        <v>878</v>
      </c>
      <c r="H4592" s="147" t="s">
        <v>6713</v>
      </c>
      <c r="I4592" s="163">
        <v>0</v>
      </c>
      <c r="J4592" s="46">
        <v>16</v>
      </c>
      <c r="K4592" s="46">
        <v>4</v>
      </c>
      <c r="L4592" s="46">
        <v>0</v>
      </c>
      <c r="M4592" s="46">
        <v>0</v>
      </c>
      <c r="N4592" s="46">
        <v>0</v>
      </c>
      <c r="O4592" s="46">
        <v>0</v>
      </c>
      <c r="P4592" s="47">
        <f>((120000)+(3*28000)+(39690*2))/1000000</f>
        <v>0.28338000000000002</v>
      </c>
      <c r="Q4592" s="27" t="s">
        <v>154</v>
      </c>
      <c r="R4592" s="160"/>
      <c r="S4592" s="164"/>
      <c r="T4592" s="164"/>
    </row>
    <row r="4593" spans="1:20" s="162" customFormat="1" ht="144" x14ac:dyDescent="0.25">
      <c r="A4593" s="17">
        <v>40945</v>
      </c>
      <c r="B4593" s="17">
        <v>40945</v>
      </c>
      <c r="C4593" s="43">
        <v>2012</v>
      </c>
      <c r="D4593" s="35" t="s">
        <v>28</v>
      </c>
      <c r="E4593" s="6" t="s">
        <v>149</v>
      </c>
      <c r="F4593" s="7" t="s">
        <v>68</v>
      </c>
      <c r="G4593" s="146" t="s">
        <v>1121</v>
      </c>
      <c r="H4593" s="147" t="s">
        <v>6714</v>
      </c>
      <c r="I4593" s="163">
        <v>0</v>
      </c>
      <c r="J4593" s="46">
        <v>52</v>
      </c>
      <c r="K4593" s="46">
        <v>0</v>
      </c>
      <c r="L4593" s="46">
        <v>0</v>
      </c>
      <c r="M4593" s="46">
        <v>0</v>
      </c>
      <c r="N4593" s="46">
        <v>0</v>
      </c>
      <c r="O4593" s="46">
        <v>0</v>
      </c>
      <c r="P4593" s="47">
        <v>0</v>
      </c>
      <c r="Q4593" s="27" t="s">
        <v>154</v>
      </c>
      <c r="R4593" s="160"/>
      <c r="S4593" s="164"/>
      <c r="T4593" s="164"/>
    </row>
    <row r="4594" spans="1:20" s="162" customFormat="1" ht="204" x14ac:dyDescent="0.25">
      <c r="A4594" s="17">
        <v>40946</v>
      </c>
      <c r="B4594" s="17">
        <v>40946</v>
      </c>
      <c r="C4594" s="43">
        <v>2012</v>
      </c>
      <c r="D4594" s="24" t="s">
        <v>130</v>
      </c>
      <c r="E4594" s="30" t="s">
        <v>136</v>
      </c>
      <c r="F4594" s="7" t="s">
        <v>58</v>
      </c>
      <c r="G4594" s="146" t="s">
        <v>6715</v>
      </c>
      <c r="H4594" s="147" t="s">
        <v>6716</v>
      </c>
      <c r="I4594" s="163">
        <v>0</v>
      </c>
      <c r="J4594" s="46">
        <v>880</v>
      </c>
      <c r="K4594" s="46">
        <v>0</v>
      </c>
      <c r="L4594" s="46">
        <v>0</v>
      </c>
      <c r="M4594" s="46">
        <v>0</v>
      </c>
      <c r="N4594" s="46">
        <v>0</v>
      </c>
      <c r="O4594" s="46">
        <v>0</v>
      </c>
      <c r="P4594" s="47">
        <f>((152*71)+(100*208))/1000000</f>
        <v>3.1592000000000002E-2</v>
      </c>
      <c r="Q4594" s="27" t="s">
        <v>154</v>
      </c>
      <c r="R4594" s="160"/>
      <c r="S4594" s="164"/>
      <c r="T4594" s="164"/>
    </row>
    <row r="4595" spans="1:20" s="162" customFormat="1" ht="132" x14ac:dyDescent="0.25">
      <c r="A4595" s="17">
        <v>40947</v>
      </c>
      <c r="B4595" s="17">
        <v>40947</v>
      </c>
      <c r="C4595" s="43">
        <v>2012</v>
      </c>
      <c r="D4595" s="24" t="s">
        <v>141</v>
      </c>
      <c r="E4595" s="30" t="s">
        <v>142</v>
      </c>
      <c r="F4595" s="7" t="s">
        <v>53</v>
      </c>
      <c r="G4595" s="146" t="s">
        <v>6691</v>
      </c>
      <c r="H4595" s="147" t="s">
        <v>6717</v>
      </c>
      <c r="I4595" s="163">
        <v>0</v>
      </c>
      <c r="J4595" s="46">
        <v>20</v>
      </c>
      <c r="K4595" s="46">
        <v>0</v>
      </c>
      <c r="L4595" s="46">
        <v>0</v>
      </c>
      <c r="M4595" s="46">
        <v>0</v>
      </c>
      <c r="N4595" s="46">
        <v>0</v>
      </c>
      <c r="O4595" s="46">
        <v>0</v>
      </c>
      <c r="P4595" s="47">
        <v>0.42</v>
      </c>
      <c r="Q4595" s="27" t="s">
        <v>154</v>
      </c>
      <c r="R4595" s="160"/>
      <c r="S4595" s="164"/>
      <c r="T4595" s="164"/>
    </row>
    <row r="4596" spans="1:20" s="162" customFormat="1" ht="108" x14ac:dyDescent="0.25">
      <c r="A4596" s="17">
        <v>40951</v>
      </c>
      <c r="B4596" s="17">
        <v>40951</v>
      </c>
      <c r="C4596" s="43">
        <v>2012</v>
      </c>
      <c r="D4596" s="24" t="s">
        <v>141</v>
      </c>
      <c r="E4596" s="30" t="s">
        <v>142</v>
      </c>
      <c r="F4596" s="7" t="s">
        <v>56</v>
      </c>
      <c r="G4596" s="146" t="s">
        <v>351</v>
      </c>
      <c r="H4596" s="147" t="s">
        <v>6718</v>
      </c>
      <c r="I4596" s="163">
        <v>2</v>
      </c>
      <c r="J4596" s="46">
        <v>32</v>
      </c>
      <c r="K4596" s="46">
        <v>0</v>
      </c>
      <c r="L4596" s="46">
        <v>0</v>
      </c>
      <c r="M4596" s="46">
        <v>0</v>
      </c>
      <c r="N4596" s="46">
        <v>0</v>
      </c>
      <c r="O4596" s="46">
        <v>0</v>
      </c>
      <c r="P4596" s="47">
        <f>((420000)+(39690*2))/1000000</f>
        <v>0.49937999999999999</v>
      </c>
      <c r="Q4596" s="27" t="s">
        <v>154</v>
      </c>
      <c r="R4596" s="160"/>
      <c r="S4596" s="164"/>
      <c r="T4596" s="164"/>
    </row>
    <row r="4597" spans="1:20" s="162" customFormat="1" ht="132" x14ac:dyDescent="0.25">
      <c r="A4597" s="17">
        <v>40952</v>
      </c>
      <c r="B4597" s="17">
        <v>40940</v>
      </c>
      <c r="C4597" s="43">
        <v>2012</v>
      </c>
      <c r="D4597" s="35" t="s">
        <v>28</v>
      </c>
      <c r="E4597" s="6" t="s">
        <v>369</v>
      </c>
      <c r="F4597" s="7" t="s">
        <v>87</v>
      </c>
      <c r="G4597" s="146" t="s">
        <v>2608</v>
      </c>
      <c r="H4597" s="147" t="s">
        <v>6719</v>
      </c>
      <c r="I4597" s="163">
        <v>0</v>
      </c>
      <c r="J4597" s="46">
        <v>350</v>
      </c>
      <c r="K4597" s="46">
        <v>0</v>
      </c>
      <c r="L4597" s="46">
        <v>0</v>
      </c>
      <c r="M4597" s="46">
        <v>0</v>
      </c>
      <c r="N4597" s="46">
        <v>0</v>
      </c>
      <c r="O4597" s="46">
        <v>0</v>
      </c>
      <c r="P4597" s="47">
        <v>0.2</v>
      </c>
      <c r="Q4597" s="27" t="s">
        <v>154</v>
      </c>
      <c r="R4597" s="160"/>
      <c r="S4597" s="164"/>
      <c r="T4597" s="164"/>
    </row>
    <row r="4598" spans="1:20" s="162" customFormat="1" ht="132" x14ac:dyDescent="0.25">
      <c r="A4598" s="17">
        <v>40952</v>
      </c>
      <c r="B4598" s="17">
        <v>40952</v>
      </c>
      <c r="C4598" s="43">
        <v>2012</v>
      </c>
      <c r="D4598" s="24" t="s">
        <v>141</v>
      </c>
      <c r="E4598" s="30" t="s">
        <v>142</v>
      </c>
      <c r="F4598" s="7" t="s">
        <v>101</v>
      </c>
      <c r="G4598" s="146" t="s">
        <v>6720</v>
      </c>
      <c r="H4598" s="147" t="s">
        <v>6721</v>
      </c>
      <c r="I4598" s="163">
        <v>0</v>
      </c>
      <c r="J4598" s="46">
        <v>30</v>
      </c>
      <c r="K4598" s="46">
        <v>0</v>
      </c>
      <c r="L4598" s="46">
        <v>0</v>
      </c>
      <c r="M4598" s="46">
        <v>0</v>
      </c>
      <c r="N4598" s="46">
        <v>0</v>
      </c>
      <c r="O4598" s="46">
        <v>0</v>
      </c>
      <c r="P4598" s="47">
        <v>0.42</v>
      </c>
      <c r="Q4598" s="27" t="s">
        <v>154</v>
      </c>
      <c r="R4598" s="160"/>
      <c r="S4598" s="164"/>
      <c r="T4598" s="164"/>
    </row>
    <row r="4599" spans="1:20" s="162" customFormat="1" ht="144" x14ac:dyDescent="0.25">
      <c r="A4599" s="17">
        <v>40953</v>
      </c>
      <c r="B4599" s="17">
        <v>40953</v>
      </c>
      <c r="C4599" s="43">
        <v>2012</v>
      </c>
      <c r="D4599" s="24" t="s">
        <v>141</v>
      </c>
      <c r="E4599" s="30" t="s">
        <v>142</v>
      </c>
      <c r="F4599" s="7" t="s">
        <v>68</v>
      </c>
      <c r="G4599" s="146" t="s">
        <v>4249</v>
      </c>
      <c r="H4599" s="147" t="s">
        <v>6722</v>
      </c>
      <c r="I4599" s="163">
        <v>0</v>
      </c>
      <c r="J4599" s="46">
        <v>17</v>
      </c>
      <c r="K4599" s="46">
        <v>0</v>
      </c>
      <c r="L4599" s="46">
        <v>0</v>
      </c>
      <c r="M4599" s="46">
        <v>0</v>
      </c>
      <c r="N4599" s="46">
        <v>0</v>
      </c>
      <c r="O4599" s="46">
        <v>0</v>
      </c>
      <c r="P4599" s="47">
        <v>0.42</v>
      </c>
      <c r="Q4599" s="27" t="s">
        <v>154</v>
      </c>
      <c r="R4599" s="160"/>
      <c r="S4599" s="164"/>
      <c r="T4599" s="164"/>
    </row>
    <row r="4600" spans="1:20" s="162" customFormat="1" ht="84" x14ac:dyDescent="0.25">
      <c r="A4600" s="17">
        <v>40953</v>
      </c>
      <c r="B4600" s="17">
        <v>40953</v>
      </c>
      <c r="C4600" s="43">
        <v>2012</v>
      </c>
      <c r="D4600" s="35" t="s">
        <v>28</v>
      </c>
      <c r="E4600" s="30" t="s">
        <v>133</v>
      </c>
      <c r="F4600" s="7" t="s">
        <v>53</v>
      </c>
      <c r="G4600" s="146" t="s">
        <v>2975</v>
      </c>
      <c r="H4600" s="147" t="s">
        <v>6723</v>
      </c>
      <c r="I4600" s="163">
        <v>1</v>
      </c>
      <c r="J4600" s="46">
        <v>2</v>
      </c>
      <c r="K4600" s="46">
        <v>0</v>
      </c>
      <c r="L4600" s="46">
        <v>0</v>
      </c>
      <c r="M4600" s="46">
        <v>0</v>
      </c>
      <c r="N4600" s="46">
        <v>1</v>
      </c>
      <c r="O4600" s="46">
        <v>0</v>
      </c>
      <c r="P4600" s="47">
        <v>0</v>
      </c>
      <c r="Q4600" s="27" t="s">
        <v>154</v>
      </c>
      <c r="R4600" s="160"/>
      <c r="S4600" s="164"/>
      <c r="T4600" s="164"/>
    </row>
    <row r="4601" spans="1:20" s="162" customFormat="1" ht="132" x14ac:dyDescent="0.25">
      <c r="A4601" s="17">
        <v>40954</v>
      </c>
      <c r="B4601" s="17">
        <v>40954</v>
      </c>
      <c r="C4601" s="43">
        <v>2012</v>
      </c>
      <c r="D4601" s="24" t="s">
        <v>141</v>
      </c>
      <c r="E4601" s="30" t="s">
        <v>142</v>
      </c>
      <c r="F4601" s="7" t="s">
        <v>56</v>
      </c>
      <c r="G4601" s="146" t="s">
        <v>1638</v>
      </c>
      <c r="H4601" s="147" t="s">
        <v>6724</v>
      </c>
      <c r="I4601" s="163">
        <v>4</v>
      </c>
      <c r="J4601" s="46">
        <v>8</v>
      </c>
      <c r="K4601" s="46">
        <v>0</v>
      </c>
      <c r="L4601" s="46">
        <v>0</v>
      </c>
      <c r="M4601" s="46">
        <v>0</v>
      </c>
      <c r="N4601" s="46">
        <v>0</v>
      </c>
      <c r="O4601" s="46">
        <v>0</v>
      </c>
      <c r="P4601" s="47">
        <v>0.42</v>
      </c>
      <c r="Q4601" s="27" t="s">
        <v>154</v>
      </c>
      <c r="R4601" s="160"/>
      <c r="S4601" s="164"/>
      <c r="T4601" s="164"/>
    </row>
    <row r="4602" spans="1:20" s="162" customFormat="1" ht="156" x14ac:dyDescent="0.25">
      <c r="A4602" s="17">
        <v>40954</v>
      </c>
      <c r="B4602" s="17">
        <v>40954</v>
      </c>
      <c r="C4602" s="43">
        <v>2012</v>
      </c>
      <c r="D4602" s="24" t="s">
        <v>141</v>
      </c>
      <c r="E4602" s="30" t="s">
        <v>142</v>
      </c>
      <c r="F4602" s="28" t="s">
        <v>210</v>
      </c>
      <c r="G4602" s="146" t="s">
        <v>5762</v>
      </c>
      <c r="H4602" s="147" t="s">
        <v>6725</v>
      </c>
      <c r="I4602" s="163">
        <v>0</v>
      </c>
      <c r="J4602" s="46">
        <v>18</v>
      </c>
      <c r="K4602" s="46">
        <v>0</v>
      </c>
      <c r="L4602" s="46">
        <v>0</v>
      </c>
      <c r="M4602" s="46">
        <v>0</v>
      </c>
      <c r="N4602" s="46">
        <v>0</v>
      </c>
      <c r="O4602" s="46">
        <v>0</v>
      </c>
      <c r="P4602" s="47">
        <f>(420000+288750)/1000000</f>
        <v>0.70874999999999999</v>
      </c>
      <c r="Q4602" s="27" t="s">
        <v>154</v>
      </c>
      <c r="R4602" s="160"/>
      <c r="S4602" s="164"/>
      <c r="T4602" s="164"/>
    </row>
    <row r="4603" spans="1:20" s="162" customFormat="1" ht="72" x14ac:dyDescent="0.25">
      <c r="A4603" s="17">
        <v>40954</v>
      </c>
      <c r="B4603" s="17">
        <v>40954</v>
      </c>
      <c r="C4603" s="43">
        <v>2012</v>
      </c>
      <c r="D4603" s="24" t="s">
        <v>141</v>
      </c>
      <c r="E4603" s="30" t="s">
        <v>142</v>
      </c>
      <c r="F4603" s="7" t="s">
        <v>60</v>
      </c>
      <c r="G4603" s="146" t="s">
        <v>1163</v>
      </c>
      <c r="H4603" s="147" t="s">
        <v>6726</v>
      </c>
      <c r="I4603" s="163">
        <v>1</v>
      </c>
      <c r="J4603" s="46">
        <v>10</v>
      </c>
      <c r="K4603" s="46">
        <v>0</v>
      </c>
      <c r="L4603" s="46">
        <v>0</v>
      </c>
      <c r="M4603" s="46">
        <v>0</v>
      </c>
      <c r="N4603" s="46">
        <v>0</v>
      </c>
      <c r="O4603" s="46">
        <v>0</v>
      </c>
      <c r="P4603" s="47">
        <v>0.42</v>
      </c>
      <c r="Q4603" s="27" t="s">
        <v>154</v>
      </c>
      <c r="R4603" s="160"/>
      <c r="S4603" s="164"/>
      <c r="T4603" s="164"/>
    </row>
    <row r="4604" spans="1:20" s="162" customFormat="1" ht="120" x14ac:dyDescent="0.25">
      <c r="A4604" s="17">
        <v>40957</v>
      </c>
      <c r="B4604" s="17">
        <v>40957</v>
      </c>
      <c r="C4604" s="43">
        <v>2012</v>
      </c>
      <c r="D4604" s="35" t="s">
        <v>28</v>
      </c>
      <c r="E4604" s="6" t="s">
        <v>149</v>
      </c>
      <c r="F4604" s="7" t="s">
        <v>82</v>
      </c>
      <c r="G4604" s="146" t="s">
        <v>3981</v>
      </c>
      <c r="H4604" s="147" t="s">
        <v>6727</v>
      </c>
      <c r="I4604" s="163">
        <v>0</v>
      </c>
      <c r="J4604" s="46">
        <v>3</v>
      </c>
      <c r="K4604" s="46">
        <v>0</v>
      </c>
      <c r="L4604" s="46">
        <v>0</v>
      </c>
      <c r="M4604" s="46">
        <v>0</v>
      </c>
      <c r="N4604" s="46">
        <v>0</v>
      </c>
      <c r="O4604" s="46">
        <v>0</v>
      </c>
      <c r="P4604" s="47">
        <f>((30000*11.28)+(472500))/1000000</f>
        <v>0.81089999999999995</v>
      </c>
      <c r="Q4604" s="27" t="s">
        <v>154</v>
      </c>
      <c r="R4604" s="160"/>
      <c r="S4604" s="164"/>
      <c r="T4604" s="164"/>
    </row>
    <row r="4605" spans="1:20" s="162" customFormat="1" ht="168" x14ac:dyDescent="0.25">
      <c r="A4605" s="17">
        <v>40960</v>
      </c>
      <c r="B4605" s="17">
        <v>40960</v>
      </c>
      <c r="C4605" s="43">
        <v>2012</v>
      </c>
      <c r="D4605" s="24" t="s">
        <v>141</v>
      </c>
      <c r="E4605" s="30" t="s">
        <v>142</v>
      </c>
      <c r="F4605" s="7" t="s">
        <v>60</v>
      </c>
      <c r="G4605" s="146" t="s">
        <v>705</v>
      </c>
      <c r="H4605" s="147" t="s">
        <v>6728</v>
      </c>
      <c r="I4605" s="163">
        <v>2</v>
      </c>
      <c r="J4605" s="46">
        <v>33</v>
      </c>
      <c r="K4605" s="46">
        <v>0</v>
      </c>
      <c r="L4605" s="46">
        <v>0</v>
      </c>
      <c r="M4605" s="46">
        <v>0</v>
      </c>
      <c r="N4605" s="46">
        <v>0</v>
      </c>
      <c r="O4605" s="46">
        <v>0</v>
      </c>
      <c r="P4605" s="47">
        <f>(420000+39690)/1000000</f>
        <v>0.45968999999999999</v>
      </c>
      <c r="Q4605" s="27" t="s">
        <v>154</v>
      </c>
      <c r="R4605" s="160"/>
      <c r="S4605" s="164"/>
      <c r="T4605" s="164"/>
    </row>
    <row r="4606" spans="1:20" s="162" customFormat="1" ht="96" x14ac:dyDescent="0.25">
      <c r="A4606" s="17">
        <v>40960</v>
      </c>
      <c r="B4606" s="17">
        <v>40960</v>
      </c>
      <c r="C4606" s="43">
        <v>2012</v>
      </c>
      <c r="D4606" s="24" t="s">
        <v>141</v>
      </c>
      <c r="E4606" s="30" t="s">
        <v>142</v>
      </c>
      <c r="F4606" s="7" t="s">
        <v>60</v>
      </c>
      <c r="G4606" s="146" t="s">
        <v>6729</v>
      </c>
      <c r="H4606" s="147" t="s">
        <v>6730</v>
      </c>
      <c r="I4606" s="163">
        <v>2</v>
      </c>
      <c r="J4606" s="46">
        <v>2</v>
      </c>
      <c r="K4606" s="46">
        <v>0</v>
      </c>
      <c r="L4606" s="46">
        <v>0</v>
      </c>
      <c r="M4606" s="46">
        <v>0</v>
      </c>
      <c r="N4606" s="46">
        <v>0</v>
      </c>
      <c r="O4606" s="46">
        <v>0</v>
      </c>
      <c r="P4606" s="47">
        <v>1.575</v>
      </c>
      <c r="Q4606" s="27" t="s">
        <v>154</v>
      </c>
      <c r="R4606" s="160"/>
      <c r="S4606" s="164"/>
      <c r="T4606" s="164"/>
    </row>
    <row r="4607" spans="1:20" s="162" customFormat="1" ht="96" x14ac:dyDescent="0.25">
      <c r="A4607" s="17">
        <v>40961</v>
      </c>
      <c r="B4607" s="17">
        <v>40961</v>
      </c>
      <c r="C4607" s="43">
        <v>2012</v>
      </c>
      <c r="D4607" s="24" t="s">
        <v>141</v>
      </c>
      <c r="E4607" s="30" t="s">
        <v>6731</v>
      </c>
      <c r="F4607" s="28" t="s">
        <v>157</v>
      </c>
      <c r="G4607" s="146" t="s">
        <v>3664</v>
      </c>
      <c r="H4607" s="147" t="s">
        <v>6732</v>
      </c>
      <c r="I4607" s="163">
        <v>1</v>
      </c>
      <c r="J4607" s="46">
        <v>3</v>
      </c>
      <c r="K4607" s="46">
        <v>0</v>
      </c>
      <c r="L4607" s="46">
        <v>0</v>
      </c>
      <c r="M4607" s="46">
        <v>0</v>
      </c>
      <c r="N4607" s="46">
        <v>1</v>
      </c>
      <c r="O4607" s="46">
        <v>0</v>
      </c>
      <c r="P4607" s="47">
        <v>0</v>
      </c>
      <c r="Q4607" s="27" t="s">
        <v>154</v>
      </c>
      <c r="R4607" s="160"/>
      <c r="S4607" s="164"/>
      <c r="T4607" s="164"/>
    </row>
    <row r="4608" spans="1:20" s="162" customFormat="1" ht="108" x14ac:dyDescent="0.25">
      <c r="A4608" s="17">
        <v>40961</v>
      </c>
      <c r="B4608" s="17">
        <v>40961</v>
      </c>
      <c r="C4608" s="43">
        <v>2012</v>
      </c>
      <c r="D4608" s="24" t="s">
        <v>141</v>
      </c>
      <c r="E4608" s="30" t="s">
        <v>142</v>
      </c>
      <c r="F4608" s="7" t="s">
        <v>56</v>
      </c>
      <c r="G4608" s="146" t="s">
        <v>56</v>
      </c>
      <c r="H4608" s="147" t="s">
        <v>6733</v>
      </c>
      <c r="I4608" s="163">
        <v>2</v>
      </c>
      <c r="J4608" s="46">
        <v>2</v>
      </c>
      <c r="K4608" s="46">
        <v>0</v>
      </c>
      <c r="L4608" s="46">
        <v>0</v>
      </c>
      <c r="M4608" s="46">
        <v>0</v>
      </c>
      <c r="N4608" s="46">
        <v>0</v>
      </c>
      <c r="O4608" s="46">
        <v>0</v>
      </c>
      <c r="P4608" s="47">
        <f>((420000+39690)+(33000*10.92))/1000000</f>
        <v>0.82004999999999995</v>
      </c>
      <c r="Q4608" s="27" t="s">
        <v>154</v>
      </c>
      <c r="R4608" s="160"/>
      <c r="S4608" s="164"/>
      <c r="T4608" s="164"/>
    </row>
    <row r="4609" spans="1:20" s="162" customFormat="1" ht="84" x14ac:dyDescent="0.25">
      <c r="A4609" s="17">
        <v>40964</v>
      </c>
      <c r="B4609" s="17">
        <v>40964</v>
      </c>
      <c r="C4609" s="43">
        <v>2012</v>
      </c>
      <c r="D4609" s="24" t="s">
        <v>141</v>
      </c>
      <c r="E4609" s="41" t="s">
        <v>1965</v>
      </c>
      <c r="F4609" s="28" t="s">
        <v>157</v>
      </c>
      <c r="G4609" s="146" t="s">
        <v>6734</v>
      </c>
      <c r="H4609" s="147" t="s">
        <v>6735</v>
      </c>
      <c r="I4609" s="163">
        <v>0</v>
      </c>
      <c r="J4609" s="46">
        <v>3</v>
      </c>
      <c r="K4609" s="46">
        <v>0</v>
      </c>
      <c r="L4609" s="46">
        <v>0</v>
      </c>
      <c r="M4609" s="46">
        <v>0</v>
      </c>
      <c r="N4609" s="46">
        <v>0</v>
      </c>
      <c r="O4609" s="46">
        <v>0</v>
      </c>
      <c r="P4609" s="47">
        <v>0</v>
      </c>
      <c r="Q4609" s="27" t="s">
        <v>154</v>
      </c>
      <c r="R4609" s="160"/>
      <c r="S4609" s="164"/>
      <c r="T4609" s="164"/>
    </row>
    <row r="4610" spans="1:20" s="162" customFormat="1" ht="96" x14ac:dyDescent="0.25">
      <c r="A4610" s="23">
        <v>40964</v>
      </c>
      <c r="B4610" s="23">
        <v>40964</v>
      </c>
      <c r="C4610" s="43">
        <v>2012</v>
      </c>
      <c r="D4610" s="24" t="s">
        <v>141</v>
      </c>
      <c r="E4610" s="30" t="s">
        <v>142</v>
      </c>
      <c r="F4610" s="7" t="s">
        <v>45</v>
      </c>
      <c r="G4610" s="146" t="s">
        <v>4108</v>
      </c>
      <c r="H4610" s="147" t="s">
        <v>6736</v>
      </c>
      <c r="I4610" s="163">
        <v>1</v>
      </c>
      <c r="J4610" s="46">
        <v>1</v>
      </c>
      <c r="K4610" s="46">
        <v>0</v>
      </c>
      <c r="L4610" s="46">
        <v>0</v>
      </c>
      <c r="M4610" s="46">
        <v>0</v>
      </c>
      <c r="N4610" s="46">
        <v>0</v>
      </c>
      <c r="O4610" s="46">
        <v>0</v>
      </c>
      <c r="P4610" s="47">
        <v>1.575</v>
      </c>
      <c r="Q4610" s="27" t="s">
        <v>154</v>
      </c>
      <c r="R4610" s="160"/>
      <c r="S4610" s="164"/>
      <c r="T4610" s="164"/>
    </row>
    <row r="4611" spans="1:20" s="162" customFormat="1" ht="72" x14ac:dyDescent="0.25">
      <c r="A4611" s="17">
        <v>40966</v>
      </c>
      <c r="B4611" s="17">
        <v>40966</v>
      </c>
      <c r="C4611" s="43">
        <v>2012</v>
      </c>
      <c r="D4611" s="24" t="s">
        <v>141</v>
      </c>
      <c r="E4611" s="30" t="s">
        <v>142</v>
      </c>
      <c r="F4611" s="7" t="s">
        <v>87</v>
      </c>
      <c r="G4611" s="146" t="s">
        <v>1890</v>
      </c>
      <c r="H4611" s="147" t="s">
        <v>6737</v>
      </c>
      <c r="I4611" s="163">
        <v>0</v>
      </c>
      <c r="J4611" s="46">
        <v>0</v>
      </c>
      <c r="K4611" s="46">
        <v>0</v>
      </c>
      <c r="L4611" s="46">
        <v>0</v>
      </c>
      <c r="M4611" s="46">
        <v>0</v>
      </c>
      <c r="N4611" s="46">
        <v>0</v>
      </c>
      <c r="O4611" s="46">
        <v>0</v>
      </c>
      <c r="P4611" s="47">
        <f>((472500)+(44000*11.28))/1000000</f>
        <v>0.96882000000000001</v>
      </c>
      <c r="Q4611" s="27" t="s">
        <v>154</v>
      </c>
      <c r="R4611" s="160"/>
      <c r="S4611" s="164"/>
      <c r="T4611" s="164"/>
    </row>
    <row r="4612" spans="1:20" s="162" customFormat="1" ht="144" x14ac:dyDescent="0.25">
      <c r="A4612" s="17">
        <v>40968</v>
      </c>
      <c r="B4612" s="17">
        <v>40968</v>
      </c>
      <c r="C4612" s="43">
        <v>2012</v>
      </c>
      <c r="D4612" s="35" t="s">
        <v>28</v>
      </c>
      <c r="E4612" s="6" t="s">
        <v>149</v>
      </c>
      <c r="F4612" s="7" t="s">
        <v>40</v>
      </c>
      <c r="G4612" s="146" t="s">
        <v>3351</v>
      </c>
      <c r="H4612" s="147" t="s">
        <v>6738</v>
      </c>
      <c r="I4612" s="163">
        <v>0</v>
      </c>
      <c r="J4612" s="46">
        <v>3003</v>
      </c>
      <c r="K4612" s="46">
        <v>0</v>
      </c>
      <c r="L4612" s="46">
        <v>0</v>
      </c>
      <c r="M4612" s="46">
        <v>0</v>
      </c>
      <c r="N4612" s="46">
        <v>1</v>
      </c>
      <c r="O4612" s="46">
        <v>0</v>
      </c>
      <c r="P4612" s="47">
        <v>0</v>
      </c>
      <c r="Q4612" s="27" t="s">
        <v>154</v>
      </c>
      <c r="R4612" s="160"/>
      <c r="S4612" s="164"/>
      <c r="T4612" s="164"/>
    </row>
    <row r="4613" spans="1:20" s="162" customFormat="1" ht="72" x14ac:dyDescent="0.25">
      <c r="A4613" s="17">
        <v>40971</v>
      </c>
      <c r="B4613" s="17">
        <v>40971</v>
      </c>
      <c r="C4613" s="43">
        <v>2012</v>
      </c>
      <c r="D4613" s="24" t="s">
        <v>141</v>
      </c>
      <c r="E4613" s="30" t="s">
        <v>6731</v>
      </c>
      <c r="F4613" s="7" t="s">
        <v>36</v>
      </c>
      <c r="G4613" s="146" t="s">
        <v>3747</v>
      </c>
      <c r="H4613" s="146" t="s">
        <v>6739</v>
      </c>
      <c r="I4613" s="163">
        <v>2</v>
      </c>
      <c r="J4613" s="46">
        <v>5</v>
      </c>
      <c r="K4613" s="46">
        <v>0</v>
      </c>
      <c r="L4613" s="46">
        <v>0</v>
      </c>
      <c r="M4613" s="46">
        <v>0</v>
      </c>
      <c r="N4613" s="46">
        <v>0</v>
      </c>
      <c r="O4613" s="46">
        <v>0</v>
      </c>
      <c r="P4613" s="47">
        <v>0</v>
      </c>
      <c r="Q4613" s="27" t="s">
        <v>154</v>
      </c>
      <c r="R4613" s="160"/>
      <c r="S4613" s="164"/>
      <c r="T4613" s="164"/>
    </row>
    <row r="4614" spans="1:20" s="162" customFormat="1" ht="60" x14ac:dyDescent="0.25">
      <c r="A4614" s="17">
        <v>40971</v>
      </c>
      <c r="B4614" s="17">
        <v>40971</v>
      </c>
      <c r="C4614" s="43">
        <v>2012</v>
      </c>
      <c r="D4614" s="35" t="s">
        <v>28</v>
      </c>
      <c r="E4614" s="30" t="s">
        <v>133</v>
      </c>
      <c r="F4614" s="7" t="s">
        <v>68</v>
      </c>
      <c r="G4614" s="146" t="s">
        <v>4249</v>
      </c>
      <c r="H4614" s="147" t="s">
        <v>6740</v>
      </c>
      <c r="I4614" s="163">
        <v>1</v>
      </c>
      <c r="J4614" s="46">
        <v>2</v>
      </c>
      <c r="K4614" s="46">
        <v>0</v>
      </c>
      <c r="L4614" s="46">
        <v>0</v>
      </c>
      <c r="M4614" s="46">
        <v>0</v>
      </c>
      <c r="N4614" s="46">
        <v>0</v>
      </c>
      <c r="O4614" s="46">
        <v>0</v>
      </c>
      <c r="P4614" s="47">
        <v>0</v>
      </c>
      <c r="Q4614" s="27" t="s">
        <v>154</v>
      </c>
      <c r="R4614" s="160"/>
      <c r="S4614" s="164"/>
      <c r="T4614" s="164"/>
    </row>
    <row r="4615" spans="1:20" s="162" customFormat="1" ht="144" x14ac:dyDescent="0.25">
      <c r="A4615" s="17">
        <v>40971</v>
      </c>
      <c r="B4615" s="17">
        <v>40971</v>
      </c>
      <c r="C4615" s="43">
        <v>2012</v>
      </c>
      <c r="D4615" s="24" t="s">
        <v>141</v>
      </c>
      <c r="E4615" s="30" t="s">
        <v>142</v>
      </c>
      <c r="F4615" s="7" t="s">
        <v>82</v>
      </c>
      <c r="G4615" s="146" t="s">
        <v>3981</v>
      </c>
      <c r="H4615" s="147" t="s">
        <v>6741</v>
      </c>
      <c r="I4615" s="163">
        <v>4</v>
      </c>
      <c r="J4615" s="46">
        <v>24</v>
      </c>
      <c r="K4615" s="46">
        <v>0</v>
      </c>
      <c r="L4615" s="46">
        <v>0</v>
      </c>
      <c r="M4615" s="46">
        <v>0</v>
      </c>
      <c r="N4615" s="46">
        <v>0</v>
      </c>
      <c r="O4615" s="46">
        <v>0</v>
      </c>
      <c r="P4615" s="47">
        <v>0.70874999999999999</v>
      </c>
      <c r="Q4615" s="27" t="s">
        <v>154</v>
      </c>
      <c r="R4615" s="160"/>
      <c r="S4615" s="164"/>
      <c r="T4615" s="164"/>
    </row>
    <row r="4616" spans="1:20" s="162" customFormat="1" ht="144" x14ac:dyDescent="0.25">
      <c r="A4616" s="17">
        <v>40972</v>
      </c>
      <c r="B4616" s="17">
        <v>40972</v>
      </c>
      <c r="C4616" s="43">
        <v>2012</v>
      </c>
      <c r="D4616" s="24" t="s">
        <v>141</v>
      </c>
      <c r="E4616" s="30" t="s">
        <v>142</v>
      </c>
      <c r="F4616" s="7" t="s">
        <v>58</v>
      </c>
      <c r="G4616" s="146" t="s">
        <v>6742</v>
      </c>
      <c r="H4616" s="147" t="s">
        <v>6743</v>
      </c>
      <c r="I4616" s="163">
        <v>0</v>
      </c>
      <c r="J4616" s="46">
        <v>8</v>
      </c>
      <c r="K4616" s="46">
        <v>0</v>
      </c>
      <c r="L4616" s="46">
        <v>0</v>
      </c>
      <c r="M4616" s="46">
        <v>0</v>
      </c>
      <c r="N4616" s="46">
        <v>0</v>
      </c>
      <c r="O4616" s="46">
        <v>0</v>
      </c>
      <c r="P4616" s="47">
        <v>0.42</v>
      </c>
      <c r="Q4616" s="27" t="s">
        <v>154</v>
      </c>
      <c r="R4616" s="160"/>
      <c r="S4616" s="164"/>
      <c r="T4616" s="164"/>
    </row>
    <row r="4617" spans="1:20" s="162" customFormat="1" ht="156" x14ac:dyDescent="0.25">
      <c r="A4617" s="17">
        <v>40973</v>
      </c>
      <c r="B4617" s="17">
        <v>40973</v>
      </c>
      <c r="C4617" s="43">
        <v>2012</v>
      </c>
      <c r="D4617" s="24" t="s">
        <v>141</v>
      </c>
      <c r="E4617" s="30" t="s">
        <v>142</v>
      </c>
      <c r="F4617" s="7" t="s">
        <v>56</v>
      </c>
      <c r="G4617" s="146" t="s">
        <v>2906</v>
      </c>
      <c r="H4617" s="147" t="s">
        <v>6744</v>
      </c>
      <c r="I4617" s="163">
        <v>0</v>
      </c>
      <c r="J4617" s="46">
        <v>152</v>
      </c>
      <c r="K4617" s="46">
        <v>0</v>
      </c>
      <c r="L4617" s="46">
        <v>0</v>
      </c>
      <c r="M4617" s="46">
        <v>0</v>
      </c>
      <c r="N4617" s="46">
        <v>1</v>
      </c>
      <c r="O4617" s="46">
        <v>0</v>
      </c>
      <c r="P4617" s="47">
        <v>0</v>
      </c>
      <c r="Q4617" s="27" t="s">
        <v>154</v>
      </c>
      <c r="R4617" s="160"/>
      <c r="S4617" s="164"/>
      <c r="T4617" s="164"/>
    </row>
    <row r="4618" spans="1:20" s="162" customFormat="1" ht="108" x14ac:dyDescent="0.25">
      <c r="A4618" s="21">
        <v>40974</v>
      </c>
      <c r="B4618" s="21">
        <v>40974</v>
      </c>
      <c r="C4618" s="43">
        <v>2012</v>
      </c>
      <c r="D4618" s="24" t="s">
        <v>141</v>
      </c>
      <c r="E4618" s="30" t="s">
        <v>142</v>
      </c>
      <c r="F4618" s="28" t="s">
        <v>157</v>
      </c>
      <c r="G4618" s="126" t="s">
        <v>3606</v>
      </c>
      <c r="H4618" s="147" t="s">
        <v>6745</v>
      </c>
      <c r="I4618" s="163">
        <v>0</v>
      </c>
      <c r="J4618" s="46">
        <v>3</v>
      </c>
      <c r="K4618" s="46">
        <v>0</v>
      </c>
      <c r="L4618" s="46">
        <v>0</v>
      </c>
      <c r="M4618" s="46">
        <v>0</v>
      </c>
      <c r="N4618" s="46">
        <v>0</v>
      </c>
      <c r="O4618" s="46">
        <v>0</v>
      </c>
      <c r="P4618" s="47">
        <v>0.42</v>
      </c>
      <c r="Q4618" s="27" t="s">
        <v>154</v>
      </c>
      <c r="R4618" s="160"/>
      <c r="S4618" s="164"/>
      <c r="T4618" s="164"/>
    </row>
    <row r="4619" spans="1:20" s="162" customFormat="1" ht="60" x14ac:dyDescent="0.25">
      <c r="A4619" s="21">
        <v>40974</v>
      </c>
      <c r="B4619" s="17">
        <v>40974</v>
      </c>
      <c r="C4619" s="43">
        <v>2012</v>
      </c>
      <c r="D4619" s="24" t="s">
        <v>141</v>
      </c>
      <c r="E4619" s="30" t="s">
        <v>142</v>
      </c>
      <c r="F4619" s="7" t="s">
        <v>87</v>
      </c>
      <c r="G4619" s="126" t="s">
        <v>1714</v>
      </c>
      <c r="H4619" s="147" t="s">
        <v>6746</v>
      </c>
      <c r="I4619" s="163">
        <v>0</v>
      </c>
      <c r="J4619" s="46">
        <v>2</v>
      </c>
      <c r="K4619" s="46">
        <v>0</v>
      </c>
      <c r="L4619" s="46">
        <v>0</v>
      </c>
      <c r="M4619" s="46">
        <v>0</v>
      </c>
      <c r="N4619" s="46">
        <v>0</v>
      </c>
      <c r="O4619" s="46">
        <v>0</v>
      </c>
      <c r="P4619" s="47">
        <v>0.28875000000000001</v>
      </c>
      <c r="Q4619" s="27" t="s">
        <v>154</v>
      </c>
      <c r="R4619" s="160"/>
      <c r="S4619" s="164"/>
      <c r="T4619" s="164"/>
    </row>
    <row r="4620" spans="1:20" s="162" customFormat="1" ht="108" x14ac:dyDescent="0.25">
      <c r="A4620" s="21">
        <v>40976</v>
      </c>
      <c r="B4620" s="17">
        <v>40976</v>
      </c>
      <c r="C4620" s="43">
        <v>2012</v>
      </c>
      <c r="D4620" s="24" t="s">
        <v>130</v>
      </c>
      <c r="E4620" s="30" t="s">
        <v>136</v>
      </c>
      <c r="F4620" s="28" t="s">
        <v>157</v>
      </c>
      <c r="G4620" s="126" t="s">
        <v>6058</v>
      </c>
      <c r="H4620" s="147" t="s">
        <v>6747</v>
      </c>
      <c r="I4620" s="163">
        <v>0</v>
      </c>
      <c r="J4620" s="46">
        <v>9</v>
      </c>
      <c r="K4620" s="46">
        <v>0</v>
      </c>
      <c r="L4620" s="46">
        <v>0</v>
      </c>
      <c r="M4620" s="46">
        <v>0</v>
      </c>
      <c r="N4620" s="46">
        <v>0</v>
      </c>
      <c r="O4620" s="46">
        <v>0</v>
      </c>
      <c r="P4620" s="47">
        <v>0</v>
      </c>
      <c r="Q4620" s="27" t="s">
        <v>154</v>
      </c>
      <c r="R4620" s="160"/>
      <c r="S4620" s="164"/>
      <c r="T4620" s="164"/>
    </row>
    <row r="4621" spans="1:20" s="162" customFormat="1" ht="96" x14ac:dyDescent="0.25">
      <c r="A4621" s="21">
        <v>40976</v>
      </c>
      <c r="B4621" s="21">
        <v>40977</v>
      </c>
      <c r="C4621" s="43">
        <v>2012</v>
      </c>
      <c r="D4621" s="24" t="s">
        <v>141</v>
      </c>
      <c r="E4621" s="30" t="s">
        <v>142</v>
      </c>
      <c r="F4621" s="7" t="s">
        <v>45</v>
      </c>
      <c r="G4621" s="126" t="s">
        <v>1920</v>
      </c>
      <c r="H4621" s="147" t="s">
        <v>6748</v>
      </c>
      <c r="I4621" s="163">
        <v>0</v>
      </c>
      <c r="J4621" s="46">
        <v>0</v>
      </c>
      <c r="K4621" s="46">
        <v>0</v>
      </c>
      <c r="L4621" s="46">
        <v>0</v>
      </c>
      <c r="M4621" s="46">
        <v>0</v>
      </c>
      <c r="N4621" s="46">
        <v>0</v>
      </c>
      <c r="O4621" s="46">
        <v>60</v>
      </c>
      <c r="P4621" s="47">
        <f>((0.4725)+(32000*8.93))/1000000</f>
        <v>0.28576047249999997</v>
      </c>
      <c r="Q4621" s="27" t="s">
        <v>154</v>
      </c>
      <c r="R4621" s="160"/>
      <c r="S4621" s="164"/>
      <c r="T4621" s="164"/>
    </row>
    <row r="4622" spans="1:20" s="162" customFormat="1" ht="84" x14ac:dyDescent="0.25">
      <c r="A4622" s="17">
        <v>40980</v>
      </c>
      <c r="B4622" s="17">
        <v>40980</v>
      </c>
      <c r="C4622" s="43">
        <v>2012</v>
      </c>
      <c r="D4622" s="24" t="s">
        <v>141</v>
      </c>
      <c r="E4622" s="30" t="s">
        <v>142</v>
      </c>
      <c r="F4622" s="7" t="s">
        <v>47</v>
      </c>
      <c r="G4622" s="146" t="s">
        <v>5158</v>
      </c>
      <c r="H4622" s="147" t="s">
        <v>6749</v>
      </c>
      <c r="I4622" s="163">
        <v>0</v>
      </c>
      <c r="J4622" s="46">
        <v>5</v>
      </c>
      <c r="K4622" s="46">
        <v>1</v>
      </c>
      <c r="L4622" s="46">
        <v>0</v>
      </c>
      <c r="M4622" s="46">
        <v>0</v>
      </c>
      <c r="N4622" s="46">
        <v>0</v>
      </c>
      <c r="O4622" s="46">
        <v>0</v>
      </c>
      <c r="P4622" s="47">
        <v>2.8000000000000001E-2</v>
      </c>
      <c r="Q4622" s="27" t="s">
        <v>154</v>
      </c>
      <c r="R4622" s="160"/>
      <c r="S4622" s="164"/>
      <c r="T4622" s="164"/>
    </row>
    <row r="4623" spans="1:20" s="162" customFormat="1" ht="108" x14ac:dyDescent="0.25">
      <c r="A4623" s="21">
        <v>40981</v>
      </c>
      <c r="B4623" s="17">
        <v>40981</v>
      </c>
      <c r="C4623" s="43">
        <v>2012</v>
      </c>
      <c r="D4623" s="35" t="s">
        <v>28</v>
      </c>
      <c r="E4623" s="30" t="s">
        <v>133</v>
      </c>
      <c r="F4623" s="7" t="s">
        <v>30</v>
      </c>
      <c r="G4623" s="126" t="s">
        <v>901</v>
      </c>
      <c r="H4623" s="147" t="s">
        <v>6750</v>
      </c>
      <c r="I4623" s="163">
        <v>0</v>
      </c>
      <c r="J4623" s="46">
        <v>50</v>
      </c>
      <c r="K4623" s="46">
        <v>1</v>
      </c>
      <c r="L4623" s="46">
        <v>0</v>
      </c>
      <c r="M4623" s="46">
        <v>0</v>
      </c>
      <c r="N4623" s="46">
        <v>0</v>
      </c>
      <c r="O4623" s="46">
        <v>0</v>
      </c>
      <c r="P4623" s="47">
        <v>2.8000000000000001E-2</v>
      </c>
      <c r="Q4623" s="27" t="s">
        <v>154</v>
      </c>
      <c r="R4623" s="160"/>
      <c r="S4623" s="164"/>
      <c r="T4623" s="164"/>
    </row>
    <row r="4624" spans="1:20" s="162" customFormat="1" ht="132" x14ac:dyDescent="0.25">
      <c r="A4624" s="21">
        <v>40981</v>
      </c>
      <c r="B4624" s="21">
        <v>40981</v>
      </c>
      <c r="C4624" s="43">
        <v>2012</v>
      </c>
      <c r="D4624" s="24" t="s">
        <v>141</v>
      </c>
      <c r="E4624" s="30" t="s">
        <v>142</v>
      </c>
      <c r="F4624" s="28" t="s">
        <v>210</v>
      </c>
      <c r="G4624" s="126" t="s">
        <v>6751</v>
      </c>
      <c r="H4624" s="147" t="s">
        <v>6752</v>
      </c>
      <c r="I4624" s="163">
        <v>0</v>
      </c>
      <c r="J4624" s="46">
        <v>34</v>
      </c>
      <c r="K4624" s="46">
        <v>0</v>
      </c>
      <c r="L4624" s="46">
        <v>0</v>
      </c>
      <c r="M4624" s="46">
        <v>0</v>
      </c>
      <c r="N4624" s="46">
        <v>0</v>
      </c>
      <c r="O4624" s="46">
        <v>0</v>
      </c>
      <c r="P4624" s="47">
        <f>(420000+288750)/1000000</f>
        <v>0.70874999999999999</v>
      </c>
      <c r="Q4624" s="27" t="s">
        <v>154</v>
      </c>
      <c r="R4624" s="160"/>
      <c r="S4624" s="164"/>
      <c r="T4624" s="164"/>
    </row>
    <row r="4625" spans="1:20" s="162" customFormat="1" ht="132" x14ac:dyDescent="0.25">
      <c r="A4625" s="17">
        <v>40979</v>
      </c>
      <c r="B4625" s="17">
        <v>40979</v>
      </c>
      <c r="C4625" s="43">
        <v>2012</v>
      </c>
      <c r="D4625" s="351" t="s">
        <v>23</v>
      </c>
      <c r="E4625" s="30" t="s">
        <v>5893</v>
      </c>
      <c r="F4625" s="28" t="s">
        <v>160</v>
      </c>
      <c r="G4625" s="146" t="s">
        <v>1140</v>
      </c>
      <c r="H4625" s="147" t="s">
        <v>6753</v>
      </c>
      <c r="I4625" s="163">
        <v>0</v>
      </c>
      <c r="J4625" s="46">
        <v>130</v>
      </c>
      <c r="K4625" s="46">
        <v>40</v>
      </c>
      <c r="L4625" s="46">
        <v>0</v>
      </c>
      <c r="M4625" s="46">
        <v>0</v>
      </c>
      <c r="N4625" s="46">
        <v>0</v>
      </c>
      <c r="O4625" s="46">
        <v>0</v>
      </c>
      <c r="P4625" s="47">
        <f>(40*28000)/1000000</f>
        <v>1.1200000000000001</v>
      </c>
      <c r="Q4625" s="27" t="s">
        <v>154</v>
      </c>
      <c r="R4625" s="160"/>
      <c r="S4625" s="164"/>
      <c r="T4625" s="164"/>
    </row>
    <row r="4626" spans="1:20" s="162" customFormat="1" ht="96" x14ac:dyDescent="0.25">
      <c r="A4626" s="21">
        <v>40982</v>
      </c>
      <c r="B4626" s="21">
        <v>40982</v>
      </c>
      <c r="C4626" s="43">
        <v>2012</v>
      </c>
      <c r="D4626" s="35" t="s">
        <v>28</v>
      </c>
      <c r="E4626" s="30" t="s">
        <v>133</v>
      </c>
      <c r="F4626" s="7" t="s">
        <v>53</v>
      </c>
      <c r="G4626" s="126" t="s">
        <v>2309</v>
      </c>
      <c r="H4626" s="147" t="s">
        <v>6754</v>
      </c>
      <c r="I4626" s="163">
        <v>1</v>
      </c>
      <c r="J4626" s="46">
        <v>40</v>
      </c>
      <c r="K4626" s="46">
        <v>8</v>
      </c>
      <c r="L4626" s="46">
        <v>0</v>
      </c>
      <c r="M4626" s="46">
        <v>0</v>
      </c>
      <c r="N4626" s="46">
        <v>0</v>
      </c>
      <c r="O4626" s="46">
        <v>0</v>
      </c>
      <c r="P4626" s="47">
        <f>((2*28000)+(6*5500))/1000000</f>
        <v>8.8999999999999996E-2</v>
      </c>
      <c r="Q4626" s="27" t="s">
        <v>154</v>
      </c>
      <c r="R4626" s="160"/>
      <c r="S4626" s="164"/>
      <c r="T4626" s="164"/>
    </row>
    <row r="4627" spans="1:20" s="162" customFormat="1" ht="96" x14ac:dyDescent="0.25">
      <c r="A4627" s="21">
        <v>40982</v>
      </c>
      <c r="B4627" s="21">
        <v>40982</v>
      </c>
      <c r="C4627" s="43">
        <v>2012</v>
      </c>
      <c r="D4627" s="35" t="s">
        <v>28</v>
      </c>
      <c r="E4627" s="30" t="s">
        <v>125</v>
      </c>
      <c r="F4627" s="7" t="s">
        <v>56</v>
      </c>
      <c r="G4627" s="126" t="s">
        <v>1160</v>
      </c>
      <c r="H4627" s="147" t="s">
        <v>6755</v>
      </c>
      <c r="I4627" s="163">
        <v>0</v>
      </c>
      <c r="J4627" s="46">
        <v>210</v>
      </c>
      <c r="K4627" s="46">
        <v>0</v>
      </c>
      <c r="L4627" s="46">
        <v>0</v>
      </c>
      <c r="M4627" s="46">
        <v>0</v>
      </c>
      <c r="N4627" s="46">
        <v>8</v>
      </c>
      <c r="O4627" s="46">
        <v>0</v>
      </c>
      <c r="P4627" s="47">
        <v>0</v>
      </c>
      <c r="Q4627" s="27" t="s">
        <v>154</v>
      </c>
      <c r="R4627" s="160"/>
      <c r="S4627" s="164"/>
      <c r="T4627" s="164"/>
    </row>
    <row r="4628" spans="1:20" s="162" customFormat="1" ht="72" x14ac:dyDescent="0.25">
      <c r="A4628" s="17">
        <v>40982</v>
      </c>
      <c r="B4628" s="17">
        <v>40982</v>
      </c>
      <c r="C4628" s="43">
        <v>2012</v>
      </c>
      <c r="D4628" s="35" t="s">
        <v>28</v>
      </c>
      <c r="E4628" s="30" t="s">
        <v>133</v>
      </c>
      <c r="F4628" s="7" t="s">
        <v>82</v>
      </c>
      <c r="G4628" s="146" t="s">
        <v>3981</v>
      </c>
      <c r="H4628" s="147" t="s">
        <v>6756</v>
      </c>
      <c r="I4628" s="163">
        <v>0</v>
      </c>
      <c r="J4628" s="46">
        <v>13</v>
      </c>
      <c r="K4628" s="46">
        <v>2</v>
      </c>
      <c r="L4628" s="46">
        <v>0</v>
      </c>
      <c r="M4628" s="46">
        <v>0</v>
      </c>
      <c r="N4628" s="46">
        <v>1</v>
      </c>
      <c r="O4628" s="46">
        <v>0</v>
      </c>
      <c r="P4628" s="47">
        <v>0</v>
      </c>
      <c r="Q4628" s="27" t="s">
        <v>154</v>
      </c>
      <c r="R4628" s="160"/>
      <c r="S4628" s="164"/>
      <c r="T4628" s="164"/>
    </row>
    <row r="4629" spans="1:20" s="162" customFormat="1" ht="84" x14ac:dyDescent="0.25">
      <c r="A4629" s="21">
        <v>40983</v>
      </c>
      <c r="B4629" s="21">
        <v>40983</v>
      </c>
      <c r="C4629" s="43">
        <v>2012</v>
      </c>
      <c r="D4629" s="35" t="s">
        <v>28</v>
      </c>
      <c r="E4629" s="6" t="s">
        <v>149</v>
      </c>
      <c r="F4629" s="7" t="s">
        <v>58</v>
      </c>
      <c r="G4629" s="146" t="s">
        <v>6757</v>
      </c>
      <c r="H4629" s="147" t="s">
        <v>6758</v>
      </c>
      <c r="I4629" s="163">
        <v>0</v>
      </c>
      <c r="J4629" s="46">
        <v>200</v>
      </c>
      <c r="K4629" s="46">
        <v>0</v>
      </c>
      <c r="L4629" s="46">
        <v>0</v>
      </c>
      <c r="M4629" s="46">
        <v>0</v>
      </c>
      <c r="N4629" s="46">
        <v>1</v>
      </c>
      <c r="O4629" s="46">
        <v>0</v>
      </c>
      <c r="P4629" s="47">
        <f>(5000*11.28)/1000000</f>
        <v>5.6399999999999999E-2</v>
      </c>
      <c r="Q4629" s="27" t="s">
        <v>154</v>
      </c>
      <c r="R4629" s="160"/>
      <c r="S4629" s="164"/>
      <c r="T4629" s="164"/>
    </row>
    <row r="4630" spans="1:20" s="162" customFormat="1" ht="72" x14ac:dyDescent="0.25">
      <c r="A4630" s="17">
        <v>40984</v>
      </c>
      <c r="B4630" s="17">
        <v>40984</v>
      </c>
      <c r="C4630" s="43">
        <v>2012</v>
      </c>
      <c r="D4630" s="35" t="s">
        <v>28</v>
      </c>
      <c r="E4630" s="6" t="s">
        <v>149</v>
      </c>
      <c r="F4630" s="7" t="s">
        <v>60</v>
      </c>
      <c r="G4630" s="146" t="s">
        <v>1424</v>
      </c>
      <c r="H4630" s="147" t="s">
        <v>6759</v>
      </c>
      <c r="I4630" s="163">
        <v>0</v>
      </c>
      <c r="J4630" s="46">
        <v>3</v>
      </c>
      <c r="K4630" s="46">
        <v>0</v>
      </c>
      <c r="L4630" s="46">
        <v>0</v>
      </c>
      <c r="M4630" s="46">
        <v>0</v>
      </c>
      <c r="N4630" s="46">
        <v>1</v>
      </c>
      <c r="O4630" s="46">
        <v>0</v>
      </c>
      <c r="P4630" s="47">
        <v>0</v>
      </c>
      <c r="Q4630" s="27" t="s">
        <v>154</v>
      </c>
      <c r="R4630" s="160"/>
      <c r="S4630" s="164"/>
      <c r="T4630" s="164"/>
    </row>
    <row r="4631" spans="1:20" s="162" customFormat="1" ht="96" x14ac:dyDescent="0.25">
      <c r="A4631" s="17">
        <v>40984</v>
      </c>
      <c r="B4631" s="17">
        <v>40984</v>
      </c>
      <c r="C4631" s="43">
        <v>2012</v>
      </c>
      <c r="D4631" s="35" t="s">
        <v>28</v>
      </c>
      <c r="E4631" s="6" t="s">
        <v>149</v>
      </c>
      <c r="F4631" s="7" t="s">
        <v>49</v>
      </c>
      <c r="G4631" s="146" t="s">
        <v>49</v>
      </c>
      <c r="H4631" s="147" t="s">
        <v>6760</v>
      </c>
      <c r="I4631" s="163">
        <v>4</v>
      </c>
      <c r="J4631" s="46">
        <v>6</v>
      </c>
      <c r="K4631" s="46">
        <v>0</v>
      </c>
      <c r="L4631" s="46">
        <v>0</v>
      </c>
      <c r="M4631" s="46">
        <v>0</v>
      </c>
      <c r="N4631" s="46">
        <v>1</v>
      </c>
      <c r="O4631" s="46">
        <v>0</v>
      </c>
      <c r="P4631" s="47">
        <v>0</v>
      </c>
      <c r="Q4631" s="27" t="s">
        <v>154</v>
      </c>
      <c r="R4631" s="160"/>
      <c r="S4631" s="164"/>
      <c r="T4631" s="164"/>
    </row>
    <row r="4632" spans="1:20" s="162" customFormat="1" ht="132" x14ac:dyDescent="0.25">
      <c r="A4632" s="17">
        <v>40985</v>
      </c>
      <c r="B4632" s="17">
        <v>40985</v>
      </c>
      <c r="C4632" s="43">
        <v>2012</v>
      </c>
      <c r="D4632" s="24" t="s">
        <v>141</v>
      </c>
      <c r="E4632" s="30" t="s">
        <v>142</v>
      </c>
      <c r="F4632" s="7" t="s">
        <v>87</v>
      </c>
      <c r="G4632" s="146" t="s">
        <v>3647</v>
      </c>
      <c r="H4632" s="147" t="s">
        <v>6761</v>
      </c>
      <c r="I4632" s="163">
        <v>0</v>
      </c>
      <c r="J4632" s="46">
        <v>39</v>
      </c>
      <c r="K4632" s="46">
        <v>0</v>
      </c>
      <c r="L4632" s="46">
        <v>0</v>
      </c>
      <c r="M4632" s="46">
        <v>0</v>
      </c>
      <c r="N4632" s="46">
        <v>0</v>
      </c>
      <c r="O4632" s="46">
        <v>0</v>
      </c>
      <c r="P4632" s="47">
        <v>0.14000000000000001</v>
      </c>
      <c r="Q4632" s="27" t="s">
        <v>154</v>
      </c>
      <c r="R4632" s="160"/>
      <c r="S4632" s="164"/>
      <c r="T4632" s="164"/>
    </row>
    <row r="4633" spans="1:20" s="162" customFormat="1" ht="84" x14ac:dyDescent="0.25">
      <c r="A4633" s="17">
        <v>40987</v>
      </c>
      <c r="B4633" s="17">
        <v>40987</v>
      </c>
      <c r="C4633" s="43">
        <v>2012</v>
      </c>
      <c r="D4633" s="24" t="s">
        <v>141</v>
      </c>
      <c r="E4633" s="30" t="s">
        <v>142</v>
      </c>
      <c r="F4633" s="28" t="s">
        <v>160</v>
      </c>
      <c r="G4633" s="146" t="s">
        <v>6762</v>
      </c>
      <c r="H4633" s="147" t="s">
        <v>6763</v>
      </c>
      <c r="I4633" s="163">
        <v>0</v>
      </c>
      <c r="J4633" s="46">
        <v>8</v>
      </c>
      <c r="K4633" s="46">
        <v>0</v>
      </c>
      <c r="L4633" s="46">
        <v>0</v>
      </c>
      <c r="M4633" s="46">
        <v>0</v>
      </c>
      <c r="N4633" s="46">
        <v>0</v>
      </c>
      <c r="O4633" s="46">
        <v>0</v>
      </c>
      <c r="P4633" s="47">
        <f>(420000+39690)/1000000</f>
        <v>0.45968999999999999</v>
      </c>
      <c r="Q4633" s="27" t="s">
        <v>154</v>
      </c>
      <c r="R4633" s="160"/>
      <c r="S4633" s="164"/>
      <c r="T4633" s="164"/>
    </row>
    <row r="4634" spans="1:20" s="162" customFormat="1" ht="48" x14ac:dyDescent="0.25">
      <c r="A4634" s="21">
        <v>40987</v>
      </c>
      <c r="B4634" s="21">
        <v>40987</v>
      </c>
      <c r="C4634" s="43">
        <v>2012</v>
      </c>
      <c r="D4634" s="35" t="s">
        <v>28</v>
      </c>
      <c r="E4634" s="6" t="s">
        <v>149</v>
      </c>
      <c r="F4634" s="7" t="s">
        <v>30</v>
      </c>
      <c r="G4634" s="126" t="s">
        <v>6764</v>
      </c>
      <c r="H4634" s="147" t="s">
        <v>6765</v>
      </c>
      <c r="I4634" s="163">
        <v>0</v>
      </c>
      <c r="J4634" s="46">
        <v>47</v>
      </c>
      <c r="K4634" s="46">
        <v>0</v>
      </c>
      <c r="L4634" s="46">
        <v>0</v>
      </c>
      <c r="M4634" s="46">
        <v>0</v>
      </c>
      <c r="N4634" s="46">
        <v>1</v>
      </c>
      <c r="O4634" s="46">
        <v>0</v>
      </c>
      <c r="P4634" s="47">
        <v>0</v>
      </c>
      <c r="Q4634" s="27" t="s">
        <v>154</v>
      </c>
      <c r="R4634" s="160"/>
      <c r="S4634" s="164"/>
      <c r="T4634" s="164"/>
    </row>
    <row r="4635" spans="1:20" s="162" customFormat="1" ht="84" x14ac:dyDescent="0.25">
      <c r="A4635" s="21">
        <v>40987</v>
      </c>
      <c r="B4635" s="17">
        <v>40987</v>
      </c>
      <c r="C4635" s="43">
        <v>2012</v>
      </c>
      <c r="D4635" s="351" t="s">
        <v>23</v>
      </c>
      <c r="E4635" s="30" t="s">
        <v>323</v>
      </c>
      <c r="F4635" s="7" t="s">
        <v>40</v>
      </c>
      <c r="G4635" s="126" t="s">
        <v>6766</v>
      </c>
      <c r="H4635" s="147" t="s">
        <v>6767</v>
      </c>
      <c r="I4635" s="163">
        <v>1</v>
      </c>
      <c r="J4635" s="46">
        <v>13</v>
      </c>
      <c r="K4635" s="46">
        <v>0</v>
      </c>
      <c r="L4635" s="46">
        <v>0</v>
      </c>
      <c r="M4635" s="46">
        <v>0</v>
      </c>
      <c r="N4635" s="46">
        <v>0</v>
      </c>
      <c r="O4635" s="46">
        <v>0</v>
      </c>
      <c r="P4635" s="47">
        <f>(288750+420000+39690)/1000000</f>
        <v>0.74843999999999999</v>
      </c>
      <c r="Q4635" s="27" t="s">
        <v>154</v>
      </c>
      <c r="R4635" s="160"/>
      <c r="S4635" s="164"/>
      <c r="T4635" s="164"/>
    </row>
    <row r="4636" spans="1:20" s="162" customFormat="1" ht="96" x14ac:dyDescent="0.25">
      <c r="A4636" s="17">
        <v>40988</v>
      </c>
      <c r="B4636" s="17">
        <v>40988</v>
      </c>
      <c r="C4636" s="43">
        <v>2012</v>
      </c>
      <c r="D4636" s="24" t="s">
        <v>141</v>
      </c>
      <c r="E4636" s="30" t="s">
        <v>142</v>
      </c>
      <c r="F4636" s="7" t="s">
        <v>87</v>
      </c>
      <c r="G4636" s="146" t="s">
        <v>2608</v>
      </c>
      <c r="H4636" s="147" t="s">
        <v>6768</v>
      </c>
      <c r="I4636" s="163">
        <v>1</v>
      </c>
      <c r="J4636" s="46">
        <v>31</v>
      </c>
      <c r="K4636" s="46">
        <v>0</v>
      </c>
      <c r="L4636" s="46">
        <v>0</v>
      </c>
      <c r="M4636" s="46">
        <v>0</v>
      </c>
      <c r="N4636" s="46">
        <v>0</v>
      </c>
      <c r="O4636" s="46">
        <v>0</v>
      </c>
      <c r="P4636" s="47">
        <v>0.42</v>
      </c>
      <c r="Q4636" s="27" t="s">
        <v>154</v>
      </c>
      <c r="R4636" s="160"/>
      <c r="S4636" s="164"/>
      <c r="T4636" s="164"/>
    </row>
    <row r="4637" spans="1:20" s="162" customFormat="1" ht="60" x14ac:dyDescent="0.25">
      <c r="A4637" s="17">
        <v>40988</v>
      </c>
      <c r="B4637" s="17">
        <v>40988</v>
      </c>
      <c r="C4637" s="43">
        <v>2012</v>
      </c>
      <c r="D4637" s="35" t="s">
        <v>28</v>
      </c>
      <c r="E4637" s="6" t="s">
        <v>369</v>
      </c>
      <c r="F4637" s="7" t="s">
        <v>77</v>
      </c>
      <c r="G4637" s="146" t="s">
        <v>1203</v>
      </c>
      <c r="H4637" s="147" t="s">
        <v>6769</v>
      </c>
      <c r="I4637" s="163">
        <v>0</v>
      </c>
      <c r="J4637" s="46">
        <v>0</v>
      </c>
      <c r="K4637" s="46">
        <v>0</v>
      </c>
      <c r="L4637" s="46">
        <v>0</v>
      </c>
      <c r="M4637" s="46">
        <v>0</v>
      </c>
      <c r="N4637" s="46">
        <v>0</v>
      </c>
      <c r="O4637" s="46">
        <v>400</v>
      </c>
      <c r="P4637" s="47">
        <f>((400*2)*(1527))/1000000</f>
        <v>1.2216</v>
      </c>
      <c r="Q4637" s="27" t="s">
        <v>154</v>
      </c>
      <c r="R4637" s="160"/>
      <c r="S4637" s="164"/>
      <c r="T4637" s="164"/>
    </row>
    <row r="4638" spans="1:20" s="162" customFormat="1" ht="168" x14ac:dyDescent="0.25">
      <c r="A4638" s="17">
        <v>40988</v>
      </c>
      <c r="B4638" s="17">
        <v>40988</v>
      </c>
      <c r="C4638" s="43">
        <v>2012</v>
      </c>
      <c r="D4638" s="35" t="s">
        <v>28</v>
      </c>
      <c r="E4638" s="30" t="s">
        <v>133</v>
      </c>
      <c r="F4638" s="7" t="s">
        <v>65</v>
      </c>
      <c r="G4638" s="146" t="s">
        <v>418</v>
      </c>
      <c r="H4638" s="147" t="s">
        <v>6770</v>
      </c>
      <c r="I4638" s="163">
        <v>0</v>
      </c>
      <c r="J4638" s="46">
        <v>3</v>
      </c>
      <c r="K4638" s="46">
        <v>0</v>
      </c>
      <c r="L4638" s="46">
        <v>0</v>
      </c>
      <c r="M4638" s="46">
        <v>0</v>
      </c>
      <c r="N4638" s="46">
        <v>0</v>
      </c>
      <c r="O4638" s="46">
        <v>0</v>
      </c>
      <c r="P4638" s="47">
        <v>0</v>
      </c>
      <c r="Q4638" s="27" t="s">
        <v>154</v>
      </c>
      <c r="R4638" s="160"/>
      <c r="S4638" s="164"/>
      <c r="T4638" s="164"/>
    </row>
    <row r="4639" spans="1:20" s="162" customFormat="1" ht="72" x14ac:dyDescent="0.25">
      <c r="A4639" s="17">
        <v>40988</v>
      </c>
      <c r="B4639" s="17">
        <v>40989</v>
      </c>
      <c r="C4639" s="43">
        <v>2012</v>
      </c>
      <c r="D4639" s="35" t="s">
        <v>28</v>
      </c>
      <c r="E4639" s="6" t="s">
        <v>149</v>
      </c>
      <c r="F4639" s="7" t="s">
        <v>60</v>
      </c>
      <c r="G4639" s="146" t="s">
        <v>4208</v>
      </c>
      <c r="H4639" s="147" t="s">
        <v>6771</v>
      </c>
      <c r="I4639" s="163">
        <v>0</v>
      </c>
      <c r="J4639" s="46">
        <v>15</v>
      </c>
      <c r="K4639" s="46">
        <v>0</v>
      </c>
      <c r="L4639" s="46">
        <v>0</v>
      </c>
      <c r="M4639" s="46">
        <v>0</v>
      </c>
      <c r="N4639" s="46">
        <v>1</v>
      </c>
      <c r="O4639" s="46">
        <v>0</v>
      </c>
      <c r="P4639" s="47">
        <v>0</v>
      </c>
      <c r="Q4639" s="27" t="s">
        <v>154</v>
      </c>
      <c r="R4639" s="160"/>
      <c r="S4639" s="164"/>
      <c r="T4639" s="164"/>
    </row>
    <row r="4640" spans="1:20" s="162" customFormat="1" ht="72" x14ac:dyDescent="0.25">
      <c r="A4640" s="17">
        <v>40989</v>
      </c>
      <c r="B4640" s="17">
        <v>40989</v>
      </c>
      <c r="C4640" s="43">
        <v>2012</v>
      </c>
      <c r="D4640" s="35" t="s">
        <v>28</v>
      </c>
      <c r="E4640" s="30" t="s">
        <v>133</v>
      </c>
      <c r="F4640" s="7" t="s">
        <v>77</v>
      </c>
      <c r="G4640" s="146" t="s">
        <v>4341</v>
      </c>
      <c r="H4640" s="147" t="s">
        <v>6772</v>
      </c>
      <c r="I4640" s="163">
        <v>0</v>
      </c>
      <c r="J4640" s="46">
        <v>5</v>
      </c>
      <c r="K4640" s="46">
        <v>0</v>
      </c>
      <c r="L4640" s="46">
        <v>0</v>
      </c>
      <c r="M4640" s="46">
        <v>0</v>
      </c>
      <c r="N4640" s="46">
        <v>0</v>
      </c>
      <c r="O4640" s="46">
        <v>0</v>
      </c>
      <c r="P4640" s="47">
        <v>0</v>
      </c>
      <c r="Q4640" s="27" t="s">
        <v>154</v>
      </c>
      <c r="R4640" s="160"/>
      <c r="S4640" s="164"/>
      <c r="T4640" s="164"/>
    </row>
    <row r="4641" spans="1:20" s="162" customFormat="1" ht="48" x14ac:dyDescent="0.25">
      <c r="A4641" s="21">
        <v>40990</v>
      </c>
      <c r="B4641" s="21">
        <v>40990</v>
      </c>
      <c r="C4641" s="43">
        <v>2012</v>
      </c>
      <c r="D4641" s="35" t="s">
        <v>28</v>
      </c>
      <c r="E4641" s="30" t="s">
        <v>133</v>
      </c>
      <c r="F4641" s="7" t="s">
        <v>53</v>
      </c>
      <c r="G4641" s="126" t="s">
        <v>451</v>
      </c>
      <c r="H4641" s="147" t="s">
        <v>6773</v>
      </c>
      <c r="I4641" s="163">
        <v>0</v>
      </c>
      <c r="J4641" s="46">
        <v>3</v>
      </c>
      <c r="K4641" s="46">
        <v>0</v>
      </c>
      <c r="L4641" s="46">
        <v>0</v>
      </c>
      <c r="M4641" s="46">
        <v>0</v>
      </c>
      <c r="N4641" s="46">
        <v>1</v>
      </c>
      <c r="O4641" s="46">
        <v>0</v>
      </c>
      <c r="P4641" s="47">
        <v>0</v>
      </c>
      <c r="Q4641" s="27" t="s">
        <v>154</v>
      </c>
      <c r="R4641" s="160"/>
      <c r="S4641" s="164"/>
      <c r="T4641" s="164"/>
    </row>
    <row r="4642" spans="1:20" s="162" customFormat="1" ht="132" x14ac:dyDescent="0.25">
      <c r="A4642" s="17">
        <v>40991</v>
      </c>
      <c r="B4642" s="17">
        <v>40991</v>
      </c>
      <c r="C4642" s="43">
        <v>2012</v>
      </c>
      <c r="D4642" s="35" t="s">
        <v>28</v>
      </c>
      <c r="E4642" s="30" t="s">
        <v>133</v>
      </c>
      <c r="F4642" s="7" t="s">
        <v>84</v>
      </c>
      <c r="G4642" s="146" t="s">
        <v>3740</v>
      </c>
      <c r="H4642" s="147" t="s">
        <v>6774</v>
      </c>
      <c r="I4642" s="163">
        <v>1</v>
      </c>
      <c r="J4642" s="46">
        <v>1</v>
      </c>
      <c r="K4642" s="46">
        <v>0</v>
      </c>
      <c r="L4642" s="46">
        <v>0</v>
      </c>
      <c r="M4642" s="46">
        <v>0</v>
      </c>
      <c r="N4642" s="46">
        <v>0</v>
      </c>
      <c r="O4642" s="46">
        <v>0</v>
      </c>
      <c r="P4642" s="47">
        <v>0</v>
      </c>
      <c r="Q4642" s="27" t="s">
        <v>154</v>
      </c>
      <c r="R4642" s="160"/>
      <c r="S4642" s="164"/>
      <c r="T4642" s="164"/>
    </row>
    <row r="4643" spans="1:20" s="162" customFormat="1" ht="84" x14ac:dyDescent="0.25">
      <c r="A4643" s="17">
        <v>40991</v>
      </c>
      <c r="B4643" s="17">
        <v>40991</v>
      </c>
      <c r="C4643" s="43">
        <v>2012</v>
      </c>
      <c r="D4643" s="24" t="s">
        <v>141</v>
      </c>
      <c r="E4643" s="30" t="s">
        <v>142</v>
      </c>
      <c r="F4643" s="7" t="s">
        <v>58</v>
      </c>
      <c r="G4643" s="146" t="s">
        <v>6775</v>
      </c>
      <c r="H4643" s="147" t="s">
        <v>6776</v>
      </c>
      <c r="I4643" s="163">
        <v>0</v>
      </c>
      <c r="J4643" s="46">
        <v>1</v>
      </c>
      <c r="K4643" s="46">
        <v>0</v>
      </c>
      <c r="L4643" s="46">
        <v>0</v>
      </c>
      <c r="M4643" s="46">
        <v>0</v>
      </c>
      <c r="N4643" s="46">
        <v>0</v>
      </c>
      <c r="O4643" s="46">
        <v>0</v>
      </c>
      <c r="P4643" s="47">
        <v>0.28875000000000001</v>
      </c>
      <c r="Q4643" s="27" t="s">
        <v>154</v>
      </c>
      <c r="R4643" s="160"/>
      <c r="S4643" s="164"/>
      <c r="T4643" s="164"/>
    </row>
    <row r="4644" spans="1:20" s="162" customFormat="1" ht="84" x14ac:dyDescent="0.25">
      <c r="A4644" s="17">
        <v>40992</v>
      </c>
      <c r="B4644" s="17">
        <v>40992</v>
      </c>
      <c r="C4644" s="43">
        <v>2012</v>
      </c>
      <c r="D4644" s="35" t="s">
        <v>28</v>
      </c>
      <c r="E4644" s="6" t="s">
        <v>369</v>
      </c>
      <c r="F4644" s="7" t="s">
        <v>53</v>
      </c>
      <c r="G4644" s="146" t="s">
        <v>1236</v>
      </c>
      <c r="H4644" s="147" t="s">
        <v>6777</v>
      </c>
      <c r="I4644" s="163">
        <v>0</v>
      </c>
      <c r="J4644" s="46">
        <v>12</v>
      </c>
      <c r="K4644" s="46">
        <v>0</v>
      </c>
      <c r="L4644" s="46">
        <v>0</v>
      </c>
      <c r="M4644" s="46">
        <v>0</v>
      </c>
      <c r="N4644" s="46">
        <v>0</v>
      </c>
      <c r="O4644" s="46">
        <v>0</v>
      </c>
      <c r="P4644" s="47">
        <v>0</v>
      </c>
      <c r="Q4644" s="27" t="s">
        <v>154</v>
      </c>
      <c r="R4644" s="160"/>
      <c r="S4644" s="164"/>
      <c r="T4644" s="164"/>
    </row>
    <row r="4645" spans="1:20" s="162" customFormat="1" ht="72" x14ac:dyDescent="0.25">
      <c r="A4645" s="17">
        <v>40991</v>
      </c>
      <c r="B4645" s="17">
        <v>40991</v>
      </c>
      <c r="C4645" s="43">
        <v>2012</v>
      </c>
      <c r="D4645" s="24" t="s">
        <v>141</v>
      </c>
      <c r="E4645" s="30" t="s">
        <v>1600</v>
      </c>
      <c r="F4645" s="28" t="s">
        <v>157</v>
      </c>
      <c r="G4645" s="126" t="s">
        <v>6309</v>
      </c>
      <c r="H4645" s="147" t="s">
        <v>6778</v>
      </c>
      <c r="I4645" s="163">
        <v>1</v>
      </c>
      <c r="J4645" s="46">
        <v>1</v>
      </c>
      <c r="K4645" s="46">
        <v>0</v>
      </c>
      <c r="L4645" s="46">
        <v>0</v>
      </c>
      <c r="M4645" s="46">
        <v>0</v>
      </c>
      <c r="N4645" s="46">
        <v>0</v>
      </c>
      <c r="O4645" s="46">
        <v>0</v>
      </c>
      <c r="P4645" s="47">
        <v>0</v>
      </c>
      <c r="Q4645" s="27" t="s">
        <v>154</v>
      </c>
      <c r="R4645" s="160"/>
      <c r="S4645" s="164"/>
      <c r="T4645" s="164"/>
    </row>
    <row r="4646" spans="1:20" s="162" customFormat="1" ht="84" x14ac:dyDescent="0.25">
      <c r="A4646" s="21">
        <v>40993</v>
      </c>
      <c r="B4646" s="17">
        <v>40993</v>
      </c>
      <c r="C4646" s="43">
        <v>2012</v>
      </c>
      <c r="D4646" s="35" t="s">
        <v>28</v>
      </c>
      <c r="E4646" s="30" t="s">
        <v>6779</v>
      </c>
      <c r="F4646" s="7" t="s">
        <v>25</v>
      </c>
      <c r="G4646" s="126" t="s">
        <v>25</v>
      </c>
      <c r="H4646" s="147" t="s">
        <v>6780</v>
      </c>
      <c r="I4646" s="163">
        <v>0</v>
      </c>
      <c r="J4646" s="46">
        <v>7</v>
      </c>
      <c r="K4646" s="46">
        <v>0</v>
      </c>
      <c r="L4646" s="46">
        <v>0</v>
      </c>
      <c r="M4646" s="46">
        <v>0</v>
      </c>
      <c r="N4646" s="46">
        <v>1</v>
      </c>
      <c r="O4646" s="46">
        <v>0</v>
      </c>
      <c r="P4646" s="47">
        <v>0</v>
      </c>
      <c r="Q4646" s="27" t="s">
        <v>154</v>
      </c>
      <c r="R4646" s="160"/>
      <c r="S4646" s="164"/>
      <c r="T4646" s="164"/>
    </row>
    <row r="4647" spans="1:20" s="162" customFormat="1" ht="121.5" x14ac:dyDescent="0.25">
      <c r="A4647" s="17">
        <v>40992</v>
      </c>
      <c r="B4647" s="17">
        <v>40992</v>
      </c>
      <c r="C4647" s="43">
        <v>2012</v>
      </c>
      <c r="D4647" s="35" t="s">
        <v>28</v>
      </c>
      <c r="E4647" s="6" t="s">
        <v>149</v>
      </c>
      <c r="F4647" s="28" t="s">
        <v>157</v>
      </c>
      <c r="G4647" s="146" t="s">
        <v>5929</v>
      </c>
      <c r="H4647" s="147" t="s">
        <v>6781</v>
      </c>
      <c r="I4647" s="163">
        <v>0</v>
      </c>
      <c r="J4647" s="46">
        <v>4</v>
      </c>
      <c r="K4647" s="46">
        <v>0</v>
      </c>
      <c r="L4647" s="46">
        <v>0</v>
      </c>
      <c r="M4647" s="46">
        <v>0</v>
      </c>
      <c r="N4647" s="46">
        <v>1</v>
      </c>
      <c r="O4647" s="46">
        <v>0</v>
      </c>
      <c r="P4647" s="47">
        <v>0</v>
      </c>
      <c r="Q4647" s="27" t="s">
        <v>154</v>
      </c>
      <c r="R4647" s="160"/>
      <c r="S4647" s="164"/>
      <c r="T4647" s="164"/>
    </row>
    <row r="4648" spans="1:20" s="162" customFormat="1" ht="72" x14ac:dyDescent="0.25">
      <c r="A4648" s="17">
        <v>40994</v>
      </c>
      <c r="B4648" s="17">
        <v>40994</v>
      </c>
      <c r="C4648" s="43">
        <v>2012</v>
      </c>
      <c r="D4648" s="35" t="s">
        <v>28</v>
      </c>
      <c r="E4648" s="30" t="s">
        <v>133</v>
      </c>
      <c r="F4648" s="28" t="s">
        <v>157</v>
      </c>
      <c r="G4648" s="126" t="s">
        <v>6309</v>
      </c>
      <c r="H4648" s="147" t="s">
        <v>6782</v>
      </c>
      <c r="I4648" s="163">
        <v>0</v>
      </c>
      <c r="J4648" s="46">
        <v>1</v>
      </c>
      <c r="K4648" s="46">
        <v>0</v>
      </c>
      <c r="L4648" s="46">
        <v>0</v>
      </c>
      <c r="M4648" s="46">
        <v>0</v>
      </c>
      <c r="N4648" s="46">
        <v>0</v>
      </c>
      <c r="O4648" s="46">
        <v>0</v>
      </c>
      <c r="P4648" s="47">
        <v>0</v>
      </c>
      <c r="Q4648" s="27" t="s">
        <v>154</v>
      </c>
      <c r="R4648" s="160"/>
      <c r="S4648" s="164"/>
      <c r="T4648" s="164"/>
    </row>
    <row r="4649" spans="1:20" s="162" customFormat="1" ht="72" x14ac:dyDescent="0.25">
      <c r="A4649" s="21">
        <v>40992</v>
      </c>
      <c r="B4649" s="21">
        <v>40993</v>
      </c>
      <c r="C4649" s="43">
        <v>2012</v>
      </c>
      <c r="D4649" s="351" t="s">
        <v>23</v>
      </c>
      <c r="E4649" s="22" t="s">
        <v>86</v>
      </c>
      <c r="F4649" s="7" t="s">
        <v>36</v>
      </c>
      <c r="G4649" s="126" t="s">
        <v>1592</v>
      </c>
      <c r="H4649" s="147" t="s">
        <v>6783</v>
      </c>
      <c r="I4649" s="163">
        <v>0</v>
      </c>
      <c r="J4649" s="46">
        <f>K4649*5</f>
        <v>45</v>
      </c>
      <c r="K4649" s="46">
        <v>9</v>
      </c>
      <c r="L4649" s="46">
        <v>0</v>
      </c>
      <c r="M4649" s="46">
        <v>0</v>
      </c>
      <c r="N4649" s="46">
        <v>0</v>
      </c>
      <c r="O4649" s="46">
        <v>0</v>
      </c>
      <c r="P4649" s="47">
        <f>(9*5500)/1000000</f>
        <v>4.9500000000000002E-2</v>
      </c>
      <c r="Q4649" s="27" t="s">
        <v>154</v>
      </c>
      <c r="R4649" s="160"/>
      <c r="S4649" s="164"/>
      <c r="T4649" s="164"/>
    </row>
    <row r="4650" spans="1:20" s="162" customFormat="1" ht="192" x14ac:dyDescent="0.25">
      <c r="A4650" s="17">
        <v>40996</v>
      </c>
      <c r="B4650" s="17">
        <v>40996</v>
      </c>
      <c r="C4650" s="43">
        <v>2012</v>
      </c>
      <c r="D4650" s="24" t="s">
        <v>141</v>
      </c>
      <c r="E4650" s="30" t="s">
        <v>142</v>
      </c>
      <c r="F4650" s="7" t="s">
        <v>49</v>
      </c>
      <c r="G4650" s="146" t="s">
        <v>5919</v>
      </c>
      <c r="H4650" s="147" t="s">
        <v>6784</v>
      </c>
      <c r="I4650" s="163">
        <v>1</v>
      </c>
      <c r="J4650" s="46">
        <v>8</v>
      </c>
      <c r="K4650" s="46">
        <v>0</v>
      </c>
      <c r="L4650" s="46">
        <v>0</v>
      </c>
      <c r="M4650" s="46">
        <v>0</v>
      </c>
      <c r="N4650" s="46">
        <v>0</v>
      </c>
      <c r="O4650" s="46">
        <v>0</v>
      </c>
      <c r="P4650" s="47">
        <v>0.25</v>
      </c>
      <c r="Q4650" s="27" t="s">
        <v>154</v>
      </c>
      <c r="R4650" s="160"/>
      <c r="S4650" s="164"/>
      <c r="T4650" s="164"/>
    </row>
    <row r="4651" spans="1:20" s="162" customFormat="1" ht="144" x14ac:dyDescent="0.25">
      <c r="A4651" s="17">
        <v>40996</v>
      </c>
      <c r="B4651" s="17">
        <v>40996</v>
      </c>
      <c r="C4651" s="43">
        <v>2012</v>
      </c>
      <c r="D4651" s="24" t="s">
        <v>141</v>
      </c>
      <c r="E4651" s="30" t="s">
        <v>142</v>
      </c>
      <c r="F4651" s="28" t="s">
        <v>210</v>
      </c>
      <c r="G4651" s="146" t="s">
        <v>6785</v>
      </c>
      <c r="H4651" s="147" t="s">
        <v>6786</v>
      </c>
      <c r="I4651" s="163">
        <v>2</v>
      </c>
      <c r="J4651" s="46">
        <v>2</v>
      </c>
      <c r="K4651" s="46">
        <v>0</v>
      </c>
      <c r="L4651" s="46">
        <v>0</v>
      </c>
      <c r="M4651" s="46">
        <v>0</v>
      </c>
      <c r="N4651" s="46">
        <v>0</v>
      </c>
      <c r="O4651" s="46">
        <v>0</v>
      </c>
      <c r="P4651" s="47">
        <v>0.28875000000000001</v>
      </c>
      <c r="Q4651" s="27" t="s">
        <v>154</v>
      </c>
      <c r="R4651" s="160"/>
      <c r="S4651" s="164"/>
      <c r="T4651" s="164"/>
    </row>
    <row r="4652" spans="1:20" s="162" customFormat="1" ht="84" x14ac:dyDescent="0.25">
      <c r="A4652" s="17">
        <v>40996</v>
      </c>
      <c r="B4652" s="17">
        <v>40996</v>
      </c>
      <c r="C4652" s="43">
        <v>2012</v>
      </c>
      <c r="D4652" s="351" t="s">
        <v>23</v>
      </c>
      <c r="E4652" s="22" t="s">
        <v>86</v>
      </c>
      <c r="F4652" s="28" t="s">
        <v>210</v>
      </c>
      <c r="G4652" s="146" t="s">
        <v>6787</v>
      </c>
      <c r="H4652" s="126" t="s">
        <v>6788</v>
      </c>
      <c r="I4652" s="46">
        <v>1</v>
      </c>
      <c r="J4652" s="46">
        <v>1</v>
      </c>
      <c r="K4652" s="46">
        <v>0</v>
      </c>
      <c r="L4652" s="46">
        <v>0</v>
      </c>
      <c r="M4652" s="46">
        <v>0</v>
      </c>
      <c r="N4652" s="46">
        <v>0</v>
      </c>
      <c r="O4652" s="46">
        <v>0</v>
      </c>
      <c r="P4652" s="47">
        <v>0</v>
      </c>
      <c r="Q4652" s="27" t="s">
        <v>154</v>
      </c>
      <c r="R4652" s="160"/>
      <c r="S4652" s="164"/>
      <c r="T4652" s="164"/>
    </row>
    <row r="4653" spans="1:20" s="162" customFormat="1" ht="132" x14ac:dyDescent="0.25">
      <c r="A4653" s="17">
        <v>41001</v>
      </c>
      <c r="B4653" s="17">
        <v>41001</v>
      </c>
      <c r="C4653" s="43">
        <v>2012</v>
      </c>
      <c r="D4653" s="24" t="s">
        <v>141</v>
      </c>
      <c r="E4653" s="30" t="s">
        <v>142</v>
      </c>
      <c r="F4653" s="7" t="s">
        <v>101</v>
      </c>
      <c r="G4653" s="146" t="s">
        <v>6789</v>
      </c>
      <c r="H4653" s="147" t="s">
        <v>6790</v>
      </c>
      <c r="I4653" s="46">
        <v>2</v>
      </c>
      <c r="J4653" s="46">
        <v>20</v>
      </c>
      <c r="K4653" s="46">
        <v>0</v>
      </c>
      <c r="L4653" s="46">
        <v>0</v>
      </c>
      <c r="M4653" s="46">
        <v>0</v>
      </c>
      <c r="N4653" s="46">
        <v>0</v>
      </c>
      <c r="O4653" s="46">
        <v>0</v>
      </c>
      <c r="P4653" s="47">
        <f>(420000+39690)/1000000</f>
        <v>0.45968999999999999</v>
      </c>
      <c r="Q4653" s="27" t="s">
        <v>154</v>
      </c>
      <c r="R4653" s="160"/>
      <c r="S4653" s="164"/>
      <c r="T4653" s="164"/>
    </row>
    <row r="4654" spans="1:20" s="162" customFormat="1" ht="144" x14ac:dyDescent="0.25">
      <c r="A4654" s="17">
        <v>40997</v>
      </c>
      <c r="B4654" s="17">
        <v>40997</v>
      </c>
      <c r="C4654" s="43">
        <v>2012</v>
      </c>
      <c r="D4654" s="351" t="s">
        <v>23</v>
      </c>
      <c r="E4654" s="22" t="s">
        <v>86</v>
      </c>
      <c r="F4654" s="7" t="s">
        <v>75</v>
      </c>
      <c r="G4654" s="146" t="s">
        <v>6791</v>
      </c>
      <c r="H4654" s="126" t="s">
        <v>6792</v>
      </c>
      <c r="I4654" s="163">
        <v>0</v>
      </c>
      <c r="J4654" s="46">
        <v>325</v>
      </c>
      <c r="K4654" s="46">
        <v>65</v>
      </c>
      <c r="L4654" s="46">
        <v>0</v>
      </c>
      <c r="M4654" s="46">
        <v>0</v>
      </c>
      <c r="N4654" s="46">
        <v>0</v>
      </c>
      <c r="O4654" s="46">
        <v>200</v>
      </c>
      <c r="P4654" s="47">
        <f>((65*5500)+(6017520.3))/1000000</f>
        <v>6.3750203000000001</v>
      </c>
      <c r="Q4654" s="27" t="s">
        <v>154</v>
      </c>
      <c r="R4654" s="160"/>
      <c r="S4654" s="164"/>
      <c r="T4654" s="164"/>
    </row>
    <row r="4655" spans="1:20" s="162" customFormat="1" ht="84" x14ac:dyDescent="0.25">
      <c r="A4655" s="17">
        <v>40999</v>
      </c>
      <c r="B4655" s="17">
        <v>40999</v>
      </c>
      <c r="C4655" s="43">
        <v>2012</v>
      </c>
      <c r="D4655" s="24" t="s">
        <v>141</v>
      </c>
      <c r="E4655" s="30" t="s">
        <v>142</v>
      </c>
      <c r="F4655" s="7" t="s">
        <v>53</v>
      </c>
      <c r="G4655" s="146" t="s">
        <v>6793</v>
      </c>
      <c r="H4655" s="147" t="s">
        <v>6794</v>
      </c>
      <c r="I4655" s="163">
        <v>4</v>
      </c>
      <c r="J4655" s="46">
        <v>17</v>
      </c>
      <c r="K4655" s="46">
        <v>0</v>
      </c>
      <c r="L4655" s="46">
        <v>0</v>
      </c>
      <c r="M4655" s="46">
        <v>0</v>
      </c>
      <c r="N4655" s="46">
        <v>0</v>
      </c>
      <c r="O4655" s="46">
        <v>0</v>
      </c>
      <c r="P4655" s="47">
        <f>(39690+250000)/1000000</f>
        <v>0.28969</v>
      </c>
      <c r="Q4655" s="27" t="s">
        <v>154</v>
      </c>
      <c r="R4655" s="160"/>
      <c r="S4655" s="164"/>
      <c r="T4655" s="164"/>
    </row>
    <row r="4656" spans="1:20" s="162" customFormat="1" ht="72" x14ac:dyDescent="0.25">
      <c r="A4656" s="17">
        <v>40999</v>
      </c>
      <c r="B4656" s="17">
        <v>40999</v>
      </c>
      <c r="C4656" s="43">
        <v>2012</v>
      </c>
      <c r="D4656" s="351" t="s">
        <v>23</v>
      </c>
      <c r="E4656" s="30" t="s">
        <v>5893</v>
      </c>
      <c r="F4656" s="7" t="s">
        <v>91</v>
      </c>
      <c r="G4656" s="146" t="s">
        <v>4511</v>
      </c>
      <c r="H4656" s="147" t="s">
        <v>6795</v>
      </c>
      <c r="I4656" s="163">
        <v>0</v>
      </c>
      <c r="J4656" s="46">
        <v>210</v>
      </c>
      <c r="K4656" s="46">
        <v>42</v>
      </c>
      <c r="L4656" s="46">
        <v>0</v>
      </c>
      <c r="M4656" s="46">
        <v>0</v>
      </c>
      <c r="N4656" s="46">
        <v>0</v>
      </c>
      <c r="O4656" s="46">
        <v>0</v>
      </c>
      <c r="P4656" s="47">
        <f>(42*5500)/1000000</f>
        <v>0.23100000000000001</v>
      </c>
      <c r="Q4656" s="27" t="s">
        <v>154</v>
      </c>
      <c r="R4656" s="160"/>
      <c r="S4656" s="164"/>
      <c r="T4656" s="164"/>
    </row>
    <row r="4657" spans="1:20" s="162" customFormat="1" ht="108" x14ac:dyDescent="0.25">
      <c r="A4657" s="17">
        <v>41000</v>
      </c>
      <c r="B4657" s="17">
        <v>41000</v>
      </c>
      <c r="C4657" s="43">
        <v>2012</v>
      </c>
      <c r="D4657" s="24" t="s">
        <v>141</v>
      </c>
      <c r="E4657" s="30" t="s">
        <v>142</v>
      </c>
      <c r="F4657" s="7" t="s">
        <v>56</v>
      </c>
      <c r="G4657" s="146" t="s">
        <v>56</v>
      </c>
      <c r="H4657" s="147" t="s">
        <v>6796</v>
      </c>
      <c r="I4657" s="163">
        <v>0</v>
      </c>
      <c r="J4657" s="46">
        <v>8</v>
      </c>
      <c r="K4657" s="46">
        <v>0</v>
      </c>
      <c r="L4657" s="46">
        <v>0</v>
      </c>
      <c r="M4657" s="46">
        <v>0</v>
      </c>
      <c r="N4657" s="46">
        <v>0</v>
      </c>
      <c r="O4657" s="46">
        <v>0</v>
      </c>
      <c r="P4657" s="47">
        <v>0.45968999999999999</v>
      </c>
      <c r="Q4657" s="27" t="s">
        <v>154</v>
      </c>
      <c r="R4657" s="160"/>
      <c r="S4657" s="164"/>
      <c r="T4657" s="164"/>
    </row>
    <row r="4658" spans="1:20" s="162" customFormat="1" ht="108" x14ac:dyDescent="0.25">
      <c r="A4658" s="17">
        <v>40999</v>
      </c>
      <c r="B4658" s="17">
        <v>40999</v>
      </c>
      <c r="C4658" s="43">
        <v>2012</v>
      </c>
      <c r="D4658" s="351" t="s">
        <v>23</v>
      </c>
      <c r="E4658" s="30" t="s">
        <v>5893</v>
      </c>
      <c r="F4658" s="7" t="s">
        <v>72</v>
      </c>
      <c r="G4658" s="146" t="s">
        <v>6797</v>
      </c>
      <c r="H4658" s="147" t="s">
        <v>6798</v>
      </c>
      <c r="I4658" s="163">
        <v>6</v>
      </c>
      <c r="J4658" s="46">
        <v>8</v>
      </c>
      <c r="K4658" s="46">
        <v>0</v>
      </c>
      <c r="L4658" s="46">
        <v>0</v>
      </c>
      <c r="M4658" s="46">
        <v>0</v>
      </c>
      <c r="N4658" s="46">
        <v>0</v>
      </c>
      <c r="O4658" s="46">
        <v>0</v>
      </c>
      <c r="P4658" s="47">
        <v>0</v>
      </c>
      <c r="Q4658" s="27" t="s">
        <v>154</v>
      </c>
      <c r="R4658" s="160"/>
      <c r="S4658" s="164"/>
      <c r="T4658" s="164"/>
    </row>
    <row r="4659" spans="1:20" s="162" customFormat="1" ht="96" x14ac:dyDescent="0.25">
      <c r="A4659" s="17">
        <v>41001</v>
      </c>
      <c r="B4659" s="17">
        <v>41001</v>
      </c>
      <c r="C4659" s="43">
        <v>2012</v>
      </c>
      <c r="D4659" s="35" t="s">
        <v>28</v>
      </c>
      <c r="E4659" s="30" t="s">
        <v>133</v>
      </c>
      <c r="F4659" s="7" t="s">
        <v>87</v>
      </c>
      <c r="G4659" s="146" t="s">
        <v>4751</v>
      </c>
      <c r="H4659" s="147" t="s">
        <v>6799</v>
      </c>
      <c r="I4659" s="163">
        <v>0</v>
      </c>
      <c r="J4659" s="46">
        <v>8</v>
      </c>
      <c r="K4659" s="46">
        <v>0</v>
      </c>
      <c r="L4659" s="46">
        <v>0</v>
      </c>
      <c r="M4659" s="46">
        <v>0</v>
      </c>
      <c r="N4659" s="46">
        <v>0</v>
      </c>
      <c r="O4659" s="46">
        <v>0</v>
      </c>
      <c r="P4659" s="47">
        <v>0</v>
      </c>
      <c r="Q4659" s="27" t="s">
        <v>154</v>
      </c>
      <c r="R4659" s="160"/>
      <c r="S4659" s="164"/>
      <c r="T4659" s="164"/>
    </row>
    <row r="4660" spans="1:20" s="162" customFormat="1" ht="72" x14ac:dyDescent="0.25">
      <c r="A4660" s="21">
        <v>41001</v>
      </c>
      <c r="B4660" s="21">
        <v>41001</v>
      </c>
      <c r="C4660" s="43">
        <v>2012</v>
      </c>
      <c r="D4660" s="24" t="s">
        <v>141</v>
      </c>
      <c r="E4660" s="30" t="s">
        <v>142</v>
      </c>
      <c r="F4660" s="7" t="s">
        <v>25</v>
      </c>
      <c r="G4660" s="126" t="s">
        <v>25</v>
      </c>
      <c r="H4660" s="147" t="s">
        <v>6800</v>
      </c>
      <c r="I4660" s="163">
        <v>0</v>
      </c>
      <c r="J4660" s="46">
        <v>1</v>
      </c>
      <c r="K4660" s="46">
        <v>0</v>
      </c>
      <c r="L4660" s="46">
        <v>0</v>
      </c>
      <c r="M4660" s="46">
        <v>0</v>
      </c>
      <c r="N4660" s="46">
        <v>0</v>
      </c>
      <c r="O4660" s="46">
        <v>0</v>
      </c>
      <c r="P4660" s="47">
        <v>0.47249999999999998</v>
      </c>
      <c r="Q4660" s="27" t="s">
        <v>154</v>
      </c>
      <c r="R4660" s="160"/>
      <c r="S4660" s="164"/>
      <c r="T4660" s="164"/>
    </row>
    <row r="4661" spans="1:20" s="162" customFormat="1" ht="84" x14ac:dyDescent="0.25">
      <c r="A4661" s="17">
        <v>41002</v>
      </c>
      <c r="B4661" s="17">
        <v>41002</v>
      </c>
      <c r="C4661" s="43">
        <v>2012</v>
      </c>
      <c r="D4661" s="35" t="s">
        <v>28</v>
      </c>
      <c r="E4661" s="6" t="s">
        <v>149</v>
      </c>
      <c r="F4661" s="28" t="s">
        <v>157</v>
      </c>
      <c r="G4661" s="146" t="s">
        <v>3664</v>
      </c>
      <c r="H4661" s="147" t="s">
        <v>6801</v>
      </c>
      <c r="I4661" s="163">
        <v>0</v>
      </c>
      <c r="J4661" s="46">
        <v>1</v>
      </c>
      <c r="K4661" s="46">
        <v>0</v>
      </c>
      <c r="L4661" s="46">
        <v>0</v>
      </c>
      <c r="M4661" s="46">
        <v>0</v>
      </c>
      <c r="N4661" s="46">
        <v>1</v>
      </c>
      <c r="O4661" s="46">
        <v>0</v>
      </c>
      <c r="P4661" s="47">
        <f>(80000*0.8)/1000000</f>
        <v>6.4000000000000001E-2</v>
      </c>
      <c r="Q4661" s="27" t="s">
        <v>154</v>
      </c>
      <c r="R4661" s="160"/>
      <c r="S4661" s="164"/>
      <c r="T4661" s="164"/>
    </row>
    <row r="4662" spans="1:20" s="162" customFormat="1" ht="132" x14ac:dyDescent="0.25">
      <c r="A4662" s="17">
        <v>41001</v>
      </c>
      <c r="B4662" s="17">
        <v>41001</v>
      </c>
      <c r="C4662" s="43">
        <v>2012</v>
      </c>
      <c r="D4662" s="351" t="s">
        <v>23</v>
      </c>
      <c r="E4662" s="30" t="s">
        <v>323</v>
      </c>
      <c r="F4662" s="28" t="s">
        <v>163</v>
      </c>
      <c r="G4662" s="146" t="s">
        <v>4202</v>
      </c>
      <c r="H4662" s="147" t="s">
        <v>6802</v>
      </c>
      <c r="I4662" s="163">
        <v>0</v>
      </c>
      <c r="J4662" s="46">
        <v>12</v>
      </c>
      <c r="K4662" s="46">
        <v>0</v>
      </c>
      <c r="L4662" s="46">
        <v>0</v>
      </c>
      <c r="M4662" s="46">
        <v>0</v>
      </c>
      <c r="N4662" s="46">
        <v>0</v>
      </c>
      <c r="O4662" s="46">
        <v>0</v>
      </c>
      <c r="P4662" s="47">
        <v>0</v>
      </c>
      <c r="Q4662" s="27" t="s">
        <v>154</v>
      </c>
      <c r="R4662" s="160"/>
      <c r="S4662" s="164"/>
      <c r="T4662" s="164"/>
    </row>
    <row r="4663" spans="1:20" s="162" customFormat="1" ht="120" x14ac:dyDescent="0.25">
      <c r="A4663" s="17">
        <v>41003</v>
      </c>
      <c r="B4663" s="17">
        <v>41003</v>
      </c>
      <c r="C4663" s="43">
        <v>2012</v>
      </c>
      <c r="D4663" s="351" t="s">
        <v>23</v>
      </c>
      <c r="E4663" s="30" t="s">
        <v>5893</v>
      </c>
      <c r="F4663" s="7" t="s">
        <v>80</v>
      </c>
      <c r="G4663" s="146" t="s">
        <v>3294</v>
      </c>
      <c r="H4663" s="147" t="s">
        <v>6803</v>
      </c>
      <c r="I4663" s="163">
        <v>0</v>
      </c>
      <c r="J4663" s="46">
        <v>2</v>
      </c>
      <c r="K4663" s="46">
        <v>0</v>
      </c>
      <c r="L4663" s="46">
        <v>0</v>
      </c>
      <c r="M4663" s="46">
        <v>0</v>
      </c>
      <c r="N4663" s="46">
        <v>0</v>
      </c>
      <c r="O4663" s="46">
        <v>0</v>
      </c>
      <c r="P4663" s="47">
        <v>0</v>
      </c>
      <c r="Q4663" s="27" t="s">
        <v>154</v>
      </c>
      <c r="R4663" s="160"/>
      <c r="S4663" s="164"/>
      <c r="T4663" s="164"/>
    </row>
    <row r="4664" spans="1:20" s="162" customFormat="1" ht="84" x14ac:dyDescent="0.25">
      <c r="A4664" s="17">
        <v>41004</v>
      </c>
      <c r="B4664" s="17">
        <v>41004</v>
      </c>
      <c r="C4664" s="43">
        <v>2012</v>
      </c>
      <c r="D4664" s="35" t="s">
        <v>28</v>
      </c>
      <c r="E4664" s="30" t="s">
        <v>133</v>
      </c>
      <c r="F4664" s="7" t="s">
        <v>45</v>
      </c>
      <c r="G4664" s="146" t="s">
        <v>259</v>
      </c>
      <c r="H4664" s="147" t="s">
        <v>6804</v>
      </c>
      <c r="I4664" s="163">
        <v>0</v>
      </c>
      <c r="J4664" s="46">
        <v>6</v>
      </c>
      <c r="K4664" s="46">
        <v>1</v>
      </c>
      <c r="L4664" s="46">
        <v>0</v>
      </c>
      <c r="M4664" s="46">
        <v>0</v>
      </c>
      <c r="N4664" s="46">
        <v>0</v>
      </c>
      <c r="O4664" s="46">
        <v>0</v>
      </c>
      <c r="P4664" s="47">
        <v>0.12</v>
      </c>
      <c r="Q4664" s="27" t="s">
        <v>154</v>
      </c>
      <c r="R4664" s="160"/>
      <c r="S4664" s="164"/>
      <c r="T4664" s="164"/>
    </row>
    <row r="4665" spans="1:20" s="162" customFormat="1" ht="72" x14ac:dyDescent="0.25">
      <c r="A4665" s="17">
        <v>41004</v>
      </c>
      <c r="B4665" s="17">
        <v>41004</v>
      </c>
      <c r="C4665" s="43">
        <v>2012</v>
      </c>
      <c r="D4665" s="24" t="s">
        <v>141</v>
      </c>
      <c r="E4665" s="30" t="s">
        <v>6731</v>
      </c>
      <c r="F4665" s="7" t="s">
        <v>45</v>
      </c>
      <c r="G4665" s="146" t="s">
        <v>4108</v>
      </c>
      <c r="H4665" s="147" t="s">
        <v>6805</v>
      </c>
      <c r="I4665" s="163">
        <v>0</v>
      </c>
      <c r="J4665" s="46">
        <v>16</v>
      </c>
      <c r="K4665" s="46">
        <v>0</v>
      </c>
      <c r="L4665" s="46">
        <v>0</v>
      </c>
      <c r="M4665" s="46">
        <v>0</v>
      </c>
      <c r="N4665" s="46">
        <v>0</v>
      </c>
      <c r="O4665" s="46">
        <v>0</v>
      </c>
      <c r="P4665" s="47">
        <v>0</v>
      </c>
      <c r="Q4665" s="27" t="s">
        <v>154</v>
      </c>
      <c r="R4665" s="160"/>
      <c r="S4665" s="164"/>
      <c r="T4665" s="164"/>
    </row>
    <row r="4666" spans="1:20" s="162" customFormat="1" ht="120" x14ac:dyDescent="0.25">
      <c r="A4666" s="21">
        <v>41005</v>
      </c>
      <c r="B4666" s="17">
        <v>41005</v>
      </c>
      <c r="C4666" s="43">
        <v>2012</v>
      </c>
      <c r="D4666" s="24" t="s">
        <v>141</v>
      </c>
      <c r="E4666" s="30" t="s">
        <v>142</v>
      </c>
      <c r="F4666" s="28" t="s">
        <v>157</v>
      </c>
      <c r="G4666" s="126" t="s">
        <v>6309</v>
      </c>
      <c r="H4666" s="147" t="s">
        <v>6806</v>
      </c>
      <c r="I4666" s="163">
        <v>1</v>
      </c>
      <c r="J4666" s="46">
        <v>19</v>
      </c>
      <c r="K4666" s="46">
        <v>0</v>
      </c>
      <c r="L4666" s="46">
        <v>0</v>
      </c>
      <c r="M4666" s="46">
        <v>0</v>
      </c>
      <c r="N4666" s="46">
        <v>0</v>
      </c>
      <c r="O4666" s="46">
        <v>0</v>
      </c>
      <c r="P4666" s="47">
        <v>0.25</v>
      </c>
      <c r="Q4666" s="27" t="s">
        <v>154</v>
      </c>
      <c r="R4666" s="160"/>
      <c r="S4666" s="164"/>
      <c r="T4666" s="164"/>
    </row>
    <row r="4667" spans="1:20" s="162" customFormat="1" ht="120" x14ac:dyDescent="0.25">
      <c r="A4667" s="17">
        <v>41006</v>
      </c>
      <c r="B4667" s="17">
        <v>41006</v>
      </c>
      <c r="C4667" s="43">
        <v>2012</v>
      </c>
      <c r="D4667" s="35" t="s">
        <v>28</v>
      </c>
      <c r="E4667" s="6" t="s">
        <v>149</v>
      </c>
      <c r="F4667" s="7" t="s">
        <v>60</v>
      </c>
      <c r="G4667" s="146" t="s">
        <v>6807</v>
      </c>
      <c r="H4667" s="147" t="s">
        <v>6808</v>
      </c>
      <c r="I4667" s="163">
        <v>5</v>
      </c>
      <c r="J4667" s="46">
        <v>5</v>
      </c>
      <c r="K4667" s="46">
        <v>0</v>
      </c>
      <c r="L4667" s="46">
        <v>0</v>
      </c>
      <c r="M4667" s="46">
        <v>0</v>
      </c>
      <c r="N4667" s="46">
        <v>0</v>
      </c>
      <c r="O4667" s="46">
        <v>0</v>
      </c>
      <c r="P4667" s="47">
        <v>5.4999999999999997E-3</v>
      </c>
      <c r="Q4667" s="27" t="s">
        <v>154</v>
      </c>
      <c r="R4667" s="160"/>
      <c r="S4667" s="164"/>
      <c r="T4667" s="164"/>
    </row>
    <row r="4668" spans="1:20" s="162" customFormat="1" ht="96" x14ac:dyDescent="0.25">
      <c r="A4668" s="17">
        <v>41008</v>
      </c>
      <c r="B4668" s="17">
        <v>41008</v>
      </c>
      <c r="C4668" s="43">
        <v>2012</v>
      </c>
      <c r="D4668" s="24" t="s">
        <v>141</v>
      </c>
      <c r="E4668" s="30" t="s">
        <v>142</v>
      </c>
      <c r="F4668" s="7" t="s">
        <v>87</v>
      </c>
      <c r="G4668" s="146" t="s">
        <v>2671</v>
      </c>
      <c r="H4668" s="147" t="s">
        <v>6809</v>
      </c>
      <c r="I4668" s="163">
        <v>1</v>
      </c>
      <c r="J4668" s="46">
        <v>8</v>
      </c>
      <c r="K4668" s="46">
        <v>0</v>
      </c>
      <c r="L4668" s="46">
        <v>0</v>
      </c>
      <c r="M4668" s="46">
        <v>0</v>
      </c>
      <c r="N4668" s="46">
        <v>0</v>
      </c>
      <c r="O4668" s="46">
        <v>0</v>
      </c>
      <c r="P4668" s="47">
        <f>(0.42+39960)/1000000</f>
        <v>3.9960419999999996E-2</v>
      </c>
      <c r="Q4668" s="27" t="s">
        <v>154</v>
      </c>
      <c r="R4668" s="160"/>
      <c r="S4668" s="164"/>
      <c r="T4668" s="164"/>
    </row>
    <row r="4669" spans="1:20" s="162" customFormat="1" ht="108" x14ac:dyDescent="0.25">
      <c r="A4669" s="17">
        <v>41009</v>
      </c>
      <c r="B4669" s="17">
        <v>41009</v>
      </c>
      <c r="C4669" s="43">
        <v>2012</v>
      </c>
      <c r="D4669" s="24" t="s">
        <v>141</v>
      </c>
      <c r="E4669" s="30" t="s">
        <v>142</v>
      </c>
      <c r="F4669" s="7" t="s">
        <v>87</v>
      </c>
      <c r="G4669" s="146" t="s">
        <v>1714</v>
      </c>
      <c r="H4669" s="147" t="s">
        <v>6810</v>
      </c>
      <c r="I4669" s="163">
        <v>0</v>
      </c>
      <c r="J4669" s="46">
        <v>1</v>
      </c>
      <c r="K4669" s="46">
        <v>0</v>
      </c>
      <c r="L4669" s="46">
        <v>0</v>
      </c>
      <c r="M4669" s="46">
        <v>0</v>
      </c>
      <c r="N4669" s="46">
        <v>0</v>
      </c>
      <c r="O4669" s="46">
        <v>0</v>
      </c>
      <c r="P4669" s="47">
        <v>0.28875000000000001</v>
      </c>
      <c r="Q4669" s="27" t="s">
        <v>154</v>
      </c>
      <c r="R4669" s="160"/>
      <c r="S4669" s="164"/>
      <c r="T4669" s="164"/>
    </row>
    <row r="4670" spans="1:20" s="162" customFormat="1" ht="84" x14ac:dyDescent="0.25">
      <c r="A4670" s="17">
        <v>41009</v>
      </c>
      <c r="B4670" s="17">
        <v>41009</v>
      </c>
      <c r="C4670" s="43">
        <v>2012</v>
      </c>
      <c r="D4670" s="24" t="s">
        <v>141</v>
      </c>
      <c r="E4670" s="30" t="s">
        <v>142</v>
      </c>
      <c r="F4670" s="7" t="s">
        <v>87</v>
      </c>
      <c r="G4670" s="146" t="s">
        <v>2141</v>
      </c>
      <c r="H4670" s="147" t="s">
        <v>6811</v>
      </c>
      <c r="I4670" s="163">
        <v>2</v>
      </c>
      <c r="J4670" s="46">
        <v>47</v>
      </c>
      <c r="K4670" s="46">
        <v>0</v>
      </c>
      <c r="L4670" s="46">
        <v>0</v>
      </c>
      <c r="M4670" s="46">
        <v>0</v>
      </c>
      <c r="N4670" s="46">
        <v>0</v>
      </c>
      <c r="O4670" s="46">
        <v>0</v>
      </c>
      <c r="P4670" s="47">
        <v>0.42</v>
      </c>
      <c r="Q4670" s="27" t="s">
        <v>154</v>
      </c>
      <c r="R4670" s="160"/>
      <c r="S4670" s="164"/>
      <c r="T4670" s="164"/>
    </row>
    <row r="4671" spans="1:20" s="162" customFormat="1" ht="144" x14ac:dyDescent="0.25">
      <c r="A4671" s="17">
        <v>41007</v>
      </c>
      <c r="B4671" s="17">
        <v>41069</v>
      </c>
      <c r="C4671" s="43">
        <v>2012</v>
      </c>
      <c r="D4671" s="351" t="s">
        <v>23</v>
      </c>
      <c r="E4671" s="22" t="s">
        <v>86</v>
      </c>
      <c r="F4671" s="28" t="s">
        <v>210</v>
      </c>
      <c r="G4671" s="146" t="s">
        <v>6812</v>
      </c>
      <c r="H4671" s="147" t="s">
        <v>6813</v>
      </c>
      <c r="I4671" s="148">
        <v>4</v>
      </c>
      <c r="J4671" s="46">
        <v>1600</v>
      </c>
      <c r="K4671" s="46">
        <v>320</v>
      </c>
      <c r="L4671" s="46">
        <v>0</v>
      </c>
      <c r="M4671" s="46">
        <v>0</v>
      </c>
      <c r="N4671" s="46">
        <v>0</v>
      </c>
      <c r="O4671" s="46">
        <v>0</v>
      </c>
      <c r="P4671" s="47">
        <f>(320*5500)/1000000</f>
        <v>1.76</v>
      </c>
      <c r="Q4671" s="27" t="s">
        <v>154</v>
      </c>
      <c r="R4671" s="160"/>
      <c r="S4671" s="164"/>
      <c r="T4671" s="164"/>
    </row>
    <row r="4672" spans="1:20" s="162" customFormat="1" ht="60" x14ac:dyDescent="0.25">
      <c r="A4672" s="17">
        <v>41007</v>
      </c>
      <c r="B4672" s="17">
        <v>41007</v>
      </c>
      <c r="C4672" s="43">
        <v>2012</v>
      </c>
      <c r="D4672" s="351" t="s">
        <v>23</v>
      </c>
      <c r="E4672" s="22" t="s">
        <v>86</v>
      </c>
      <c r="F4672" s="28" t="s">
        <v>210</v>
      </c>
      <c r="G4672" s="146" t="s">
        <v>4720</v>
      </c>
      <c r="H4672" s="147" t="s">
        <v>6814</v>
      </c>
      <c r="I4672" s="163">
        <v>4</v>
      </c>
      <c r="J4672" s="46">
        <v>4</v>
      </c>
      <c r="K4672" s="46">
        <v>0</v>
      </c>
      <c r="L4672" s="46">
        <v>0</v>
      </c>
      <c r="M4672" s="46">
        <v>0</v>
      </c>
      <c r="N4672" s="46">
        <v>0</v>
      </c>
      <c r="O4672" s="46">
        <v>0</v>
      </c>
      <c r="P4672" s="47">
        <v>0</v>
      </c>
      <c r="Q4672" s="27" t="s">
        <v>154</v>
      </c>
      <c r="R4672" s="160"/>
      <c r="S4672" s="164"/>
      <c r="T4672" s="164"/>
    </row>
    <row r="4673" spans="1:20" s="162" customFormat="1" ht="72" x14ac:dyDescent="0.25">
      <c r="A4673" s="17">
        <v>41010</v>
      </c>
      <c r="B4673" s="17">
        <v>41010</v>
      </c>
      <c r="C4673" s="43">
        <v>2012</v>
      </c>
      <c r="D4673" s="35" t="s">
        <v>28</v>
      </c>
      <c r="E4673" s="30" t="s">
        <v>133</v>
      </c>
      <c r="F4673" s="28" t="s">
        <v>157</v>
      </c>
      <c r="G4673" s="146" t="s">
        <v>6058</v>
      </c>
      <c r="H4673" s="147" t="s">
        <v>6815</v>
      </c>
      <c r="I4673" s="163">
        <v>0</v>
      </c>
      <c r="J4673" s="46">
        <v>5</v>
      </c>
      <c r="K4673" s="46">
        <v>1</v>
      </c>
      <c r="L4673" s="46">
        <v>0</v>
      </c>
      <c r="M4673" s="46">
        <v>0</v>
      </c>
      <c r="N4673" s="46">
        <v>0</v>
      </c>
      <c r="O4673" s="46">
        <v>0</v>
      </c>
      <c r="P4673" s="47">
        <f>((5*39690)+(120000))/1000000</f>
        <v>0.31845000000000001</v>
      </c>
      <c r="Q4673" s="27" t="s">
        <v>154</v>
      </c>
      <c r="R4673" s="160"/>
      <c r="S4673" s="164"/>
      <c r="T4673" s="164"/>
    </row>
    <row r="4674" spans="1:20" s="162" customFormat="1" ht="72" x14ac:dyDescent="0.25">
      <c r="A4674" s="21">
        <v>41010</v>
      </c>
      <c r="B4674" s="17">
        <v>41010</v>
      </c>
      <c r="C4674" s="43">
        <v>2012</v>
      </c>
      <c r="D4674" s="24" t="s">
        <v>141</v>
      </c>
      <c r="E4674" s="30" t="s">
        <v>142</v>
      </c>
      <c r="F4674" s="7" t="s">
        <v>40</v>
      </c>
      <c r="G4674" s="126" t="s">
        <v>58</v>
      </c>
      <c r="H4674" s="147" t="s">
        <v>6816</v>
      </c>
      <c r="I4674" s="163">
        <v>1</v>
      </c>
      <c r="J4674" s="46">
        <v>1</v>
      </c>
      <c r="K4674" s="46">
        <v>0</v>
      </c>
      <c r="L4674" s="46">
        <v>0</v>
      </c>
      <c r="M4674" s="46">
        <v>0</v>
      </c>
      <c r="N4674" s="46">
        <v>0</v>
      </c>
      <c r="O4674" s="46">
        <v>0</v>
      </c>
      <c r="P4674" s="47">
        <f>((472500)+(11.28*20000))/1000000</f>
        <v>0.69810000000000005</v>
      </c>
      <c r="Q4674" s="27" t="s">
        <v>154</v>
      </c>
      <c r="R4674" s="160"/>
      <c r="S4674" s="164"/>
      <c r="T4674" s="164"/>
    </row>
    <row r="4675" spans="1:20" s="162" customFormat="1" ht="120" x14ac:dyDescent="0.25">
      <c r="A4675" s="17">
        <v>41011</v>
      </c>
      <c r="B4675" s="17">
        <v>41011</v>
      </c>
      <c r="C4675" s="43">
        <v>2012</v>
      </c>
      <c r="D4675" s="24" t="s">
        <v>141</v>
      </c>
      <c r="E4675" s="30" t="s">
        <v>142</v>
      </c>
      <c r="F4675" s="7" t="s">
        <v>53</v>
      </c>
      <c r="G4675" s="146" t="s">
        <v>1896</v>
      </c>
      <c r="H4675" s="147" t="s">
        <v>6817</v>
      </c>
      <c r="I4675" s="163">
        <v>6</v>
      </c>
      <c r="J4675" s="46">
        <v>38</v>
      </c>
      <c r="K4675" s="46">
        <v>0</v>
      </c>
      <c r="L4675" s="46">
        <v>0</v>
      </c>
      <c r="M4675" s="46">
        <v>0</v>
      </c>
      <c r="N4675" s="46">
        <v>0</v>
      </c>
      <c r="O4675" s="46">
        <v>0</v>
      </c>
      <c r="P4675" s="47">
        <f>((5*39690)+(288750)+(420000))/1000000</f>
        <v>0.90720000000000001</v>
      </c>
      <c r="Q4675" s="27" t="s">
        <v>154</v>
      </c>
      <c r="R4675" s="160"/>
      <c r="S4675" s="164"/>
      <c r="T4675" s="164"/>
    </row>
    <row r="4676" spans="1:20" s="162" customFormat="1" ht="84" x14ac:dyDescent="0.25">
      <c r="A4676" s="17">
        <v>41010</v>
      </c>
      <c r="B4676" s="17">
        <v>41010</v>
      </c>
      <c r="C4676" s="43">
        <v>2012</v>
      </c>
      <c r="D4676" s="24" t="s">
        <v>141</v>
      </c>
      <c r="E4676" s="30" t="s">
        <v>142</v>
      </c>
      <c r="F4676" s="28" t="s">
        <v>210</v>
      </c>
      <c r="G4676" s="146" t="s">
        <v>4296</v>
      </c>
      <c r="H4676" s="147" t="s">
        <v>6818</v>
      </c>
      <c r="I4676" s="46">
        <v>1</v>
      </c>
      <c r="J4676" s="46">
        <v>1</v>
      </c>
      <c r="K4676" s="46">
        <v>0</v>
      </c>
      <c r="L4676" s="46">
        <v>0</v>
      </c>
      <c r="M4676" s="46">
        <v>0</v>
      </c>
      <c r="N4676" s="46">
        <v>0</v>
      </c>
      <c r="O4676" s="46">
        <v>0</v>
      </c>
      <c r="P4676" s="47">
        <v>0.47249999999999998</v>
      </c>
      <c r="Q4676" s="27" t="s">
        <v>154</v>
      </c>
      <c r="R4676" s="160"/>
      <c r="S4676" s="164"/>
      <c r="T4676" s="164"/>
    </row>
    <row r="4677" spans="1:20" s="162" customFormat="1" ht="96" x14ac:dyDescent="0.25">
      <c r="A4677" s="17">
        <v>41010</v>
      </c>
      <c r="B4677" s="17">
        <v>41010</v>
      </c>
      <c r="C4677" s="43">
        <v>2012</v>
      </c>
      <c r="D4677" s="24" t="s">
        <v>141</v>
      </c>
      <c r="E4677" s="30" t="s">
        <v>142</v>
      </c>
      <c r="F4677" s="28" t="s">
        <v>210</v>
      </c>
      <c r="G4677" s="146" t="s">
        <v>4401</v>
      </c>
      <c r="H4677" s="147" t="s">
        <v>6819</v>
      </c>
      <c r="I4677" s="148">
        <v>8</v>
      </c>
      <c r="J4677" s="46">
        <v>30</v>
      </c>
      <c r="K4677" s="46">
        <v>0</v>
      </c>
      <c r="L4677" s="46">
        <v>0</v>
      </c>
      <c r="M4677" s="46">
        <v>0</v>
      </c>
      <c r="N4677" s="46">
        <v>0</v>
      </c>
      <c r="O4677" s="46">
        <v>0</v>
      </c>
      <c r="P4677" s="47">
        <v>0.42</v>
      </c>
      <c r="Q4677" s="27" t="s">
        <v>154</v>
      </c>
      <c r="R4677" s="160"/>
      <c r="S4677" s="164"/>
      <c r="T4677" s="164"/>
    </row>
    <row r="4678" spans="1:20" s="162" customFormat="1" ht="48" x14ac:dyDescent="0.25">
      <c r="A4678" s="17">
        <v>41012</v>
      </c>
      <c r="B4678" s="17">
        <v>41012</v>
      </c>
      <c r="C4678" s="43">
        <v>2012</v>
      </c>
      <c r="D4678" s="35" t="s">
        <v>28</v>
      </c>
      <c r="E4678" s="6" t="s">
        <v>149</v>
      </c>
      <c r="F4678" s="7" t="s">
        <v>45</v>
      </c>
      <c r="G4678" s="146" t="s">
        <v>259</v>
      </c>
      <c r="H4678" s="147" t="s">
        <v>6820</v>
      </c>
      <c r="I4678" s="163">
        <v>0</v>
      </c>
      <c r="J4678" s="46">
        <v>0</v>
      </c>
      <c r="K4678" s="46">
        <v>0</v>
      </c>
      <c r="L4678" s="46">
        <v>0</v>
      </c>
      <c r="M4678" s="46">
        <v>0</v>
      </c>
      <c r="N4678" s="46">
        <v>1</v>
      </c>
      <c r="O4678" s="46">
        <v>0</v>
      </c>
      <c r="P4678" s="47">
        <v>0</v>
      </c>
      <c r="Q4678" s="27" t="s">
        <v>154</v>
      </c>
      <c r="R4678" s="160"/>
      <c r="S4678" s="164"/>
      <c r="T4678" s="164"/>
    </row>
    <row r="4679" spans="1:20" s="162" customFormat="1" ht="84" x14ac:dyDescent="0.25">
      <c r="A4679" s="17">
        <v>41014</v>
      </c>
      <c r="B4679" s="17">
        <v>41014</v>
      </c>
      <c r="C4679" s="43">
        <v>2012</v>
      </c>
      <c r="D4679" s="24" t="s">
        <v>141</v>
      </c>
      <c r="E4679" s="30" t="s">
        <v>142</v>
      </c>
      <c r="F4679" s="7" t="s">
        <v>62</v>
      </c>
      <c r="G4679" s="146" t="s">
        <v>2562</v>
      </c>
      <c r="H4679" s="147" t="s">
        <v>6821</v>
      </c>
      <c r="I4679" s="163">
        <v>1</v>
      </c>
      <c r="J4679" s="46">
        <v>21</v>
      </c>
      <c r="K4679" s="46">
        <v>0</v>
      </c>
      <c r="L4679" s="46">
        <v>0</v>
      </c>
      <c r="M4679" s="46">
        <v>0</v>
      </c>
      <c r="N4679" s="46">
        <v>0</v>
      </c>
      <c r="O4679" s="46">
        <v>0</v>
      </c>
      <c r="P4679" s="47">
        <v>0.42</v>
      </c>
      <c r="Q4679" s="27" t="s">
        <v>154</v>
      </c>
      <c r="R4679" s="160"/>
      <c r="S4679" s="164"/>
      <c r="T4679" s="164"/>
    </row>
    <row r="4680" spans="1:20" s="162" customFormat="1" ht="72" x14ac:dyDescent="0.25">
      <c r="A4680" s="17">
        <v>41014</v>
      </c>
      <c r="B4680" s="17">
        <v>41014</v>
      </c>
      <c r="C4680" s="43">
        <v>2012</v>
      </c>
      <c r="D4680" s="35" t="s">
        <v>28</v>
      </c>
      <c r="E4680" s="30" t="s">
        <v>133</v>
      </c>
      <c r="F4680" s="7" t="s">
        <v>60</v>
      </c>
      <c r="G4680" s="146" t="s">
        <v>1424</v>
      </c>
      <c r="H4680" s="147" t="s">
        <v>6822</v>
      </c>
      <c r="I4680" s="163">
        <v>0</v>
      </c>
      <c r="J4680" s="46">
        <v>5</v>
      </c>
      <c r="K4680" s="46">
        <v>0</v>
      </c>
      <c r="L4680" s="46">
        <v>0</v>
      </c>
      <c r="M4680" s="46">
        <v>0</v>
      </c>
      <c r="N4680" s="46">
        <v>1</v>
      </c>
      <c r="O4680" s="46">
        <v>0</v>
      </c>
      <c r="P4680" s="47">
        <v>0</v>
      </c>
      <c r="Q4680" s="27" t="s">
        <v>154</v>
      </c>
      <c r="R4680" s="160"/>
      <c r="S4680" s="164"/>
      <c r="T4680" s="164"/>
    </row>
    <row r="4681" spans="1:20" s="162" customFormat="1" ht="60" x14ac:dyDescent="0.25">
      <c r="A4681" s="21">
        <v>41010</v>
      </c>
      <c r="B4681" s="17">
        <v>41015</v>
      </c>
      <c r="C4681" s="43">
        <v>2012</v>
      </c>
      <c r="D4681" s="35" t="s">
        <v>28</v>
      </c>
      <c r="E4681" s="6" t="s">
        <v>149</v>
      </c>
      <c r="F4681" s="28" t="s">
        <v>151</v>
      </c>
      <c r="G4681" s="126" t="s">
        <v>1477</v>
      </c>
      <c r="H4681" s="147" t="s">
        <v>6823</v>
      </c>
      <c r="I4681" s="163">
        <v>0</v>
      </c>
      <c r="J4681" s="46">
        <v>12</v>
      </c>
      <c r="K4681" s="46">
        <v>0</v>
      </c>
      <c r="L4681" s="46">
        <v>0</v>
      </c>
      <c r="M4681" s="46">
        <v>0</v>
      </c>
      <c r="N4681" s="46">
        <v>0</v>
      </c>
      <c r="O4681" s="46">
        <v>0</v>
      </c>
      <c r="P4681" s="47">
        <v>0</v>
      </c>
      <c r="Q4681" s="27" t="s">
        <v>154</v>
      </c>
      <c r="R4681" s="160"/>
      <c r="S4681" s="164"/>
      <c r="T4681" s="164"/>
    </row>
    <row r="4682" spans="1:20" s="162" customFormat="1" ht="156" x14ac:dyDescent="0.25">
      <c r="A4682" s="17">
        <v>41016</v>
      </c>
      <c r="B4682" s="17">
        <v>41016</v>
      </c>
      <c r="C4682" s="43">
        <v>2012</v>
      </c>
      <c r="D4682" s="24" t="s">
        <v>141</v>
      </c>
      <c r="E4682" s="30" t="s">
        <v>142</v>
      </c>
      <c r="F4682" s="7" t="s">
        <v>84</v>
      </c>
      <c r="G4682" s="146" t="s">
        <v>3740</v>
      </c>
      <c r="H4682" s="147" t="s">
        <v>6824</v>
      </c>
      <c r="I4682" s="163">
        <v>0</v>
      </c>
      <c r="J4682" s="46">
        <v>1</v>
      </c>
      <c r="K4682" s="46">
        <v>0</v>
      </c>
      <c r="L4682" s="46">
        <v>0</v>
      </c>
      <c r="M4682" s="46">
        <v>0</v>
      </c>
      <c r="N4682" s="46">
        <v>0</v>
      </c>
      <c r="O4682" s="46">
        <v>0</v>
      </c>
      <c r="P4682" s="47">
        <v>0.20799999999999999</v>
      </c>
      <c r="Q4682" s="27" t="s">
        <v>154</v>
      </c>
      <c r="R4682" s="160"/>
      <c r="S4682" s="164"/>
      <c r="T4682" s="164"/>
    </row>
    <row r="4683" spans="1:20" s="162" customFormat="1" ht="156" x14ac:dyDescent="0.25">
      <c r="A4683" s="23">
        <v>41017</v>
      </c>
      <c r="B4683" s="23">
        <v>41092</v>
      </c>
      <c r="C4683" s="43">
        <v>2012</v>
      </c>
      <c r="D4683" s="35" t="s">
        <v>28</v>
      </c>
      <c r="E4683" s="6" t="s">
        <v>369</v>
      </c>
      <c r="F4683" s="7" t="s">
        <v>84</v>
      </c>
      <c r="G4683" s="146" t="s">
        <v>2143</v>
      </c>
      <c r="H4683" s="147" t="s">
        <v>6825</v>
      </c>
      <c r="I4683" s="148">
        <v>0</v>
      </c>
      <c r="J4683" s="46">
        <v>0</v>
      </c>
      <c r="K4683" s="46">
        <v>0</v>
      </c>
      <c r="L4683" s="46">
        <v>0</v>
      </c>
      <c r="M4683" s="46">
        <v>0</v>
      </c>
      <c r="N4683" s="46">
        <v>0</v>
      </c>
      <c r="O4683" s="46">
        <v>0</v>
      </c>
      <c r="P4683" s="47">
        <v>0</v>
      </c>
      <c r="Q4683" s="27" t="s">
        <v>154</v>
      </c>
      <c r="R4683" s="160"/>
      <c r="S4683" s="164"/>
      <c r="T4683" s="164"/>
    </row>
    <row r="4684" spans="1:20" s="162" customFormat="1" ht="84" x14ac:dyDescent="0.25">
      <c r="A4684" s="17">
        <v>41016</v>
      </c>
      <c r="B4684" s="17">
        <v>41016</v>
      </c>
      <c r="C4684" s="43">
        <v>2012</v>
      </c>
      <c r="D4684" s="351" t="s">
        <v>23</v>
      </c>
      <c r="E4684" s="22" t="s">
        <v>86</v>
      </c>
      <c r="F4684" s="28" t="s">
        <v>160</v>
      </c>
      <c r="G4684" s="146" t="s">
        <v>6044</v>
      </c>
      <c r="H4684" s="147" t="s">
        <v>6826</v>
      </c>
      <c r="I4684" s="163">
        <v>0</v>
      </c>
      <c r="J4684" s="46">
        <v>300</v>
      </c>
      <c r="K4684" s="46">
        <v>60</v>
      </c>
      <c r="L4684" s="46">
        <v>0</v>
      </c>
      <c r="M4684" s="46">
        <v>0</v>
      </c>
      <c r="N4684" s="46">
        <v>0</v>
      </c>
      <c r="O4684" s="46">
        <v>0</v>
      </c>
      <c r="P4684" s="47">
        <f>((60*5500)+(60*10000))/1000000</f>
        <v>0.93</v>
      </c>
      <c r="Q4684" s="27" t="s">
        <v>154</v>
      </c>
      <c r="R4684" s="160"/>
      <c r="S4684" s="164"/>
      <c r="T4684" s="164"/>
    </row>
    <row r="4685" spans="1:20" s="162" customFormat="1" ht="96" x14ac:dyDescent="0.25">
      <c r="A4685" s="17">
        <v>41016</v>
      </c>
      <c r="B4685" s="17">
        <v>41016</v>
      </c>
      <c r="C4685" s="43">
        <v>2012</v>
      </c>
      <c r="D4685" s="351" t="s">
        <v>23</v>
      </c>
      <c r="E4685" s="30" t="s">
        <v>5893</v>
      </c>
      <c r="F4685" s="7" t="s">
        <v>77</v>
      </c>
      <c r="G4685" s="146" t="s">
        <v>3679</v>
      </c>
      <c r="H4685" s="147" t="s">
        <v>6827</v>
      </c>
      <c r="I4685" s="163">
        <v>0</v>
      </c>
      <c r="J4685" s="46">
        <v>1</v>
      </c>
      <c r="K4685" s="46">
        <v>26</v>
      </c>
      <c r="L4685" s="46">
        <v>0</v>
      </c>
      <c r="M4685" s="46">
        <v>0</v>
      </c>
      <c r="N4685" s="46">
        <v>0</v>
      </c>
      <c r="O4685" s="46">
        <v>0</v>
      </c>
      <c r="P4685" s="47">
        <f>((25*5500)+(120000))/1000000</f>
        <v>0.25750000000000001</v>
      </c>
      <c r="Q4685" s="27" t="s">
        <v>154</v>
      </c>
      <c r="R4685" s="160"/>
      <c r="S4685" s="164"/>
      <c r="T4685" s="164"/>
    </row>
    <row r="4686" spans="1:20" s="162" customFormat="1" ht="120" x14ac:dyDescent="0.25">
      <c r="A4686" s="17">
        <v>41016</v>
      </c>
      <c r="B4686" s="17">
        <v>41016</v>
      </c>
      <c r="C4686" s="43">
        <v>2012</v>
      </c>
      <c r="D4686" s="351" t="s">
        <v>23</v>
      </c>
      <c r="E4686" s="22" t="s">
        <v>86</v>
      </c>
      <c r="F4686" s="28" t="s">
        <v>210</v>
      </c>
      <c r="G4686" s="146" t="s">
        <v>6828</v>
      </c>
      <c r="H4686" s="147" t="s">
        <v>6829</v>
      </c>
      <c r="I4686" s="163">
        <v>0</v>
      </c>
      <c r="J4686" s="46">
        <v>5610</v>
      </c>
      <c r="K4686" s="46">
        <v>1122</v>
      </c>
      <c r="L4686" s="46">
        <v>0</v>
      </c>
      <c r="M4686" s="46">
        <v>0</v>
      </c>
      <c r="N4686" s="46">
        <v>1</v>
      </c>
      <c r="O4686" s="46">
        <v>0</v>
      </c>
      <c r="P4686" s="47">
        <f>(K4686*5500)/1000000</f>
        <v>6.1710000000000003</v>
      </c>
      <c r="Q4686" s="27" t="s">
        <v>154</v>
      </c>
      <c r="R4686" s="160"/>
      <c r="S4686" s="164"/>
      <c r="T4686" s="164"/>
    </row>
    <row r="4687" spans="1:20" s="162" customFormat="1" ht="84" x14ac:dyDescent="0.25">
      <c r="A4687" s="17">
        <v>41018</v>
      </c>
      <c r="B4687" s="17">
        <v>41018</v>
      </c>
      <c r="C4687" s="43">
        <v>2012</v>
      </c>
      <c r="D4687" s="24" t="s">
        <v>141</v>
      </c>
      <c r="E4687" s="30" t="s">
        <v>142</v>
      </c>
      <c r="F4687" s="7" t="s">
        <v>87</v>
      </c>
      <c r="G4687" s="146" t="s">
        <v>1718</v>
      </c>
      <c r="H4687" s="147" t="s">
        <v>6830</v>
      </c>
      <c r="I4687" s="163">
        <v>0</v>
      </c>
      <c r="J4687" s="46">
        <v>0</v>
      </c>
      <c r="K4687" s="46">
        <v>0</v>
      </c>
      <c r="L4687" s="46">
        <v>0</v>
      </c>
      <c r="M4687" s="46">
        <v>0</v>
      </c>
      <c r="N4687" s="46">
        <v>0</v>
      </c>
      <c r="O4687" s="46">
        <v>0</v>
      </c>
      <c r="P4687" s="47">
        <f>((472500)+(34000*11.28))/1000000</f>
        <v>0.85602</v>
      </c>
      <c r="Q4687" s="27" t="s">
        <v>154</v>
      </c>
      <c r="R4687" s="160"/>
      <c r="S4687" s="164"/>
      <c r="T4687" s="164"/>
    </row>
    <row r="4688" spans="1:20" s="162" customFormat="1" ht="132" x14ac:dyDescent="0.25">
      <c r="A4688" s="17">
        <v>41018</v>
      </c>
      <c r="B4688" s="17">
        <v>41018</v>
      </c>
      <c r="C4688" s="43">
        <v>2012</v>
      </c>
      <c r="D4688" s="35" t="s">
        <v>28</v>
      </c>
      <c r="E4688" s="30" t="s">
        <v>125</v>
      </c>
      <c r="F4688" s="28" t="s">
        <v>210</v>
      </c>
      <c r="G4688" s="146" t="s">
        <v>1935</v>
      </c>
      <c r="H4688" s="147" t="s">
        <v>6831</v>
      </c>
      <c r="I4688" s="163">
        <v>0</v>
      </c>
      <c r="J4688" s="46">
        <v>50</v>
      </c>
      <c r="K4688" s="46">
        <v>0</v>
      </c>
      <c r="L4688" s="46">
        <v>0</v>
      </c>
      <c r="M4688" s="46">
        <v>0</v>
      </c>
      <c r="N4688" s="46">
        <v>0</v>
      </c>
      <c r="O4688" s="46">
        <v>0</v>
      </c>
      <c r="P4688" s="47">
        <v>0</v>
      </c>
      <c r="Q4688" s="27" t="s">
        <v>154</v>
      </c>
      <c r="R4688" s="160"/>
      <c r="S4688" s="164"/>
      <c r="T4688" s="164"/>
    </row>
    <row r="4689" spans="1:20" s="162" customFormat="1" ht="60" x14ac:dyDescent="0.25">
      <c r="A4689" s="21">
        <v>41018</v>
      </c>
      <c r="B4689" s="21">
        <v>41018</v>
      </c>
      <c r="C4689" s="43">
        <v>2012</v>
      </c>
      <c r="D4689" s="35" t="s">
        <v>28</v>
      </c>
      <c r="E4689" s="30" t="s">
        <v>133</v>
      </c>
      <c r="F4689" s="7" t="s">
        <v>58</v>
      </c>
      <c r="G4689" s="146" t="s">
        <v>6715</v>
      </c>
      <c r="H4689" s="147" t="s">
        <v>6832</v>
      </c>
      <c r="I4689" s="163">
        <v>0</v>
      </c>
      <c r="J4689" s="46">
        <v>4</v>
      </c>
      <c r="K4689" s="46">
        <v>0</v>
      </c>
      <c r="L4689" s="46">
        <v>0</v>
      </c>
      <c r="M4689" s="46">
        <v>0</v>
      </c>
      <c r="N4689" s="46">
        <v>0</v>
      </c>
      <c r="O4689" s="46">
        <v>0</v>
      </c>
      <c r="P4689" s="47">
        <v>0</v>
      </c>
      <c r="Q4689" s="27" t="s">
        <v>154</v>
      </c>
      <c r="R4689" s="160"/>
      <c r="S4689" s="164"/>
      <c r="T4689" s="164"/>
    </row>
    <row r="4690" spans="1:20" s="162" customFormat="1" ht="108" x14ac:dyDescent="0.25">
      <c r="A4690" s="17">
        <v>41019</v>
      </c>
      <c r="B4690" s="17">
        <v>41019</v>
      </c>
      <c r="C4690" s="43">
        <v>2012</v>
      </c>
      <c r="D4690" s="24" t="s">
        <v>141</v>
      </c>
      <c r="E4690" s="30" t="s">
        <v>142</v>
      </c>
      <c r="F4690" s="28" t="s">
        <v>210</v>
      </c>
      <c r="G4690" s="146" t="s">
        <v>6486</v>
      </c>
      <c r="H4690" s="147" t="s">
        <v>6833</v>
      </c>
      <c r="I4690" s="148">
        <v>43</v>
      </c>
      <c r="J4690" s="46">
        <v>49</v>
      </c>
      <c r="K4690" s="46">
        <v>0</v>
      </c>
      <c r="L4690" s="46">
        <v>0</v>
      </c>
      <c r="M4690" s="46">
        <v>0</v>
      </c>
      <c r="N4690" s="46">
        <v>0</v>
      </c>
      <c r="O4690" s="46">
        <v>0</v>
      </c>
      <c r="P4690" s="47">
        <f>(420000+288750)/1000000</f>
        <v>0.70874999999999999</v>
      </c>
      <c r="Q4690" s="27" t="s">
        <v>154</v>
      </c>
      <c r="R4690" s="160"/>
      <c r="S4690" s="164"/>
      <c r="T4690" s="164"/>
    </row>
    <row r="4691" spans="1:20" s="162" customFormat="1" ht="144" x14ac:dyDescent="0.25">
      <c r="A4691" s="17">
        <v>41019</v>
      </c>
      <c r="B4691" s="17">
        <v>41019</v>
      </c>
      <c r="C4691" s="43">
        <v>2012</v>
      </c>
      <c r="D4691" s="24" t="s">
        <v>141</v>
      </c>
      <c r="E4691" s="30" t="s">
        <v>142</v>
      </c>
      <c r="F4691" s="7" t="s">
        <v>60</v>
      </c>
      <c r="G4691" s="146" t="s">
        <v>1105</v>
      </c>
      <c r="H4691" s="147" t="s">
        <v>6834</v>
      </c>
      <c r="I4691" s="163">
        <v>1</v>
      </c>
      <c r="J4691" s="46">
        <v>40</v>
      </c>
      <c r="K4691" s="46">
        <v>0</v>
      </c>
      <c r="L4691" s="46">
        <v>0</v>
      </c>
      <c r="M4691" s="46">
        <v>0</v>
      </c>
      <c r="N4691" s="46">
        <v>0</v>
      </c>
      <c r="O4691" s="46">
        <v>0</v>
      </c>
      <c r="P4691" s="47">
        <f>(420000+288750)/1000000</f>
        <v>0.70874999999999999</v>
      </c>
      <c r="Q4691" s="27" t="s">
        <v>154</v>
      </c>
      <c r="R4691" s="160"/>
      <c r="S4691" s="164"/>
      <c r="T4691" s="164"/>
    </row>
    <row r="4692" spans="1:20" s="162" customFormat="1" ht="72" x14ac:dyDescent="0.25">
      <c r="A4692" s="17">
        <v>41019</v>
      </c>
      <c r="B4692" s="17">
        <v>41020</v>
      </c>
      <c r="C4692" s="43">
        <v>2012</v>
      </c>
      <c r="D4692" s="35" t="s">
        <v>28</v>
      </c>
      <c r="E4692" s="6" t="s">
        <v>149</v>
      </c>
      <c r="F4692" s="7" t="s">
        <v>53</v>
      </c>
      <c r="G4692" s="146" t="s">
        <v>6691</v>
      </c>
      <c r="H4692" s="147" t="s">
        <v>6835</v>
      </c>
      <c r="I4692" s="163">
        <v>0</v>
      </c>
      <c r="J4692" s="46">
        <v>85</v>
      </c>
      <c r="K4692" s="46">
        <v>0</v>
      </c>
      <c r="L4692" s="46">
        <v>0</v>
      </c>
      <c r="M4692" s="46">
        <v>0</v>
      </c>
      <c r="N4692" s="46">
        <v>3</v>
      </c>
      <c r="O4692" s="46">
        <v>0</v>
      </c>
      <c r="P4692" s="47">
        <v>0</v>
      </c>
      <c r="Q4692" s="27" t="s">
        <v>154</v>
      </c>
      <c r="R4692" s="160"/>
      <c r="S4692" s="164"/>
      <c r="T4692" s="164"/>
    </row>
    <row r="4693" spans="1:20" s="162" customFormat="1" ht="84" x14ac:dyDescent="0.25">
      <c r="A4693" s="17">
        <v>41021</v>
      </c>
      <c r="B4693" s="17">
        <v>41021</v>
      </c>
      <c r="C4693" s="43">
        <v>2012</v>
      </c>
      <c r="D4693" s="24" t="s">
        <v>141</v>
      </c>
      <c r="E4693" s="30" t="s">
        <v>142</v>
      </c>
      <c r="F4693" s="7" t="s">
        <v>67</v>
      </c>
      <c r="G4693" s="146" t="s">
        <v>2271</v>
      </c>
      <c r="H4693" s="147" t="s">
        <v>6836</v>
      </c>
      <c r="I4693" s="163">
        <v>2</v>
      </c>
      <c r="J4693" s="46">
        <v>4</v>
      </c>
      <c r="K4693" s="46">
        <v>0</v>
      </c>
      <c r="L4693" s="46">
        <v>0</v>
      </c>
      <c r="M4693" s="46">
        <v>0</v>
      </c>
      <c r="N4693" s="46">
        <v>0</v>
      </c>
      <c r="O4693" s="46">
        <v>0</v>
      </c>
      <c r="P4693" s="47">
        <f>(39960*2)/1000000</f>
        <v>7.9920000000000005E-2</v>
      </c>
      <c r="Q4693" s="27" t="s">
        <v>154</v>
      </c>
      <c r="R4693" s="160"/>
      <c r="S4693" s="164"/>
      <c r="T4693" s="164"/>
    </row>
    <row r="4694" spans="1:20" s="162" customFormat="1" ht="96" x14ac:dyDescent="0.25">
      <c r="A4694" s="17">
        <v>41021</v>
      </c>
      <c r="B4694" s="17">
        <v>41021</v>
      </c>
      <c r="C4694" s="43">
        <v>2012</v>
      </c>
      <c r="D4694" s="24" t="s">
        <v>141</v>
      </c>
      <c r="E4694" s="30" t="s">
        <v>142</v>
      </c>
      <c r="F4694" s="7" t="s">
        <v>72</v>
      </c>
      <c r="G4694" s="146" t="s">
        <v>6837</v>
      </c>
      <c r="H4694" s="147" t="s">
        <v>6838</v>
      </c>
      <c r="I4694" s="163">
        <v>1</v>
      </c>
      <c r="J4694" s="46">
        <v>6</v>
      </c>
      <c r="K4694" s="46">
        <v>0</v>
      </c>
      <c r="L4694" s="46">
        <v>0</v>
      </c>
      <c r="M4694" s="46">
        <v>0</v>
      </c>
      <c r="N4694" s="46">
        <v>0</v>
      </c>
      <c r="O4694" s="46">
        <v>0</v>
      </c>
      <c r="P4694" s="47">
        <v>0.28875000000000001</v>
      </c>
      <c r="Q4694" s="27" t="s">
        <v>154</v>
      </c>
      <c r="R4694" s="160"/>
      <c r="S4694" s="164"/>
      <c r="T4694" s="164"/>
    </row>
    <row r="4695" spans="1:20" s="162" customFormat="1" ht="168" x14ac:dyDescent="0.25">
      <c r="A4695" s="17">
        <v>41020</v>
      </c>
      <c r="B4695" s="21">
        <v>41022</v>
      </c>
      <c r="C4695" s="43">
        <v>2012</v>
      </c>
      <c r="D4695" s="24" t="s">
        <v>141</v>
      </c>
      <c r="E4695" s="30" t="s">
        <v>142</v>
      </c>
      <c r="F4695" s="7" t="s">
        <v>40</v>
      </c>
      <c r="G4695" s="146" t="s">
        <v>3351</v>
      </c>
      <c r="H4695" s="147" t="s">
        <v>6839</v>
      </c>
      <c r="I4695" s="163">
        <v>1</v>
      </c>
      <c r="J4695" s="46">
        <v>7</v>
      </c>
      <c r="K4695" s="46">
        <v>0</v>
      </c>
      <c r="L4695" s="46">
        <v>0</v>
      </c>
      <c r="M4695" s="46">
        <v>0</v>
      </c>
      <c r="N4695" s="46">
        <v>0</v>
      </c>
      <c r="O4695" s="46">
        <v>0</v>
      </c>
      <c r="P4695" s="47">
        <v>0</v>
      </c>
      <c r="Q4695" s="27" t="s">
        <v>154</v>
      </c>
      <c r="R4695" s="160"/>
      <c r="S4695" s="164"/>
      <c r="T4695" s="164"/>
    </row>
    <row r="4696" spans="1:20" s="162" customFormat="1" ht="156" x14ac:dyDescent="0.25">
      <c r="A4696" s="17">
        <v>40998</v>
      </c>
      <c r="B4696" s="17">
        <v>41007</v>
      </c>
      <c r="C4696" s="43">
        <v>2012</v>
      </c>
      <c r="D4696" s="351" t="s">
        <v>23</v>
      </c>
      <c r="E4696" s="30" t="s">
        <v>5893</v>
      </c>
      <c r="F4696" s="28" t="s">
        <v>210</v>
      </c>
      <c r="G4696" s="146" t="s">
        <v>6840</v>
      </c>
      <c r="H4696" s="147" t="s">
        <v>6841</v>
      </c>
      <c r="I4696" s="148">
        <v>0</v>
      </c>
      <c r="J4696" s="46">
        <v>17900</v>
      </c>
      <c r="K4696" s="46">
        <v>2112</v>
      </c>
      <c r="L4696" s="46">
        <v>1</v>
      </c>
      <c r="M4696" s="46">
        <v>0</v>
      </c>
      <c r="N4696" s="46">
        <v>0</v>
      </c>
      <c r="O4696" s="46">
        <v>0</v>
      </c>
      <c r="P4696" s="47">
        <f>(K4696*5500)/1000000</f>
        <v>11.616</v>
      </c>
      <c r="Q4696" s="27" t="s">
        <v>154</v>
      </c>
      <c r="R4696" s="160"/>
      <c r="S4696" s="164"/>
      <c r="T4696" s="164"/>
    </row>
    <row r="4697" spans="1:20" s="162" customFormat="1" ht="72" x14ac:dyDescent="0.25">
      <c r="A4697" s="17">
        <v>41025</v>
      </c>
      <c r="B4697" s="17">
        <v>41025</v>
      </c>
      <c r="C4697" s="43">
        <v>2012</v>
      </c>
      <c r="D4697" s="35" t="s">
        <v>28</v>
      </c>
      <c r="E4697" s="6" t="s">
        <v>369</v>
      </c>
      <c r="F4697" s="7" t="s">
        <v>84</v>
      </c>
      <c r="G4697" s="146" t="s">
        <v>2143</v>
      </c>
      <c r="H4697" s="147" t="s">
        <v>6842</v>
      </c>
      <c r="I4697" s="163">
        <v>0</v>
      </c>
      <c r="J4697" s="46">
        <v>80</v>
      </c>
      <c r="K4697" s="46">
        <v>8</v>
      </c>
      <c r="L4697" s="46">
        <v>0</v>
      </c>
      <c r="M4697" s="46">
        <v>0</v>
      </c>
      <c r="N4697" s="46">
        <v>0</v>
      </c>
      <c r="O4697" s="46">
        <v>0</v>
      </c>
      <c r="P4697" s="47">
        <v>0</v>
      </c>
      <c r="Q4697" s="27" t="s">
        <v>154</v>
      </c>
      <c r="R4697" s="160"/>
      <c r="S4697" s="164"/>
      <c r="T4697" s="164"/>
    </row>
    <row r="4698" spans="1:20" s="162" customFormat="1" ht="108" x14ac:dyDescent="0.25">
      <c r="A4698" s="17">
        <v>41028</v>
      </c>
      <c r="B4698" s="17">
        <v>41028</v>
      </c>
      <c r="C4698" s="43">
        <v>2012</v>
      </c>
      <c r="D4698" s="24" t="s">
        <v>141</v>
      </c>
      <c r="E4698" s="30" t="s">
        <v>142</v>
      </c>
      <c r="F4698" s="7" t="s">
        <v>87</v>
      </c>
      <c r="G4698" s="146" t="s">
        <v>4751</v>
      </c>
      <c r="H4698" s="147" t="s">
        <v>6843</v>
      </c>
      <c r="I4698" s="163">
        <v>4</v>
      </c>
      <c r="J4698" s="46">
        <v>14</v>
      </c>
      <c r="K4698" s="46">
        <v>0</v>
      </c>
      <c r="L4698" s="46">
        <v>0</v>
      </c>
      <c r="M4698" s="46">
        <v>0</v>
      </c>
      <c r="N4698" s="46">
        <v>0</v>
      </c>
      <c r="O4698" s="46">
        <v>0</v>
      </c>
      <c r="P4698" s="47">
        <f>(420000+39960)/1000000</f>
        <v>0.45995999999999998</v>
      </c>
      <c r="Q4698" s="27" t="s">
        <v>154</v>
      </c>
      <c r="R4698" s="160"/>
      <c r="S4698" s="164"/>
      <c r="T4698" s="164"/>
    </row>
    <row r="4699" spans="1:20" s="162" customFormat="1" ht="120" x14ac:dyDescent="0.25">
      <c r="A4699" s="17">
        <v>41031</v>
      </c>
      <c r="B4699" s="17">
        <v>41031</v>
      </c>
      <c r="C4699" s="43">
        <v>2012</v>
      </c>
      <c r="D4699" s="35" t="s">
        <v>28</v>
      </c>
      <c r="E4699" s="30" t="s">
        <v>133</v>
      </c>
      <c r="F4699" s="7" t="s">
        <v>87</v>
      </c>
      <c r="G4699" s="146" t="s">
        <v>2608</v>
      </c>
      <c r="H4699" s="147" t="s">
        <v>6844</v>
      </c>
      <c r="I4699" s="163">
        <v>0</v>
      </c>
      <c r="J4699" s="46">
        <v>5</v>
      </c>
      <c r="K4699" s="46">
        <v>1</v>
      </c>
      <c r="L4699" s="46">
        <v>0</v>
      </c>
      <c r="M4699" s="46">
        <v>0</v>
      </c>
      <c r="N4699" s="46">
        <v>1</v>
      </c>
      <c r="O4699" s="46">
        <v>0</v>
      </c>
      <c r="P4699" s="47">
        <v>0.12</v>
      </c>
      <c r="Q4699" s="27" t="s">
        <v>154</v>
      </c>
      <c r="R4699" s="160"/>
      <c r="S4699" s="164"/>
      <c r="T4699" s="164"/>
    </row>
    <row r="4700" spans="1:20" s="162" customFormat="1" ht="60" x14ac:dyDescent="0.25">
      <c r="A4700" s="17">
        <v>41029</v>
      </c>
      <c r="B4700" s="17">
        <v>41029</v>
      </c>
      <c r="C4700" s="43">
        <v>2012</v>
      </c>
      <c r="D4700" s="35" t="s">
        <v>28</v>
      </c>
      <c r="E4700" s="30" t="s">
        <v>133</v>
      </c>
      <c r="F4700" s="7" t="s">
        <v>101</v>
      </c>
      <c r="G4700" s="146" t="s">
        <v>6845</v>
      </c>
      <c r="H4700" s="147" t="s">
        <v>6846</v>
      </c>
      <c r="I4700" s="163">
        <v>1</v>
      </c>
      <c r="J4700" s="46">
        <v>1</v>
      </c>
      <c r="K4700" s="46">
        <v>0</v>
      </c>
      <c r="L4700" s="46">
        <v>0</v>
      </c>
      <c r="M4700" s="46">
        <v>0</v>
      </c>
      <c r="N4700" s="46">
        <v>1</v>
      </c>
      <c r="O4700" s="46">
        <v>0</v>
      </c>
      <c r="P4700" s="47">
        <v>0</v>
      </c>
      <c r="Q4700" s="27" t="s">
        <v>154</v>
      </c>
      <c r="R4700" s="160"/>
      <c r="S4700" s="164"/>
      <c r="T4700" s="164"/>
    </row>
    <row r="4701" spans="1:20" s="162" customFormat="1" ht="180" x14ac:dyDescent="0.25">
      <c r="A4701" s="17">
        <v>41032</v>
      </c>
      <c r="B4701" s="17">
        <v>41032</v>
      </c>
      <c r="C4701" s="43">
        <v>2012</v>
      </c>
      <c r="D4701" s="24" t="s">
        <v>130</v>
      </c>
      <c r="E4701" s="30" t="s">
        <v>136</v>
      </c>
      <c r="F4701" s="7" t="s">
        <v>101</v>
      </c>
      <c r="G4701" s="146" t="s">
        <v>752</v>
      </c>
      <c r="H4701" s="147" t="s">
        <v>6847</v>
      </c>
      <c r="I4701" s="163">
        <v>1</v>
      </c>
      <c r="J4701" s="46">
        <v>6</v>
      </c>
      <c r="K4701" s="46">
        <v>0</v>
      </c>
      <c r="L4701" s="46">
        <v>0</v>
      </c>
      <c r="M4701" s="46">
        <v>0</v>
      </c>
      <c r="N4701" s="46">
        <v>0</v>
      </c>
      <c r="O4701" s="46">
        <v>0</v>
      </c>
      <c r="P4701" s="47">
        <v>0</v>
      </c>
      <c r="Q4701" s="27" t="s">
        <v>154</v>
      </c>
      <c r="R4701" s="160"/>
      <c r="S4701" s="164"/>
      <c r="T4701" s="164"/>
    </row>
    <row r="4702" spans="1:20" s="162" customFormat="1" ht="72" x14ac:dyDescent="0.25">
      <c r="A4702" s="17">
        <v>41036</v>
      </c>
      <c r="B4702" s="17">
        <v>41036</v>
      </c>
      <c r="C4702" s="43">
        <v>2012</v>
      </c>
      <c r="D4702" s="24" t="s">
        <v>141</v>
      </c>
      <c r="E4702" s="30" t="s">
        <v>142</v>
      </c>
      <c r="F4702" s="7" t="s">
        <v>40</v>
      </c>
      <c r="G4702" s="146" t="s">
        <v>6766</v>
      </c>
      <c r="H4702" s="147" t="s">
        <v>6848</v>
      </c>
      <c r="I4702" s="163">
        <v>0</v>
      </c>
      <c r="J4702" s="46">
        <v>18</v>
      </c>
      <c r="K4702" s="46">
        <v>0</v>
      </c>
      <c r="L4702" s="46">
        <v>0</v>
      </c>
      <c r="M4702" s="46">
        <v>0</v>
      </c>
      <c r="N4702" s="46">
        <v>0</v>
      </c>
      <c r="O4702" s="46">
        <v>0</v>
      </c>
      <c r="P4702" s="47">
        <v>0.42</v>
      </c>
      <c r="Q4702" s="27" t="s">
        <v>154</v>
      </c>
      <c r="R4702" s="160"/>
      <c r="S4702" s="164"/>
      <c r="T4702" s="164"/>
    </row>
    <row r="4703" spans="1:20" s="162" customFormat="1" ht="144" x14ac:dyDescent="0.25">
      <c r="A4703" s="17">
        <v>41037</v>
      </c>
      <c r="B4703" s="17">
        <v>41037</v>
      </c>
      <c r="C4703" s="43">
        <v>2012</v>
      </c>
      <c r="D4703" s="24" t="s">
        <v>141</v>
      </c>
      <c r="E4703" s="30" t="s">
        <v>6731</v>
      </c>
      <c r="F4703" s="28" t="s">
        <v>210</v>
      </c>
      <c r="G4703" s="146" t="s">
        <v>921</v>
      </c>
      <c r="H4703" s="147" t="s">
        <v>6849</v>
      </c>
      <c r="I4703" s="163">
        <v>0</v>
      </c>
      <c r="J4703" s="46">
        <v>95</v>
      </c>
      <c r="K4703" s="46">
        <v>0</v>
      </c>
      <c r="L4703" s="46">
        <v>0</v>
      </c>
      <c r="M4703" s="46">
        <v>0</v>
      </c>
      <c r="N4703" s="46">
        <v>0</v>
      </c>
      <c r="O4703" s="46">
        <v>0</v>
      </c>
      <c r="P4703" s="47">
        <v>0</v>
      </c>
      <c r="Q4703" s="27" t="s">
        <v>154</v>
      </c>
      <c r="R4703" s="160"/>
      <c r="S4703" s="164"/>
      <c r="T4703" s="164"/>
    </row>
    <row r="4704" spans="1:20" s="162" customFormat="1" ht="60" x14ac:dyDescent="0.25">
      <c r="A4704" s="17">
        <v>41037</v>
      </c>
      <c r="B4704" s="17">
        <v>41037</v>
      </c>
      <c r="C4704" s="43">
        <v>2012</v>
      </c>
      <c r="D4704" s="24" t="s">
        <v>141</v>
      </c>
      <c r="E4704" s="30" t="s">
        <v>142</v>
      </c>
      <c r="F4704" s="7" t="s">
        <v>101</v>
      </c>
      <c r="G4704" s="146" t="s">
        <v>6720</v>
      </c>
      <c r="H4704" s="147" t="s">
        <v>6850</v>
      </c>
      <c r="I4704" s="163">
        <v>3</v>
      </c>
      <c r="J4704" s="46">
        <v>3</v>
      </c>
      <c r="K4704" s="46">
        <v>0</v>
      </c>
      <c r="L4704" s="46">
        <v>0</v>
      </c>
      <c r="M4704" s="46">
        <v>0</v>
      </c>
      <c r="N4704" s="46">
        <v>0</v>
      </c>
      <c r="O4704" s="46">
        <v>0</v>
      </c>
      <c r="P4704" s="47">
        <f>(0.03996)</f>
        <v>3.9960000000000002E-2</v>
      </c>
      <c r="Q4704" s="27" t="s">
        <v>154</v>
      </c>
      <c r="R4704" s="160"/>
      <c r="S4704" s="164"/>
      <c r="T4704" s="164"/>
    </row>
    <row r="4705" spans="1:20" s="162" customFormat="1" ht="84" x14ac:dyDescent="0.25">
      <c r="A4705" s="17">
        <v>41037</v>
      </c>
      <c r="B4705" s="17">
        <v>41037</v>
      </c>
      <c r="C4705" s="43">
        <v>2012</v>
      </c>
      <c r="D4705" s="35" t="s">
        <v>28</v>
      </c>
      <c r="E4705" s="30" t="s">
        <v>133</v>
      </c>
      <c r="F4705" s="7" t="s">
        <v>82</v>
      </c>
      <c r="G4705" s="146" t="s">
        <v>3625</v>
      </c>
      <c r="H4705" s="147" t="s">
        <v>6851</v>
      </c>
      <c r="I4705" s="163">
        <v>2</v>
      </c>
      <c r="J4705" s="46">
        <v>6</v>
      </c>
      <c r="K4705" s="46">
        <v>0</v>
      </c>
      <c r="L4705" s="46">
        <v>0</v>
      </c>
      <c r="M4705" s="46">
        <v>0</v>
      </c>
      <c r="N4705" s="46">
        <v>1</v>
      </c>
      <c r="O4705" s="46">
        <v>0</v>
      </c>
      <c r="P4705" s="47">
        <v>0</v>
      </c>
      <c r="Q4705" s="27" t="s">
        <v>154</v>
      </c>
      <c r="R4705" s="160"/>
      <c r="S4705" s="164"/>
      <c r="T4705" s="164"/>
    </row>
    <row r="4706" spans="1:20" s="162" customFormat="1" ht="49.5" x14ac:dyDescent="0.25">
      <c r="A4706" s="17">
        <v>41034</v>
      </c>
      <c r="B4706" s="17">
        <v>41034</v>
      </c>
      <c r="C4706" s="43">
        <v>2012</v>
      </c>
      <c r="D4706" s="35" t="s">
        <v>28</v>
      </c>
      <c r="E4706" s="6" t="s">
        <v>369</v>
      </c>
      <c r="F4706" s="7" t="s">
        <v>30</v>
      </c>
      <c r="G4706" s="146" t="s">
        <v>1078</v>
      </c>
      <c r="H4706" s="147" t="s">
        <v>6852</v>
      </c>
      <c r="I4706" s="163">
        <v>0</v>
      </c>
      <c r="J4706" s="46">
        <v>0</v>
      </c>
      <c r="K4706" s="46">
        <v>0</v>
      </c>
      <c r="L4706" s="46">
        <v>0</v>
      </c>
      <c r="M4706" s="46">
        <v>0</v>
      </c>
      <c r="N4706" s="46">
        <v>0</v>
      </c>
      <c r="O4706" s="46">
        <v>0</v>
      </c>
      <c r="P4706" s="47">
        <v>0</v>
      </c>
      <c r="Q4706" s="27" t="s">
        <v>154</v>
      </c>
      <c r="R4706" s="160"/>
      <c r="S4706" s="164"/>
      <c r="T4706" s="164"/>
    </row>
    <row r="4707" spans="1:20" s="162" customFormat="1" ht="60" x14ac:dyDescent="0.25">
      <c r="A4707" s="17">
        <v>41039</v>
      </c>
      <c r="B4707" s="17">
        <v>41039</v>
      </c>
      <c r="C4707" s="43">
        <v>2012</v>
      </c>
      <c r="D4707" s="35" t="s">
        <v>28</v>
      </c>
      <c r="E4707" s="6" t="s">
        <v>149</v>
      </c>
      <c r="F4707" s="28" t="s">
        <v>157</v>
      </c>
      <c r="G4707" s="146" t="s">
        <v>6056</v>
      </c>
      <c r="H4707" s="147" t="s">
        <v>6853</v>
      </c>
      <c r="I4707" s="163">
        <v>0</v>
      </c>
      <c r="J4707" s="46">
        <v>0</v>
      </c>
      <c r="K4707" s="46">
        <v>0</v>
      </c>
      <c r="L4707" s="46">
        <v>0</v>
      </c>
      <c r="M4707" s="46">
        <v>0</v>
      </c>
      <c r="N4707" s="46">
        <v>1</v>
      </c>
      <c r="O4707" s="46">
        <v>0</v>
      </c>
      <c r="P4707" s="47">
        <v>0.12</v>
      </c>
      <c r="Q4707" s="27" t="s">
        <v>154</v>
      </c>
      <c r="R4707" s="160"/>
      <c r="S4707" s="164"/>
      <c r="T4707" s="164"/>
    </row>
    <row r="4708" spans="1:20" s="162" customFormat="1" ht="60" x14ac:dyDescent="0.25">
      <c r="A4708" s="17">
        <v>41041</v>
      </c>
      <c r="B4708" s="17">
        <v>41041</v>
      </c>
      <c r="C4708" s="43">
        <v>2012</v>
      </c>
      <c r="D4708" s="24" t="s">
        <v>141</v>
      </c>
      <c r="E4708" s="30" t="s">
        <v>142</v>
      </c>
      <c r="F4708" s="7" t="s">
        <v>47</v>
      </c>
      <c r="G4708" s="126" t="s">
        <v>1029</v>
      </c>
      <c r="H4708" s="147" t="s">
        <v>6854</v>
      </c>
      <c r="I4708" s="163">
        <v>0</v>
      </c>
      <c r="J4708" s="46">
        <v>3</v>
      </c>
      <c r="K4708" s="46">
        <v>0</v>
      </c>
      <c r="L4708" s="46">
        <v>0</v>
      </c>
      <c r="M4708" s="46">
        <v>0</v>
      </c>
      <c r="N4708" s="46">
        <v>0</v>
      </c>
      <c r="O4708" s="46">
        <v>0</v>
      </c>
      <c r="P4708" s="47">
        <v>1.575</v>
      </c>
      <c r="Q4708" s="27" t="s">
        <v>154</v>
      </c>
      <c r="R4708" s="160"/>
      <c r="S4708" s="164"/>
      <c r="T4708" s="164"/>
    </row>
    <row r="4709" spans="1:20" s="162" customFormat="1" ht="72" x14ac:dyDescent="0.25">
      <c r="A4709" s="17">
        <v>41044</v>
      </c>
      <c r="B4709" s="17">
        <v>41044</v>
      </c>
      <c r="C4709" s="43">
        <v>2012</v>
      </c>
      <c r="D4709" s="35" t="s">
        <v>28</v>
      </c>
      <c r="E4709" s="6" t="s">
        <v>149</v>
      </c>
      <c r="F4709" s="7" t="s">
        <v>62</v>
      </c>
      <c r="G4709" s="146" t="s">
        <v>474</v>
      </c>
      <c r="H4709" s="147" t="s">
        <v>6855</v>
      </c>
      <c r="I4709" s="163">
        <v>1</v>
      </c>
      <c r="J4709" s="46">
        <v>1</v>
      </c>
      <c r="K4709" s="46">
        <v>0</v>
      </c>
      <c r="L4709" s="46">
        <v>0</v>
      </c>
      <c r="M4709" s="46">
        <v>0</v>
      </c>
      <c r="N4709" s="46">
        <v>0</v>
      </c>
      <c r="O4709" s="46">
        <v>0</v>
      </c>
      <c r="P4709" s="47">
        <v>3.9690000000000003E-2</v>
      </c>
      <c r="Q4709" s="27" t="s">
        <v>154</v>
      </c>
      <c r="R4709" s="160"/>
      <c r="S4709" s="164"/>
      <c r="T4709" s="164"/>
    </row>
    <row r="4710" spans="1:20" s="162" customFormat="1" ht="84" x14ac:dyDescent="0.25">
      <c r="A4710" s="17">
        <v>41045</v>
      </c>
      <c r="B4710" s="17">
        <v>41095</v>
      </c>
      <c r="C4710" s="43">
        <v>2012</v>
      </c>
      <c r="D4710" s="24" t="s">
        <v>141</v>
      </c>
      <c r="E4710" s="30" t="s">
        <v>142</v>
      </c>
      <c r="F4710" s="7" t="s">
        <v>101</v>
      </c>
      <c r="G4710" s="146" t="s">
        <v>752</v>
      </c>
      <c r="H4710" s="147" t="s">
        <v>6856</v>
      </c>
      <c r="I4710" s="148">
        <v>0</v>
      </c>
      <c r="J4710" s="46">
        <v>3</v>
      </c>
      <c r="K4710" s="46">
        <v>0</v>
      </c>
      <c r="L4710" s="46">
        <v>0</v>
      </c>
      <c r="M4710" s="46">
        <v>0</v>
      </c>
      <c r="N4710" s="46">
        <v>0</v>
      </c>
      <c r="O4710" s="46">
        <v>0</v>
      </c>
      <c r="P4710" s="47">
        <v>1.5</v>
      </c>
      <c r="Q4710" s="27" t="s">
        <v>154</v>
      </c>
      <c r="R4710" s="160"/>
      <c r="S4710" s="164"/>
      <c r="T4710" s="164"/>
    </row>
    <row r="4711" spans="1:20" s="162" customFormat="1" ht="60" x14ac:dyDescent="0.25">
      <c r="A4711" s="17">
        <v>41046</v>
      </c>
      <c r="B4711" s="17">
        <v>41046</v>
      </c>
      <c r="C4711" s="43">
        <v>2012</v>
      </c>
      <c r="D4711" s="35" t="s">
        <v>28</v>
      </c>
      <c r="E4711" s="30" t="s">
        <v>133</v>
      </c>
      <c r="F4711" s="7" t="s">
        <v>77</v>
      </c>
      <c r="G4711" s="146" t="s">
        <v>4230</v>
      </c>
      <c r="H4711" s="147" t="s">
        <v>6857</v>
      </c>
      <c r="I4711" s="163">
        <v>1</v>
      </c>
      <c r="J4711" s="46">
        <v>5</v>
      </c>
      <c r="K4711" s="46">
        <v>1</v>
      </c>
      <c r="L4711" s="46">
        <v>0</v>
      </c>
      <c r="M4711" s="46">
        <v>0</v>
      </c>
      <c r="N4711" s="46">
        <v>0</v>
      </c>
      <c r="O4711" s="46">
        <v>0</v>
      </c>
      <c r="P4711" s="47">
        <v>0.12</v>
      </c>
      <c r="Q4711" s="27" t="s">
        <v>154</v>
      </c>
      <c r="R4711" s="160"/>
      <c r="S4711" s="164"/>
      <c r="T4711" s="164"/>
    </row>
    <row r="4712" spans="1:20" s="162" customFormat="1" ht="108" x14ac:dyDescent="0.25">
      <c r="A4712" s="23">
        <v>41046</v>
      </c>
      <c r="B4712" s="23">
        <v>41046</v>
      </c>
      <c r="C4712" s="43">
        <v>2012</v>
      </c>
      <c r="D4712" s="35" t="s">
        <v>28</v>
      </c>
      <c r="E4712" s="30" t="s">
        <v>133</v>
      </c>
      <c r="F4712" s="7" t="s">
        <v>87</v>
      </c>
      <c r="G4712" s="146" t="s">
        <v>4751</v>
      </c>
      <c r="H4712" s="147" t="s">
        <v>6858</v>
      </c>
      <c r="I4712" s="148">
        <v>0</v>
      </c>
      <c r="J4712" s="46">
        <v>3</v>
      </c>
      <c r="K4712" s="46">
        <v>0</v>
      </c>
      <c r="L4712" s="46">
        <v>0</v>
      </c>
      <c r="M4712" s="46">
        <v>0</v>
      </c>
      <c r="N4712" s="46">
        <v>0</v>
      </c>
      <c r="O4712" s="46">
        <v>0</v>
      </c>
      <c r="P4712" s="47">
        <v>0</v>
      </c>
      <c r="Q4712" s="27" t="s">
        <v>154</v>
      </c>
      <c r="R4712" s="160"/>
      <c r="S4712" s="164"/>
      <c r="T4712" s="164"/>
    </row>
    <row r="4713" spans="1:20" s="162" customFormat="1" ht="72" x14ac:dyDescent="0.25">
      <c r="A4713" s="17">
        <v>41046</v>
      </c>
      <c r="B4713" s="17">
        <v>41046</v>
      </c>
      <c r="C4713" s="43">
        <v>2012</v>
      </c>
      <c r="D4713" s="35" t="s">
        <v>28</v>
      </c>
      <c r="E4713" s="30" t="s">
        <v>125</v>
      </c>
      <c r="F4713" s="7" t="s">
        <v>87</v>
      </c>
      <c r="G4713" s="146" t="s">
        <v>3647</v>
      </c>
      <c r="H4713" s="147" t="s">
        <v>6859</v>
      </c>
      <c r="I4713" s="148">
        <v>0</v>
      </c>
      <c r="J4713" s="46">
        <v>7</v>
      </c>
      <c r="K4713" s="46">
        <v>0</v>
      </c>
      <c r="L4713" s="46">
        <v>0</v>
      </c>
      <c r="M4713" s="46">
        <v>0</v>
      </c>
      <c r="N4713" s="46">
        <v>0</v>
      </c>
      <c r="O4713" s="46">
        <v>0</v>
      </c>
      <c r="P4713" s="47">
        <v>0</v>
      </c>
      <c r="Q4713" s="27" t="s">
        <v>154</v>
      </c>
      <c r="R4713" s="160"/>
      <c r="S4713" s="164"/>
      <c r="T4713" s="164"/>
    </row>
    <row r="4714" spans="1:20" s="162" customFormat="1" ht="96" x14ac:dyDescent="0.25">
      <c r="A4714" s="17">
        <v>41050</v>
      </c>
      <c r="B4714" s="17">
        <v>41050</v>
      </c>
      <c r="C4714" s="43">
        <v>2012</v>
      </c>
      <c r="D4714" s="24" t="s">
        <v>141</v>
      </c>
      <c r="E4714" s="30" t="s">
        <v>142</v>
      </c>
      <c r="F4714" s="7" t="s">
        <v>62</v>
      </c>
      <c r="G4714" s="146" t="s">
        <v>6860</v>
      </c>
      <c r="H4714" s="147" t="s">
        <v>6861</v>
      </c>
      <c r="I4714" s="163">
        <v>5</v>
      </c>
      <c r="J4714" s="46">
        <v>18</v>
      </c>
      <c r="K4714" s="46">
        <v>0</v>
      </c>
      <c r="L4714" s="46">
        <v>0</v>
      </c>
      <c r="M4714" s="46">
        <v>0</v>
      </c>
      <c r="N4714" s="46">
        <v>0</v>
      </c>
      <c r="O4714" s="46">
        <v>0</v>
      </c>
      <c r="P4714" s="47">
        <v>3.9690000000000003E-2</v>
      </c>
      <c r="Q4714" s="27" t="s">
        <v>154</v>
      </c>
      <c r="R4714" s="160"/>
      <c r="S4714" s="164"/>
      <c r="T4714" s="164"/>
    </row>
    <row r="4715" spans="1:20" s="162" customFormat="1" ht="84" x14ac:dyDescent="0.25">
      <c r="A4715" s="17">
        <v>41052</v>
      </c>
      <c r="B4715" s="17">
        <v>41052</v>
      </c>
      <c r="C4715" s="43">
        <v>2012</v>
      </c>
      <c r="D4715" s="35" t="s">
        <v>28</v>
      </c>
      <c r="E4715" s="30" t="s">
        <v>125</v>
      </c>
      <c r="F4715" s="7" t="s">
        <v>60</v>
      </c>
      <c r="G4715" s="146" t="s">
        <v>908</v>
      </c>
      <c r="H4715" s="147" t="s">
        <v>6862</v>
      </c>
      <c r="I4715" s="163">
        <v>0</v>
      </c>
      <c r="J4715" s="46">
        <v>60</v>
      </c>
      <c r="K4715" s="46">
        <v>0</v>
      </c>
      <c r="L4715" s="46">
        <v>0</v>
      </c>
      <c r="M4715" s="46">
        <v>0</v>
      </c>
      <c r="N4715" s="46">
        <v>0</v>
      </c>
      <c r="O4715" s="46">
        <v>0</v>
      </c>
      <c r="P4715" s="47">
        <v>0</v>
      </c>
      <c r="Q4715" s="27" t="s">
        <v>154</v>
      </c>
      <c r="R4715" s="160"/>
      <c r="S4715" s="164"/>
      <c r="T4715" s="164"/>
    </row>
    <row r="4716" spans="1:20" s="162" customFormat="1" ht="72" x14ac:dyDescent="0.25">
      <c r="A4716" s="23">
        <v>41053</v>
      </c>
      <c r="B4716" s="23">
        <v>41053</v>
      </c>
      <c r="C4716" s="43">
        <v>2012</v>
      </c>
      <c r="D4716" s="24" t="s">
        <v>141</v>
      </c>
      <c r="E4716" s="30" t="s">
        <v>142</v>
      </c>
      <c r="F4716" s="7" t="s">
        <v>56</v>
      </c>
      <c r="G4716" s="146" t="s">
        <v>495</v>
      </c>
      <c r="H4716" s="147" t="s">
        <v>6863</v>
      </c>
      <c r="I4716" s="163">
        <v>0</v>
      </c>
      <c r="J4716" s="46">
        <v>15</v>
      </c>
      <c r="K4716" s="46">
        <v>0</v>
      </c>
      <c r="L4716" s="46">
        <v>0</v>
      </c>
      <c r="M4716" s="46">
        <v>0</v>
      </c>
      <c r="N4716" s="46">
        <v>0</v>
      </c>
      <c r="O4716" s="46">
        <v>0</v>
      </c>
      <c r="P4716" s="47">
        <v>0.42</v>
      </c>
      <c r="Q4716" s="27" t="s">
        <v>154</v>
      </c>
      <c r="R4716" s="160"/>
      <c r="S4716" s="164"/>
      <c r="T4716" s="164"/>
    </row>
    <row r="4717" spans="1:20" s="162" customFormat="1" ht="72" x14ac:dyDescent="0.25">
      <c r="A4717" s="17">
        <v>41054</v>
      </c>
      <c r="B4717" s="17">
        <v>41054</v>
      </c>
      <c r="C4717" s="43">
        <v>2012</v>
      </c>
      <c r="D4717" s="24" t="s">
        <v>141</v>
      </c>
      <c r="E4717" s="30" t="s">
        <v>142</v>
      </c>
      <c r="F4717" s="7" t="s">
        <v>97</v>
      </c>
      <c r="G4717" s="146" t="s">
        <v>6864</v>
      </c>
      <c r="H4717" s="147" t="s">
        <v>6865</v>
      </c>
      <c r="I4717" s="148">
        <v>0</v>
      </c>
      <c r="J4717" s="46">
        <v>0</v>
      </c>
      <c r="K4717" s="46">
        <v>0</v>
      </c>
      <c r="L4717" s="46">
        <v>0</v>
      </c>
      <c r="M4717" s="46">
        <v>0</v>
      </c>
      <c r="N4717" s="46">
        <v>0</v>
      </c>
      <c r="O4717" s="46">
        <v>0</v>
      </c>
      <c r="P4717" s="47">
        <v>0.47249999999999998</v>
      </c>
      <c r="Q4717" s="27" t="s">
        <v>154</v>
      </c>
      <c r="R4717" s="160"/>
      <c r="S4717" s="164"/>
      <c r="T4717" s="164"/>
    </row>
    <row r="4718" spans="1:20" s="162" customFormat="1" ht="72" x14ac:dyDescent="0.25">
      <c r="A4718" s="17">
        <v>41058</v>
      </c>
      <c r="B4718" s="17">
        <v>41058</v>
      </c>
      <c r="C4718" s="43">
        <v>2012</v>
      </c>
      <c r="D4718" s="24" t="s">
        <v>141</v>
      </c>
      <c r="E4718" s="30" t="s">
        <v>142</v>
      </c>
      <c r="F4718" s="7" t="s">
        <v>87</v>
      </c>
      <c r="G4718" s="146" t="s">
        <v>1718</v>
      </c>
      <c r="H4718" s="147" t="s">
        <v>6866</v>
      </c>
      <c r="I4718" s="163">
        <v>0</v>
      </c>
      <c r="J4718" s="46">
        <v>9</v>
      </c>
      <c r="K4718" s="46">
        <v>0</v>
      </c>
      <c r="L4718" s="46">
        <v>0</v>
      </c>
      <c r="M4718" s="46">
        <v>0</v>
      </c>
      <c r="N4718" s="46">
        <v>0</v>
      </c>
      <c r="O4718" s="46">
        <v>0</v>
      </c>
      <c r="P4718" s="47">
        <v>0.47249999999999998</v>
      </c>
      <c r="Q4718" s="27" t="s">
        <v>154</v>
      </c>
      <c r="R4718" s="160"/>
      <c r="S4718" s="164"/>
      <c r="T4718" s="164"/>
    </row>
    <row r="4719" spans="1:20" s="162" customFormat="1" ht="60" x14ac:dyDescent="0.25">
      <c r="A4719" s="17">
        <v>41058</v>
      </c>
      <c r="B4719" s="17">
        <v>41058</v>
      </c>
      <c r="C4719" s="43">
        <v>2012</v>
      </c>
      <c r="D4719" s="35" t="s">
        <v>28</v>
      </c>
      <c r="E4719" s="30" t="s">
        <v>125</v>
      </c>
      <c r="F4719" s="7" t="s">
        <v>68</v>
      </c>
      <c r="G4719" s="146" t="s">
        <v>4249</v>
      </c>
      <c r="H4719" s="147" t="s">
        <v>6867</v>
      </c>
      <c r="I4719" s="163">
        <v>0</v>
      </c>
      <c r="J4719" s="46">
        <v>0</v>
      </c>
      <c r="K4719" s="46">
        <v>0</v>
      </c>
      <c r="L4719" s="46">
        <v>0</v>
      </c>
      <c r="M4719" s="46">
        <v>0</v>
      </c>
      <c r="N4719" s="46">
        <v>0</v>
      </c>
      <c r="O4719" s="46">
        <v>0</v>
      </c>
      <c r="P4719" s="47">
        <v>0</v>
      </c>
      <c r="Q4719" s="27" t="s">
        <v>154</v>
      </c>
      <c r="R4719" s="160"/>
      <c r="S4719" s="164"/>
      <c r="T4719" s="164"/>
    </row>
    <row r="4720" spans="1:20" s="162" customFormat="1" ht="108" x14ac:dyDescent="0.25">
      <c r="A4720" s="17">
        <v>41061</v>
      </c>
      <c r="B4720" s="17">
        <v>41061</v>
      </c>
      <c r="C4720" s="43">
        <v>2012</v>
      </c>
      <c r="D4720" s="24" t="s">
        <v>141</v>
      </c>
      <c r="E4720" s="30" t="s">
        <v>142</v>
      </c>
      <c r="F4720" s="7" t="s">
        <v>68</v>
      </c>
      <c r="G4720" s="146" t="s">
        <v>1121</v>
      </c>
      <c r="H4720" s="147" t="s">
        <v>6868</v>
      </c>
      <c r="I4720" s="163">
        <v>0</v>
      </c>
      <c r="J4720" s="46">
        <v>21</v>
      </c>
      <c r="K4720" s="46">
        <v>0</v>
      </c>
      <c r="L4720" s="46">
        <v>0</v>
      </c>
      <c r="M4720" s="46">
        <v>0</v>
      </c>
      <c r="N4720" s="46">
        <v>0</v>
      </c>
      <c r="O4720" s="46">
        <v>0</v>
      </c>
      <c r="P4720" s="47">
        <f>(420000+288750)/1000000</f>
        <v>0.70874999999999999</v>
      </c>
      <c r="Q4720" s="27" t="s">
        <v>154</v>
      </c>
      <c r="R4720" s="160"/>
      <c r="S4720" s="164"/>
      <c r="T4720" s="164"/>
    </row>
    <row r="4721" spans="1:20" s="162" customFormat="1" ht="156" x14ac:dyDescent="0.25">
      <c r="A4721" s="17">
        <v>41061</v>
      </c>
      <c r="B4721" s="17">
        <v>41061</v>
      </c>
      <c r="C4721" s="43">
        <v>2012</v>
      </c>
      <c r="D4721" s="351" t="s">
        <v>23</v>
      </c>
      <c r="E4721" s="22" t="s">
        <v>86</v>
      </c>
      <c r="F4721" s="28" t="s">
        <v>157</v>
      </c>
      <c r="G4721" s="146" t="s">
        <v>6869</v>
      </c>
      <c r="H4721" s="147" t="s">
        <v>6870</v>
      </c>
      <c r="I4721" s="163">
        <v>0</v>
      </c>
      <c r="J4721" s="46">
        <v>33</v>
      </c>
      <c r="K4721" s="46">
        <v>0</v>
      </c>
      <c r="L4721" s="46">
        <v>0</v>
      </c>
      <c r="M4721" s="46">
        <v>0</v>
      </c>
      <c r="N4721" s="46">
        <v>0</v>
      </c>
      <c r="O4721" s="46">
        <v>0</v>
      </c>
      <c r="P4721" s="47">
        <f>(20*39690)/1000000</f>
        <v>0.79379999999999995</v>
      </c>
      <c r="Q4721" s="27" t="s">
        <v>154</v>
      </c>
      <c r="R4721" s="160"/>
      <c r="S4721" s="164"/>
      <c r="T4721" s="164"/>
    </row>
    <row r="4722" spans="1:20" s="162" customFormat="1" ht="84" x14ac:dyDescent="0.25">
      <c r="A4722" s="17">
        <v>41061</v>
      </c>
      <c r="B4722" s="17">
        <v>41061</v>
      </c>
      <c r="C4722" s="43">
        <v>2012</v>
      </c>
      <c r="D4722" s="24" t="s">
        <v>141</v>
      </c>
      <c r="E4722" s="30" t="s">
        <v>142</v>
      </c>
      <c r="F4722" s="7" t="s">
        <v>87</v>
      </c>
      <c r="G4722" s="146" t="s">
        <v>3647</v>
      </c>
      <c r="H4722" s="147" t="s">
        <v>6871</v>
      </c>
      <c r="I4722" s="163">
        <v>2</v>
      </c>
      <c r="J4722" s="46">
        <v>20</v>
      </c>
      <c r="K4722" s="46">
        <v>0</v>
      </c>
      <c r="L4722" s="46">
        <v>0</v>
      </c>
      <c r="M4722" s="46">
        <v>0</v>
      </c>
      <c r="N4722" s="46">
        <v>0</v>
      </c>
      <c r="O4722" s="46">
        <v>0</v>
      </c>
      <c r="P4722" s="47">
        <f>(420000+288750)/1000000</f>
        <v>0.70874999999999999</v>
      </c>
      <c r="Q4722" s="27" t="s">
        <v>154</v>
      </c>
      <c r="R4722" s="160"/>
      <c r="S4722" s="164"/>
      <c r="T4722" s="164"/>
    </row>
    <row r="4723" spans="1:20" s="162" customFormat="1" ht="84" x14ac:dyDescent="0.25">
      <c r="A4723" s="17">
        <v>41063</v>
      </c>
      <c r="B4723" s="17">
        <v>41063</v>
      </c>
      <c r="C4723" s="43">
        <v>2012</v>
      </c>
      <c r="D4723" s="351" t="s">
        <v>23</v>
      </c>
      <c r="E4723" s="22" t="s">
        <v>86</v>
      </c>
      <c r="F4723" s="7" t="s">
        <v>77</v>
      </c>
      <c r="G4723" s="146" t="s">
        <v>2427</v>
      </c>
      <c r="H4723" s="147" t="s">
        <v>6872</v>
      </c>
      <c r="I4723" s="163">
        <v>0</v>
      </c>
      <c r="J4723" s="46">
        <v>502</v>
      </c>
      <c r="K4723" s="46">
        <v>62</v>
      </c>
      <c r="L4723" s="46">
        <v>0</v>
      </c>
      <c r="M4723" s="46">
        <v>0</v>
      </c>
      <c r="N4723" s="46">
        <v>0</v>
      </c>
      <c r="O4723" s="46">
        <v>0</v>
      </c>
      <c r="P4723" s="47">
        <f>(62*5500)/1000000</f>
        <v>0.34100000000000003</v>
      </c>
      <c r="Q4723" s="27" t="s">
        <v>154</v>
      </c>
      <c r="R4723" s="160"/>
      <c r="S4723" s="164"/>
      <c r="T4723" s="164"/>
    </row>
    <row r="4724" spans="1:20" s="162" customFormat="1" ht="132" x14ac:dyDescent="0.25">
      <c r="A4724" s="17">
        <v>41063</v>
      </c>
      <c r="B4724" s="21">
        <v>41063</v>
      </c>
      <c r="C4724" s="43">
        <v>2012</v>
      </c>
      <c r="D4724" s="24" t="s">
        <v>141</v>
      </c>
      <c r="E4724" s="30" t="s">
        <v>142</v>
      </c>
      <c r="F4724" s="7" t="s">
        <v>40</v>
      </c>
      <c r="G4724" s="146" t="s">
        <v>2716</v>
      </c>
      <c r="H4724" s="147" t="s">
        <v>6873</v>
      </c>
      <c r="I4724" s="163">
        <v>11</v>
      </c>
      <c r="J4724" s="46">
        <v>24</v>
      </c>
      <c r="K4724" s="46">
        <v>0</v>
      </c>
      <c r="L4724" s="46">
        <v>0</v>
      </c>
      <c r="M4724" s="46">
        <v>0</v>
      </c>
      <c r="N4724" s="46">
        <v>0</v>
      </c>
      <c r="O4724" s="46">
        <v>0</v>
      </c>
      <c r="P4724" s="47">
        <v>0.42</v>
      </c>
      <c r="Q4724" s="27" t="s">
        <v>154</v>
      </c>
      <c r="R4724" s="160"/>
      <c r="S4724" s="164"/>
      <c r="T4724" s="164"/>
    </row>
    <row r="4725" spans="1:20" s="162" customFormat="1" ht="60" x14ac:dyDescent="0.25">
      <c r="A4725" s="17">
        <v>41065</v>
      </c>
      <c r="B4725" s="17">
        <v>41065</v>
      </c>
      <c r="C4725" s="43">
        <v>2012</v>
      </c>
      <c r="D4725" s="24" t="s">
        <v>141</v>
      </c>
      <c r="E4725" s="30" t="s">
        <v>142</v>
      </c>
      <c r="F4725" s="7" t="s">
        <v>60</v>
      </c>
      <c r="G4725" s="146" t="s">
        <v>4208</v>
      </c>
      <c r="H4725" s="147" t="s">
        <v>6874</v>
      </c>
      <c r="I4725" s="163">
        <v>2</v>
      </c>
      <c r="J4725" s="46">
        <v>2</v>
      </c>
      <c r="K4725" s="46">
        <v>0</v>
      </c>
      <c r="L4725" s="46">
        <v>0</v>
      </c>
      <c r="M4725" s="46">
        <v>0</v>
      </c>
      <c r="N4725" s="46">
        <v>0</v>
      </c>
      <c r="O4725" s="46">
        <v>0</v>
      </c>
      <c r="P4725" s="47">
        <v>1.575</v>
      </c>
      <c r="Q4725" s="27" t="s">
        <v>154</v>
      </c>
      <c r="R4725" s="160"/>
      <c r="S4725" s="164"/>
      <c r="T4725" s="164"/>
    </row>
    <row r="4726" spans="1:20" s="162" customFormat="1" ht="96" x14ac:dyDescent="0.25">
      <c r="A4726" s="17">
        <v>41065</v>
      </c>
      <c r="B4726" s="17">
        <v>41065</v>
      </c>
      <c r="C4726" s="43">
        <v>2012</v>
      </c>
      <c r="D4726" s="351" t="s">
        <v>23</v>
      </c>
      <c r="E4726" s="22" t="s">
        <v>86</v>
      </c>
      <c r="F4726" s="7" t="s">
        <v>75</v>
      </c>
      <c r="G4726" s="146" t="s">
        <v>6875</v>
      </c>
      <c r="H4726" s="147" t="s">
        <v>6876</v>
      </c>
      <c r="I4726" s="163">
        <v>0</v>
      </c>
      <c r="J4726" s="46">
        <v>450</v>
      </c>
      <c r="K4726" s="46">
        <v>90</v>
      </c>
      <c r="L4726" s="46">
        <v>0</v>
      </c>
      <c r="M4726" s="46">
        <v>0</v>
      </c>
      <c r="N4726" s="46">
        <v>0</v>
      </c>
      <c r="O4726" s="46">
        <v>0</v>
      </c>
      <c r="P4726" s="47">
        <f>((K4726*5500)+(1000*251)+(440*71)+(180*208))/1000000</f>
        <v>0.81467999999999996</v>
      </c>
      <c r="Q4726" s="27" t="s">
        <v>154</v>
      </c>
      <c r="R4726" s="160"/>
      <c r="S4726" s="164"/>
      <c r="T4726" s="164"/>
    </row>
    <row r="4727" spans="1:20" s="162" customFormat="1" ht="48" x14ac:dyDescent="0.25">
      <c r="A4727" s="17">
        <v>41065</v>
      </c>
      <c r="B4727" s="17">
        <v>41065</v>
      </c>
      <c r="C4727" s="43">
        <v>2012</v>
      </c>
      <c r="D4727" s="351" t="s">
        <v>23</v>
      </c>
      <c r="E4727" s="22" t="s">
        <v>86</v>
      </c>
      <c r="F4727" s="7" t="s">
        <v>91</v>
      </c>
      <c r="G4727" s="146" t="s">
        <v>6877</v>
      </c>
      <c r="H4727" s="147" t="s">
        <v>6878</v>
      </c>
      <c r="I4727" s="163">
        <v>0</v>
      </c>
      <c r="J4727" s="46">
        <v>1200</v>
      </c>
      <c r="K4727" s="46">
        <v>240</v>
      </c>
      <c r="L4727" s="46">
        <v>0</v>
      </c>
      <c r="M4727" s="46">
        <v>0</v>
      </c>
      <c r="N4727" s="46">
        <v>0</v>
      </c>
      <c r="O4727" s="46">
        <v>0</v>
      </c>
      <c r="P4727" s="47">
        <f>(K4727*5500)/1000000</f>
        <v>1.32</v>
      </c>
      <c r="Q4727" s="27" t="s">
        <v>154</v>
      </c>
      <c r="R4727" s="160"/>
      <c r="S4727" s="164"/>
      <c r="T4727" s="164"/>
    </row>
    <row r="4728" spans="1:20" s="162" customFormat="1" ht="96" x14ac:dyDescent="0.25">
      <c r="A4728" s="17">
        <v>41067</v>
      </c>
      <c r="B4728" s="17">
        <v>41067</v>
      </c>
      <c r="C4728" s="43">
        <v>2012</v>
      </c>
      <c r="D4728" s="24" t="s">
        <v>141</v>
      </c>
      <c r="E4728" s="30" t="s">
        <v>142</v>
      </c>
      <c r="F4728" s="7" t="s">
        <v>56</v>
      </c>
      <c r="G4728" s="146" t="s">
        <v>2786</v>
      </c>
      <c r="H4728" s="147" t="s">
        <v>6879</v>
      </c>
      <c r="I4728" s="163">
        <v>4</v>
      </c>
      <c r="J4728" s="46">
        <v>13</v>
      </c>
      <c r="K4728" s="46">
        <v>0</v>
      </c>
      <c r="L4728" s="46">
        <v>0</v>
      </c>
      <c r="M4728" s="46">
        <v>0</v>
      </c>
      <c r="N4728" s="46">
        <v>0</v>
      </c>
      <c r="O4728" s="46">
        <v>0</v>
      </c>
      <c r="P4728" s="47">
        <f>(420000+39690)/1000000</f>
        <v>0.45968999999999999</v>
      </c>
      <c r="Q4728" s="27" t="s">
        <v>154</v>
      </c>
      <c r="R4728" s="160"/>
      <c r="S4728" s="164"/>
      <c r="T4728" s="164"/>
    </row>
    <row r="4729" spans="1:20" s="162" customFormat="1" ht="84" x14ac:dyDescent="0.25">
      <c r="A4729" s="21">
        <v>41066</v>
      </c>
      <c r="B4729" s="21">
        <v>41066</v>
      </c>
      <c r="C4729" s="43">
        <v>2012</v>
      </c>
      <c r="D4729" s="24" t="s">
        <v>141</v>
      </c>
      <c r="E4729" s="30" t="s">
        <v>142</v>
      </c>
      <c r="F4729" s="7" t="s">
        <v>36</v>
      </c>
      <c r="G4729" s="126" t="s">
        <v>1424</v>
      </c>
      <c r="H4729" s="126" t="s">
        <v>6880</v>
      </c>
      <c r="I4729" s="163">
        <v>0</v>
      </c>
      <c r="J4729" s="46">
        <v>23</v>
      </c>
      <c r="K4729" s="46">
        <v>0</v>
      </c>
      <c r="L4729" s="46">
        <v>0</v>
      </c>
      <c r="M4729" s="46">
        <v>0</v>
      </c>
      <c r="N4729" s="46">
        <v>0</v>
      </c>
      <c r="O4729" s="46">
        <v>0</v>
      </c>
      <c r="P4729" s="47">
        <v>0.42</v>
      </c>
      <c r="Q4729" s="27" t="s">
        <v>154</v>
      </c>
      <c r="R4729" s="160"/>
      <c r="S4729" s="164"/>
      <c r="T4729" s="164"/>
    </row>
    <row r="4730" spans="1:20" s="162" customFormat="1" ht="72" x14ac:dyDescent="0.25">
      <c r="A4730" s="17">
        <v>41069</v>
      </c>
      <c r="B4730" s="17">
        <v>41069</v>
      </c>
      <c r="C4730" s="43">
        <v>2012</v>
      </c>
      <c r="D4730" s="24" t="s">
        <v>141</v>
      </c>
      <c r="E4730" s="30" t="s">
        <v>142</v>
      </c>
      <c r="F4730" s="7" t="s">
        <v>87</v>
      </c>
      <c r="G4730" s="146" t="s">
        <v>1457</v>
      </c>
      <c r="H4730" s="147" t="s">
        <v>6881</v>
      </c>
      <c r="I4730" s="163">
        <v>1</v>
      </c>
      <c r="J4730" s="46">
        <v>1</v>
      </c>
      <c r="K4730" s="46">
        <v>0</v>
      </c>
      <c r="L4730" s="46">
        <v>0</v>
      </c>
      <c r="M4730" s="46">
        <v>0</v>
      </c>
      <c r="N4730" s="46">
        <v>0</v>
      </c>
      <c r="O4730" s="46">
        <v>0</v>
      </c>
      <c r="P4730" s="47">
        <f>0.4725+0.11517</f>
        <v>0.58766999999999991</v>
      </c>
      <c r="Q4730" s="27" t="s">
        <v>154</v>
      </c>
      <c r="R4730" s="160"/>
      <c r="S4730" s="164"/>
      <c r="T4730" s="164"/>
    </row>
    <row r="4731" spans="1:20" s="162" customFormat="1" ht="96" x14ac:dyDescent="0.25">
      <c r="A4731" s="17">
        <v>41069</v>
      </c>
      <c r="B4731" s="17">
        <v>41082</v>
      </c>
      <c r="C4731" s="43">
        <v>2012</v>
      </c>
      <c r="D4731" s="24" t="s">
        <v>141</v>
      </c>
      <c r="E4731" s="30" t="s">
        <v>6731</v>
      </c>
      <c r="F4731" s="28" t="s">
        <v>210</v>
      </c>
      <c r="G4731" s="146" t="s">
        <v>893</v>
      </c>
      <c r="H4731" s="147" t="s">
        <v>6882</v>
      </c>
      <c r="I4731" s="148">
        <v>0</v>
      </c>
      <c r="J4731" s="46">
        <v>15</v>
      </c>
      <c r="K4731" s="46">
        <v>3</v>
      </c>
      <c r="L4731" s="46">
        <v>0</v>
      </c>
      <c r="M4731" s="46">
        <v>0</v>
      </c>
      <c r="N4731" s="46">
        <v>0</v>
      </c>
      <c r="O4731" s="46">
        <v>0</v>
      </c>
      <c r="P4731" s="47">
        <f>(3*28000)/1000000</f>
        <v>8.4000000000000005E-2</v>
      </c>
      <c r="Q4731" s="27" t="s">
        <v>154</v>
      </c>
      <c r="R4731" s="160"/>
      <c r="S4731" s="164"/>
      <c r="T4731" s="164"/>
    </row>
    <row r="4732" spans="1:20" s="162" customFormat="1" ht="96" x14ac:dyDescent="0.25">
      <c r="A4732" s="17">
        <v>41070</v>
      </c>
      <c r="B4732" s="17">
        <v>41070</v>
      </c>
      <c r="C4732" s="43">
        <v>2012</v>
      </c>
      <c r="D4732" s="24" t="s">
        <v>141</v>
      </c>
      <c r="E4732" s="30" t="s">
        <v>142</v>
      </c>
      <c r="F4732" s="7" t="s">
        <v>84</v>
      </c>
      <c r="G4732" s="146" t="s">
        <v>4988</v>
      </c>
      <c r="H4732" s="147" t="s">
        <v>6883</v>
      </c>
      <c r="I4732" s="163">
        <v>6</v>
      </c>
      <c r="J4732" s="46">
        <v>9</v>
      </c>
      <c r="K4732" s="46">
        <v>0</v>
      </c>
      <c r="L4732" s="46">
        <v>0</v>
      </c>
      <c r="M4732" s="46">
        <v>0</v>
      </c>
      <c r="N4732" s="46">
        <v>0</v>
      </c>
      <c r="O4732" s="46">
        <v>0</v>
      </c>
      <c r="P4732" s="47">
        <f>(288750+39690)/1000000</f>
        <v>0.32844000000000001</v>
      </c>
      <c r="Q4732" s="27" t="s">
        <v>154</v>
      </c>
      <c r="R4732" s="160"/>
      <c r="S4732" s="164"/>
      <c r="T4732" s="164"/>
    </row>
    <row r="4733" spans="1:20" s="162" customFormat="1" ht="72" x14ac:dyDescent="0.25">
      <c r="A4733" s="23">
        <v>41072</v>
      </c>
      <c r="B4733" s="23">
        <v>41072</v>
      </c>
      <c r="C4733" s="43">
        <v>2012</v>
      </c>
      <c r="D4733" s="35" t="s">
        <v>28</v>
      </c>
      <c r="E4733" s="30" t="s">
        <v>125</v>
      </c>
      <c r="F4733" s="7" t="s">
        <v>87</v>
      </c>
      <c r="G4733" s="146" t="s">
        <v>2608</v>
      </c>
      <c r="H4733" s="147" t="s">
        <v>6884</v>
      </c>
      <c r="I4733" s="163">
        <v>0</v>
      </c>
      <c r="J4733" s="46">
        <v>26</v>
      </c>
      <c r="K4733" s="46">
        <v>0</v>
      </c>
      <c r="L4733" s="46">
        <v>0</v>
      </c>
      <c r="M4733" s="46">
        <v>0</v>
      </c>
      <c r="N4733" s="46">
        <v>0</v>
      </c>
      <c r="O4733" s="46">
        <v>0</v>
      </c>
      <c r="P4733" s="47">
        <v>7.8899999999999998E-2</v>
      </c>
      <c r="Q4733" s="27" t="s">
        <v>154</v>
      </c>
      <c r="R4733" s="160"/>
      <c r="S4733" s="164"/>
      <c r="T4733" s="164"/>
    </row>
    <row r="4734" spans="1:20" s="162" customFormat="1" ht="108" x14ac:dyDescent="0.25">
      <c r="A4734" s="17">
        <v>41072</v>
      </c>
      <c r="B4734" s="17">
        <v>41072</v>
      </c>
      <c r="C4734" s="43">
        <v>2012</v>
      </c>
      <c r="D4734" s="35" t="s">
        <v>28</v>
      </c>
      <c r="E4734" s="6" t="s">
        <v>369</v>
      </c>
      <c r="F4734" s="7" t="s">
        <v>53</v>
      </c>
      <c r="G4734" s="146" t="s">
        <v>4210</v>
      </c>
      <c r="H4734" s="147" t="s">
        <v>6885</v>
      </c>
      <c r="I4734" s="163">
        <v>0</v>
      </c>
      <c r="J4734" s="46">
        <v>58</v>
      </c>
      <c r="K4734" s="46">
        <v>0</v>
      </c>
      <c r="L4734" s="46">
        <v>0</v>
      </c>
      <c r="M4734" s="46">
        <v>0</v>
      </c>
      <c r="N4734" s="46">
        <v>0</v>
      </c>
      <c r="O4734" s="46">
        <v>0</v>
      </c>
      <c r="P4734" s="47">
        <v>0</v>
      </c>
      <c r="Q4734" s="27" t="s">
        <v>154</v>
      </c>
      <c r="R4734" s="160"/>
      <c r="S4734" s="164"/>
      <c r="T4734" s="164"/>
    </row>
    <row r="4735" spans="1:20" s="162" customFormat="1" ht="72" x14ac:dyDescent="0.25">
      <c r="A4735" s="23">
        <v>41073</v>
      </c>
      <c r="B4735" s="23">
        <v>41073</v>
      </c>
      <c r="C4735" s="43">
        <v>2012</v>
      </c>
      <c r="D4735" s="24" t="s">
        <v>141</v>
      </c>
      <c r="E4735" s="30" t="s">
        <v>142</v>
      </c>
      <c r="F4735" s="28" t="s">
        <v>210</v>
      </c>
      <c r="G4735" s="146" t="s">
        <v>6886</v>
      </c>
      <c r="H4735" s="147" t="s">
        <v>6887</v>
      </c>
      <c r="I4735" s="163">
        <v>1</v>
      </c>
      <c r="J4735" s="46">
        <v>1</v>
      </c>
      <c r="K4735" s="46">
        <v>0</v>
      </c>
      <c r="L4735" s="46">
        <v>0</v>
      </c>
      <c r="M4735" s="46">
        <v>0</v>
      </c>
      <c r="N4735" s="46">
        <v>0</v>
      </c>
      <c r="O4735" s="46">
        <v>0</v>
      </c>
      <c r="P4735" s="47">
        <f>((472500)+(45000*10.92))/1000000</f>
        <v>0.96389999999999998</v>
      </c>
      <c r="Q4735" s="27" t="s">
        <v>154</v>
      </c>
      <c r="R4735" s="160"/>
      <c r="S4735" s="164"/>
      <c r="T4735" s="164"/>
    </row>
    <row r="4736" spans="1:20" s="162" customFormat="1" ht="120" x14ac:dyDescent="0.25">
      <c r="A4736" s="17">
        <v>41073</v>
      </c>
      <c r="B4736" s="17">
        <v>41073</v>
      </c>
      <c r="C4736" s="43">
        <v>2012</v>
      </c>
      <c r="D4736" s="24" t="s">
        <v>141</v>
      </c>
      <c r="E4736" s="30" t="s">
        <v>142</v>
      </c>
      <c r="F4736" s="7" t="s">
        <v>62</v>
      </c>
      <c r="G4736" s="146" t="s">
        <v>1011</v>
      </c>
      <c r="H4736" s="147" t="s">
        <v>6888</v>
      </c>
      <c r="I4736" s="163">
        <v>11</v>
      </c>
      <c r="J4736" s="46">
        <v>45</v>
      </c>
      <c r="K4736" s="46">
        <v>1</v>
      </c>
      <c r="L4736" s="46">
        <v>0</v>
      </c>
      <c r="M4736" s="46">
        <v>0</v>
      </c>
      <c r="N4736" s="46">
        <v>0</v>
      </c>
      <c r="O4736" s="46">
        <v>0</v>
      </c>
      <c r="P4736" s="47">
        <f>(28000+250000)/1000000</f>
        <v>0.27800000000000002</v>
      </c>
      <c r="Q4736" s="27" t="s">
        <v>154</v>
      </c>
      <c r="R4736" s="160"/>
      <c r="S4736" s="164"/>
      <c r="T4736" s="164"/>
    </row>
    <row r="4737" spans="1:20" s="162" customFormat="1" ht="84" x14ac:dyDescent="0.25">
      <c r="A4737" s="17">
        <v>41075</v>
      </c>
      <c r="B4737" s="17">
        <v>41075</v>
      </c>
      <c r="C4737" s="43">
        <v>2012</v>
      </c>
      <c r="D4737" s="24" t="s">
        <v>141</v>
      </c>
      <c r="E4737" s="30" t="s">
        <v>142</v>
      </c>
      <c r="F4737" s="7" t="s">
        <v>56</v>
      </c>
      <c r="G4737" s="146" t="s">
        <v>3592</v>
      </c>
      <c r="H4737" s="147" t="s">
        <v>6889</v>
      </c>
      <c r="I4737" s="163">
        <v>4</v>
      </c>
      <c r="J4737" s="46">
        <v>7</v>
      </c>
      <c r="K4737" s="46">
        <v>0</v>
      </c>
      <c r="L4737" s="46">
        <v>0</v>
      </c>
      <c r="M4737" s="46">
        <v>0</v>
      </c>
      <c r="N4737" s="46">
        <v>0</v>
      </c>
      <c r="O4737" s="46">
        <v>0</v>
      </c>
      <c r="P4737" s="47">
        <f>(39960+250000)/1000000</f>
        <v>0.28996</v>
      </c>
      <c r="Q4737" s="27" t="s">
        <v>154</v>
      </c>
      <c r="R4737" s="160"/>
      <c r="S4737" s="164"/>
      <c r="T4737" s="164"/>
    </row>
    <row r="4738" spans="1:20" s="162" customFormat="1" ht="144" x14ac:dyDescent="0.25">
      <c r="A4738" s="17">
        <v>41077</v>
      </c>
      <c r="B4738" s="17">
        <v>41077</v>
      </c>
      <c r="C4738" s="43">
        <v>2012</v>
      </c>
      <c r="D4738" s="24" t="s">
        <v>141</v>
      </c>
      <c r="E4738" s="30" t="s">
        <v>142</v>
      </c>
      <c r="F4738" s="7" t="s">
        <v>33</v>
      </c>
      <c r="G4738" s="146" t="s">
        <v>3155</v>
      </c>
      <c r="H4738" s="147" t="s">
        <v>6890</v>
      </c>
      <c r="I4738" s="163">
        <v>0</v>
      </c>
      <c r="J4738" s="46">
        <v>15</v>
      </c>
      <c r="K4738" s="46">
        <v>0</v>
      </c>
      <c r="L4738" s="46">
        <v>0</v>
      </c>
      <c r="M4738" s="46">
        <v>0</v>
      </c>
      <c r="N4738" s="46">
        <v>0</v>
      </c>
      <c r="O4738" s="46">
        <v>0</v>
      </c>
      <c r="P4738" s="47">
        <v>0.42</v>
      </c>
      <c r="Q4738" s="27" t="s">
        <v>154</v>
      </c>
      <c r="R4738" s="160"/>
      <c r="S4738" s="164"/>
      <c r="T4738" s="164"/>
    </row>
    <row r="4739" spans="1:20" s="162" customFormat="1" ht="132" x14ac:dyDescent="0.25">
      <c r="A4739" s="17">
        <v>41079</v>
      </c>
      <c r="B4739" s="17">
        <v>41079</v>
      </c>
      <c r="C4739" s="43">
        <v>2012</v>
      </c>
      <c r="D4739" s="351" t="s">
        <v>23</v>
      </c>
      <c r="E4739" s="22" t="s">
        <v>86</v>
      </c>
      <c r="F4739" s="7" t="s">
        <v>75</v>
      </c>
      <c r="G4739" s="146" t="s">
        <v>6891</v>
      </c>
      <c r="H4739" s="147" t="s">
        <v>6892</v>
      </c>
      <c r="I4739" s="163">
        <v>0</v>
      </c>
      <c r="J4739" s="46">
        <v>250</v>
      </c>
      <c r="K4739" s="46">
        <v>50</v>
      </c>
      <c r="L4739" s="46">
        <v>0</v>
      </c>
      <c r="M4739" s="46">
        <v>0</v>
      </c>
      <c r="N4739" s="46">
        <v>0</v>
      </c>
      <c r="O4739" s="46">
        <v>0</v>
      </c>
      <c r="P4739" s="47">
        <f>((K4739*5500)+(50*10000))/1000000</f>
        <v>0.77500000000000002</v>
      </c>
      <c r="Q4739" s="27" t="s">
        <v>154</v>
      </c>
      <c r="R4739" s="160"/>
      <c r="S4739" s="164"/>
      <c r="T4739" s="164"/>
    </row>
    <row r="4740" spans="1:20" s="162" customFormat="1" ht="48" x14ac:dyDescent="0.25">
      <c r="A4740" s="17">
        <v>41078</v>
      </c>
      <c r="B4740" s="17">
        <v>41078</v>
      </c>
      <c r="C4740" s="43">
        <v>2012</v>
      </c>
      <c r="D4740" s="351" t="s">
        <v>23</v>
      </c>
      <c r="E4740" s="22" t="s">
        <v>86</v>
      </c>
      <c r="F4740" s="7" t="s">
        <v>58</v>
      </c>
      <c r="G4740" s="146" t="s">
        <v>6893</v>
      </c>
      <c r="H4740" s="147" t="s">
        <v>6894</v>
      </c>
      <c r="I4740" s="163">
        <v>2</v>
      </c>
      <c r="J4740" s="46">
        <v>2</v>
      </c>
      <c r="K4740" s="46">
        <v>0</v>
      </c>
      <c r="L4740" s="46">
        <v>0</v>
      </c>
      <c r="M4740" s="46">
        <v>0</v>
      </c>
      <c r="N4740" s="46">
        <v>0</v>
      </c>
      <c r="O4740" s="46">
        <v>0</v>
      </c>
      <c r="P4740" s="47">
        <v>0</v>
      </c>
      <c r="Q4740" s="27" t="s">
        <v>154</v>
      </c>
      <c r="R4740" s="160"/>
      <c r="S4740" s="164"/>
      <c r="T4740" s="164"/>
    </row>
    <row r="4741" spans="1:20" s="162" customFormat="1" ht="72" x14ac:dyDescent="0.25">
      <c r="A4741" s="17">
        <v>41108</v>
      </c>
      <c r="B4741" s="17">
        <v>41108</v>
      </c>
      <c r="C4741" s="43">
        <v>2012</v>
      </c>
      <c r="D4741" s="351" t="s">
        <v>23</v>
      </c>
      <c r="E4741" s="30" t="s">
        <v>5893</v>
      </c>
      <c r="F4741" s="7" t="s">
        <v>58</v>
      </c>
      <c r="G4741" s="146" t="s">
        <v>766</v>
      </c>
      <c r="H4741" s="147" t="s">
        <v>6895</v>
      </c>
      <c r="I4741" s="163">
        <v>0</v>
      </c>
      <c r="J4741" s="46">
        <v>3</v>
      </c>
      <c r="K4741" s="46">
        <v>0</v>
      </c>
      <c r="L4741" s="46">
        <v>0</v>
      </c>
      <c r="M4741" s="46">
        <v>0</v>
      </c>
      <c r="N4741" s="46">
        <v>0</v>
      </c>
      <c r="O4741" s="46">
        <v>0</v>
      </c>
      <c r="P4741" s="47">
        <v>0</v>
      </c>
      <c r="Q4741" s="27" t="s">
        <v>154</v>
      </c>
      <c r="R4741" s="160"/>
      <c r="S4741" s="164"/>
      <c r="T4741" s="164"/>
    </row>
    <row r="4742" spans="1:20" s="162" customFormat="1" ht="84" x14ac:dyDescent="0.25">
      <c r="A4742" s="17">
        <v>41108</v>
      </c>
      <c r="B4742" s="17">
        <v>41108</v>
      </c>
      <c r="C4742" s="43">
        <v>2012</v>
      </c>
      <c r="D4742" s="351" t="s">
        <v>23</v>
      </c>
      <c r="E4742" s="22" t="s">
        <v>86</v>
      </c>
      <c r="F4742" s="7" t="s">
        <v>60</v>
      </c>
      <c r="G4742" s="146" t="s">
        <v>4575</v>
      </c>
      <c r="H4742" s="147" t="s">
        <v>6896</v>
      </c>
      <c r="I4742" s="163">
        <v>0</v>
      </c>
      <c r="J4742" s="46">
        <v>60</v>
      </c>
      <c r="K4742" s="46">
        <v>12</v>
      </c>
      <c r="L4742" s="46">
        <v>0</v>
      </c>
      <c r="M4742" s="46">
        <v>0</v>
      </c>
      <c r="N4742" s="46">
        <v>0</v>
      </c>
      <c r="O4742" s="46">
        <v>0</v>
      </c>
      <c r="P4742" s="47">
        <f>(K4742*5500)/1000000</f>
        <v>6.6000000000000003E-2</v>
      </c>
      <c r="Q4742" s="27" t="s">
        <v>154</v>
      </c>
      <c r="R4742" s="160"/>
      <c r="S4742" s="164"/>
      <c r="T4742" s="164"/>
    </row>
    <row r="4743" spans="1:20" s="162" customFormat="1" ht="132" x14ac:dyDescent="0.25">
      <c r="A4743" s="17">
        <v>41078</v>
      </c>
      <c r="B4743" s="17">
        <v>41078</v>
      </c>
      <c r="C4743" s="43">
        <v>2012</v>
      </c>
      <c r="D4743" s="351" t="s">
        <v>23</v>
      </c>
      <c r="E4743" s="22" t="s">
        <v>86</v>
      </c>
      <c r="F4743" s="7" t="s">
        <v>75</v>
      </c>
      <c r="G4743" s="146" t="s">
        <v>4971</v>
      </c>
      <c r="H4743" s="147" t="s">
        <v>6897</v>
      </c>
      <c r="I4743" s="163">
        <v>0</v>
      </c>
      <c r="J4743" s="46">
        <v>149</v>
      </c>
      <c r="K4743" s="46">
        <v>20</v>
      </c>
      <c r="L4743" s="46">
        <v>1</v>
      </c>
      <c r="M4743" s="46">
        <v>0</v>
      </c>
      <c r="N4743" s="46">
        <v>0</v>
      </c>
      <c r="O4743" s="46">
        <v>0</v>
      </c>
      <c r="P4743" s="47">
        <f>(K4743*28000)/1000000</f>
        <v>0.56000000000000005</v>
      </c>
      <c r="Q4743" s="27" t="s">
        <v>154</v>
      </c>
      <c r="R4743" s="160"/>
      <c r="S4743" s="164"/>
      <c r="T4743" s="164"/>
    </row>
    <row r="4744" spans="1:20" s="162" customFormat="1" ht="168" x14ac:dyDescent="0.25">
      <c r="A4744" s="17">
        <v>41079</v>
      </c>
      <c r="B4744" s="17">
        <v>41080</v>
      </c>
      <c r="C4744" s="43">
        <v>2012</v>
      </c>
      <c r="D4744" s="35" t="s">
        <v>17</v>
      </c>
      <c r="E4744" s="30" t="s">
        <v>1597</v>
      </c>
      <c r="F4744" s="28" t="s">
        <v>157</v>
      </c>
      <c r="G4744" s="126" t="s">
        <v>6898</v>
      </c>
      <c r="H4744" s="147" t="s">
        <v>6899</v>
      </c>
      <c r="I4744" s="163">
        <v>0</v>
      </c>
      <c r="J4744" s="46">
        <v>85</v>
      </c>
      <c r="K4744" s="46">
        <v>17</v>
      </c>
      <c r="L4744" s="46">
        <v>0</v>
      </c>
      <c r="M4744" s="46">
        <v>0</v>
      </c>
      <c r="N4744" s="46">
        <v>0</v>
      </c>
      <c r="O4744" s="46">
        <v>0</v>
      </c>
      <c r="P4744" s="47">
        <f>1*((2*28000)+(5*120000))/1000000</f>
        <v>0.65600000000000003</v>
      </c>
      <c r="Q4744" s="27" t="s">
        <v>154</v>
      </c>
      <c r="R4744" s="160"/>
      <c r="S4744" s="164"/>
      <c r="T4744" s="164"/>
    </row>
    <row r="4745" spans="1:20" s="162" customFormat="1" ht="96" x14ac:dyDescent="0.25">
      <c r="A4745" s="17">
        <v>41080</v>
      </c>
      <c r="B4745" s="17">
        <v>41080</v>
      </c>
      <c r="C4745" s="43">
        <v>2012</v>
      </c>
      <c r="D4745" s="24" t="s">
        <v>141</v>
      </c>
      <c r="E4745" s="30" t="s">
        <v>142</v>
      </c>
      <c r="F4745" s="7" t="s">
        <v>53</v>
      </c>
      <c r="G4745" s="146" t="s">
        <v>2975</v>
      </c>
      <c r="H4745" s="147" t="s">
        <v>6900</v>
      </c>
      <c r="I4745" s="163">
        <v>2</v>
      </c>
      <c r="J4745" s="46">
        <v>16</v>
      </c>
      <c r="K4745" s="46">
        <v>0</v>
      </c>
      <c r="L4745" s="46">
        <v>0</v>
      </c>
      <c r="M4745" s="46">
        <v>0</v>
      </c>
      <c r="N4745" s="46">
        <v>0</v>
      </c>
      <c r="O4745" s="46">
        <v>0</v>
      </c>
      <c r="P4745" s="47">
        <f>((3*288750)+(5*39960))/1000000</f>
        <v>1.0660499999999999</v>
      </c>
      <c r="Q4745" s="27" t="s">
        <v>154</v>
      </c>
      <c r="R4745" s="160"/>
      <c r="S4745" s="164"/>
      <c r="T4745" s="164"/>
    </row>
    <row r="4746" spans="1:20" s="162" customFormat="1" ht="120" x14ac:dyDescent="0.25">
      <c r="A4746" s="17">
        <v>41082</v>
      </c>
      <c r="B4746" s="17">
        <v>41082</v>
      </c>
      <c r="C4746" s="43">
        <v>2012</v>
      </c>
      <c r="D4746" s="351" t="s">
        <v>23</v>
      </c>
      <c r="E4746" s="22" t="s">
        <v>86</v>
      </c>
      <c r="F4746" s="7" t="s">
        <v>72</v>
      </c>
      <c r="G4746" s="146" t="s">
        <v>6626</v>
      </c>
      <c r="H4746" s="147" t="s">
        <v>6901</v>
      </c>
      <c r="I4746" s="163">
        <v>0</v>
      </c>
      <c r="J4746" s="46">
        <v>25</v>
      </c>
      <c r="K4746" s="46">
        <v>5</v>
      </c>
      <c r="L4746" s="46">
        <v>0</v>
      </c>
      <c r="M4746" s="46">
        <v>0</v>
      </c>
      <c r="N4746" s="46">
        <v>0</v>
      </c>
      <c r="O4746" s="46">
        <v>0</v>
      </c>
      <c r="P4746" s="47">
        <f>(K4746*120000)/1000000</f>
        <v>0.6</v>
      </c>
      <c r="Q4746" s="27" t="s">
        <v>154</v>
      </c>
      <c r="R4746" s="160"/>
      <c r="S4746" s="164"/>
      <c r="T4746" s="164"/>
    </row>
    <row r="4747" spans="1:20" s="162" customFormat="1" ht="72" x14ac:dyDescent="0.25">
      <c r="A4747" s="17">
        <v>41082</v>
      </c>
      <c r="B4747" s="17">
        <v>41260</v>
      </c>
      <c r="C4747" s="43">
        <v>2012</v>
      </c>
      <c r="D4747" s="351" t="s">
        <v>23</v>
      </c>
      <c r="E4747" s="22" t="s">
        <v>86</v>
      </c>
      <c r="F4747" s="28" t="s">
        <v>210</v>
      </c>
      <c r="G4747" s="146" t="s">
        <v>5050</v>
      </c>
      <c r="H4747" s="147" t="s">
        <v>6902</v>
      </c>
      <c r="I4747" s="148">
        <v>0</v>
      </c>
      <c r="J4747" s="46">
        <v>15</v>
      </c>
      <c r="K4747" s="46">
        <v>3</v>
      </c>
      <c r="L4747" s="46">
        <v>0</v>
      </c>
      <c r="M4747" s="46">
        <v>0</v>
      </c>
      <c r="N4747" s="46">
        <v>0</v>
      </c>
      <c r="O4747" s="46">
        <v>0</v>
      </c>
      <c r="P4747" s="47">
        <f>(K4747*28000)/1000000</f>
        <v>8.4000000000000005E-2</v>
      </c>
      <c r="Q4747" s="27" t="s">
        <v>154</v>
      </c>
      <c r="R4747" s="160"/>
      <c r="S4747" s="164"/>
      <c r="T4747" s="164"/>
    </row>
    <row r="4748" spans="1:20" s="162" customFormat="1" ht="96" x14ac:dyDescent="0.25">
      <c r="A4748" s="17">
        <v>41085</v>
      </c>
      <c r="B4748" s="17">
        <v>41085</v>
      </c>
      <c r="C4748" s="43">
        <v>2012</v>
      </c>
      <c r="D4748" s="351" t="s">
        <v>23</v>
      </c>
      <c r="E4748" s="22" t="s">
        <v>86</v>
      </c>
      <c r="F4748" s="7" t="s">
        <v>60</v>
      </c>
      <c r="G4748" s="146" t="s">
        <v>307</v>
      </c>
      <c r="H4748" s="147" t="s">
        <v>6903</v>
      </c>
      <c r="I4748" s="163">
        <v>2</v>
      </c>
      <c r="J4748" s="46">
        <v>3</v>
      </c>
      <c r="K4748" s="46">
        <v>1</v>
      </c>
      <c r="L4748" s="46">
        <v>0</v>
      </c>
      <c r="M4748" s="46">
        <v>0</v>
      </c>
      <c r="N4748" s="46">
        <v>0</v>
      </c>
      <c r="O4748" s="46">
        <v>0</v>
      </c>
      <c r="P4748" s="47">
        <v>0.12</v>
      </c>
      <c r="Q4748" s="27" t="s">
        <v>154</v>
      </c>
      <c r="R4748" s="160"/>
      <c r="S4748" s="164"/>
      <c r="T4748" s="164"/>
    </row>
    <row r="4749" spans="1:20" s="162" customFormat="1" ht="96" x14ac:dyDescent="0.25">
      <c r="A4749" s="21">
        <v>41085</v>
      </c>
      <c r="B4749" s="17">
        <v>41085</v>
      </c>
      <c r="C4749" s="43">
        <v>2012</v>
      </c>
      <c r="D4749" s="35" t="s">
        <v>28</v>
      </c>
      <c r="E4749" s="30" t="s">
        <v>133</v>
      </c>
      <c r="F4749" s="7" t="s">
        <v>25</v>
      </c>
      <c r="G4749" s="126" t="s">
        <v>25</v>
      </c>
      <c r="H4749" s="147" t="s">
        <v>6904</v>
      </c>
      <c r="I4749" s="163">
        <v>0</v>
      </c>
      <c r="J4749" s="46">
        <v>2</v>
      </c>
      <c r="K4749" s="46">
        <v>1</v>
      </c>
      <c r="L4749" s="46">
        <v>0</v>
      </c>
      <c r="M4749" s="46">
        <v>0</v>
      </c>
      <c r="N4749" s="46">
        <v>0</v>
      </c>
      <c r="O4749" s="46">
        <v>0</v>
      </c>
      <c r="P4749" s="47">
        <v>0.12</v>
      </c>
      <c r="Q4749" s="27" t="s">
        <v>154</v>
      </c>
      <c r="R4749" s="160"/>
      <c r="S4749" s="164"/>
      <c r="T4749" s="164"/>
    </row>
    <row r="4750" spans="1:20" s="162" customFormat="1" ht="96" x14ac:dyDescent="0.25">
      <c r="A4750" s="17">
        <v>41084</v>
      </c>
      <c r="B4750" s="17">
        <v>41084</v>
      </c>
      <c r="C4750" s="43">
        <v>2012</v>
      </c>
      <c r="D4750" s="351" t="s">
        <v>23</v>
      </c>
      <c r="E4750" s="22" t="s">
        <v>86</v>
      </c>
      <c r="F4750" s="7" t="s">
        <v>75</v>
      </c>
      <c r="G4750" s="146" t="s">
        <v>6624</v>
      </c>
      <c r="H4750" s="147" t="s">
        <v>6905</v>
      </c>
      <c r="I4750" s="163">
        <v>0</v>
      </c>
      <c r="J4750" s="46">
        <v>800</v>
      </c>
      <c r="K4750" s="46">
        <v>160</v>
      </c>
      <c r="L4750" s="46">
        <v>0</v>
      </c>
      <c r="M4750" s="46">
        <v>0</v>
      </c>
      <c r="N4750" s="46">
        <v>0</v>
      </c>
      <c r="O4750" s="46">
        <v>0</v>
      </c>
      <c r="P4750" s="47">
        <f>(160*5500)/1000000</f>
        <v>0.88</v>
      </c>
      <c r="Q4750" s="27" t="s">
        <v>154</v>
      </c>
      <c r="R4750" s="160"/>
      <c r="S4750" s="164"/>
      <c r="T4750" s="164"/>
    </row>
    <row r="4751" spans="1:20" s="162" customFormat="1" ht="84" x14ac:dyDescent="0.25">
      <c r="A4751" s="17">
        <v>41084</v>
      </c>
      <c r="B4751" s="17">
        <v>41084</v>
      </c>
      <c r="C4751" s="43">
        <v>2012</v>
      </c>
      <c r="D4751" s="351" t="s">
        <v>23</v>
      </c>
      <c r="E4751" s="22" t="s">
        <v>86</v>
      </c>
      <c r="F4751" s="7" t="s">
        <v>60</v>
      </c>
      <c r="G4751" s="146" t="s">
        <v>6906</v>
      </c>
      <c r="H4751" s="147" t="s">
        <v>6907</v>
      </c>
      <c r="I4751" s="163">
        <v>0</v>
      </c>
      <c r="J4751" s="46">
        <v>370</v>
      </c>
      <c r="K4751" s="46">
        <v>74</v>
      </c>
      <c r="L4751" s="46">
        <v>0</v>
      </c>
      <c r="M4751" s="46">
        <v>0</v>
      </c>
      <c r="N4751" s="46">
        <v>0</v>
      </c>
      <c r="O4751" s="46">
        <v>0</v>
      </c>
      <c r="P4751" s="47">
        <f>(74*5500)/1000000</f>
        <v>0.40699999999999997</v>
      </c>
      <c r="Q4751" s="27" t="s">
        <v>154</v>
      </c>
      <c r="R4751" s="160"/>
      <c r="S4751" s="164"/>
      <c r="T4751" s="164"/>
    </row>
    <row r="4752" spans="1:20" s="162" customFormat="1" ht="132" x14ac:dyDescent="0.25">
      <c r="A4752" s="17">
        <v>41084</v>
      </c>
      <c r="B4752" s="17">
        <v>41084</v>
      </c>
      <c r="C4752" s="43">
        <v>2012</v>
      </c>
      <c r="D4752" s="24" t="s">
        <v>141</v>
      </c>
      <c r="E4752" s="30" t="s">
        <v>142</v>
      </c>
      <c r="F4752" s="7" t="s">
        <v>58</v>
      </c>
      <c r="G4752" s="146" t="s">
        <v>6908</v>
      </c>
      <c r="H4752" s="147" t="s">
        <v>6909</v>
      </c>
      <c r="I4752" s="163">
        <v>26</v>
      </c>
      <c r="J4752" s="46">
        <v>58</v>
      </c>
      <c r="K4752" s="46">
        <v>0</v>
      </c>
      <c r="L4752" s="46">
        <v>0</v>
      </c>
      <c r="M4752" s="46">
        <v>0</v>
      </c>
      <c r="N4752" s="46">
        <v>0</v>
      </c>
      <c r="O4752" s="46">
        <v>0</v>
      </c>
      <c r="P4752" s="47">
        <v>0.25</v>
      </c>
      <c r="Q4752" s="27" t="s">
        <v>154</v>
      </c>
      <c r="R4752" s="160"/>
      <c r="S4752" s="164"/>
      <c r="T4752" s="164"/>
    </row>
    <row r="4753" spans="1:20" s="162" customFormat="1" ht="72" x14ac:dyDescent="0.25">
      <c r="A4753" s="17">
        <v>41084</v>
      </c>
      <c r="B4753" s="17">
        <v>41084</v>
      </c>
      <c r="C4753" s="43">
        <v>2012</v>
      </c>
      <c r="D4753" s="351" t="s">
        <v>23</v>
      </c>
      <c r="E4753" s="30" t="s">
        <v>5893</v>
      </c>
      <c r="F4753" s="7" t="s">
        <v>72</v>
      </c>
      <c r="G4753" s="146" t="s">
        <v>6910</v>
      </c>
      <c r="H4753" s="147" t="s">
        <v>6911</v>
      </c>
      <c r="I4753" s="163">
        <v>1</v>
      </c>
      <c r="J4753" s="46">
        <v>1</v>
      </c>
      <c r="K4753" s="46">
        <v>0</v>
      </c>
      <c r="L4753" s="46">
        <v>0</v>
      </c>
      <c r="M4753" s="46">
        <v>0</v>
      </c>
      <c r="N4753" s="46">
        <v>0</v>
      </c>
      <c r="O4753" s="46">
        <v>0</v>
      </c>
      <c r="P4753" s="47">
        <v>0</v>
      </c>
      <c r="Q4753" s="27" t="s">
        <v>154</v>
      </c>
      <c r="R4753" s="160"/>
      <c r="S4753" s="164"/>
      <c r="T4753" s="164"/>
    </row>
    <row r="4754" spans="1:20" s="162" customFormat="1" ht="36" x14ac:dyDescent="0.25">
      <c r="A4754" s="17">
        <v>41085</v>
      </c>
      <c r="B4754" s="17">
        <v>41085</v>
      </c>
      <c r="C4754" s="43">
        <v>2012</v>
      </c>
      <c r="D4754" s="24" t="s">
        <v>141</v>
      </c>
      <c r="E4754" s="41" t="s">
        <v>1965</v>
      </c>
      <c r="F4754" s="7" t="s">
        <v>77</v>
      </c>
      <c r="G4754" s="146" t="s">
        <v>6912</v>
      </c>
      <c r="H4754" s="147" t="s">
        <v>6913</v>
      </c>
      <c r="I4754" s="163">
        <v>3</v>
      </c>
      <c r="J4754" s="46">
        <v>3</v>
      </c>
      <c r="K4754" s="46">
        <v>0</v>
      </c>
      <c r="L4754" s="46">
        <v>0</v>
      </c>
      <c r="M4754" s="46">
        <v>0</v>
      </c>
      <c r="N4754" s="46">
        <v>0</v>
      </c>
      <c r="O4754" s="46">
        <v>0</v>
      </c>
      <c r="P4754" s="47">
        <v>0</v>
      </c>
      <c r="Q4754" s="27" t="s">
        <v>154</v>
      </c>
      <c r="R4754" s="160"/>
      <c r="S4754" s="164"/>
      <c r="T4754" s="164"/>
    </row>
    <row r="4755" spans="1:20" s="162" customFormat="1" ht="84" x14ac:dyDescent="0.25">
      <c r="A4755" s="21">
        <v>41087</v>
      </c>
      <c r="B4755" s="21">
        <v>41087</v>
      </c>
      <c r="C4755" s="43">
        <v>2012</v>
      </c>
      <c r="D4755" s="24" t="s">
        <v>141</v>
      </c>
      <c r="E4755" s="30" t="s">
        <v>142</v>
      </c>
      <c r="F4755" s="7" t="s">
        <v>45</v>
      </c>
      <c r="G4755" s="126" t="s">
        <v>259</v>
      </c>
      <c r="H4755" s="147" t="s">
        <v>6914</v>
      </c>
      <c r="I4755" s="163">
        <v>1</v>
      </c>
      <c r="J4755" s="46">
        <v>1</v>
      </c>
      <c r="K4755" s="46">
        <v>0</v>
      </c>
      <c r="L4755" s="46">
        <v>0</v>
      </c>
      <c r="M4755" s="46">
        <v>0</v>
      </c>
      <c r="N4755" s="46">
        <v>0</v>
      </c>
      <c r="O4755" s="46">
        <v>0</v>
      </c>
      <c r="P4755" s="47">
        <f>((472500)+(20000*10.92))/1000000</f>
        <v>0.69089999999999996</v>
      </c>
      <c r="Q4755" s="27" t="s">
        <v>154</v>
      </c>
      <c r="R4755" s="160"/>
      <c r="S4755" s="164"/>
      <c r="T4755" s="164"/>
    </row>
    <row r="4756" spans="1:20" s="162" customFormat="1" ht="60" x14ac:dyDescent="0.25">
      <c r="A4756" s="23">
        <v>41088</v>
      </c>
      <c r="B4756" s="23">
        <v>41046</v>
      </c>
      <c r="C4756" s="43">
        <v>2012</v>
      </c>
      <c r="D4756" s="24" t="s">
        <v>141</v>
      </c>
      <c r="E4756" s="30" t="s">
        <v>142</v>
      </c>
      <c r="F4756" s="7" t="s">
        <v>87</v>
      </c>
      <c r="G4756" s="146" t="s">
        <v>1714</v>
      </c>
      <c r="H4756" s="147" t="s">
        <v>6915</v>
      </c>
      <c r="I4756" s="148">
        <v>8</v>
      </c>
      <c r="J4756" s="46">
        <v>33</v>
      </c>
      <c r="K4756" s="46">
        <v>0</v>
      </c>
      <c r="L4756" s="46">
        <v>0</v>
      </c>
      <c r="M4756" s="46">
        <v>0</v>
      </c>
      <c r="N4756" s="46">
        <v>0</v>
      </c>
      <c r="O4756" s="46">
        <v>0</v>
      </c>
      <c r="P4756" s="47">
        <v>0.25</v>
      </c>
      <c r="Q4756" s="27" t="s">
        <v>154</v>
      </c>
      <c r="R4756" s="160"/>
      <c r="S4756" s="164"/>
      <c r="T4756" s="164"/>
    </row>
    <row r="4757" spans="1:20" s="162" customFormat="1" ht="60" x14ac:dyDescent="0.25">
      <c r="A4757" s="17">
        <v>41088</v>
      </c>
      <c r="B4757" s="17">
        <v>41088</v>
      </c>
      <c r="C4757" s="43">
        <v>2012</v>
      </c>
      <c r="D4757" s="24" t="s">
        <v>130</v>
      </c>
      <c r="E4757" s="30" t="s">
        <v>139</v>
      </c>
      <c r="F4757" s="28" t="s">
        <v>160</v>
      </c>
      <c r="G4757" s="146" t="s">
        <v>6916</v>
      </c>
      <c r="H4757" s="147" t="s">
        <v>6917</v>
      </c>
      <c r="I4757" s="163">
        <v>2</v>
      </c>
      <c r="J4757" s="46">
        <v>4</v>
      </c>
      <c r="K4757" s="46">
        <v>0</v>
      </c>
      <c r="L4757" s="46">
        <v>0</v>
      </c>
      <c r="M4757" s="46">
        <v>0</v>
      </c>
      <c r="N4757" s="46">
        <v>0</v>
      </c>
      <c r="O4757" s="46">
        <v>0</v>
      </c>
      <c r="P4757" s="47">
        <v>0</v>
      </c>
      <c r="Q4757" s="27" t="s">
        <v>154</v>
      </c>
      <c r="R4757" s="160"/>
      <c r="S4757" s="164"/>
      <c r="T4757" s="164"/>
    </row>
    <row r="4758" spans="1:20" s="162" customFormat="1" ht="60" x14ac:dyDescent="0.25">
      <c r="A4758" s="17">
        <v>41088</v>
      </c>
      <c r="B4758" s="17">
        <v>41088</v>
      </c>
      <c r="C4758" s="43">
        <v>2012</v>
      </c>
      <c r="D4758" s="24" t="s">
        <v>141</v>
      </c>
      <c r="E4758" s="30" t="s">
        <v>142</v>
      </c>
      <c r="F4758" s="7" t="s">
        <v>87</v>
      </c>
      <c r="G4758" s="146" t="s">
        <v>3703</v>
      </c>
      <c r="H4758" s="147" t="s">
        <v>6918</v>
      </c>
      <c r="I4758" s="163">
        <v>0</v>
      </c>
      <c r="J4758" s="46">
        <v>14</v>
      </c>
      <c r="K4758" s="46">
        <v>0</v>
      </c>
      <c r="L4758" s="46">
        <v>0</v>
      </c>
      <c r="M4758" s="46">
        <v>0</v>
      </c>
      <c r="N4758" s="46">
        <v>0</v>
      </c>
      <c r="O4758" s="46">
        <v>0</v>
      </c>
      <c r="P4758" s="47">
        <v>0.42</v>
      </c>
      <c r="Q4758" s="27" t="s">
        <v>154</v>
      </c>
      <c r="R4758" s="160"/>
      <c r="S4758" s="164"/>
      <c r="T4758" s="164"/>
    </row>
    <row r="4759" spans="1:20" s="162" customFormat="1" ht="48" x14ac:dyDescent="0.25">
      <c r="A4759" s="17">
        <v>41088</v>
      </c>
      <c r="B4759" s="17">
        <v>41088</v>
      </c>
      <c r="C4759" s="43">
        <v>2012</v>
      </c>
      <c r="D4759" s="351" t="s">
        <v>23</v>
      </c>
      <c r="E4759" s="30" t="s">
        <v>5893</v>
      </c>
      <c r="F4759" s="7" t="s">
        <v>56</v>
      </c>
      <c r="G4759" s="146" t="s">
        <v>6919</v>
      </c>
      <c r="H4759" s="147" t="s">
        <v>6920</v>
      </c>
      <c r="I4759" s="163">
        <v>0</v>
      </c>
      <c r="J4759" s="46">
        <v>1</v>
      </c>
      <c r="K4759" s="46">
        <v>0</v>
      </c>
      <c r="L4759" s="46">
        <v>0</v>
      </c>
      <c r="M4759" s="46">
        <v>0</v>
      </c>
      <c r="N4759" s="46">
        <v>0</v>
      </c>
      <c r="O4759" s="46">
        <v>0</v>
      </c>
      <c r="P4759" s="47">
        <v>0</v>
      </c>
      <c r="Q4759" s="27" t="s">
        <v>154</v>
      </c>
      <c r="R4759" s="160"/>
      <c r="S4759" s="164"/>
      <c r="T4759" s="164"/>
    </row>
    <row r="4760" spans="1:20" s="162" customFormat="1" ht="84" x14ac:dyDescent="0.25">
      <c r="A4760" s="17">
        <v>41118</v>
      </c>
      <c r="B4760" s="17">
        <v>41118</v>
      </c>
      <c r="C4760" s="43">
        <v>2012</v>
      </c>
      <c r="D4760" s="24" t="s">
        <v>141</v>
      </c>
      <c r="E4760" s="30" t="s">
        <v>142</v>
      </c>
      <c r="F4760" s="7" t="s">
        <v>72</v>
      </c>
      <c r="G4760" s="146" t="s">
        <v>3035</v>
      </c>
      <c r="H4760" s="147" t="s">
        <v>6921</v>
      </c>
      <c r="I4760" s="163">
        <v>8</v>
      </c>
      <c r="J4760" s="46">
        <v>9</v>
      </c>
      <c r="K4760" s="46">
        <v>0</v>
      </c>
      <c r="L4760" s="46">
        <v>0</v>
      </c>
      <c r="M4760" s="46">
        <v>0</v>
      </c>
      <c r="N4760" s="46">
        <v>0</v>
      </c>
      <c r="O4760" s="46">
        <v>0</v>
      </c>
      <c r="P4760" s="47">
        <f>(472500+420000+288750+39690+39690)/1000000</f>
        <v>1.2606299999999999</v>
      </c>
      <c r="Q4760" s="27" t="s">
        <v>154</v>
      </c>
      <c r="R4760" s="160"/>
      <c r="S4760" s="164"/>
      <c r="T4760" s="164"/>
    </row>
    <row r="4761" spans="1:20" s="162" customFormat="1" ht="48" x14ac:dyDescent="0.25">
      <c r="A4761" s="17">
        <v>41088</v>
      </c>
      <c r="B4761" s="17">
        <v>41088</v>
      </c>
      <c r="C4761" s="43">
        <v>2012</v>
      </c>
      <c r="D4761" s="351" t="s">
        <v>23</v>
      </c>
      <c r="E4761" s="22" t="s">
        <v>86</v>
      </c>
      <c r="F4761" s="7" t="s">
        <v>97</v>
      </c>
      <c r="G4761" s="146" t="s">
        <v>6922</v>
      </c>
      <c r="H4761" s="147" t="s">
        <v>6923</v>
      </c>
      <c r="I4761" s="163">
        <v>0</v>
      </c>
      <c r="J4761" s="46">
        <v>175</v>
      </c>
      <c r="K4761" s="46">
        <v>35</v>
      </c>
      <c r="L4761" s="46">
        <v>0</v>
      </c>
      <c r="M4761" s="46">
        <v>0</v>
      </c>
      <c r="N4761" s="46">
        <v>0</v>
      </c>
      <c r="O4761" s="46">
        <v>0</v>
      </c>
      <c r="P4761" s="47">
        <f>(35*5500)/1000000</f>
        <v>0.1925</v>
      </c>
      <c r="Q4761" s="27" t="s">
        <v>154</v>
      </c>
      <c r="R4761" s="160"/>
      <c r="S4761" s="164"/>
      <c r="T4761" s="164"/>
    </row>
    <row r="4762" spans="1:20" s="162" customFormat="1" ht="72" x14ac:dyDescent="0.25">
      <c r="A4762" s="21">
        <v>41088</v>
      </c>
      <c r="B4762" s="21">
        <v>41088</v>
      </c>
      <c r="C4762" s="43">
        <v>2012</v>
      </c>
      <c r="D4762" s="24" t="s">
        <v>141</v>
      </c>
      <c r="E4762" s="30" t="s">
        <v>142</v>
      </c>
      <c r="F4762" s="7" t="s">
        <v>30</v>
      </c>
      <c r="G4762" s="126" t="s">
        <v>395</v>
      </c>
      <c r="H4762" s="147" t="s">
        <v>6924</v>
      </c>
      <c r="I4762" s="163">
        <v>2</v>
      </c>
      <c r="J4762" s="46">
        <v>2</v>
      </c>
      <c r="K4762" s="46">
        <v>0</v>
      </c>
      <c r="L4762" s="46">
        <v>0</v>
      </c>
      <c r="M4762" s="46">
        <v>0</v>
      </c>
      <c r="N4762" s="46">
        <v>0</v>
      </c>
      <c r="O4762" s="46">
        <v>0</v>
      </c>
      <c r="P4762" s="47">
        <v>1</v>
      </c>
      <c r="Q4762" s="27" t="s">
        <v>154</v>
      </c>
      <c r="R4762" s="160"/>
      <c r="S4762" s="164"/>
      <c r="T4762" s="164"/>
    </row>
    <row r="4763" spans="1:20" s="162" customFormat="1" ht="60" x14ac:dyDescent="0.25">
      <c r="A4763" s="23">
        <v>41089</v>
      </c>
      <c r="B4763" s="23">
        <v>41089</v>
      </c>
      <c r="C4763" s="43">
        <v>2012</v>
      </c>
      <c r="D4763" s="24" t="s">
        <v>141</v>
      </c>
      <c r="E4763" s="30" t="s">
        <v>142</v>
      </c>
      <c r="F4763" s="28" t="s">
        <v>210</v>
      </c>
      <c r="G4763" s="146" t="s">
        <v>653</v>
      </c>
      <c r="H4763" s="147" t="s">
        <v>6925</v>
      </c>
      <c r="I4763" s="163">
        <v>0</v>
      </c>
      <c r="J4763" s="46">
        <v>3</v>
      </c>
      <c r="K4763" s="46">
        <v>0</v>
      </c>
      <c r="L4763" s="46">
        <v>0</v>
      </c>
      <c r="M4763" s="46">
        <v>0</v>
      </c>
      <c r="N4763" s="46">
        <v>0</v>
      </c>
      <c r="O4763" s="46">
        <v>0</v>
      </c>
      <c r="P4763" s="47">
        <v>1</v>
      </c>
      <c r="Q4763" s="27" t="s">
        <v>154</v>
      </c>
      <c r="R4763" s="160"/>
      <c r="S4763" s="164"/>
      <c r="T4763" s="164"/>
    </row>
    <row r="4764" spans="1:20" s="162" customFormat="1" ht="72" x14ac:dyDescent="0.25">
      <c r="A4764" s="17">
        <v>41090</v>
      </c>
      <c r="B4764" s="17">
        <v>41090</v>
      </c>
      <c r="C4764" s="43">
        <v>2012</v>
      </c>
      <c r="D4764" s="24" t="s">
        <v>141</v>
      </c>
      <c r="E4764" s="30" t="s">
        <v>142</v>
      </c>
      <c r="F4764" s="7" t="s">
        <v>68</v>
      </c>
      <c r="G4764" s="146" t="s">
        <v>2512</v>
      </c>
      <c r="H4764" s="147" t="s">
        <v>6926</v>
      </c>
      <c r="I4764" s="163">
        <v>2</v>
      </c>
      <c r="J4764" s="46">
        <v>2</v>
      </c>
      <c r="K4764" s="46">
        <v>0</v>
      </c>
      <c r="L4764" s="46">
        <v>0</v>
      </c>
      <c r="M4764" s="46">
        <v>0</v>
      </c>
      <c r="N4764" s="46">
        <v>0</v>
      </c>
      <c r="O4764" s="46">
        <v>0</v>
      </c>
      <c r="P4764" s="47">
        <v>1.575</v>
      </c>
      <c r="Q4764" s="27" t="s">
        <v>154</v>
      </c>
      <c r="R4764" s="160"/>
      <c r="S4764" s="164"/>
      <c r="T4764" s="164"/>
    </row>
    <row r="4765" spans="1:20" s="162" customFormat="1" ht="60" x14ac:dyDescent="0.25">
      <c r="A4765" s="17">
        <v>41089</v>
      </c>
      <c r="B4765" s="17">
        <v>41089</v>
      </c>
      <c r="C4765" s="43">
        <v>2012</v>
      </c>
      <c r="D4765" s="351" t="s">
        <v>23</v>
      </c>
      <c r="E4765" s="22" t="s">
        <v>86</v>
      </c>
      <c r="F4765" s="7" t="s">
        <v>56</v>
      </c>
      <c r="G4765" s="146" t="s">
        <v>5765</v>
      </c>
      <c r="H4765" s="147" t="s">
        <v>6927</v>
      </c>
      <c r="I4765" s="163">
        <v>0</v>
      </c>
      <c r="J4765" s="46">
        <v>115</v>
      </c>
      <c r="K4765" s="46">
        <v>23</v>
      </c>
      <c r="L4765" s="46">
        <v>0</v>
      </c>
      <c r="M4765" s="46">
        <v>0</v>
      </c>
      <c r="N4765" s="46">
        <v>0</v>
      </c>
      <c r="O4765" s="46">
        <v>0</v>
      </c>
      <c r="P4765" s="47">
        <f>(23*5500)/1000000</f>
        <v>0.1265</v>
      </c>
      <c r="Q4765" s="27" t="s">
        <v>154</v>
      </c>
      <c r="R4765" s="160"/>
      <c r="S4765" s="164"/>
      <c r="T4765" s="164"/>
    </row>
    <row r="4766" spans="1:20" s="162" customFormat="1" ht="120" x14ac:dyDescent="0.25">
      <c r="A4766" s="17">
        <v>41092</v>
      </c>
      <c r="B4766" s="17">
        <v>41092</v>
      </c>
      <c r="C4766" s="43">
        <v>2012</v>
      </c>
      <c r="D4766" s="351" t="s">
        <v>23</v>
      </c>
      <c r="E4766" s="22" t="s">
        <v>86</v>
      </c>
      <c r="F4766" s="7" t="s">
        <v>62</v>
      </c>
      <c r="G4766" s="146" t="s">
        <v>924</v>
      </c>
      <c r="H4766" s="147" t="s">
        <v>6928</v>
      </c>
      <c r="I4766" s="163">
        <v>0</v>
      </c>
      <c r="J4766" s="46">
        <v>55</v>
      </c>
      <c r="K4766" s="46">
        <v>15</v>
      </c>
      <c r="L4766" s="46">
        <v>0</v>
      </c>
      <c r="M4766" s="46">
        <v>0</v>
      </c>
      <c r="N4766" s="46">
        <v>0</v>
      </c>
      <c r="O4766" s="46">
        <v>0</v>
      </c>
      <c r="P4766" s="47">
        <f>((15*5500)+(15*10000))/1000000</f>
        <v>0.23250000000000001</v>
      </c>
      <c r="Q4766" s="27" t="s">
        <v>154</v>
      </c>
      <c r="R4766" s="160"/>
      <c r="S4766" s="164"/>
      <c r="T4766" s="164"/>
    </row>
    <row r="4767" spans="1:20" s="162" customFormat="1" ht="96" x14ac:dyDescent="0.25">
      <c r="A4767" s="17">
        <v>41091</v>
      </c>
      <c r="B4767" s="17">
        <v>41091</v>
      </c>
      <c r="C4767" s="43">
        <v>2012</v>
      </c>
      <c r="D4767" s="24" t="s">
        <v>141</v>
      </c>
      <c r="E4767" s="30" t="s">
        <v>6731</v>
      </c>
      <c r="F4767" s="7" t="s">
        <v>45</v>
      </c>
      <c r="G4767" s="146" t="s">
        <v>6929</v>
      </c>
      <c r="H4767" s="147" t="s">
        <v>6930</v>
      </c>
      <c r="I4767" s="163">
        <v>0</v>
      </c>
      <c r="J4767" s="46">
        <v>16</v>
      </c>
      <c r="K4767" s="46">
        <v>0</v>
      </c>
      <c r="L4767" s="46">
        <v>0</v>
      </c>
      <c r="M4767" s="46">
        <v>0</v>
      </c>
      <c r="N4767" s="46">
        <v>0</v>
      </c>
      <c r="O4767" s="46">
        <v>0</v>
      </c>
      <c r="P4767" s="47">
        <v>0</v>
      </c>
      <c r="Q4767" s="27" t="s">
        <v>154</v>
      </c>
      <c r="R4767" s="160"/>
      <c r="S4767" s="164"/>
      <c r="T4767" s="164"/>
    </row>
    <row r="4768" spans="1:20" s="162" customFormat="1" ht="96" x14ac:dyDescent="0.25">
      <c r="A4768" s="17">
        <v>41092</v>
      </c>
      <c r="B4768" s="17">
        <v>41092</v>
      </c>
      <c r="C4768" s="43">
        <v>2012</v>
      </c>
      <c r="D4768" s="24" t="s">
        <v>141</v>
      </c>
      <c r="E4768" s="30" t="s">
        <v>142</v>
      </c>
      <c r="F4768" s="28" t="s">
        <v>157</v>
      </c>
      <c r="G4768" s="146" t="s">
        <v>3606</v>
      </c>
      <c r="H4768" s="147" t="s">
        <v>6931</v>
      </c>
      <c r="I4768" s="163">
        <v>1</v>
      </c>
      <c r="J4768" s="46">
        <v>16</v>
      </c>
      <c r="K4768" s="46">
        <v>0</v>
      </c>
      <c r="L4768" s="46">
        <v>0</v>
      </c>
      <c r="M4768" s="46">
        <v>0</v>
      </c>
      <c r="N4768" s="46">
        <v>0</v>
      </c>
      <c r="O4768" s="46">
        <v>0</v>
      </c>
      <c r="P4768" s="47">
        <v>0.42</v>
      </c>
      <c r="Q4768" s="27" t="s">
        <v>154</v>
      </c>
      <c r="R4768" s="160"/>
      <c r="S4768" s="164"/>
      <c r="T4768" s="164"/>
    </row>
    <row r="4769" spans="1:20" s="162" customFormat="1" ht="108" x14ac:dyDescent="0.25">
      <c r="A4769" s="17">
        <v>41092</v>
      </c>
      <c r="B4769" s="17">
        <v>41092</v>
      </c>
      <c r="C4769" s="43">
        <v>2012</v>
      </c>
      <c r="D4769" s="351" t="s">
        <v>23</v>
      </c>
      <c r="E4769" s="22" t="s">
        <v>86</v>
      </c>
      <c r="F4769" s="7" t="s">
        <v>84</v>
      </c>
      <c r="G4769" s="146" t="s">
        <v>3740</v>
      </c>
      <c r="H4769" s="147" t="s">
        <v>6932</v>
      </c>
      <c r="I4769" s="163">
        <v>0</v>
      </c>
      <c r="J4769" s="46">
        <v>90</v>
      </c>
      <c r="K4769" s="46">
        <v>18</v>
      </c>
      <c r="L4769" s="46">
        <v>0</v>
      </c>
      <c r="M4769" s="46">
        <v>0</v>
      </c>
      <c r="N4769" s="46">
        <v>0</v>
      </c>
      <c r="O4769" s="46">
        <v>0</v>
      </c>
      <c r="P4769" s="47">
        <f>((18*5500)+(18*10000))/1000000</f>
        <v>0.27900000000000003</v>
      </c>
      <c r="Q4769" s="27" t="s">
        <v>154</v>
      </c>
      <c r="R4769" s="160"/>
      <c r="S4769" s="164"/>
      <c r="T4769" s="164"/>
    </row>
    <row r="4770" spans="1:20" s="162" customFormat="1" ht="84" x14ac:dyDescent="0.25">
      <c r="A4770" s="17">
        <v>41093</v>
      </c>
      <c r="B4770" s="17">
        <v>41093</v>
      </c>
      <c r="C4770" s="43">
        <v>2012</v>
      </c>
      <c r="D4770" s="35" t="s">
        <v>28</v>
      </c>
      <c r="E4770" s="6" t="s">
        <v>149</v>
      </c>
      <c r="F4770" s="7" t="s">
        <v>53</v>
      </c>
      <c r="G4770" s="146" t="s">
        <v>6933</v>
      </c>
      <c r="H4770" s="147" t="s">
        <v>6934</v>
      </c>
      <c r="I4770" s="163">
        <v>0</v>
      </c>
      <c r="J4770" s="46">
        <v>1</v>
      </c>
      <c r="K4770" s="46">
        <v>1</v>
      </c>
      <c r="L4770" s="46">
        <v>0</v>
      </c>
      <c r="M4770" s="46">
        <v>0</v>
      </c>
      <c r="N4770" s="46">
        <v>0</v>
      </c>
      <c r="O4770" s="46">
        <v>0</v>
      </c>
      <c r="P4770" s="47">
        <v>0.12</v>
      </c>
      <c r="Q4770" s="27" t="s">
        <v>154</v>
      </c>
      <c r="R4770" s="160"/>
      <c r="S4770" s="164"/>
      <c r="T4770" s="164"/>
    </row>
    <row r="4771" spans="1:20" s="162" customFormat="1" ht="84" x14ac:dyDescent="0.25">
      <c r="A4771" s="17">
        <v>41089</v>
      </c>
      <c r="B4771" s="17">
        <v>41089</v>
      </c>
      <c r="C4771" s="43">
        <v>2012</v>
      </c>
      <c r="D4771" s="24" t="s">
        <v>141</v>
      </c>
      <c r="E4771" s="30" t="s">
        <v>142</v>
      </c>
      <c r="F4771" s="7" t="s">
        <v>49</v>
      </c>
      <c r="G4771" s="146" t="s">
        <v>5919</v>
      </c>
      <c r="H4771" s="147" t="s">
        <v>6935</v>
      </c>
      <c r="I4771" s="163">
        <v>0</v>
      </c>
      <c r="J4771" s="46">
        <v>0</v>
      </c>
      <c r="K4771" s="46">
        <v>0</v>
      </c>
      <c r="L4771" s="46">
        <v>0</v>
      </c>
      <c r="M4771" s="46">
        <v>0</v>
      </c>
      <c r="N4771" s="46">
        <v>0</v>
      </c>
      <c r="O4771" s="46">
        <v>0</v>
      </c>
      <c r="P4771" s="47">
        <f>(1500*234.2)/1000000</f>
        <v>0.3513</v>
      </c>
      <c r="Q4771" s="27" t="s">
        <v>154</v>
      </c>
      <c r="R4771" s="160"/>
      <c r="S4771" s="164"/>
      <c r="T4771" s="164"/>
    </row>
    <row r="4772" spans="1:20" s="162" customFormat="1" ht="72" x14ac:dyDescent="0.25">
      <c r="A4772" s="17">
        <v>41093</v>
      </c>
      <c r="B4772" s="17">
        <v>41093</v>
      </c>
      <c r="C4772" s="43">
        <v>2012</v>
      </c>
      <c r="D4772" s="35" t="s">
        <v>28</v>
      </c>
      <c r="E4772" s="30" t="s">
        <v>133</v>
      </c>
      <c r="F4772" s="28" t="s">
        <v>157</v>
      </c>
      <c r="G4772" s="126" t="s">
        <v>5923</v>
      </c>
      <c r="H4772" s="147" t="s">
        <v>6936</v>
      </c>
      <c r="I4772" s="163">
        <v>0</v>
      </c>
      <c r="J4772" s="46">
        <v>3</v>
      </c>
      <c r="K4772" s="46">
        <v>1</v>
      </c>
      <c r="L4772" s="46">
        <v>0</v>
      </c>
      <c r="M4772" s="46">
        <v>0</v>
      </c>
      <c r="N4772" s="46">
        <v>0</v>
      </c>
      <c r="O4772" s="46">
        <v>0</v>
      </c>
      <c r="P4772" s="47">
        <v>0.12</v>
      </c>
      <c r="Q4772" s="27" t="s">
        <v>154</v>
      </c>
      <c r="R4772" s="160"/>
      <c r="S4772" s="164"/>
      <c r="T4772" s="164"/>
    </row>
    <row r="4773" spans="1:20" s="162" customFormat="1" ht="84" x14ac:dyDescent="0.25">
      <c r="A4773" s="17">
        <v>40945</v>
      </c>
      <c r="B4773" s="17">
        <v>40945</v>
      </c>
      <c r="C4773" s="43">
        <v>2012</v>
      </c>
      <c r="D4773" s="35" t="s">
        <v>28</v>
      </c>
      <c r="E4773" s="30" t="s">
        <v>133</v>
      </c>
      <c r="F4773" s="28" t="s">
        <v>157</v>
      </c>
      <c r="G4773" s="146" t="s">
        <v>6268</v>
      </c>
      <c r="H4773" s="147" t="s">
        <v>6937</v>
      </c>
      <c r="I4773" s="163">
        <v>0</v>
      </c>
      <c r="J4773" s="46">
        <v>45</v>
      </c>
      <c r="K4773" s="46">
        <v>9</v>
      </c>
      <c r="L4773" s="46">
        <v>0</v>
      </c>
      <c r="M4773" s="46">
        <v>0</v>
      </c>
      <c r="N4773" s="46">
        <v>0</v>
      </c>
      <c r="O4773" s="46">
        <v>0</v>
      </c>
      <c r="P4773" s="47">
        <f>((8*5500)+(120000))/1000000</f>
        <v>0.16400000000000001</v>
      </c>
      <c r="Q4773" s="27" t="s">
        <v>154</v>
      </c>
      <c r="R4773" s="160"/>
      <c r="S4773" s="164"/>
      <c r="T4773" s="164"/>
    </row>
    <row r="4774" spans="1:20" s="162" customFormat="1" ht="84" x14ac:dyDescent="0.25">
      <c r="A4774" s="17">
        <v>41093</v>
      </c>
      <c r="B4774" s="17">
        <v>41093</v>
      </c>
      <c r="C4774" s="43">
        <v>2012</v>
      </c>
      <c r="D4774" s="24" t="s">
        <v>141</v>
      </c>
      <c r="E4774" s="30" t="s">
        <v>142</v>
      </c>
      <c r="F4774" s="7" t="s">
        <v>56</v>
      </c>
      <c r="G4774" s="146" t="s">
        <v>646</v>
      </c>
      <c r="H4774" s="147" t="s">
        <v>6938</v>
      </c>
      <c r="I4774" s="163">
        <v>0</v>
      </c>
      <c r="J4774" s="46">
        <v>11</v>
      </c>
      <c r="K4774" s="46">
        <v>0</v>
      </c>
      <c r="L4774" s="46">
        <v>0</v>
      </c>
      <c r="M4774" s="46">
        <v>0</v>
      </c>
      <c r="N4774" s="46">
        <v>0</v>
      </c>
      <c r="O4774" s="46">
        <v>0</v>
      </c>
      <c r="P4774" s="47">
        <v>0</v>
      </c>
      <c r="Q4774" s="27" t="s">
        <v>154</v>
      </c>
      <c r="R4774" s="160"/>
      <c r="S4774" s="164"/>
      <c r="T4774" s="164"/>
    </row>
    <row r="4775" spans="1:20" s="162" customFormat="1" ht="72" x14ac:dyDescent="0.25">
      <c r="A4775" s="17">
        <v>41094</v>
      </c>
      <c r="B4775" s="17">
        <v>41094</v>
      </c>
      <c r="C4775" s="43">
        <v>2012</v>
      </c>
      <c r="D4775" s="24" t="s">
        <v>141</v>
      </c>
      <c r="E4775" s="30" t="s">
        <v>142</v>
      </c>
      <c r="F4775" s="7" t="s">
        <v>60</v>
      </c>
      <c r="G4775" s="146" t="s">
        <v>6939</v>
      </c>
      <c r="H4775" s="147" t="s">
        <v>6940</v>
      </c>
      <c r="I4775" s="163">
        <v>0</v>
      </c>
      <c r="J4775" s="46">
        <v>11</v>
      </c>
      <c r="K4775" s="46">
        <v>0</v>
      </c>
      <c r="L4775" s="46">
        <v>0</v>
      </c>
      <c r="M4775" s="46">
        <v>0</v>
      </c>
      <c r="N4775" s="46">
        <v>0</v>
      </c>
      <c r="O4775" s="46">
        <v>0</v>
      </c>
      <c r="P4775" s="47">
        <f>(0.42+0.28875)</f>
        <v>0.70874999999999999</v>
      </c>
      <c r="Q4775" s="27" t="s">
        <v>154</v>
      </c>
      <c r="R4775" s="160"/>
      <c r="S4775" s="164"/>
      <c r="T4775" s="164"/>
    </row>
    <row r="4776" spans="1:20" s="162" customFormat="1" ht="132" x14ac:dyDescent="0.25">
      <c r="A4776" s="17">
        <v>41093</v>
      </c>
      <c r="B4776" s="17">
        <v>41093</v>
      </c>
      <c r="C4776" s="43">
        <v>2012</v>
      </c>
      <c r="D4776" s="24" t="s">
        <v>141</v>
      </c>
      <c r="E4776" s="30" t="s">
        <v>142</v>
      </c>
      <c r="F4776" s="7" t="s">
        <v>84</v>
      </c>
      <c r="G4776" s="146" t="s">
        <v>2143</v>
      </c>
      <c r="H4776" s="147" t="s">
        <v>6941</v>
      </c>
      <c r="I4776" s="163">
        <v>1</v>
      </c>
      <c r="J4776" s="46">
        <v>6</v>
      </c>
      <c r="K4776" s="46">
        <v>0</v>
      </c>
      <c r="L4776" s="46">
        <v>0</v>
      </c>
      <c r="M4776" s="46">
        <v>0</v>
      </c>
      <c r="N4776" s="46">
        <v>0</v>
      </c>
      <c r="O4776" s="46">
        <v>0</v>
      </c>
      <c r="P4776" s="47">
        <f>0.42+0.28875</f>
        <v>0.70874999999999999</v>
      </c>
      <c r="Q4776" s="27" t="s">
        <v>154</v>
      </c>
      <c r="R4776" s="160"/>
      <c r="S4776" s="164"/>
      <c r="T4776" s="164"/>
    </row>
    <row r="4777" spans="1:20" s="162" customFormat="1" ht="120" x14ac:dyDescent="0.25">
      <c r="A4777" s="17">
        <v>41095</v>
      </c>
      <c r="B4777" s="17">
        <v>41204</v>
      </c>
      <c r="C4777" s="43">
        <v>2012</v>
      </c>
      <c r="D4777" s="35" t="s">
        <v>28</v>
      </c>
      <c r="E4777" s="30" t="s">
        <v>133</v>
      </c>
      <c r="F4777" s="7" t="s">
        <v>101</v>
      </c>
      <c r="G4777" s="146" t="s">
        <v>174</v>
      </c>
      <c r="H4777" s="147" t="s">
        <v>6942</v>
      </c>
      <c r="I4777" s="148">
        <v>0</v>
      </c>
      <c r="J4777" s="46">
        <v>13</v>
      </c>
      <c r="K4777" s="46">
        <v>1</v>
      </c>
      <c r="L4777" s="46">
        <v>0</v>
      </c>
      <c r="M4777" s="46">
        <v>0</v>
      </c>
      <c r="N4777" s="46">
        <v>0</v>
      </c>
      <c r="O4777" s="46">
        <v>0</v>
      </c>
      <c r="P4777" s="47">
        <v>0.12</v>
      </c>
      <c r="Q4777" s="27" t="s">
        <v>154</v>
      </c>
      <c r="R4777" s="160"/>
      <c r="S4777" s="164"/>
      <c r="T4777" s="164"/>
    </row>
    <row r="4778" spans="1:20" s="162" customFormat="1" ht="108" x14ac:dyDescent="0.25">
      <c r="A4778" s="23">
        <v>41092</v>
      </c>
      <c r="B4778" s="17">
        <v>41083</v>
      </c>
      <c r="C4778" s="43">
        <v>2012</v>
      </c>
      <c r="D4778" s="351" t="s">
        <v>23</v>
      </c>
      <c r="E4778" s="22" t="s">
        <v>86</v>
      </c>
      <c r="F4778" s="7" t="s">
        <v>87</v>
      </c>
      <c r="G4778" s="146" t="s">
        <v>4431</v>
      </c>
      <c r="H4778" s="147" t="s">
        <v>6943</v>
      </c>
      <c r="I4778" s="148">
        <v>0</v>
      </c>
      <c r="J4778" s="46">
        <v>60</v>
      </c>
      <c r="K4778" s="46">
        <v>12</v>
      </c>
      <c r="L4778" s="46">
        <v>0</v>
      </c>
      <c r="M4778" s="46">
        <v>0</v>
      </c>
      <c r="N4778" s="46">
        <v>0</v>
      </c>
      <c r="O4778" s="46">
        <v>0</v>
      </c>
      <c r="P4778" s="47">
        <f>(12*5500)/1000000</f>
        <v>6.6000000000000003E-2</v>
      </c>
      <c r="Q4778" s="27" t="s">
        <v>154</v>
      </c>
      <c r="R4778" s="160"/>
      <c r="S4778" s="164"/>
      <c r="T4778" s="164"/>
    </row>
    <row r="4779" spans="1:20" s="162" customFormat="1" ht="72" x14ac:dyDescent="0.25">
      <c r="A4779" s="17">
        <v>41094</v>
      </c>
      <c r="B4779" s="17">
        <v>41094</v>
      </c>
      <c r="C4779" s="43">
        <v>2012</v>
      </c>
      <c r="D4779" s="35" t="s">
        <v>28</v>
      </c>
      <c r="E4779" s="30" t="s">
        <v>133</v>
      </c>
      <c r="F4779" s="7" t="s">
        <v>80</v>
      </c>
      <c r="G4779" s="146" t="s">
        <v>4963</v>
      </c>
      <c r="H4779" s="147" t="s">
        <v>6944</v>
      </c>
      <c r="I4779" s="163">
        <v>0</v>
      </c>
      <c r="J4779" s="46">
        <v>11</v>
      </c>
      <c r="K4779" s="46">
        <v>0</v>
      </c>
      <c r="L4779" s="46">
        <v>0</v>
      </c>
      <c r="M4779" s="46">
        <v>0</v>
      </c>
      <c r="N4779" s="46">
        <v>0</v>
      </c>
      <c r="O4779" s="46">
        <v>0</v>
      </c>
      <c r="P4779" s="47">
        <v>0</v>
      </c>
      <c r="Q4779" s="27" t="s">
        <v>154</v>
      </c>
      <c r="R4779" s="160"/>
      <c r="S4779" s="164"/>
      <c r="T4779" s="164"/>
    </row>
    <row r="4780" spans="1:20" s="162" customFormat="1" ht="84" x14ac:dyDescent="0.25">
      <c r="A4780" s="17">
        <v>41094</v>
      </c>
      <c r="B4780" s="17">
        <v>41094</v>
      </c>
      <c r="C4780" s="43">
        <v>2012</v>
      </c>
      <c r="D4780" s="24" t="s">
        <v>141</v>
      </c>
      <c r="E4780" s="30" t="s">
        <v>142</v>
      </c>
      <c r="F4780" s="7" t="s">
        <v>56</v>
      </c>
      <c r="G4780" s="146" t="s">
        <v>5085</v>
      </c>
      <c r="H4780" s="147" t="s">
        <v>6945</v>
      </c>
      <c r="I4780" s="163">
        <v>0</v>
      </c>
      <c r="J4780" s="46">
        <v>9</v>
      </c>
      <c r="K4780" s="46">
        <v>0</v>
      </c>
      <c r="L4780" s="46">
        <v>0</v>
      </c>
      <c r="M4780" s="46">
        <v>0</v>
      </c>
      <c r="N4780" s="46">
        <v>0</v>
      </c>
      <c r="O4780" s="46">
        <v>0</v>
      </c>
      <c r="P4780" s="47">
        <v>3.9690000000000003E-2</v>
      </c>
      <c r="Q4780" s="27" t="s">
        <v>154</v>
      </c>
      <c r="R4780" s="160"/>
      <c r="S4780" s="164"/>
      <c r="T4780" s="164"/>
    </row>
    <row r="4781" spans="1:20" s="162" customFormat="1" ht="72" x14ac:dyDescent="0.25">
      <c r="A4781" s="17">
        <v>41095</v>
      </c>
      <c r="B4781" s="17">
        <v>41095</v>
      </c>
      <c r="C4781" s="43">
        <v>2012</v>
      </c>
      <c r="D4781" s="35" t="s">
        <v>28</v>
      </c>
      <c r="E4781" s="30" t="s">
        <v>133</v>
      </c>
      <c r="F4781" s="7" t="s">
        <v>53</v>
      </c>
      <c r="G4781" s="146" t="s">
        <v>6946</v>
      </c>
      <c r="H4781" s="147" t="s">
        <v>6947</v>
      </c>
      <c r="I4781" s="163">
        <v>1</v>
      </c>
      <c r="J4781" s="46">
        <v>40</v>
      </c>
      <c r="K4781" s="46">
        <v>1</v>
      </c>
      <c r="L4781" s="46">
        <v>0</v>
      </c>
      <c r="M4781" s="46">
        <v>0</v>
      </c>
      <c r="N4781" s="46">
        <v>0</v>
      </c>
      <c r="O4781" s="46">
        <v>0</v>
      </c>
      <c r="P4781" s="47">
        <v>0.47249999999999998</v>
      </c>
      <c r="Q4781" s="27" t="s">
        <v>154</v>
      </c>
      <c r="R4781" s="160"/>
      <c r="S4781" s="164"/>
      <c r="T4781" s="164"/>
    </row>
    <row r="4782" spans="1:20" s="162" customFormat="1" ht="60" x14ac:dyDescent="0.25">
      <c r="A4782" s="17">
        <v>41098</v>
      </c>
      <c r="B4782" s="17">
        <v>41098</v>
      </c>
      <c r="C4782" s="43">
        <v>2012</v>
      </c>
      <c r="D4782" s="24" t="s">
        <v>141</v>
      </c>
      <c r="E4782" s="30" t="s">
        <v>142</v>
      </c>
      <c r="F4782" s="7" t="s">
        <v>68</v>
      </c>
      <c r="G4782" s="146" t="s">
        <v>2512</v>
      </c>
      <c r="H4782" s="147" t="s">
        <v>6948</v>
      </c>
      <c r="I4782" s="163">
        <v>1</v>
      </c>
      <c r="J4782" s="46">
        <v>11</v>
      </c>
      <c r="K4782" s="46">
        <v>0</v>
      </c>
      <c r="L4782" s="46">
        <v>0</v>
      </c>
      <c r="M4782" s="46">
        <v>0</v>
      </c>
      <c r="N4782" s="46">
        <v>0</v>
      </c>
      <c r="O4782" s="46">
        <v>0</v>
      </c>
      <c r="P4782" s="47">
        <f>(0.42+0.28875)</f>
        <v>0.70874999999999999</v>
      </c>
      <c r="Q4782" s="27" t="s">
        <v>154</v>
      </c>
      <c r="R4782" s="160"/>
      <c r="S4782" s="164"/>
      <c r="T4782" s="164"/>
    </row>
    <row r="4783" spans="1:20" s="162" customFormat="1" ht="108" x14ac:dyDescent="0.25">
      <c r="A4783" s="17">
        <v>41099</v>
      </c>
      <c r="B4783" s="17">
        <v>41099</v>
      </c>
      <c r="C4783" s="43">
        <v>2012</v>
      </c>
      <c r="D4783" s="24" t="s">
        <v>141</v>
      </c>
      <c r="E4783" s="30" t="s">
        <v>142</v>
      </c>
      <c r="F4783" s="7" t="s">
        <v>49</v>
      </c>
      <c r="G4783" s="146" t="s">
        <v>6949</v>
      </c>
      <c r="H4783" s="147" t="s">
        <v>6950</v>
      </c>
      <c r="I4783" s="163">
        <v>1</v>
      </c>
      <c r="J4783" s="46">
        <v>31</v>
      </c>
      <c r="K4783" s="46">
        <v>0</v>
      </c>
      <c r="L4783" s="46">
        <v>0</v>
      </c>
      <c r="M4783" s="46">
        <v>0</v>
      </c>
      <c r="N4783" s="46">
        <v>0</v>
      </c>
      <c r="O4783" s="46">
        <v>0</v>
      </c>
      <c r="P4783" s="47">
        <v>0.5</v>
      </c>
      <c r="Q4783" s="27" t="s">
        <v>154</v>
      </c>
      <c r="R4783" s="160"/>
      <c r="S4783" s="164"/>
      <c r="T4783" s="164"/>
    </row>
    <row r="4784" spans="1:20" s="162" customFormat="1" ht="108" x14ac:dyDescent="0.25">
      <c r="A4784" s="21">
        <v>41100</v>
      </c>
      <c r="B4784" s="21">
        <v>41100</v>
      </c>
      <c r="C4784" s="43">
        <v>2012</v>
      </c>
      <c r="D4784" s="24" t="s">
        <v>141</v>
      </c>
      <c r="E4784" s="30" t="s">
        <v>142</v>
      </c>
      <c r="F4784" s="7" t="s">
        <v>45</v>
      </c>
      <c r="G4784" s="126" t="s">
        <v>2890</v>
      </c>
      <c r="H4784" s="147" t="s">
        <v>6951</v>
      </c>
      <c r="I4784" s="163">
        <v>1</v>
      </c>
      <c r="J4784" s="46">
        <v>1</v>
      </c>
      <c r="K4784" s="46">
        <v>0</v>
      </c>
      <c r="L4784" s="46">
        <v>0</v>
      </c>
      <c r="M4784" s="46">
        <v>0</v>
      </c>
      <c r="N4784" s="46">
        <v>0</v>
      </c>
      <c r="O4784" s="46">
        <v>0</v>
      </c>
      <c r="P4784" s="47">
        <v>0</v>
      </c>
      <c r="Q4784" s="27" t="s">
        <v>154</v>
      </c>
      <c r="R4784" s="160"/>
      <c r="S4784" s="164"/>
      <c r="T4784" s="164"/>
    </row>
    <row r="4785" spans="1:20" s="162" customFormat="1" ht="144" x14ac:dyDescent="0.25">
      <c r="A4785" s="17">
        <v>41091</v>
      </c>
      <c r="B4785" s="17">
        <v>41091</v>
      </c>
      <c r="C4785" s="43">
        <v>2012</v>
      </c>
      <c r="D4785" s="351" t="s">
        <v>23</v>
      </c>
      <c r="E4785" s="22" t="s">
        <v>86</v>
      </c>
      <c r="F4785" s="7" t="s">
        <v>87</v>
      </c>
      <c r="G4785" s="146" t="s">
        <v>703</v>
      </c>
      <c r="H4785" s="147" t="s">
        <v>6952</v>
      </c>
      <c r="I4785" s="148">
        <v>0</v>
      </c>
      <c r="J4785" s="46">
        <v>300</v>
      </c>
      <c r="K4785" s="46">
        <v>60</v>
      </c>
      <c r="L4785" s="46">
        <v>0</v>
      </c>
      <c r="M4785" s="46">
        <v>0</v>
      </c>
      <c r="N4785" s="46">
        <v>0</v>
      </c>
      <c r="O4785" s="46">
        <v>0</v>
      </c>
      <c r="P4785" s="47">
        <f>(60*5500)/1000000</f>
        <v>0.33</v>
      </c>
      <c r="Q4785" s="27" t="s">
        <v>154</v>
      </c>
      <c r="R4785" s="160"/>
      <c r="S4785" s="164"/>
      <c r="T4785" s="164"/>
    </row>
    <row r="4786" spans="1:20" s="162" customFormat="1" ht="72" x14ac:dyDescent="0.25">
      <c r="A4786" s="21">
        <v>41096</v>
      </c>
      <c r="B4786" s="17">
        <v>41096</v>
      </c>
      <c r="C4786" s="43">
        <v>2012</v>
      </c>
      <c r="D4786" s="351" t="s">
        <v>23</v>
      </c>
      <c r="E4786" s="22" t="s">
        <v>86</v>
      </c>
      <c r="F4786" s="7" t="s">
        <v>40</v>
      </c>
      <c r="G4786" s="126" t="s">
        <v>6953</v>
      </c>
      <c r="H4786" s="126" t="s">
        <v>6954</v>
      </c>
      <c r="I4786" s="163">
        <v>1</v>
      </c>
      <c r="J4786" s="46">
        <v>1</v>
      </c>
      <c r="K4786" s="46">
        <v>0</v>
      </c>
      <c r="L4786" s="46">
        <v>0</v>
      </c>
      <c r="M4786" s="46">
        <v>0</v>
      </c>
      <c r="N4786" s="46">
        <v>0</v>
      </c>
      <c r="O4786" s="46">
        <v>0</v>
      </c>
      <c r="P4786" s="47">
        <v>0</v>
      </c>
      <c r="Q4786" s="27" t="s">
        <v>154</v>
      </c>
      <c r="R4786" s="160"/>
      <c r="S4786" s="164"/>
      <c r="T4786" s="164"/>
    </row>
    <row r="4787" spans="1:20" s="162" customFormat="1" ht="96" x14ac:dyDescent="0.25">
      <c r="A4787" s="17">
        <v>41101</v>
      </c>
      <c r="B4787" s="17">
        <v>41101</v>
      </c>
      <c r="C4787" s="43">
        <v>2012</v>
      </c>
      <c r="D4787" s="35" t="s">
        <v>28</v>
      </c>
      <c r="E4787" s="6" t="s">
        <v>149</v>
      </c>
      <c r="F4787" s="28" t="s">
        <v>210</v>
      </c>
      <c r="G4787" s="146" t="s">
        <v>4296</v>
      </c>
      <c r="H4787" s="147" t="s">
        <v>6955</v>
      </c>
      <c r="I4787" s="163">
        <v>0</v>
      </c>
      <c r="J4787" s="46">
        <v>150</v>
      </c>
      <c r="K4787" s="46">
        <v>0</v>
      </c>
      <c r="L4787" s="46">
        <v>0</v>
      </c>
      <c r="M4787" s="46">
        <v>0</v>
      </c>
      <c r="N4787" s="46">
        <v>1</v>
      </c>
      <c r="O4787" s="46">
        <v>0</v>
      </c>
      <c r="P4787" s="47">
        <v>0</v>
      </c>
      <c r="Q4787" s="27" t="s">
        <v>154</v>
      </c>
      <c r="R4787" s="160"/>
      <c r="S4787" s="164"/>
      <c r="T4787" s="164"/>
    </row>
    <row r="4788" spans="1:20" s="162" customFormat="1" ht="60" x14ac:dyDescent="0.25">
      <c r="A4788" s="17">
        <v>41102</v>
      </c>
      <c r="B4788" s="17">
        <v>41102</v>
      </c>
      <c r="C4788" s="43">
        <v>2012</v>
      </c>
      <c r="D4788" s="24" t="s">
        <v>141</v>
      </c>
      <c r="E4788" s="41" t="s">
        <v>1965</v>
      </c>
      <c r="F4788" s="28" t="s">
        <v>210</v>
      </c>
      <c r="G4788" s="146" t="s">
        <v>6956</v>
      </c>
      <c r="H4788" s="147" t="s">
        <v>6957</v>
      </c>
      <c r="I4788" s="163">
        <v>6</v>
      </c>
      <c r="J4788" s="46">
        <v>6</v>
      </c>
      <c r="K4788" s="46">
        <v>0</v>
      </c>
      <c r="L4788" s="46">
        <v>0</v>
      </c>
      <c r="M4788" s="46">
        <v>0</v>
      </c>
      <c r="N4788" s="46">
        <v>0</v>
      </c>
      <c r="O4788" s="46">
        <v>0</v>
      </c>
      <c r="P4788" s="47">
        <v>0</v>
      </c>
      <c r="Q4788" s="27" t="s">
        <v>154</v>
      </c>
      <c r="R4788" s="160"/>
      <c r="S4788" s="164"/>
      <c r="T4788" s="164"/>
    </row>
    <row r="4789" spans="1:20" s="162" customFormat="1" ht="96" x14ac:dyDescent="0.25">
      <c r="A4789" s="21">
        <v>41102</v>
      </c>
      <c r="B4789" s="17">
        <v>41102</v>
      </c>
      <c r="C4789" s="43">
        <v>2012</v>
      </c>
      <c r="D4789" s="351" t="s">
        <v>23</v>
      </c>
      <c r="E4789" s="22" t="s">
        <v>86</v>
      </c>
      <c r="F4789" s="7" t="s">
        <v>36</v>
      </c>
      <c r="G4789" s="126" t="s">
        <v>6958</v>
      </c>
      <c r="H4789" s="147" t="s">
        <v>6959</v>
      </c>
      <c r="I4789" s="163">
        <v>2</v>
      </c>
      <c r="J4789" s="46">
        <v>5</v>
      </c>
      <c r="K4789" s="46">
        <v>0</v>
      </c>
      <c r="L4789" s="46">
        <v>0</v>
      </c>
      <c r="M4789" s="46">
        <v>0</v>
      </c>
      <c r="N4789" s="46">
        <v>1</v>
      </c>
      <c r="O4789" s="46">
        <v>0</v>
      </c>
      <c r="P4789" s="47">
        <v>0</v>
      </c>
      <c r="Q4789" s="27" t="s">
        <v>154</v>
      </c>
      <c r="R4789" s="160"/>
      <c r="S4789" s="164"/>
      <c r="T4789" s="164"/>
    </row>
    <row r="4790" spans="1:20" s="162" customFormat="1" ht="120" x14ac:dyDescent="0.25">
      <c r="A4790" s="21">
        <v>41102</v>
      </c>
      <c r="B4790" s="17">
        <v>41102</v>
      </c>
      <c r="C4790" s="43">
        <v>2012</v>
      </c>
      <c r="D4790" s="24" t="s">
        <v>141</v>
      </c>
      <c r="E4790" s="30" t="s">
        <v>142</v>
      </c>
      <c r="F4790" s="7" t="s">
        <v>36</v>
      </c>
      <c r="G4790" s="126" t="s">
        <v>3747</v>
      </c>
      <c r="H4790" s="147" t="s">
        <v>6960</v>
      </c>
      <c r="I4790" s="163">
        <v>2</v>
      </c>
      <c r="J4790" s="46">
        <v>36</v>
      </c>
      <c r="K4790" s="46">
        <v>0</v>
      </c>
      <c r="L4790" s="46">
        <v>0</v>
      </c>
      <c r="M4790" s="46">
        <v>0</v>
      </c>
      <c r="N4790" s="46">
        <v>0</v>
      </c>
      <c r="O4790" s="46">
        <v>0</v>
      </c>
      <c r="P4790" s="47">
        <v>0.42</v>
      </c>
      <c r="Q4790" s="27" t="s">
        <v>154</v>
      </c>
      <c r="R4790" s="160"/>
      <c r="S4790" s="164"/>
      <c r="T4790" s="164"/>
    </row>
    <row r="4791" spans="1:20" s="162" customFormat="1" ht="264" x14ac:dyDescent="0.25">
      <c r="A4791" s="17">
        <v>41102</v>
      </c>
      <c r="B4791" s="17">
        <v>41102</v>
      </c>
      <c r="C4791" s="43">
        <v>2012</v>
      </c>
      <c r="D4791" s="351" t="s">
        <v>23</v>
      </c>
      <c r="E4791" s="22" t="s">
        <v>86</v>
      </c>
      <c r="F4791" s="7" t="s">
        <v>56</v>
      </c>
      <c r="G4791" s="146" t="s">
        <v>6961</v>
      </c>
      <c r="H4791" s="147" t="s">
        <v>6962</v>
      </c>
      <c r="I4791" s="163">
        <v>0</v>
      </c>
      <c r="J4791" s="46">
        <v>100</v>
      </c>
      <c r="K4791" s="46">
        <v>20</v>
      </c>
      <c r="L4791" s="46">
        <v>0</v>
      </c>
      <c r="M4791" s="46">
        <v>0</v>
      </c>
      <c r="N4791" s="46">
        <v>0</v>
      </c>
      <c r="O4791" s="46">
        <v>0</v>
      </c>
      <c r="P4791" s="47">
        <f>((19*5500)+(28000)+(3*39690))/1000000</f>
        <v>0.25157000000000002</v>
      </c>
      <c r="Q4791" s="27" t="s">
        <v>154</v>
      </c>
      <c r="R4791" s="160"/>
      <c r="S4791" s="164"/>
      <c r="T4791" s="164"/>
    </row>
    <row r="4792" spans="1:20" s="162" customFormat="1" ht="120" x14ac:dyDescent="0.25">
      <c r="A4792" s="17">
        <v>41103</v>
      </c>
      <c r="B4792" s="17">
        <v>41103</v>
      </c>
      <c r="C4792" s="43">
        <v>2012</v>
      </c>
      <c r="D4792" s="24" t="s">
        <v>141</v>
      </c>
      <c r="E4792" s="30" t="s">
        <v>142</v>
      </c>
      <c r="F4792" s="7" t="s">
        <v>60</v>
      </c>
      <c r="G4792" s="146" t="s">
        <v>6963</v>
      </c>
      <c r="H4792" s="147" t="s">
        <v>6964</v>
      </c>
      <c r="I4792" s="163">
        <v>0</v>
      </c>
      <c r="J4792" s="46">
        <v>53</v>
      </c>
      <c r="K4792" s="46">
        <v>0</v>
      </c>
      <c r="L4792" s="46">
        <v>0</v>
      </c>
      <c r="M4792" s="46">
        <v>0</v>
      </c>
      <c r="N4792" s="46">
        <v>0</v>
      </c>
      <c r="O4792" s="46">
        <v>0</v>
      </c>
      <c r="P4792" s="47">
        <f>0.42+0.28875</f>
        <v>0.70874999999999999</v>
      </c>
      <c r="Q4792" s="27" t="s">
        <v>154</v>
      </c>
      <c r="R4792" s="160"/>
      <c r="S4792" s="164"/>
      <c r="T4792" s="164"/>
    </row>
    <row r="4793" spans="1:20" s="162" customFormat="1" ht="96" x14ac:dyDescent="0.25">
      <c r="A4793" s="17">
        <v>41103</v>
      </c>
      <c r="B4793" s="17">
        <v>41103</v>
      </c>
      <c r="C4793" s="43">
        <v>2012</v>
      </c>
      <c r="D4793" s="24" t="s">
        <v>141</v>
      </c>
      <c r="E4793" s="30" t="s">
        <v>142</v>
      </c>
      <c r="F4793" s="7" t="s">
        <v>53</v>
      </c>
      <c r="G4793" s="146" t="s">
        <v>6965</v>
      </c>
      <c r="H4793" s="147" t="s">
        <v>6966</v>
      </c>
      <c r="I4793" s="163">
        <v>2</v>
      </c>
      <c r="J4793" s="46">
        <v>14</v>
      </c>
      <c r="K4793" s="46">
        <v>0</v>
      </c>
      <c r="L4793" s="46">
        <v>0</v>
      </c>
      <c r="M4793" s="46">
        <v>0</v>
      </c>
      <c r="N4793" s="46">
        <v>0</v>
      </c>
      <c r="O4793" s="46">
        <v>0</v>
      </c>
      <c r="P4793" s="47">
        <f>(39690+250000)/1000000</f>
        <v>0.28969</v>
      </c>
      <c r="Q4793" s="27" t="s">
        <v>154</v>
      </c>
      <c r="R4793" s="160"/>
      <c r="S4793" s="164"/>
      <c r="T4793" s="164"/>
    </row>
    <row r="4794" spans="1:20" s="162" customFormat="1" ht="72" x14ac:dyDescent="0.25">
      <c r="A4794" s="17">
        <v>41103</v>
      </c>
      <c r="B4794" s="17">
        <v>41103</v>
      </c>
      <c r="C4794" s="43">
        <v>2012</v>
      </c>
      <c r="D4794" s="351" t="s">
        <v>23</v>
      </c>
      <c r="E4794" s="22" t="s">
        <v>86</v>
      </c>
      <c r="F4794" s="7" t="s">
        <v>84</v>
      </c>
      <c r="G4794" s="146" t="s">
        <v>6967</v>
      </c>
      <c r="H4794" s="147" t="s">
        <v>6968</v>
      </c>
      <c r="I4794" s="163">
        <v>0</v>
      </c>
      <c r="J4794" s="46">
        <v>400</v>
      </c>
      <c r="K4794" s="46">
        <v>80</v>
      </c>
      <c r="L4794" s="46">
        <v>0</v>
      </c>
      <c r="M4794" s="46">
        <v>0</v>
      </c>
      <c r="N4794" s="46">
        <v>0</v>
      </c>
      <c r="O4794" s="46">
        <v>0</v>
      </c>
      <c r="P4794" s="47">
        <f>((K4794*5500)+(80*10000))/1000000</f>
        <v>1.24</v>
      </c>
      <c r="Q4794" s="27" t="s">
        <v>154</v>
      </c>
      <c r="R4794" s="160"/>
      <c r="S4794" s="164"/>
      <c r="T4794" s="164"/>
    </row>
    <row r="4795" spans="1:20" s="162" customFormat="1" ht="84" x14ac:dyDescent="0.25">
      <c r="A4795" s="17">
        <v>41104</v>
      </c>
      <c r="B4795" s="17">
        <v>41104</v>
      </c>
      <c r="C4795" s="43">
        <v>2012</v>
      </c>
      <c r="D4795" s="24" t="s">
        <v>141</v>
      </c>
      <c r="E4795" s="30" t="s">
        <v>142</v>
      </c>
      <c r="F4795" s="7" t="s">
        <v>75</v>
      </c>
      <c r="G4795" s="146" t="s">
        <v>6969</v>
      </c>
      <c r="H4795" s="147" t="s">
        <v>6970</v>
      </c>
      <c r="I4795" s="163">
        <v>1</v>
      </c>
      <c r="J4795" s="46">
        <v>1</v>
      </c>
      <c r="K4795" s="46">
        <v>0</v>
      </c>
      <c r="L4795" s="46">
        <v>0</v>
      </c>
      <c r="M4795" s="46">
        <v>0</v>
      </c>
      <c r="N4795" s="46">
        <v>0</v>
      </c>
      <c r="O4795" s="46">
        <v>0</v>
      </c>
      <c r="P4795" s="47">
        <v>0.47249999999999998</v>
      </c>
      <c r="Q4795" s="27" t="s">
        <v>154</v>
      </c>
      <c r="R4795" s="160"/>
      <c r="S4795" s="164"/>
      <c r="T4795" s="164"/>
    </row>
    <row r="4796" spans="1:20" s="162" customFormat="1" ht="60" x14ac:dyDescent="0.25">
      <c r="A4796" s="17">
        <v>41105</v>
      </c>
      <c r="B4796" s="17">
        <v>41105</v>
      </c>
      <c r="C4796" s="43">
        <v>2012</v>
      </c>
      <c r="D4796" s="35" t="s">
        <v>28</v>
      </c>
      <c r="E4796" s="30" t="s">
        <v>133</v>
      </c>
      <c r="F4796" s="7" t="s">
        <v>87</v>
      </c>
      <c r="G4796" s="146" t="s">
        <v>874</v>
      </c>
      <c r="H4796" s="147" t="s">
        <v>6971</v>
      </c>
      <c r="I4796" s="163">
        <v>0</v>
      </c>
      <c r="J4796" s="46">
        <v>6</v>
      </c>
      <c r="K4796" s="46">
        <v>1</v>
      </c>
      <c r="L4796" s="46">
        <v>0</v>
      </c>
      <c r="M4796" s="46">
        <v>0</v>
      </c>
      <c r="N4796" s="46">
        <v>0</v>
      </c>
      <c r="O4796" s="46">
        <v>0</v>
      </c>
      <c r="P4796" s="47">
        <v>2.8000000000000001E-2</v>
      </c>
      <c r="Q4796" s="27" t="s">
        <v>154</v>
      </c>
      <c r="R4796" s="160"/>
      <c r="S4796" s="164"/>
      <c r="T4796" s="164"/>
    </row>
    <row r="4797" spans="1:20" s="162" customFormat="1" ht="60" x14ac:dyDescent="0.25">
      <c r="A4797" s="17">
        <v>41106</v>
      </c>
      <c r="B4797" s="17">
        <v>41106</v>
      </c>
      <c r="C4797" s="43">
        <v>2012</v>
      </c>
      <c r="D4797" s="24" t="s">
        <v>141</v>
      </c>
      <c r="E4797" s="30" t="s">
        <v>142</v>
      </c>
      <c r="F4797" s="7" t="s">
        <v>75</v>
      </c>
      <c r="G4797" s="146" t="s">
        <v>6972</v>
      </c>
      <c r="H4797" s="147" t="s">
        <v>6973</v>
      </c>
      <c r="I4797" s="163">
        <v>0</v>
      </c>
      <c r="J4797" s="46">
        <v>0</v>
      </c>
      <c r="K4797" s="46">
        <v>0</v>
      </c>
      <c r="L4797" s="46">
        <v>0</v>
      </c>
      <c r="M4797" s="46">
        <v>0</v>
      </c>
      <c r="N4797" s="46">
        <v>0</v>
      </c>
      <c r="O4797" s="46">
        <v>0</v>
      </c>
      <c r="P4797" s="47">
        <f>((472500)+(25000*20))/1000000</f>
        <v>0.97250000000000003</v>
      </c>
      <c r="Q4797" s="27" t="s">
        <v>154</v>
      </c>
      <c r="R4797" s="160"/>
      <c r="S4797" s="164"/>
      <c r="T4797" s="164"/>
    </row>
    <row r="4798" spans="1:20" s="162" customFormat="1" ht="96" x14ac:dyDescent="0.25">
      <c r="A4798" s="17">
        <v>41106</v>
      </c>
      <c r="B4798" s="17">
        <v>41106</v>
      </c>
      <c r="C4798" s="43">
        <v>2012</v>
      </c>
      <c r="D4798" s="24" t="s">
        <v>141</v>
      </c>
      <c r="E4798" s="30" t="s">
        <v>142</v>
      </c>
      <c r="F4798" s="7" t="s">
        <v>75</v>
      </c>
      <c r="G4798" s="146" t="s">
        <v>6624</v>
      </c>
      <c r="H4798" s="147" t="s">
        <v>6974</v>
      </c>
      <c r="I4798" s="163">
        <v>0</v>
      </c>
      <c r="J4798" s="46">
        <v>6</v>
      </c>
      <c r="K4798" s="46">
        <v>0</v>
      </c>
      <c r="L4798" s="46">
        <v>0</v>
      </c>
      <c r="M4798" s="46">
        <v>0</v>
      </c>
      <c r="N4798" s="46">
        <v>0</v>
      </c>
      <c r="O4798" s="46">
        <v>0</v>
      </c>
      <c r="P4798" s="47">
        <v>0.42</v>
      </c>
      <c r="Q4798" s="27" t="s">
        <v>154</v>
      </c>
      <c r="R4798" s="160"/>
      <c r="S4798" s="164"/>
      <c r="T4798" s="164"/>
    </row>
    <row r="4799" spans="1:20" s="162" customFormat="1" ht="96" x14ac:dyDescent="0.25">
      <c r="A4799" s="17">
        <v>41103</v>
      </c>
      <c r="B4799" s="17">
        <v>41103</v>
      </c>
      <c r="C4799" s="43">
        <v>2012</v>
      </c>
      <c r="D4799" s="351" t="s">
        <v>23</v>
      </c>
      <c r="E4799" s="22" t="s">
        <v>86</v>
      </c>
      <c r="F4799" s="7" t="s">
        <v>49</v>
      </c>
      <c r="G4799" s="146" t="s">
        <v>49</v>
      </c>
      <c r="H4799" s="147" t="s">
        <v>6975</v>
      </c>
      <c r="I4799" s="163">
        <v>2</v>
      </c>
      <c r="J4799" s="46">
        <v>127</v>
      </c>
      <c r="K4799" s="46">
        <v>25</v>
      </c>
      <c r="L4799" s="46">
        <v>0</v>
      </c>
      <c r="M4799" s="46">
        <v>0</v>
      </c>
      <c r="N4799" s="46">
        <v>0</v>
      </c>
      <c r="O4799" s="46">
        <v>0</v>
      </c>
      <c r="P4799" s="47">
        <f>((25*5500)+(25*10000)+(39690))/1000000</f>
        <v>0.42719000000000001</v>
      </c>
      <c r="Q4799" s="27" t="s">
        <v>154</v>
      </c>
      <c r="R4799" s="160"/>
      <c r="S4799" s="164"/>
      <c r="T4799" s="164"/>
    </row>
    <row r="4800" spans="1:20" s="162" customFormat="1" ht="108" x14ac:dyDescent="0.25">
      <c r="A4800" s="17">
        <v>41102</v>
      </c>
      <c r="B4800" s="17">
        <v>41102</v>
      </c>
      <c r="C4800" s="43">
        <v>2012</v>
      </c>
      <c r="D4800" s="351" t="s">
        <v>23</v>
      </c>
      <c r="E4800" s="30" t="s">
        <v>5893</v>
      </c>
      <c r="F4800" s="7" t="s">
        <v>72</v>
      </c>
      <c r="G4800" s="146" t="s">
        <v>6976</v>
      </c>
      <c r="H4800" s="147" t="s">
        <v>6977</v>
      </c>
      <c r="I4800" s="163">
        <v>1</v>
      </c>
      <c r="J4800" s="46">
        <v>3</v>
      </c>
      <c r="K4800" s="46">
        <v>0</v>
      </c>
      <c r="L4800" s="46">
        <v>0</v>
      </c>
      <c r="M4800" s="46">
        <v>0</v>
      </c>
      <c r="N4800" s="46">
        <v>0</v>
      </c>
      <c r="O4800" s="46">
        <v>0</v>
      </c>
      <c r="P4800" s="47">
        <v>0</v>
      </c>
      <c r="Q4800" s="27" t="s">
        <v>154</v>
      </c>
      <c r="R4800" s="160"/>
      <c r="S4800" s="164"/>
      <c r="T4800" s="164"/>
    </row>
    <row r="4801" spans="1:20" s="162" customFormat="1" ht="96" x14ac:dyDescent="0.25">
      <c r="A4801" s="17">
        <v>41106</v>
      </c>
      <c r="B4801" s="17">
        <v>41106</v>
      </c>
      <c r="C4801" s="43">
        <v>2012</v>
      </c>
      <c r="D4801" s="35" t="s">
        <v>28</v>
      </c>
      <c r="E4801" s="6" t="s">
        <v>149</v>
      </c>
      <c r="F4801" s="7" t="s">
        <v>62</v>
      </c>
      <c r="G4801" s="146" t="s">
        <v>4517</v>
      </c>
      <c r="H4801" s="147" t="s">
        <v>6978</v>
      </c>
      <c r="I4801" s="163">
        <v>0</v>
      </c>
      <c r="J4801" s="46">
        <v>380</v>
      </c>
      <c r="K4801" s="46">
        <v>0</v>
      </c>
      <c r="L4801" s="46">
        <v>0</v>
      </c>
      <c r="M4801" s="46">
        <v>0</v>
      </c>
      <c r="N4801" s="46">
        <v>1</v>
      </c>
      <c r="O4801" s="46">
        <v>0</v>
      </c>
      <c r="P4801" s="47">
        <f>(14*39690)/1000000</f>
        <v>0.55566000000000004</v>
      </c>
      <c r="Q4801" s="27" t="s">
        <v>154</v>
      </c>
      <c r="R4801" s="160"/>
      <c r="S4801" s="164"/>
      <c r="T4801" s="164"/>
    </row>
    <row r="4802" spans="1:20" s="162" customFormat="1" ht="60" x14ac:dyDescent="0.25">
      <c r="A4802" s="17">
        <v>41103</v>
      </c>
      <c r="B4802" s="17">
        <v>41103</v>
      </c>
      <c r="C4802" s="43">
        <v>2012</v>
      </c>
      <c r="D4802" s="351" t="s">
        <v>23</v>
      </c>
      <c r="E4802" s="22" t="s">
        <v>86</v>
      </c>
      <c r="F4802" s="7" t="s">
        <v>60</v>
      </c>
      <c r="G4802" s="146" t="s">
        <v>705</v>
      </c>
      <c r="H4802" s="147" t="s">
        <v>6979</v>
      </c>
      <c r="I4802" s="163">
        <v>0</v>
      </c>
      <c r="J4802" s="46">
        <v>175</v>
      </c>
      <c r="K4802" s="46">
        <v>35</v>
      </c>
      <c r="L4802" s="46">
        <v>0</v>
      </c>
      <c r="M4802" s="46">
        <v>0</v>
      </c>
      <c r="N4802" s="46">
        <v>40</v>
      </c>
      <c r="O4802" s="46">
        <v>0</v>
      </c>
      <c r="P4802" s="47">
        <v>0</v>
      </c>
      <c r="Q4802" s="27" t="s">
        <v>154</v>
      </c>
      <c r="R4802" s="160"/>
      <c r="S4802" s="164"/>
      <c r="T4802" s="164"/>
    </row>
    <row r="4803" spans="1:20" s="162" customFormat="1" ht="72" x14ac:dyDescent="0.25">
      <c r="A4803" s="17">
        <v>41105</v>
      </c>
      <c r="B4803" s="17">
        <v>41105</v>
      </c>
      <c r="C4803" s="43">
        <v>2012</v>
      </c>
      <c r="D4803" s="24" t="s">
        <v>141</v>
      </c>
      <c r="E4803" s="30" t="s">
        <v>142</v>
      </c>
      <c r="F4803" s="7" t="s">
        <v>101</v>
      </c>
      <c r="G4803" s="146" t="s">
        <v>1461</v>
      </c>
      <c r="H4803" s="147" t="s">
        <v>6980</v>
      </c>
      <c r="I4803" s="163">
        <v>3</v>
      </c>
      <c r="J4803" s="46">
        <v>22</v>
      </c>
      <c r="K4803" s="46">
        <v>0</v>
      </c>
      <c r="L4803" s="46">
        <v>0</v>
      </c>
      <c r="M4803" s="46">
        <v>0</v>
      </c>
      <c r="N4803" s="46">
        <v>0</v>
      </c>
      <c r="O4803" s="46">
        <v>0</v>
      </c>
      <c r="P4803" s="47">
        <f>(39690+420000)/1000000</f>
        <v>0.45968999999999999</v>
      </c>
      <c r="Q4803" s="27" t="s">
        <v>154</v>
      </c>
      <c r="R4803" s="160"/>
      <c r="S4803" s="164"/>
      <c r="T4803" s="164"/>
    </row>
    <row r="4804" spans="1:20" s="162" customFormat="1" ht="60" x14ac:dyDescent="0.25">
      <c r="A4804" s="17">
        <v>41106</v>
      </c>
      <c r="B4804" s="17">
        <v>41106</v>
      </c>
      <c r="C4804" s="43">
        <v>2012</v>
      </c>
      <c r="D4804" s="351" t="s">
        <v>23</v>
      </c>
      <c r="E4804" s="22" t="s">
        <v>86</v>
      </c>
      <c r="F4804" s="7" t="s">
        <v>56</v>
      </c>
      <c r="G4804" s="146" t="s">
        <v>5085</v>
      </c>
      <c r="H4804" s="147" t="s">
        <v>6981</v>
      </c>
      <c r="I4804" s="163">
        <v>0</v>
      </c>
      <c r="J4804" s="46">
        <v>11</v>
      </c>
      <c r="K4804" s="46">
        <v>3</v>
      </c>
      <c r="L4804" s="46">
        <v>0</v>
      </c>
      <c r="M4804" s="46">
        <v>0</v>
      </c>
      <c r="N4804" s="46">
        <v>0</v>
      </c>
      <c r="O4804" s="46">
        <v>0</v>
      </c>
      <c r="P4804" s="47">
        <f>(K4804*5500)/1000000</f>
        <v>1.6500000000000001E-2</v>
      </c>
      <c r="Q4804" s="27" t="s">
        <v>154</v>
      </c>
      <c r="R4804" s="160"/>
      <c r="S4804" s="164"/>
      <c r="T4804" s="164"/>
    </row>
    <row r="4805" spans="1:20" s="162" customFormat="1" ht="48" x14ac:dyDescent="0.25">
      <c r="A4805" s="21">
        <v>41108</v>
      </c>
      <c r="B4805" s="21">
        <v>41108</v>
      </c>
      <c r="C4805" s="43">
        <v>2012</v>
      </c>
      <c r="D4805" s="35" t="s">
        <v>28</v>
      </c>
      <c r="E4805" s="30" t="s">
        <v>133</v>
      </c>
      <c r="F4805" s="7" t="s">
        <v>53</v>
      </c>
      <c r="G4805" s="126" t="s">
        <v>2776</v>
      </c>
      <c r="H4805" s="147" t="s">
        <v>6982</v>
      </c>
      <c r="I4805" s="163">
        <v>0</v>
      </c>
      <c r="J4805" s="46">
        <v>1</v>
      </c>
      <c r="K4805" s="46">
        <v>0</v>
      </c>
      <c r="L4805" s="46">
        <v>0</v>
      </c>
      <c r="M4805" s="46">
        <v>0</v>
      </c>
      <c r="N4805" s="46">
        <v>1</v>
      </c>
      <c r="O4805" s="46">
        <v>0</v>
      </c>
      <c r="P4805" s="47">
        <v>0</v>
      </c>
      <c r="Q4805" s="27" t="s">
        <v>154</v>
      </c>
      <c r="R4805" s="160"/>
      <c r="S4805" s="164"/>
      <c r="T4805" s="164"/>
    </row>
    <row r="4806" spans="1:20" s="162" customFormat="1" ht="108" x14ac:dyDescent="0.25">
      <c r="A4806" s="17">
        <v>41108</v>
      </c>
      <c r="B4806" s="17">
        <v>41108</v>
      </c>
      <c r="C4806" s="43">
        <v>2012</v>
      </c>
      <c r="D4806" s="351" t="s">
        <v>23</v>
      </c>
      <c r="E4806" s="22" t="s">
        <v>86</v>
      </c>
      <c r="F4806" s="7" t="s">
        <v>77</v>
      </c>
      <c r="G4806" s="146" t="s">
        <v>969</v>
      </c>
      <c r="H4806" s="147" t="s">
        <v>6983</v>
      </c>
      <c r="I4806" s="163">
        <v>0</v>
      </c>
      <c r="J4806" s="46">
        <v>15</v>
      </c>
      <c r="K4806" s="46">
        <v>3</v>
      </c>
      <c r="L4806" s="46">
        <v>0</v>
      </c>
      <c r="M4806" s="46">
        <v>0</v>
      </c>
      <c r="N4806" s="46">
        <v>0</v>
      </c>
      <c r="O4806" s="46">
        <v>0</v>
      </c>
      <c r="P4806" s="47">
        <f>(K4806*5500)/1000000</f>
        <v>1.6500000000000001E-2</v>
      </c>
      <c r="Q4806" s="27" t="s">
        <v>154</v>
      </c>
      <c r="R4806" s="160"/>
      <c r="S4806" s="164"/>
      <c r="T4806" s="164"/>
    </row>
    <row r="4807" spans="1:20" s="162" customFormat="1" ht="96" x14ac:dyDescent="0.25">
      <c r="A4807" s="17">
        <v>41108</v>
      </c>
      <c r="B4807" s="17">
        <v>41108</v>
      </c>
      <c r="C4807" s="43">
        <v>2012</v>
      </c>
      <c r="D4807" s="351" t="s">
        <v>23</v>
      </c>
      <c r="E4807" s="22" t="s">
        <v>86</v>
      </c>
      <c r="F4807" s="7" t="s">
        <v>77</v>
      </c>
      <c r="G4807" s="146" t="s">
        <v>969</v>
      </c>
      <c r="H4807" s="147" t="s">
        <v>6984</v>
      </c>
      <c r="I4807" s="163">
        <v>0</v>
      </c>
      <c r="J4807" s="46">
        <v>150</v>
      </c>
      <c r="K4807" s="46">
        <v>5</v>
      </c>
      <c r="L4807" s="46">
        <v>0</v>
      </c>
      <c r="M4807" s="46">
        <v>0</v>
      </c>
      <c r="N4807" s="46">
        <v>0</v>
      </c>
      <c r="O4807" s="46">
        <v>0</v>
      </c>
      <c r="P4807" s="47">
        <f>(K4807*5500)/1000000</f>
        <v>2.75E-2</v>
      </c>
      <c r="Q4807" s="27" t="s">
        <v>154</v>
      </c>
      <c r="R4807" s="160"/>
      <c r="S4807" s="164"/>
      <c r="T4807" s="164"/>
    </row>
    <row r="4808" spans="1:20" s="162" customFormat="1" ht="156" x14ac:dyDescent="0.25">
      <c r="A4808" s="17">
        <v>41107</v>
      </c>
      <c r="B4808" s="17">
        <v>41108</v>
      </c>
      <c r="C4808" s="43">
        <v>2012</v>
      </c>
      <c r="D4808" s="351" t="s">
        <v>23</v>
      </c>
      <c r="E4808" s="22" t="s">
        <v>86</v>
      </c>
      <c r="F4808" s="7" t="s">
        <v>56</v>
      </c>
      <c r="G4808" s="146" t="s">
        <v>6985</v>
      </c>
      <c r="H4808" s="147" t="s">
        <v>6986</v>
      </c>
      <c r="I4808" s="148">
        <v>0</v>
      </c>
      <c r="J4808" s="46">
        <v>110</v>
      </c>
      <c r="K4808" s="46">
        <v>22</v>
      </c>
      <c r="L4808" s="46">
        <v>1</v>
      </c>
      <c r="M4808" s="46">
        <v>1</v>
      </c>
      <c r="N4808" s="46">
        <v>1</v>
      </c>
      <c r="O4808" s="46">
        <v>0</v>
      </c>
      <c r="P4808" s="47">
        <f>(K4808*5500)/1000000</f>
        <v>0.121</v>
      </c>
      <c r="Q4808" s="27" t="s">
        <v>154</v>
      </c>
      <c r="R4808" s="160"/>
      <c r="S4808" s="164"/>
      <c r="T4808" s="164"/>
    </row>
    <row r="4809" spans="1:20" s="162" customFormat="1" ht="108" x14ac:dyDescent="0.25">
      <c r="A4809" s="21">
        <v>41108</v>
      </c>
      <c r="B4809" s="17">
        <v>41108</v>
      </c>
      <c r="C4809" s="43">
        <v>2012</v>
      </c>
      <c r="D4809" s="351" t="s">
        <v>23</v>
      </c>
      <c r="E4809" s="22" t="s">
        <v>86</v>
      </c>
      <c r="F4809" s="7" t="s">
        <v>40</v>
      </c>
      <c r="G4809" s="126" t="s">
        <v>6987</v>
      </c>
      <c r="H4809" s="147" t="s">
        <v>6988</v>
      </c>
      <c r="I4809" s="163">
        <v>0</v>
      </c>
      <c r="J4809" s="46">
        <v>60</v>
      </c>
      <c r="K4809" s="46">
        <v>12</v>
      </c>
      <c r="L4809" s="46">
        <v>0</v>
      </c>
      <c r="M4809" s="46">
        <v>0</v>
      </c>
      <c r="N4809" s="46">
        <v>0</v>
      </c>
      <c r="O4809" s="46">
        <v>0</v>
      </c>
      <c r="P4809" s="47">
        <f>((12*5500)+(12*10000))/1000000</f>
        <v>0.186</v>
      </c>
      <c r="Q4809" s="27" t="s">
        <v>154</v>
      </c>
      <c r="R4809" s="160"/>
      <c r="S4809" s="164"/>
      <c r="T4809" s="164"/>
    </row>
    <row r="4810" spans="1:20" s="162" customFormat="1" ht="132" x14ac:dyDescent="0.25">
      <c r="A4810" s="17">
        <v>41107</v>
      </c>
      <c r="B4810" s="17">
        <v>41107</v>
      </c>
      <c r="C4810" s="43">
        <v>2012</v>
      </c>
      <c r="D4810" s="351" t="s">
        <v>23</v>
      </c>
      <c r="E4810" s="30" t="s">
        <v>5893</v>
      </c>
      <c r="F4810" s="7" t="s">
        <v>58</v>
      </c>
      <c r="G4810" s="146" t="s">
        <v>6989</v>
      </c>
      <c r="H4810" s="147" t="s">
        <v>6990</v>
      </c>
      <c r="I4810" s="163">
        <v>3</v>
      </c>
      <c r="J4810" s="46">
        <v>9</v>
      </c>
      <c r="K4810" s="46">
        <v>0</v>
      </c>
      <c r="L4810" s="46">
        <v>0</v>
      </c>
      <c r="M4810" s="46">
        <v>0</v>
      </c>
      <c r="N4810" s="46">
        <v>0</v>
      </c>
      <c r="O4810" s="46">
        <v>0</v>
      </c>
      <c r="P4810" s="47">
        <v>0</v>
      </c>
      <c r="Q4810" s="27" t="s">
        <v>154</v>
      </c>
      <c r="R4810" s="160"/>
      <c r="S4810" s="164"/>
      <c r="T4810" s="164"/>
    </row>
    <row r="4811" spans="1:20" s="162" customFormat="1" ht="168" x14ac:dyDescent="0.25">
      <c r="A4811" s="21">
        <v>41107</v>
      </c>
      <c r="B4811" s="21">
        <v>41108</v>
      </c>
      <c r="C4811" s="43">
        <v>2012</v>
      </c>
      <c r="D4811" s="351" t="s">
        <v>23</v>
      </c>
      <c r="E4811" s="22" t="s">
        <v>86</v>
      </c>
      <c r="F4811" s="7" t="s">
        <v>58</v>
      </c>
      <c r="G4811" s="146" t="s">
        <v>6991</v>
      </c>
      <c r="H4811" s="147" t="s">
        <v>6992</v>
      </c>
      <c r="I4811" s="163">
        <v>0</v>
      </c>
      <c r="J4811" s="46">
        <v>80</v>
      </c>
      <c r="K4811" s="46">
        <v>16</v>
      </c>
      <c r="L4811" s="46">
        <v>0</v>
      </c>
      <c r="M4811" s="46">
        <v>0</v>
      </c>
      <c r="N4811" s="46">
        <v>0</v>
      </c>
      <c r="O4811" s="46">
        <v>0</v>
      </c>
      <c r="P4811" s="47">
        <f>((16*5500)+(19*208)+(19*71)+(13*251)+(19*157)+(8*85)+(34*200))/1000000</f>
        <v>0.107027</v>
      </c>
      <c r="Q4811" s="27" t="s">
        <v>154</v>
      </c>
      <c r="R4811" s="160"/>
      <c r="S4811" s="164"/>
      <c r="T4811" s="164"/>
    </row>
    <row r="4812" spans="1:20" s="162" customFormat="1" ht="60" x14ac:dyDescent="0.25">
      <c r="A4812" s="21">
        <v>41109</v>
      </c>
      <c r="B4812" s="21">
        <v>41109</v>
      </c>
      <c r="C4812" s="43">
        <v>2012</v>
      </c>
      <c r="D4812" s="351" t="s">
        <v>23</v>
      </c>
      <c r="E4812" s="22" t="s">
        <v>86</v>
      </c>
      <c r="F4812" s="7" t="s">
        <v>47</v>
      </c>
      <c r="G4812" s="126" t="s">
        <v>47</v>
      </c>
      <c r="H4812" s="147" t="s">
        <v>6993</v>
      </c>
      <c r="I4812" s="163">
        <v>1</v>
      </c>
      <c r="J4812" s="46">
        <v>1</v>
      </c>
      <c r="K4812" s="46">
        <v>0</v>
      </c>
      <c r="L4812" s="46">
        <v>0</v>
      </c>
      <c r="M4812" s="46">
        <v>0</v>
      </c>
      <c r="N4812" s="46">
        <v>0</v>
      </c>
      <c r="O4812" s="46">
        <v>0</v>
      </c>
      <c r="P4812" s="47">
        <v>0</v>
      </c>
      <c r="Q4812" s="27" t="s">
        <v>154</v>
      </c>
      <c r="R4812" s="160"/>
      <c r="S4812" s="164"/>
      <c r="T4812" s="164"/>
    </row>
    <row r="4813" spans="1:20" s="162" customFormat="1" ht="96" x14ac:dyDescent="0.25">
      <c r="A4813" s="17">
        <v>41110</v>
      </c>
      <c r="B4813" s="17">
        <v>41110</v>
      </c>
      <c r="C4813" s="43">
        <v>2012</v>
      </c>
      <c r="D4813" s="35" t="s">
        <v>17</v>
      </c>
      <c r="E4813" s="30" t="s">
        <v>1600</v>
      </c>
      <c r="F4813" s="7" t="s">
        <v>49</v>
      </c>
      <c r="G4813" s="146" t="s">
        <v>1206</v>
      </c>
      <c r="H4813" s="147" t="s">
        <v>6994</v>
      </c>
      <c r="I4813" s="163">
        <v>1</v>
      </c>
      <c r="J4813" s="46">
        <v>231</v>
      </c>
      <c r="K4813" s="46">
        <v>0</v>
      </c>
      <c r="L4813" s="46">
        <v>0</v>
      </c>
      <c r="M4813" s="46">
        <v>0</v>
      </c>
      <c r="N4813" s="46">
        <v>0</v>
      </c>
      <c r="O4813" s="46">
        <v>0</v>
      </c>
      <c r="P4813" s="47">
        <f>(288750)/1000000</f>
        <v>0.28875000000000001</v>
      </c>
      <c r="Q4813" s="27" t="s">
        <v>154</v>
      </c>
      <c r="R4813" s="160"/>
      <c r="S4813" s="164"/>
      <c r="T4813" s="164"/>
    </row>
    <row r="4814" spans="1:20" s="162" customFormat="1" ht="48" x14ac:dyDescent="0.25">
      <c r="A4814" s="17">
        <v>41109</v>
      </c>
      <c r="B4814" s="17">
        <v>41109</v>
      </c>
      <c r="C4814" s="43">
        <v>2012</v>
      </c>
      <c r="D4814" s="351" t="s">
        <v>23</v>
      </c>
      <c r="E4814" s="30" t="s">
        <v>5893</v>
      </c>
      <c r="F4814" s="7" t="s">
        <v>82</v>
      </c>
      <c r="G4814" s="146" t="s">
        <v>4130</v>
      </c>
      <c r="H4814" s="147" t="s">
        <v>6995</v>
      </c>
      <c r="I4814" s="163">
        <v>1</v>
      </c>
      <c r="J4814" s="46">
        <v>1</v>
      </c>
      <c r="K4814" s="46">
        <v>0</v>
      </c>
      <c r="L4814" s="46">
        <v>0</v>
      </c>
      <c r="M4814" s="46">
        <v>0</v>
      </c>
      <c r="N4814" s="46">
        <v>0</v>
      </c>
      <c r="O4814" s="46">
        <v>0</v>
      </c>
      <c r="P4814" s="47">
        <v>0</v>
      </c>
      <c r="Q4814" s="27" t="s">
        <v>154</v>
      </c>
      <c r="R4814" s="160"/>
      <c r="S4814" s="164"/>
      <c r="T4814" s="164"/>
    </row>
    <row r="4815" spans="1:20" s="162" customFormat="1" ht="60" x14ac:dyDescent="0.25">
      <c r="A4815" s="17">
        <v>41110</v>
      </c>
      <c r="B4815" s="17">
        <v>41110</v>
      </c>
      <c r="C4815" s="43">
        <v>2012</v>
      </c>
      <c r="D4815" s="24" t="s">
        <v>141</v>
      </c>
      <c r="E4815" s="30" t="s">
        <v>142</v>
      </c>
      <c r="F4815" s="7" t="s">
        <v>56</v>
      </c>
      <c r="G4815" s="146" t="s">
        <v>646</v>
      </c>
      <c r="H4815" s="147" t="s">
        <v>6996</v>
      </c>
      <c r="I4815" s="163">
        <v>0</v>
      </c>
      <c r="J4815" s="46">
        <v>12</v>
      </c>
      <c r="K4815" s="46">
        <v>0</v>
      </c>
      <c r="L4815" s="46">
        <v>0</v>
      </c>
      <c r="M4815" s="46">
        <v>0</v>
      </c>
      <c r="N4815" s="46">
        <v>0</v>
      </c>
      <c r="O4815" s="46">
        <v>0</v>
      </c>
      <c r="P4815" s="47">
        <f>(0.42+0.28875)</f>
        <v>0.70874999999999999</v>
      </c>
      <c r="Q4815" s="27" t="s">
        <v>154</v>
      </c>
      <c r="R4815" s="160"/>
      <c r="S4815" s="164"/>
      <c r="T4815" s="164"/>
    </row>
    <row r="4816" spans="1:20" s="162" customFormat="1" ht="132" x14ac:dyDescent="0.25">
      <c r="A4816" s="17">
        <v>41110</v>
      </c>
      <c r="B4816" s="17">
        <v>41110</v>
      </c>
      <c r="C4816" s="43">
        <v>2012</v>
      </c>
      <c r="D4816" s="24" t="s">
        <v>141</v>
      </c>
      <c r="E4816" s="30" t="s">
        <v>142</v>
      </c>
      <c r="F4816" s="7" t="s">
        <v>67</v>
      </c>
      <c r="G4816" s="146" t="s">
        <v>6997</v>
      </c>
      <c r="H4816" s="147" t="s">
        <v>6998</v>
      </c>
      <c r="I4816" s="163">
        <v>21</v>
      </c>
      <c r="J4816" s="46">
        <v>50</v>
      </c>
      <c r="K4816" s="46">
        <v>0</v>
      </c>
      <c r="L4816" s="46">
        <v>0</v>
      </c>
      <c r="M4816" s="46">
        <v>0</v>
      </c>
      <c r="N4816" s="46">
        <v>0</v>
      </c>
      <c r="O4816" s="46">
        <v>0</v>
      </c>
      <c r="P4816" s="47">
        <v>0.42</v>
      </c>
      <c r="Q4816" s="27" t="s">
        <v>154</v>
      </c>
      <c r="R4816" s="160"/>
      <c r="S4816" s="164"/>
      <c r="T4816" s="164"/>
    </row>
    <row r="4817" spans="1:20" s="162" customFormat="1" ht="84" x14ac:dyDescent="0.25">
      <c r="A4817" s="17">
        <v>41074</v>
      </c>
      <c r="B4817" s="17">
        <v>41111</v>
      </c>
      <c r="C4817" s="43">
        <v>2012</v>
      </c>
      <c r="D4817" s="351" t="s">
        <v>23</v>
      </c>
      <c r="E4817" s="22" t="s">
        <v>86</v>
      </c>
      <c r="F4817" s="7" t="s">
        <v>56</v>
      </c>
      <c r="G4817" s="146" t="s">
        <v>1039</v>
      </c>
      <c r="H4817" s="147" t="s">
        <v>6999</v>
      </c>
      <c r="I4817" s="148">
        <v>0</v>
      </c>
      <c r="J4817" s="46">
        <v>52</v>
      </c>
      <c r="K4817" s="46">
        <v>9</v>
      </c>
      <c r="L4817" s="46">
        <v>0</v>
      </c>
      <c r="M4817" s="46">
        <v>0</v>
      </c>
      <c r="N4817" s="46">
        <v>0</v>
      </c>
      <c r="O4817" s="46">
        <v>0</v>
      </c>
      <c r="P4817" s="47">
        <f>((9*5500)+(30*208)+(106*71)+(9*200))/1000000</f>
        <v>6.5065999999999999E-2</v>
      </c>
      <c r="Q4817" s="27" t="s">
        <v>154</v>
      </c>
      <c r="R4817" s="160"/>
      <c r="S4817" s="164"/>
      <c r="T4817" s="164"/>
    </row>
    <row r="4818" spans="1:20" s="162" customFormat="1" ht="72" x14ac:dyDescent="0.25">
      <c r="A4818" s="17">
        <v>41110</v>
      </c>
      <c r="B4818" s="17">
        <v>41110</v>
      </c>
      <c r="C4818" s="43">
        <v>2012</v>
      </c>
      <c r="D4818" s="351" t="s">
        <v>23</v>
      </c>
      <c r="E4818" s="22" t="s">
        <v>86</v>
      </c>
      <c r="F4818" s="7" t="s">
        <v>87</v>
      </c>
      <c r="G4818" s="146" t="s">
        <v>7000</v>
      </c>
      <c r="H4818" s="147" t="s">
        <v>7001</v>
      </c>
      <c r="I4818" s="163">
        <v>0</v>
      </c>
      <c r="J4818" s="46">
        <v>5</v>
      </c>
      <c r="K4818" s="46">
        <v>1</v>
      </c>
      <c r="L4818" s="46">
        <v>0</v>
      </c>
      <c r="M4818" s="46">
        <v>0</v>
      </c>
      <c r="N4818" s="46">
        <v>0</v>
      </c>
      <c r="O4818" s="46">
        <v>0</v>
      </c>
      <c r="P4818" s="47">
        <v>0.12</v>
      </c>
      <c r="Q4818" s="27" t="s">
        <v>154</v>
      </c>
      <c r="R4818" s="160"/>
      <c r="S4818" s="164"/>
      <c r="T4818" s="164"/>
    </row>
    <row r="4819" spans="1:20" s="162" customFormat="1" ht="84" x14ac:dyDescent="0.25">
      <c r="A4819" s="17">
        <v>41083</v>
      </c>
      <c r="B4819" s="17">
        <v>41083</v>
      </c>
      <c r="C4819" s="43">
        <v>2012</v>
      </c>
      <c r="D4819" s="351" t="s">
        <v>23</v>
      </c>
      <c r="E4819" s="22" t="s">
        <v>86</v>
      </c>
      <c r="F4819" s="7" t="s">
        <v>97</v>
      </c>
      <c r="G4819" s="146" t="s">
        <v>7002</v>
      </c>
      <c r="H4819" s="147" t="s">
        <v>7003</v>
      </c>
      <c r="I4819" s="148">
        <v>0</v>
      </c>
      <c r="J4819" s="46">
        <v>1000</v>
      </c>
      <c r="K4819" s="46">
        <v>200</v>
      </c>
      <c r="L4819" s="46">
        <v>2</v>
      </c>
      <c r="M4819" s="46">
        <v>0</v>
      </c>
      <c r="N4819" s="46">
        <v>0</v>
      </c>
      <c r="O4819" s="46">
        <v>0</v>
      </c>
      <c r="P4819" s="47">
        <f>(K4819*28000)/1000000</f>
        <v>5.6</v>
      </c>
      <c r="Q4819" s="27" t="s">
        <v>154</v>
      </c>
      <c r="R4819" s="160"/>
      <c r="S4819" s="164"/>
      <c r="T4819" s="164"/>
    </row>
    <row r="4820" spans="1:20" s="162" customFormat="1" ht="84" x14ac:dyDescent="0.25">
      <c r="A4820" s="23">
        <v>41110</v>
      </c>
      <c r="B4820" s="23">
        <v>41110</v>
      </c>
      <c r="C4820" s="43">
        <v>2012</v>
      </c>
      <c r="D4820" s="24" t="s">
        <v>141</v>
      </c>
      <c r="E4820" s="30" t="s">
        <v>142</v>
      </c>
      <c r="F4820" s="7" t="s">
        <v>101</v>
      </c>
      <c r="G4820" s="146" t="s">
        <v>174</v>
      </c>
      <c r="H4820" s="147" t="s">
        <v>7004</v>
      </c>
      <c r="I4820" s="163">
        <v>1</v>
      </c>
      <c r="J4820" s="46">
        <v>25</v>
      </c>
      <c r="K4820" s="46">
        <v>0</v>
      </c>
      <c r="L4820" s="46">
        <v>0</v>
      </c>
      <c r="M4820" s="46">
        <v>0</v>
      </c>
      <c r="N4820" s="46">
        <v>0</v>
      </c>
      <c r="O4820" s="46">
        <v>0</v>
      </c>
      <c r="P4820" s="47">
        <v>0.25</v>
      </c>
      <c r="Q4820" s="27" t="s">
        <v>154</v>
      </c>
      <c r="R4820" s="160"/>
      <c r="S4820" s="164"/>
      <c r="T4820" s="164"/>
    </row>
    <row r="4821" spans="1:20" s="162" customFormat="1" ht="120" x14ac:dyDescent="0.25">
      <c r="A4821" s="17">
        <v>41109</v>
      </c>
      <c r="B4821" s="17">
        <v>41109</v>
      </c>
      <c r="C4821" s="43">
        <v>2012</v>
      </c>
      <c r="D4821" s="351" t="s">
        <v>23</v>
      </c>
      <c r="E4821" s="22" t="s">
        <v>86</v>
      </c>
      <c r="F4821" s="7" t="s">
        <v>58</v>
      </c>
      <c r="G4821" s="146" t="s">
        <v>7005</v>
      </c>
      <c r="H4821" s="147" t="s">
        <v>7006</v>
      </c>
      <c r="I4821" s="163">
        <v>0</v>
      </c>
      <c r="J4821" s="46">
        <v>30</v>
      </c>
      <c r="K4821" s="46">
        <v>6</v>
      </c>
      <c r="L4821" s="46">
        <v>0</v>
      </c>
      <c r="M4821" s="46">
        <v>0</v>
      </c>
      <c r="N4821" s="46">
        <v>0</v>
      </c>
      <c r="O4821" s="46">
        <v>0</v>
      </c>
      <c r="P4821" s="47">
        <f>((K4821*5500+(20*208)+(6*71)+(2*251)+(4*200)+(40*200)+(20*71)+(20*157))/1000000)</f>
        <v>5.1448000000000001E-2</v>
      </c>
      <c r="Q4821" s="27" t="s">
        <v>154</v>
      </c>
      <c r="R4821" s="160"/>
      <c r="S4821" s="164"/>
      <c r="T4821" s="164"/>
    </row>
    <row r="4822" spans="1:20" s="162" customFormat="1" ht="144" x14ac:dyDescent="0.25">
      <c r="A4822" s="17">
        <v>41110</v>
      </c>
      <c r="B4822" s="17">
        <v>41110</v>
      </c>
      <c r="C4822" s="43">
        <v>2012</v>
      </c>
      <c r="D4822" s="351" t="s">
        <v>23</v>
      </c>
      <c r="E4822" s="30" t="s">
        <v>5893</v>
      </c>
      <c r="F4822" s="7" t="s">
        <v>58</v>
      </c>
      <c r="G4822" s="146" t="s">
        <v>6775</v>
      </c>
      <c r="H4822" s="147" t="s">
        <v>7007</v>
      </c>
      <c r="I4822" s="163">
        <v>1</v>
      </c>
      <c r="J4822" s="46">
        <v>1</v>
      </c>
      <c r="K4822" s="46">
        <v>0</v>
      </c>
      <c r="L4822" s="46">
        <v>0</v>
      </c>
      <c r="M4822" s="46">
        <v>0</v>
      </c>
      <c r="N4822" s="46">
        <v>0</v>
      </c>
      <c r="O4822" s="46">
        <v>0</v>
      </c>
      <c r="P4822" s="47">
        <v>0</v>
      </c>
      <c r="Q4822" s="27" t="s">
        <v>154</v>
      </c>
      <c r="R4822" s="160"/>
      <c r="S4822" s="164"/>
      <c r="T4822" s="164"/>
    </row>
    <row r="4823" spans="1:20" s="162" customFormat="1" ht="144" x14ac:dyDescent="0.25">
      <c r="A4823" s="17">
        <v>41109</v>
      </c>
      <c r="B4823" s="17">
        <v>41109</v>
      </c>
      <c r="C4823" s="43">
        <v>2012</v>
      </c>
      <c r="D4823" s="351" t="s">
        <v>23</v>
      </c>
      <c r="E4823" s="22" t="s">
        <v>86</v>
      </c>
      <c r="F4823" s="7" t="s">
        <v>49</v>
      </c>
      <c r="G4823" s="146" t="s">
        <v>7008</v>
      </c>
      <c r="H4823" s="147" t="s">
        <v>7009</v>
      </c>
      <c r="I4823" s="163">
        <v>0</v>
      </c>
      <c r="J4823" s="46">
        <v>150</v>
      </c>
      <c r="K4823" s="46">
        <v>30</v>
      </c>
      <c r="L4823" s="46">
        <v>0</v>
      </c>
      <c r="M4823" s="46">
        <v>0</v>
      </c>
      <c r="N4823" s="46">
        <v>0</v>
      </c>
      <c r="O4823" s="46">
        <v>0</v>
      </c>
      <c r="P4823" s="47">
        <f>((K4823*5500)+(30*10000))/1000000</f>
        <v>0.46500000000000002</v>
      </c>
      <c r="Q4823" s="27" t="s">
        <v>154</v>
      </c>
      <c r="R4823" s="160"/>
      <c r="S4823" s="164"/>
      <c r="T4823" s="164"/>
    </row>
    <row r="4824" spans="1:20" s="162" customFormat="1" ht="72" x14ac:dyDescent="0.25">
      <c r="A4824" s="17">
        <v>41110</v>
      </c>
      <c r="B4824" s="17">
        <v>41110</v>
      </c>
      <c r="C4824" s="43">
        <v>2012</v>
      </c>
      <c r="D4824" s="24" t="s">
        <v>141</v>
      </c>
      <c r="E4824" s="30" t="s">
        <v>142</v>
      </c>
      <c r="F4824" s="7" t="s">
        <v>97</v>
      </c>
      <c r="G4824" s="146" t="s">
        <v>6216</v>
      </c>
      <c r="H4824" s="147" t="s">
        <v>7010</v>
      </c>
      <c r="I4824" s="148">
        <v>0</v>
      </c>
      <c r="J4824" s="46">
        <v>0</v>
      </c>
      <c r="K4824" s="46">
        <v>0</v>
      </c>
      <c r="L4824" s="46">
        <v>0</v>
      </c>
      <c r="M4824" s="46">
        <v>0</v>
      </c>
      <c r="N4824" s="46">
        <v>0</v>
      </c>
      <c r="O4824" s="46">
        <v>0</v>
      </c>
      <c r="P4824" s="47">
        <f>((472500)+(29000*5.72))/1000000</f>
        <v>0.63837999999999995</v>
      </c>
      <c r="Q4824" s="27" t="s">
        <v>154</v>
      </c>
      <c r="R4824" s="160"/>
      <c r="S4824" s="164"/>
      <c r="T4824" s="164"/>
    </row>
    <row r="4825" spans="1:20" s="162" customFormat="1" ht="60" x14ac:dyDescent="0.25">
      <c r="A4825" s="17">
        <v>41111</v>
      </c>
      <c r="B4825" s="17">
        <v>41111</v>
      </c>
      <c r="C4825" s="43">
        <v>2012</v>
      </c>
      <c r="D4825" s="351" t="s">
        <v>23</v>
      </c>
      <c r="E4825" s="22" t="s">
        <v>86</v>
      </c>
      <c r="F4825" s="28" t="s">
        <v>157</v>
      </c>
      <c r="G4825" s="146" t="s">
        <v>3606</v>
      </c>
      <c r="H4825" s="147" t="s">
        <v>7011</v>
      </c>
      <c r="I4825" s="163">
        <v>0</v>
      </c>
      <c r="J4825" s="46">
        <v>135</v>
      </c>
      <c r="K4825" s="46">
        <v>27</v>
      </c>
      <c r="L4825" s="46">
        <v>0</v>
      </c>
      <c r="M4825" s="46">
        <v>0</v>
      </c>
      <c r="N4825" s="46">
        <v>0</v>
      </c>
      <c r="O4825" s="46">
        <v>0</v>
      </c>
      <c r="P4825" s="47">
        <f>((K4825*5500)+(13*39690))/1000000</f>
        <v>0.66447000000000001</v>
      </c>
      <c r="Q4825" s="27" t="s">
        <v>154</v>
      </c>
      <c r="R4825" s="160"/>
      <c r="S4825" s="164"/>
      <c r="T4825" s="164"/>
    </row>
    <row r="4826" spans="1:20" s="162" customFormat="1" ht="108" x14ac:dyDescent="0.25">
      <c r="A4826" s="17">
        <v>41112</v>
      </c>
      <c r="B4826" s="17">
        <v>41112</v>
      </c>
      <c r="C4826" s="43">
        <v>2012</v>
      </c>
      <c r="D4826" s="24" t="s">
        <v>141</v>
      </c>
      <c r="E4826" s="30" t="s">
        <v>142</v>
      </c>
      <c r="F4826" s="7" t="s">
        <v>58</v>
      </c>
      <c r="G4826" s="146" t="s">
        <v>6775</v>
      </c>
      <c r="H4826" s="147" t="s">
        <v>7012</v>
      </c>
      <c r="I4826" s="163">
        <v>3</v>
      </c>
      <c r="J4826" s="46">
        <v>4</v>
      </c>
      <c r="K4826" s="46">
        <v>0</v>
      </c>
      <c r="L4826" s="46">
        <v>0</v>
      </c>
      <c r="M4826" s="46">
        <v>0</v>
      </c>
      <c r="N4826" s="46">
        <v>0</v>
      </c>
      <c r="O4826" s="46">
        <v>0</v>
      </c>
      <c r="P4826" s="47">
        <f>((420000)+(39690))/1000000</f>
        <v>0.45968999999999999</v>
      </c>
      <c r="Q4826" s="27" t="s">
        <v>154</v>
      </c>
      <c r="R4826" s="160"/>
      <c r="S4826" s="164"/>
      <c r="T4826" s="164"/>
    </row>
    <row r="4827" spans="1:20" s="162" customFormat="1" ht="48" x14ac:dyDescent="0.25">
      <c r="A4827" s="17">
        <v>41103</v>
      </c>
      <c r="B4827" s="17">
        <v>41103</v>
      </c>
      <c r="C4827" s="43">
        <v>2012</v>
      </c>
      <c r="D4827" s="35" t="s">
        <v>17</v>
      </c>
      <c r="E4827" s="30" t="s">
        <v>1597</v>
      </c>
      <c r="F4827" s="7" t="s">
        <v>75</v>
      </c>
      <c r="G4827" s="146" t="s">
        <v>7013</v>
      </c>
      <c r="H4827" s="147" t="s">
        <v>7014</v>
      </c>
      <c r="I4827" s="163">
        <v>1</v>
      </c>
      <c r="J4827" s="46">
        <v>1</v>
      </c>
      <c r="K4827" s="46">
        <v>0</v>
      </c>
      <c r="L4827" s="46">
        <v>0</v>
      </c>
      <c r="M4827" s="46">
        <v>0</v>
      </c>
      <c r="N4827" s="46">
        <v>0</v>
      </c>
      <c r="O4827" s="46">
        <v>0</v>
      </c>
      <c r="P4827" s="47">
        <v>0</v>
      </c>
      <c r="Q4827" s="27" t="s">
        <v>154</v>
      </c>
      <c r="R4827" s="160"/>
      <c r="S4827" s="164"/>
      <c r="T4827" s="164"/>
    </row>
    <row r="4828" spans="1:20" s="162" customFormat="1" ht="144" x14ac:dyDescent="0.25">
      <c r="A4828" s="17">
        <v>41114</v>
      </c>
      <c r="B4828" s="17">
        <v>41114</v>
      </c>
      <c r="C4828" s="43">
        <v>2012</v>
      </c>
      <c r="D4828" s="351" t="s">
        <v>23</v>
      </c>
      <c r="E4828" s="22" t="s">
        <v>86</v>
      </c>
      <c r="F4828" s="7" t="s">
        <v>56</v>
      </c>
      <c r="G4828" s="146" t="s">
        <v>1160</v>
      </c>
      <c r="H4828" s="147" t="s">
        <v>7015</v>
      </c>
      <c r="I4828" s="163">
        <v>0</v>
      </c>
      <c r="J4828" s="46">
        <v>85</v>
      </c>
      <c r="K4828" s="46">
        <v>17</v>
      </c>
      <c r="L4828" s="46">
        <v>0</v>
      </c>
      <c r="M4828" s="46">
        <v>0</v>
      </c>
      <c r="N4828" s="46">
        <v>0</v>
      </c>
      <c r="O4828" s="46">
        <v>0</v>
      </c>
      <c r="P4828" s="47">
        <f>(K4828*5500)/1000000</f>
        <v>9.35E-2</v>
      </c>
      <c r="Q4828" s="27" t="s">
        <v>154</v>
      </c>
      <c r="R4828" s="160"/>
      <c r="S4828" s="164"/>
      <c r="T4828" s="164"/>
    </row>
    <row r="4829" spans="1:20" s="162" customFormat="1" ht="36" x14ac:dyDescent="0.25">
      <c r="A4829" s="17">
        <v>41114</v>
      </c>
      <c r="B4829" s="17">
        <v>41114</v>
      </c>
      <c r="C4829" s="43">
        <v>2012</v>
      </c>
      <c r="D4829" s="35" t="s">
        <v>28</v>
      </c>
      <c r="E4829" s="30" t="s">
        <v>133</v>
      </c>
      <c r="F4829" s="7" t="s">
        <v>45</v>
      </c>
      <c r="G4829" s="146" t="s">
        <v>1601</v>
      </c>
      <c r="H4829" s="147" t="s">
        <v>7016</v>
      </c>
      <c r="I4829" s="163">
        <v>0</v>
      </c>
      <c r="J4829" s="46">
        <v>5</v>
      </c>
      <c r="K4829" s="46">
        <v>0</v>
      </c>
      <c r="L4829" s="46">
        <v>0</v>
      </c>
      <c r="M4829" s="46">
        <v>0</v>
      </c>
      <c r="N4829" s="46">
        <v>0</v>
      </c>
      <c r="O4829" s="46">
        <v>0</v>
      </c>
      <c r="P4829" s="47">
        <v>0</v>
      </c>
      <c r="Q4829" s="27" t="s">
        <v>154</v>
      </c>
      <c r="R4829" s="160"/>
      <c r="S4829" s="164"/>
      <c r="T4829" s="164"/>
    </row>
    <row r="4830" spans="1:20" s="162" customFormat="1" ht="72" x14ac:dyDescent="0.25">
      <c r="A4830" s="17">
        <v>41115</v>
      </c>
      <c r="B4830" s="17">
        <v>41115</v>
      </c>
      <c r="C4830" s="43">
        <v>2012</v>
      </c>
      <c r="D4830" s="351" t="s">
        <v>23</v>
      </c>
      <c r="E4830" s="30" t="s">
        <v>5893</v>
      </c>
      <c r="F4830" s="7" t="s">
        <v>56</v>
      </c>
      <c r="G4830" s="146" t="s">
        <v>2792</v>
      </c>
      <c r="H4830" s="147" t="s">
        <v>7017</v>
      </c>
      <c r="I4830" s="163">
        <v>1</v>
      </c>
      <c r="J4830" s="46">
        <v>2</v>
      </c>
      <c r="K4830" s="46">
        <v>0</v>
      </c>
      <c r="L4830" s="46">
        <v>0</v>
      </c>
      <c r="M4830" s="46">
        <v>0</v>
      </c>
      <c r="N4830" s="46">
        <v>0</v>
      </c>
      <c r="O4830" s="46">
        <v>0</v>
      </c>
      <c r="P4830" s="47">
        <v>0</v>
      </c>
      <c r="Q4830" s="27" t="s">
        <v>154</v>
      </c>
      <c r="R4830" s="160"/>
      <c r="S4830" s="164"/>
      <c r="T4830" s="164"/>
    </row>
    <row r="4831" spans="1:20" s="162" customFormat="1" ht="72" x14ac:dyDescent="0.25">
      <c r="A4831" s="21">
        <v>41116</v>
      </c>
      <c r="B4831" s="17">
        <v>41116</v>
      </c>
      <c r="C4831" s="43">
        <v>2012</v>
      </c>
      <c r="D4831" s="35" t="s">
        <v>28</v>
      </c>
      <c r="E4831" s="30" t="s">
        <v>133</v>
      </c>
      <c r="F4831" s="7" t="s">
        <v>25</v>
      </c>
      <c r="G4831" s="126" t="s">
        <v>25</v>
      </c>
      <c r="H4831" s="147" t="s">
        <v>7018</v>
      </c>
      <c r="I4831" s="163">
        <v>0</v>
      </c>
      <c r="J4831" s="46">
        <v>1</v>
      </c>
      <c r="K4831" s="46">
        <v>0</v>
      </c>
      <c r="L4831" s="46">
        <v>0</v>
      </c>
      <c r="M4831" s="46">
        <v>0</v>
      </c>
      <c r="N4831" s="46">
        <v>1</v>
      </c>
      <c r="O4831" s="46">
        <v>0</v>
      </c>
      <c r="P4831" s="47">
        <v>0</v>
      </c>
      <c r="Q4831" s="27" t="s">
        <v>154</v>
      </c>
      <c r="R4831" s="160"/>
      <c r="S4831" s="164"/>
      <c r="T4831" s="164"/>
    </row>
    <row r="4832" spans="1:20" s="162" customFormat="1" ht="240" x14ac:dyDescent="0.25">
      <c r="A4832" s="17">
        <v>41116</v>
      </c>
      <c r="B4832" s="17">
        <v>41116</v>
      </c>
      <c r="C4832" s="43">
        <v>2012</v>
      </c>
      <c r="D4832" s="351" t="s">
        <v>23</v>
      </c>
      <c r="E4832" s="22" t="s">
        <v>86</v>
      </c>
      <c r="F4832" s="7" t="s">
        <v>60</v>
      </c>
      <c r="G4832" s="146" t="s">
        <v>7019</v>
      </c>
      <c r="H4832" s="147" t="s">
        <v>7020</v>
      </c>
      <c r="I4832" s="163">
        <v>0</v>
      </c>
      <c r="J4832" s="46">
        <v>295</v>
      </c>
      <c r="K4832" s="46">
        <v>59</v>
      </c>
      <c r="L4832" s="46">
        <v>0</v>
      </c>
      <c r="M4832" s="46">
        <v>0</v>
      </c>
      <c r="N4832" s="46">
        <v>40</v>
      </c>
      <c r="O4832" s="46">
        <v>0</v>
      </c>
      <c r="P4832" s="47">
        <f>((K4832*5500)+(40*10000))/1000000</f>
        <v>0.72450000000000003</v>
      </c>
      <c r="Q4832" s="27" t="s">
        <v>154</v>
      </c>
      <c r="R4832" s="160"/>
      <c r="S4832" s="164"/>
      <c r="T4832" s="164"/>
    </row>
    <row r="4833" spans="1:20" s="162" customFormat="1" ht="84" x14ac:dyDescent="0.25">
      <c r="A4833" s="17">
        <v>41116</v>
      </c>
      <c r="B4833" s="17">
        <v>41116</v>
      </c>
      <c r="C4833" s="43">
        <v>2012</v>
      </c>
      <c r="D4833" s="351" t="s">
        <v>23</v>
      </c>
      <c r="E4833" s="22" t="s">
        <v>86</v>
      </c>
      <c r="F4833" s="7" t="s">
        <v>87</v>
      </c>
      <c r="G4833" s="146" t="s">
        <v>2608</v>
      </c>
      <c r="H4833" s="147" t="s">
        <v>7021</v>
      </c>
      <c r="I4833" s="163">
        <v>2</v>
      </c>
      <c r="J4833" s="46">
        <v>73</v>
      </c>
      <c r="K4833" s="46">
        <v>14</v>
      </c>
      <c r="L4833" s="46">
        <v>0</v>
      </c>
      <c r="M4833" s="46">
        <v>0</v>
      </c>
      <c r="N4833" s="46">
        <v>0</v>
      </c>
      <c r="O4833" s="46">
        <v>0</v>
      </c>
      <c r="P4833" s="47">
        <f>(14*5500)/1000000</f>
        <v>7.6999999999999999E-2</v>
      </c>
      <c r="Q4833" s="27" t="s">
        <v>154</v>
      </c>
      <c r="R4833" s="160"/>
      <c r="S4833" s="164"/>
      <c r="T4833" s="164"/>
    </row>
    <row r="4834" spans="1:20" s="162" customFormat="1" ht="72" x14ac:dyDescent="0.25">
      <c r="A4834" s="21">
        <v>41116</v>
      </c>
      <c r="B4834" s="21">
        <v>41116</v>
      </c>
      <c r="C4834" s="43">
        <v>2012</v>
      </c>
      <c r="D4834" s="351" t="s">
        <v>23</v>
      </c>
      <c r="E4834" s="22" t="s">
        <v>86</v>
      </c>
      <c r="F4834" s="7" t="s">
        <v>25</v>
      </c>
      <c r="G4834" s="126" t="s">
        <v>7022</v>
      </c>
      <c r="H4834" s="147" t="s">
        <v>7023</v>
      </c>
      <c r="I4834" s="163">
        <v>1</v>
      </c>
      <c r="J4834" s="46">
        <v>1</v>
      </c>
      <c r="K4834" s="46">
        <v>0</v>
      </c>
      <c r="L4834" s="46">
        <v>0</v>
      </c>
      <c r="M4834" s="46">
        <v>0</v>
      </c>
      <c r="N4834" s="46">
        <v>0</v>
      </c>
      <c r="O4834" s="46">
        <v>0</v>
      </c>
      <c r="P4834" s="47">
        <v>0</v>
      </c>
      <c r="Q4834" s="27" t="s">
        <v>154</v>
      </c>
      <c r="R4834" s="160"/>
      <c r="S4834" s="164"/>
      <c r="T4834" s="164"/>
    </row>
    <row r="4835" spans="1:20" s="162" customFormat="1" ht="60" x14ac:dyDescent="0.25">
      <c r="A4835" s="17">
        <v>41117</v>
      </c>
      <c r="B4835" s="17">
        <v>41117</v>
      </c>
      <c r="C4835" s="43">
        <v>2012</v>
      </c>
      <c r="D4835" s="24" t="s">
        <v>141</v>
      </c>
      <c r="E4835" s="30" t="s">
        <v>142</v>
      </c>
      <c r="F4835" s="7" t="s">
        <v>56</v>
      </c>
      <c r="G4835" s="146" t="s">
        <v>1707</v>
      </c>
      <c r="H4835" s="147" t="s">
        <v>7024</v>
      </c>
      <c r="I4835" s="163">
        <v>0</v>
      </c>
      <c r="J4835" s="46">
        <v>35</v>
      </c>
      <c r="K4835" s="46">
        <v>0</v>
      </c>
      <c r="L4835" s="46">
        <v>0</v>
      </c>
      <c r="M4835" s="46">
        <v>0</v>
      </c>
      <c r="N4835" s="46">
        <v>0</v>
      </c>
      <c r="O4835" s="46">
        <v>0</v>
      </c>
      <c r="P4835" s="47">
        <f>(420000+39690)/1000000</f>
        <v>0.45968999999999999</v>
      </c>
      <c r="Q4835" s="27" t="s">
        <v>154</v>
      </c>
      <c r="R4835" s="160"/>
      <c r="S4835" s="164"/>
      <c r="T4835" s="164"/>
    </row>
    <row r="4836" spans="1:20" s="162" customFormat="1" ht="60" x14ac:dyDescent="0.25">
      <c r="A4836" s="17">
        <v>41117</v>
      </c>
      <c r="B4836" s="17">
        <v>41117</v>
      </c>
      <c r="C4836" s="43">
        <v>2012</v>
      </c>
      <c r="D4836" s="351" t="s">
        <v>23</v>
      </c>
      <c r="E4836" s="22" t="s">
        <v>86</v>
      </c>
      <c r="F4836" s="7" t="s">
        <v>53</v>
      </c>
      <c r="G4836" s="146" t="s">
        <v>2309</v>
      </c>
      <c r="H4836" s="147" t="s">
        <v>7025</v>
      </c>
      <c r="I4836" s="163">
        <v>0</v>
      </c>
      <c r="J4836" s="46">
        <v>110</v>
      </c>
      <c r="K4836" s="46">
        <v>22</v>
      </c>
      <c r="L4836" s="46">
        <v>0</v>
      </c>
      <c r="M4836" s="46">
        <v>0</v>
      </c>
      <c r="N4836" s="46">
        <v>0</v>
      </c>
      <c r="O4836" s="46">
        <v>0</v>
      </c>
      <c r="P4836" s="47">
        <f>(22*5500)/1000000</f>
        <v>0.121</v>
      </c>
      <c r="Q4836" s="27" t="s">
        <v>154</v>
      </c>
      <c r="R4836" s="160"/>
      <c r="S4836" s="164"/>
      <c r="T4836" s="164"/>
    </row>
    <row r="4837" spans="1:20" s="162" customFormat="1" ht="168" x14ac:dyDescent="0.25">
      <c r="A4837" s="17">
        <v>41115</v>
      </c>
      <c r="B4837" s="17">
        <v>41118</v>
      </c>
      <c r="C4837" s="43">
        <v>2012</v>
      </c>
      <c r="D4837" s="351" t="s">
        <v>23</v>
      </c>
      <c r="E4837" s="22" t="s">
        <v>86</v>
      </c>
      <c r="F4837" s="7" t="s">
        <v>56</v>
      </c>
      <c r="G4837" s="146" t="s">
        <v>7026</v>
      </c>
      <c r="H4837" s="147" t="s">
        <v>7027</v>
      </c>
      <c r="I4837" s="148">
        <v>0</v>
      </c>
      <c r="J4837" s="46">
        <v>595</v>
      </c>
      <c r="K4837" s="46">
        <v>119</v>
      </c>
      <c r="L4837" s="46">
        <v>0</v>
      </c>
      <c r="M4837" s="46">
        <v>0</v>
      </c>
      <c r="N4837" s="46">
        <v>0</v>
      </c>
      <c r="O4837" s="46">
        <v>0</v>
      </c>
      <c r="P4837" s="47">
        <f>((8*120000)+(15*28000)+(96*5500))/1000000</f>
        <v>1.9079999999999999</v>
      </c>
      <c r="Q4837" s="27" t="s">
        <v>154</v>
      </c>
      <c r="R4837" s="160"/>
      <c r="S4837" s="164"/>
      <c r="T4837" s="164"/>
    </row>
    <row r="4838" spans="1:20" s="162" customFormat="1" ht="60" x14ac:dyDescent="0.25">
      <c r="A4838" s="17">
        <v>41118</v>
      </c>
      <c r="B4838" s="17">
        <v>41118</v>
      </c>
      <c r="C4838" s="43">
        <v>2012</v>
      </c>
      <c r="D4838" s="24" t="s">
        <v>141</v>
      </c>
      <c r="E4838" s="30" t="s">
        <v>142</v>
      </c>
      <c r="F4838" s="7" t="s">
        <v>53</v>
      </c>
      <c r="G4838" s="146" t="s">
        <v>7028</v>
      </c>
      <c r="H4838" s="147" t="s">
        <v>7029</v>
      </c>
      <c r="I4838" s="163">
        <v>3</v>
      </c>
      <c r="J4838" s="46">
        <v>3</v>
      </c>
      <c r="K4838" s="46">
        <v>0</v>
      </c>
      <c r="L4838" s="46">
        <v>0</v>
      </c>
      <c r="M4838" s="46">
        <v>0</v>
      </c>
      <c r="N4838" s="46">
        <v>0</v>
      </c>
      <c r="O4838" s="46">
        <v>0</v>
      </c>
      <c r="P4838" s="47">
        <v>1</v>
      </c>
      <c r="Q4838" s="27" t="s">
        <v>154</v>
      </c>
      <c r="R4838" s="160"/>
      <c r="S4838" s="164"/>
      <c r="T4838" s="164"/>
    </row>
    <row r="4839" spans="1:20" s="162" customFormat="1" ht="72" x14ac:dyDescent="0.25">
      <c r="A4839" s="17">
        <v>41119</v>
      </c>
      <c r="B4839" s="17">
        <v>41119</v>
      </c>
      <c r="C4839" s="43">
        <v>2012</v>
      </c>
      <c r="D4839" s="24" t="s">
        <v>141</v>
      </c>
      <c r="E4839" s="30" t="s">
        <v>142</v>
      </c>
      <c r="F4839" s="7" t="s">
        <v>84</v>
      </c>
      <c r="G4839" s="146" t="s">
        <v>3740</v>
      </c>
      <c r="H4839" s="147" t="s">
        <v>7030</v>
      </c>
      <c r="I4839" s="163">
        <v>2</v>
      </c>
      <c r="J4839" s="46">
        <v>3</v>
      </c>
      <c r="K4839" s="46">
        <v>0</v>
      </c>
      <c r="L4839" s="46">
        <v>0</v>
      </c>
      <c r="M4839" s="46">
        <v>0</v>
      </c>
      <c r="N4839" s="46">
        <v>0</v>
      </c>
      <c r="O4839" s="46">
        <v>0</v>
      </c>
      <c r="P4839" s="47">
        <f>(0.03969)</f>
        <v>3.9690000000000003E-2</v>
      </c>
      <c r="Q4839" s="27" t="s">
        <v>154</v>
      </c>
      <c r="R4839" s="160"/>
      <c r="S4839" s="164"/>
      <c r="T4839" s="164"/>
    </row>
    <row r="4840" spans="1:20" s="162" customFormat="1" ht="72" x14ac:dyDescent="0.25">
      <c r="A4840" s="17">
        <v>41119</v>
      </c>
      <c r="B4840" s="17">
        <v>41119</v>
      </c>
      <c r="C4840" s="43">
        <v>2012</v>
      </c>
      <c r="D4840" s="24" t="s">
        <v>141</v>
      </c>
      <c r="E4840" s="30" t="s">
        <v>142</v>
      </c>
      <c r="F4840" s="7" t="s">
        <v>62</v>
      </c>
      <c r="G4840" s="146" t="s">
        <v>165</v>
      </c>
      <c r="H4840" s="147" t="s">
        <v>7031</v>
      </c>
      <c r="I4840" s="163">
        <v>2</v>
      </c>
      <c r="J4840" s="46">
        <v>12</v>
      </c>
      <c r="K4840" s="46">
        <v>0</v>
      </c>
      <c r="L4840" s="46">
        <v>0</v>
      </c>
      <c r="M4840" s="46">
        <v>0</v>
      </c>
      <c r="N4840" s="46">
        <v>0</v>
      </c>
      <c r="O4840" s="46">
        <v>0</v>
      </c>
      <c r="P4840" s="47">
        <f>((420000+39690))/1000000</f>
        <v>0.45968999999999999</v>
      </c>
      <c r="Q4840" s="27" t="s">
        <v>154</v>
      </c>
      <c r="R4840" s="160"/>
      <c r="S4840" s="164"/>
      <c r="T4840" s="164"/>
    </row>
    <row r="4841" spans="1:20" s="162" customFormat="1" ht="72" x14ac:dyDescent="0.25">
      <c r="A4841" s="17">
        <v>41120</v>
      </c>
      <c r="B4841" s="17">
        <v>41120</v>
      </c>
      <c r="C4841" s="43">
        <v>2012</v>
      </c>
      <c r="D4841" s="24" t="s">
        <v>141</v>
      </c>
      <c r="E4841" s="30" t="s">
        <v>142</v>
      </c>
      <c r="F4841" s="7" t="s">
        <v>56</v>
      </c>
      <c r="G4841" s="146" t="s">
        <v>1638</v>
      </c>
      <c r="H4841" s="147" t="s">
        <v>7032</v>
      </c>
      <c r="I4841" s="163">
        <v>0</v>
      </c>
      <c r="J4841" s="46">
        <v>22</v>
      </c>
      <c r="K4841" s="46">
        <v>0</v>
      </c>
      <c r="L4841" s="46">
        <v>0</v>
      </c>
      <c r="M4841" s="46">
        <v>0</v>
      </c>
      <c r="N4841" s="46">
        <v>0</v>
      </c>
      <c r="O4841" s="46">
        <v>0</v>
      </c>
      <c r="P4841" s="47">
        <f>(420000+288750)/1000000</f>
        <v>0.70874999999999999</v>
      </c>
      <c r="Q4841" s="27" t="s">
        <v>154</v>
      </c>
      <c r="R4841" s="160"/>
      <c r="S4841" s="164"/>
      <c r="T4841" s="164"/>
    </row>
    <row r="4842" spans="1:20" s="162" customFormat="1" ht="72" x14ac:dyDescent="0.25">
      <c r="A4842" s="17">
        <v>41119</v>
      </c>
      <c r="B4842" s="17">
        <v>41119</v>
      </c>
      <c r="C4842" s="43">
        <v>2012</v>
      </c>
      <c r="D4842" s="24" t="s">
        <v>141</v>
      </c>
      <c r="E4842" s="30" t="s">
        <v>142</v>
      </c>
      <c r="F4842" s="7" t="s">
        <v>97</v>
      </c>
      <c r="G4842" s="146" t="s">
        <v>2977</v>
      </c>
      <c r="H4842" s="147" t="s">
        <v>7033</v>
      </c>
      <c r="I4842" s="163">
        <v>0</v>
      </c>
      <c r="J4842" s="46">
        <v>0</v>
      </c>
      <c r="K4842" s="46">
        <v>0</v>
      </c>
      <c r="L4842" s="46">
        <v>0</v>
      </c>
      <c r="M4842" s="46">
        <v>0</v>
      </c>
      <c r="N4842" s="46">
        <v>0</v>
      </c>
      <c r="O4842" s="46">
        <v>0</v>
      </c>
      <c r="P4842" s="47">
        <f>((472500)+(25000*5.72))/1000000</f>
        <v>0.61550000000000005</v>
      </c>
      <c r="Q4842" s="27" t="s">
        <v>154</v>
      </c>
      <c r="R4842" s="160"/>
      <c r="S4842" s="164"/>
      <c r="T4842" s="164"/>
    </row>
    <row r="4843" spans="1:20" s="162" customFormat="1" ht="108" x14ac:dyDescent="0.25">
      <c r="A4843" s="17">
        <v>41120</v>
      </c>
      <c r="B4843" s="17">
        <v>41120</v>
      </c>
      <c r="C4843" s="43">
        <v>2012</v>
      </c>
      <c r="D4843" s="24" t="s">
        <v>141</v>
      </c>
      <c r="E4843" s="30" t="s">
        <v>142</v>
      </c>
      <c r="F4843" s="7" t="s">
        <v>58</v>
      </c>
      <c r="G4843" s="146" t="s">
        <v>2184</v>
      </c>
      <c r="H4843" s="147" t="s">
        <v>7034</v>
      </c>
      <c r="I4843" s="163">
        <v>1</v>
      </c>
      <c r="J4843" s="46">
        <v>5</v>
      </c>
      <c r="K4843" s="46">
        <v>0</v>
      </c>
      <c r="L4843" s="46">
        <v>0</v>
      </c>
      <c r="M4843" s="46">
        <v>0</v>
      </c>
      <c r="N4843" s="46">
        <v>0</v>
      </c>
      <c r="O4843" s="46">
        <v>0</v>
      </c>
      <c r="P4843" s="47">
        <f>(39690*3)/1000000</f>
        <v>0.11907</v>
      </c>
      <c r="Q4843" s="27" t="s">
        <v>154</v>
      </c>
      <c r="R4843" s="160"/>
      <c r="S4843" s="164"/>
      <c r="T4843" s="164"/>
    </row>
    <row r="4844" spans="1:20" s="162" customFormat="1" ht="144" x14ac:dyDescent="0.25">
      <c r="A4844" s="17">
        <v>41122</v>
      </c>
      <c r="B4844" s="17">
        <v>41123</v>
      </c>
      <c r="C4844" s="43">
        <v>2012</v>
      </c>
      <c r="D4844" s="351" t="s">
        <v>23</v>
      </c>
      <c r="E4844" s="22" t="s">
        <v>86</v>
      </c>
      <c r="F4844" s="7" t="s">
        <v>58</v>
      </c>
      <c r="G4844" s="146" t="s">
        <v>6757</v>
      </c>
      <c r="H4844" s="147" t="s">
        <v>7035</v>
      </c>
      <c r="I4844" s="163">
        <v>0</v>
      </c>
      <c r="J4844" s="46">
        <v>44</v>
      </c>
      <c r="K4844" s="46">
        <v>8</v>
      </c>
      <c r="L4844" s="46">
        <v>0</v>
      </c>
      <c r="M4844" s="46">
        <v>0</v>
      </c>
      <c r="N4844" s="46">
        <v>0</v>
      </c>
      <c r="O4844" s="46">
        <v>0</v>
      </c>
      <c r="P4844" s="47">
        <f>((8*28000)+(18*329)+(16*208)+(6*71)+(8*251)+(8*157))/1000000</f>
        <v>0.23694000000000001</v>
      </c>
      <c r="Q4844" s="27" t="s">
        <v>154</v>
      </c>
      <c r="R4844" s="160"/>
      <c r="S4844" s="164"/>
      <c r="T4844" s="164"/>
    </row>
    <row r="4845" spans="1:20" s="162" customFormat="1" ht="108" x14ac:dyDescent="0.25">
      <c r="A4845" s="17">
        <v>41124</v>
      </c>
      <c r="B4845" s="17">
        <v>41124</v>
      </c>
      <c r="C4845" s="43">
        <v>2012</v>
      </c>
      <c r="D4845" s="351" t="s">
        <v>23</v>
      </c>
      <c r="E4845" s="22" t="s">
        <v>86</v>
      </c>
      <c r="F4845" s="7" t="s">
        <v>65</v>
      </c>
      <c r="G4845" s="146" t="s">
        <v>2627</v>
      </c>
      <c r="H4845" s="147" t="s">
        <v>7036</v>
      </c>
      <c r="I4845" s="163">
        <v>0</v>
      </c>
      <c r="J4845" s="46">
        <v>200</v>
      </c>
      <c r="K4845" s="46">
        <v>40</v>
      </c>
      <c r="L4845" s="46">
        <v>0</v>
      </c>
      <c r="M4845" s="46">
        <v>0</v>
      </c>
      <c r="N4845" s="46">
        <v>0</v>
      </c>
      <c r="O4845" s="46">
        <v>0</v>
      </c>
      <c r="P4845" s="47">
        <f>(K4845*5500)/1000000</f>
        <v>0.22</v>
      </c>
      <c r="Q4845" s="27" t="s">
        <v>154</v>
      </c>
      <c r="R4845" s="160"/>
      <c r="S4845" s="164"/>
      <c r="T4845" s="164"/>
    </row>
    <row r="4846" spans="1:20" s="162" customFormat="1" ht="84" x14ac:dyDescent="0.25">
      <c r="A4846" s="23">
        <v>41124</v>
      </c>
      <c r="B4846" s="23">
        <v>41124</v>
      </c>
      <c r="C4846" s="43">
        <v>2012</v>
      </c>
      <c r="D4846" s="35" t="s">
        <v>28</v>
      </c>
      <c r="E4846" s="30" t="s">
        <v>133</v>
      </c>
      <c r="F4846" s="7" t="s">
        <v>45</v>
      </c>
      <c r="G4846" s="146" t="s">
        <v>1696</v>
      </c>
      <c r="H4846" s="147" t="s">
        <v>7037</v>
      </c>
      <c r="I4846" s="163">
        <v>6</v>
      </c>
      <c r="J4846" s="46">
        <v>7</v>
      </c>
      <c r="K4846" s="46">
        <v>0</v>
      </c>
      <c r="L4846" s="46">
        <v>0</v>
      </c>
      <c r="M4846" s="46">
        <v>0</v>
      </c>
      <c r="N4846" s="46">
        <v>0</v>
      </c>
      <c r="O4846" s="46">
        <v>0</v>
      </c>
      <c r="P4846" s="47">
        <v>0</v>
      </c>
      <c r="Q4846" s="27" t="s">
        <v>154</v>
      </c>
      <c r="R4846" s="160"/>
      <c r="S4846" s="164"/>
      <c r="T4846" s="164"/>
    </row>
    <row r="4847" spans="1:20" s="162" customFormat="1" ht="72" x14ac:dyDescent="0.25">
      <c r="A4847" s="17">
        <v>41125</v>
      </c>
      <c r="B4847" s="17">
        <v>41125</v>
      </c>
      <c r="C4847" s="43">
        <v>2012</v>
      </c>
      <c r="D4847" s="24" t="s">
        <v>141</v>
      </c>
      <c r="E4847" s="30" t="s">
        <v>142</v>
      </c>
      <c r="F4847" s="7" t="s">
        <v>58</v>
      </c>
      <c r="G4847" s="146" t="s">
        <v>6775</v>
      </c>
      <c r="H4847" s="147" t="s">
        <v>7038</v>
      </c>
      <c r="I4847" s="163">
        <v>1</v>
      </c>
      <c r="J4847" s="46">
        <v>30</v>
      </c>
      <c r="K4847" s="46">
        <v>0</v>
      </c>
      <c r="L4847" s="46">
        <v>0</v>
      </c>
      <c r="M4847" s="46">
        <v>0</v>
      </c>
      <c r="N4847" s="46">
        <v>0</v>
      </c>
      <c r="O4847" s="46">
        <v>0</v>
      </c>
      <c r="P4847" s="47">
        <v>0.42</v>
      </c>
      <c r="Q4847" s="27" t="s">
        <v>154</v>
      </c>
      <c r="R4847" s="160"/>
      <c r="S4847" s="164"/>
      <c r="T4847" s="164"/>
    </row>
    <row r="4848" spans="1:20" s="162" customFormat="1" ht="72" x14ac:dyDescent="0.25">
      <c r="A4848" s="17">
        <v>41125</v>
      </c>
      <c r="B4848" s="17">
        <v>41125</v>
      </c>
      <c r="C4848" s="43">
        <v>2012</v>
      </c>
      <c r="D4848" s="35" t="s">
        <v>28</v>
      </c>
      <c r="E4848" s="6" t="s">
        <v>149</v>
      </c>
      <c r="F4848" s="28" t="s">
        <v>210</v>
      </c>
      <c r="G4848" s="146" t="s">
        <v>3623</v>
      </c>
      <c r="H4848" s="147" t="s">
        <v>7039</v>
      </c>
      <c r="I4848" s="163">
        <v>0</v>
      </c>
      <c r="J4848" s="46">
        <v>1</v>
      </c>
      <c r="K4848" s="46">
        <v>0</v>
      </c>
      <c r="L4848" s="46">
        <v>0</v>
      </c>
      <c r="M4848" s="46">
        <v>0</v>
      </c>
      <c r="N4848" s="46">
        <v>1</v>
      </c>
      <c r="O4848" s="46">
        <v>0</v>
      </c>
      <c r="P4848" s="47">
        <v>0</v>
      </c>
      <c r="Q4848" s="27" t="s">
        <v>154</v>
      </c>
      <c r="R4848" s="160"/>
      <c r="S4848" s="164"/>
      <c r="T4848" s="164"/>
    </row>
    <row r="4849" spans="1:20" s="162" customFormat="1" ht="108" x14ac:dyDescent="0.25">
      <c r="A4849" s="17">
        <v>41126</v>
      </c>
      <c r="B4849" s="17">
        <v>41126</v>
      </c>
      <c r="C4849" s="43">
        <v>2012</v>
      </c>
      <c r="D4849" s="24" t="s">
        <v>141</v>
      </c>
      <c r="E4849" s="30" t="s">
        <v>142</v>
      </c>
      <c r="F4849" s="25" t="s">
        <v>781</v>
      </c>
      <c r="G4849" s="146" t="s">
        <v>2337</v>
      </c>
      <c r="H4849" s="147" t="s">
        <v>7040</v>
      </c>
      <c r="I4849" s="163">
        <v>4</v>
      </c>
      <c r="J4849" s="46">
        <v>20</v>
      </c>
      <c r="K4849" s="46">
        <v>0</v>
      </c>
      <c r="L4849" s="46">
        <v>0</v>
      </c>
      <c r="M4849" s="46">
        <v>0</v>
      </c>
      <c r="N4849" s="46">
        <v>0</v>
      </c>
      <c r="O4849" s="46">
        <v>0</v>
      </c>
      <c r="P4849" s="47">
        <f>(420000+288750)/1000000</f>
        <v>0.70874999999999999</v>
      </c>
      <c r="Q4849" s="27" t="s">
        <v>154</v>
      </c>
      <c r="R4849" s="160"/>
      <c r="S4849" s="164"/>
      <c r="T4849" s="164"/>
    </row>
    <row r="4850" spans="1:20" s="162" customFormat="1" ht="120" x14ac:dyDescent="0.25">
      <c r="A4850" s="17">
        <v>41123</v>
      </c>
      <c r="B4850" s="17">
        <v>41244</v>
      </c>
      <c r="C4850" s="43">
        <v>2012</v>
      </c>
      <c r="D4850" s="351" t="s">
        <v>23</v>
      </c>
      <c r="E4850" s="22" t="s">
        <v>86</v>
      </c>
      <c r="F4850" s="7" t="s">
        <v>58</v>
      </c>
      <c r="G4850" s="146" t="s">
        <v>7041</v>
      </c>
      <c r="H4850" s="147" t="s">
        <v>7042</v>
      </c>
      <c r="I4850" s="148">
        <v>0</v>
      </c>
      <c r="J4850" s="46">
        <v>3005</v>
      </c>
      <c r="K4850" s="46">
        <v>601</v>
      </c>
      <c r="L4850" s="46">
        <v>0</v>
      </c>
      <c r="M4850" s="46">
        <v>0</v>
      </c>
      <c r="N4850" s="46">
        <v>0</v>
      </c>
      <c r="O4850" s="46">
        <v>0</v>
      </c>
      <c r="P4850" s="47">
        <f>(K4850*5500)/1000000</f>
        <v>3.3054999999999999</v>
      </c>
      <c r="Q4850" s="27" t="s">
        <v>154</v>
      </c>
      <c r="R4850" s="160"/>
      <c r="S4850" s="164"/>
      <c r="T4850" s="164"/>
    </row>
    <row r="4851" spans="1:20" s="162" customFormat="1" ht="60" x14ac:dyDescent="0.25">
      <c r="A4851" s="17">
        <v>41127</v>
      </c>
      <c r="B4851" s="17">
        <v>41127</v>
      </c>
      <c r="C4851" s="43">
        <v>2012</v>
      </c>
      <c r="D4851" s="24" t="s">
        <v>141</v>
      </c>
      <c r="E4851" s="30" t="s">
        <v>142</v>
      </c>
      <c r="F4851" s="7" t="s">
        <v>87</v>
      </c>
      <c r="G4851" s="146" t="s">
        <v>2168</v>
      </c>
      <c r="H4851" s="147" t="s">
        <v>7043</v>
      </c>
      <c r="I4851" s="163">
        <v>16</v>
      </c>
      <c r="J4851" s="46">
        <v>20</v>
      </c>
      <c r="K4851" s="46">
        <v>0</v>
      </c>
      <c r="L4851" s="46">
        <v>0</v>
      </c>
      <c r="M4851" s="46">
        <v>0</v>
      </c>
      <c r="N4851" s="46">
        <v>0</v>
      </c>
      <c r="O4851" s="46">
        <v>0</v>
      </c>
      <c r="P4851" s="47">
        <f>(288750+39690)/1000000</f>
        <v>0.32844000000000001</v>
      </c>
      <c r="Q4851" s="27" t="s">
        <v>154</v>
      </c>
      <c r="R4851" s="160"/>
      <c r="S4851" s="164"/>
      <c r="T4851" s="164"/>
    </row>
    <row r="4852" spans="1:20" s="162" customFormat="1" ht="72" x14ac:dyDescent="0.25">
      <c r="A4852" s="17">
        <v>41127</v>
      </c>
      <c r="B4852" s="17">
        <v>41127</v>
      </c>
      <c r="C4852" s="43">
        <v>2012</v>
      </c>
      <c r="D4852" s="351" t="s">
        <v>23</v>
      </c>
      <c r="E4852" s="30" t="s">
        <v>5893</v>
      </c>
      <c r="F4852" s="7" t="s">
        <v>58</v>
      </c>
      <c r="G4852" s="146" t="s">
        <v>6775</v>
      </c>
      <c r="H4852" s="147" t="s">
        <v>7044</v>
      </c>
      <c r="I4852" s="163">
        <v>1</v>
      </c>
      <c r="J4852" s="46">
        <v>1</v>
      </c>
      <c r="K4852" s="46">
        <v>0</v>
      </c>
      <c r="L4852" s="46">
        <v>0</v>
      </c>
      <c r="M4852" s="46">
        <v>0</v>
      </c>
      <c r="N4852" s="46">
        <v>0</v>
      </c>
      <c r="O4852" s="46">
        <v>0</v>
      </c>
      <c r="P4852" s="47">
        <v>0</v>
      </c>
      <c r="Q4852" s="27" t="s">
        <v>154</v>
      </c>
      <c r="R4852" s="160"/>
      <c r="S4852" s="164"/>
      <c r="T4852" s="164"/>
    </row>
    <row r="4853" spans="1:20" s="162" customFormat="1" ht="120" x14ac:dyDescent="0.25">
      <c r="A4853" s="17">
        <v>41127</v>
      </c>
      <c r="B4853" s="17">
        <v>41127</v>
      </c>
      <c r="C4853" s="43">
        <v>2012</v>
      </c>
      <c r="D4853" s="351" t="s">
        <v>23</v>
      </c>
      <c r="E4853" s="22" t="s">
        <v>86</v>
      </c>
      <c r="F4853" s="28" t="s">
        <v>210</v>
      </c>
      <c r="G4853" s="146" t="s">
        <v>4234</v>
      </c>
      <c r="H4853" s="147" t="s">
        <v>7045</v>
      </c>
      <c r="I4853" s="163">
        <v>2</v>
      </c>
      <c r="J4853" s="46">
        <v>3</v>
      </c>
      <c r="K4853" s="46">
        <v>0</v>
      </c>
      <c r="L4853" s="46">
        <v>0</v>
      </c>
      <c r="M4853" s="46">
        <v>0</v>
      </c>
      <c r="N4853" s="46">
        <v>0</v>
      </c>
      <c r="O4853" s="46">
        <v>0</v>
      </c>
      <c r="P4853" s="47">
        <v>0</v>
      </c>
      <c r="Q4853" s="27" t="s">
        <v>154</v>
      </c>
      <c r="R4853" s="160"/>
      <c r="S4853" s="164"/>
      <c r="T4853" s="164"/>
    </row>
    <row r="4854" spans="1:20" s="162" customFormat="1" ht="120" x14ac:dyDescent="0.25">
      <c r="A4854" s="17">
        <v>41111</v>
      </c>
      <c r="B4854" s="17">
        <v>41038</v>
      </c>
      <c r="C4854" s="43">
        <v>2012</v>
      </c>
      <c r="D4854" s="35" t="s">
        <v>17</v>
      </c>
      <c r="E4854" s="30" t="s">
        <v>1597</v>
      </c>
      <c r="F4854" s="28" t="s">
        <v>160</v>
      </c>
      <c r="G4854" s="146" t="s">
        <v>7046</v>
      </c>
      <c r="H4854" s="147" t="s">
        <v>7047</v>
      </c>
      <c r="I4854" s="148">
        <v>1</v>
      </c>
      <c r="J4854" s="46">
        <v>360</v>
      </c>
      <c r="K4854" s="46">
        <v>42</v>
      </c>
      <c r="L4854" s="46">
        <v>0</v>
      </c>
      <c r="M4854" s="46">
        <v>0</v>
      </c>
      <c r="N4854" s="46">
        <v>0</v>
      </c>
      <c r="O4854" s="46">
        <v>0</v>
      </c>
      <c r="P4854" s="47">
        <f>(42*5500)/1000000</f>
        <v>0.23100000000000001</v>
      </c>
      <c r="Q4854" s="27" t="s">
        <v>154</v>
      </c>
      <c r="R4854" s="160"/>
      <c r="S4854" s="164"/>
      <c r="T4854" s="164"/>
    </row>
    <row r="4855" spans="1:20" s="162" customFormat="1" ht="120" x14ac:dyDescent="0.25">
      <c r="A4855" s="21">
        <v>41129</v>
      </c>
      <c r="B4855" s="17">
        <v>41130</v>
      </c>
      <c r="C4855" s="43">
        <v>2012</v>
      </c>
      <c r="D4855" s="351" t="s">
        <v>23</v>
      </c>
      <c r="E4855" s="14" t="s">
        <v>32</v>
      </c>
      <c r="F4855" s="7" t="s">
        <v>72</v>
      </c>
      <c r="G4855" s="146" t="s">
        <v>7048</v>
      </c>
      <c r="H4855" s="147" t="s">
        <v>7049</v>
      </c>
      <c r="I4855" s="148">
        <v>3</v>
      </c>
      <c r="J4855" s="46">
        <v>138414</v>
      </c>
      <c r="K4855" s="46">
        <v>100</v>
      </c>
      <c r="L4855" s="46" t="s">
        <v>110</v>
      </c>
      <c r="M4855" s="46">
        <v>2</v>
      </c>
      <c r="N4855" s="46" t="s">
        <v>110</v>
      </c>
      <c r="O4855" s="46" t="s">
        <v>110</v>
      </c>
      <c r="P4855" s="47">
        <v>1135.425</v>
      </c>
      <c r="Q4855" s="149" t="s">
        <v>22</v>
      </c>
      <c r="R4855" s="160"/>
      <c r="S4855" s="161"/>
      <c r="T4855" s="161"/>
    </row>
    <row r="4856" spans="1:20" s="162" customFormat="1" ht="144" x14ac:dyDescent="0.25">
      <c r="A4856" s="17">
        <v>41131</v>
      </c>
      <c r="B4856" s="17">
        <v>41131</v>
      </c>
      <c r="C4856" s="43">
        <v>2012</v>
      </c>
      <c r="D4856" s="24" t="s">
        <v>141</v>
      </c>
      <c r="E4856" s="30" t="s">
        <v>142</v>
      </c>
      <c r="F4856" s="7" t="s">
        <v>84</v>
      </c>
      <c r="G4856" s="146" t="s">
        <v>2844</v>
      </c>
      <c r="H4856" s="147" t="s">
        <v>7050</v>
      </c>
      <c r="I4856" s="163">
        <v>5</v>
      </c>
      <c r="J4856" s="46">
        <v>10</v>
      </c>
      <c r="K4856" s="46">
        <v>0</v>
      </c>
      <c r="L4856" s="46">
        <v>0</v>
      </c>
      <c r="M4856" s="46">
        <v>0</v>
      </c>
      <c r="N4856" s="46">
        <v>0</v>
      </c>
      <c r="O4856" s="46">
        <v>0</v>
      </c>
      <c r="P4856" s="47">
        <v>3.9690000000000003E-2</v>
      </c>
      <c r="Q4856" s="27" t="s">
        <v>154</v>
      </c>
      <c r="R4856" s="160"/>
      <c r="S4856" s="164"/>
      <c r="T4856" s="164"/>
    </row>
    <row r="4857" spans="1:20" s="162" customFormat="1" ht="72" x14ac:dyDescent="0.25">
      <c r="A4857" s="17">
        <v>41132</v>
      </c>
      <c r="B4857" s="17">
        <v>41132</v>
      </c>
      <c r="C4857" s="43">
        <v>2012</v>
      </c>
      <c r="D4857" s="24" t="s">
        <v>141</v>
      </c>
      <c r="E4857" s="30" t="s">
        <v>142</v>
      </c>
      <c r="F4857" s="7" t="s">
        <v>53</v>
      </c>
      <c r="G4857" s="146" t="s">
        <v>7051</v>
      </c>
      <c r="H4857" s="147" t="s">
        <v>7052</v>
      </c>
      <c r="I4857" s="163">
        <v>0</v>
      </c>
      <c r="J4857" s="46">
        <v>1</v>
      </c>
      <c r="K4857" s="46">
        <v>0</v>
      </c>
      <c r="L4857" s="46">
        <v>0</v>
      </c>
      <c r="M4857" s="46">
        <v>0</v>
      </c>
      <c r="N4857" s="46">
        <v>0</v>
      </c>
      <c r="O4857" s="46">
        <v>0</v>
      </c>
      <c r="P4857" s="47">
        <v>0.47249999999999998</v>
      </c>
      <c r="Q4857" s="27" t="s">
        <v>154</v>
      </c>
      <c r="R4857" s="160"/>
      <c r="S4857" s="164"/>
      <c r="T4857" s="164"/>
    </row>
    <row r="4858" spans="1:20" s="162" customFormat="1" ht="120" x14ac:dyDescent="0.25">
      <c r="A4858" s="17">
        <v>41133</v>
      </c>
      <c r="B4858" s="17">
        <v>41133</v>
      </c>
      <c r="C4858" s="43">
        <v>2012</v>
      </c>
      <c r="D4858" s="24" t="s">
        <v>141</v>
      </c>
      <c r="E4858" s="30" t="s">
        <v>142</v>
      </c>
      <c r="F4858" s="25" t="s">
        <v>781</v>
      </c>
      <c r="G4858" s="146" t="s">
        <v>5007</v>
      </c>
      <c r="H4858" s="147" t="s">
        <v>7053</v>
      </c>
      <c r="I4858" s="163">
        <v>2</v>
      </c>
      <c r="J4858" s="46">
        <v>4</v>
      </c>
      <c r="K4858" s="46">
        <v>0</v>
      </c>
      <c r="L4858" s="46">
        <v>0</v>
      </c>
      <c r="M4858" s="46">
        <v>0</v>
      </c>
      <c r="N4858" s="46">
        <v>0</v>
      </c>
      <c r="O4858" s="46">
        <v>0</v>
      </c>
      <c r="P4858" s="47">
        <v>0.42</v>
      </c>
      <c r="Q4858" s="27" t="s">
        <v>154</v>
      </c>
      <c r="R4858" s="160"/>
      <c r="S4858" s="164"/>
      <c r="T4858" s="164"/>
    </row>
    <row r="4859" spans="1:20" s="162" customFormat="1" ht="96" x14ac:dyDescent="0.25">
      <c r="A4859" s="17">
        <v>41135</v>
      </c>
      <c r="B4859" s="17">
        <v>41135</v>
      </c>
      <c r="C4859" s="43">
        <v>2012</v>
      </c>
      <c r="D4859" s="24" t="s">
        <v>141</v>
      </c>
      <c r="E4859" s="30" t="s">
        <v>142</v>
      </c>
      <c r="F4859" s="7" t="s">
        <v>53</v>
      </c>
      <c r="G4859" s="146" t="s">
        <v>1502</v>
      </c>
      <c r="H4859" s="147" t="s">
        <v>7054</v>
      </c>
      <c r="I4859" s="163">
        <v>1</v>
      </c>
      <c r="J4859" s="46">
        <v>9</v>
      </c>
      <c r="K4859" s="46">
        <v>0</v>
      </c>
      <c r="L4859" s="46">
        <v>0</v>
      </c>
      <c r="M4859" s="46">
        <v>0</v>
      </c>
      <c r="N4859" s="46">
        <v>0</v>
      </c>
      <c r="O4859" s="46">
        <v>0</v>
      </c>
      <c r="P4859" s="47">
        <v>0.28875000000000001</v>
      </c>
      <c r="Q4859" s="27" t="s">
        <v>154</v>
      </c>
      <c r="R4859" s="160"/>
      <c r="S4859" s="164"/>
      <c r="T4859" s="164"/>
    </row>
    <row r="4860" spans="1:20" s="162" customFormat="1" ht="48" x14ac:dyDescent="0.25">
      <c r="A4860" s="17">
        <v>41135</v>
      </c>
      <c r="B4860" s="17">
        <v>41135</v>
      </c>
      <c r="C4860" s="43">
        <v>2012</v>
      </c>
      <c r="D4860" s="351" t="s">
        <v>23</v>
      </c>
      <c r="E4860" s="22" t="s">
        <v>86</v>
      </c>
      <c r="F4860" s="7" t="s">
        <v>65</v>
      </c>
      <c r="G4860" s="146" t="s">
        <v>2627</v>
      </c>
      <c r="H4860" s="147" t="s">
        <v>7055</v>
      </c>
      <c r="I4860" s="163">
        <v>0</v>
      </c>
      <c r="J4860" s="46">
        <v>105</v>
      </c>
      <c r="K4860" s="46">
        <v>21</v>
      </c>
      <c r="L4860" s="46">
        <v>0</v>
      </c>
      <c r="M4860" s="46">
        <v>0</v>
      </c>
      <c r="N4860" s="46">
        <v>0</v>
      </c>
      <c r="O4860" s="46">
        <v>0</v>
      </c>
      <c r="P4860" s="47">
        <f>(21*5500)/1000000</f>
        <v>0.11550000000000001</v>
      </c>
      <c r="Q4860" s="27" t="s">
        <v>154</v>
      </c>
      <c r="R4860" s="160"/>
      <c r="S4860" s="164"/>
      <c r="T4860" s="164"/>
    </row>
    <row r="4861" spans="1:20" s="162" customFormat="1" ht="96" x14ac:dyDescent="0.25">
      <c r="A4861" s="17">
        <v>41134</v>
      </c>
      <c r="B4861" s="17">
        <v>41134</v>
      </c>
      <c r="C4861" s="43">
        <v>2012</v>
      </c>
      <c r="D4861" s="351" t="s">
        <v>23</v>
      </c>
      <c r="E4861" s="22" t="s">
        <v>86</v>
      </c>
      <c r="F4861" s="7" t="s">
        <v>53</v>
      </c>
      <c r="G4861" s="126" t="s">
        <v>7056</v>
      </c>
      <c r="H4861" s="147" t="s">
        <v>7057</v>
      </c>
      <c r="I4861" s="163">
        <v>0</v>
      </c>
      <c r="J4861" s="46">
        <v>1000</v>
      </c>
      <c r="K4861" s="46">
        <v>200</v>
      </c>
      <c r="L4861" s="46">
        <v>0</v>
      </c>
      <c r="M4861" s="46">
        <v>0</v>
      </c>
      <c r="N4861" s="46">
        <v>0</v>
      </c>
      <c r="O4861" s="46">
        <v>0</v>
      </c>
      <c r="P4861" s="47">
        <f>(K4861*5500)/1000000</f>
        <v>1.1000000000000001</v>
      </c>
      <c r="Q4861" s="27" t="s">
        <v>154</v>
      </c>
      <c r="R4861" s="160"/>
      <c r="S4861" s="164"/>
      <c r="T4861" s="164"/>
    </row>
    <row r="4862" spans="1:20" s="162" customFormat="1" ht="84" x14ac:dyDescent="0.25">
      <c r="A4862" s="23">
        <v>41109</v>
      </c>
      <c r="B4862" s="23">
        <v>41116</v>
      </c>
      <c r="C4862" s="43">
        <v>2012</v>
      </c>
      <c r="D4862" s="351" t="s">
        <v>23</v>
      </c>
      <c r="E4862" s="22" t="s">
        <v>86</v>
      </c>
      <c r="F4862" s="7" t="s">
        <v>101</v>
      </c>
      <c r="G4862" s="146" t="s">
        <v>7058</v>
      </c>
      <c r="H4862" s="147" t="s">
        <v>7059</v>
      </c>
      <c r="I4862" s="163">
        <v>0</v>
      </c>
      <c r="J4862" s="46">
        <v>13510</v>
      </c>
      <c r="K4862" s="46">
        <v>2702</v>
      </c>
      <c r="L4862" s="46">
        <v>0</v>
      </c>
      <c r="M4862" s="46">
        <v>0</v>
      </c>
      <c r="N4862" s="46">
        <v>0</v>
      </c>
      <c r="O4862" s="46">
        <v>0</v>
      </c>
      <c r="P4862" s="47">
        <f>(K4862*5500)/1000000</f>
        <v>14.861000000000001</v>
      </c>
      <c r="Q4862" s="27" t="s">
        <v>154</v>
      </c>
      <c r="R4862" s="160"/>
      <c r="S4862" s="164"/>
      <c r="T4862" s="164"/>
    </row>
    <row r="4863" spans="1:20" s="162" customFormat="1" ht="84" x14ac:dyDescent="0.25">
      <c r="A4863" s="17">
        <v>41135</v>
      </c>
      <c r="B4863" s="17">
        <v>41135</v>
      </c>
      <c r="C4863" s="43">
        <v>2012</v>
      </c>
      <c r="D4863" s="351" t="s">
        <v>23</v>
      </c>
      <c r="E4863" s="30" t="s">
        <v>5893</v>
      </c>
      <c r="F4863" s="7" t="s">
        <v>56</v>
      </c>
      <c r="G4863" s="146" t="s">
        <v>7060</v>
      </c>
      <c r="H4863" s="147" t="s">
        <v>7061</v>
      </c>
      <c r="I4863" s="163">
        <v>1</v>
      </c>
      <c r="J4863" s="46">
        <v>2</v>
      </c>
      <c r="K4863" s="46">
        <v>0</v>
      </c>
      <c r="L4863" s="46">
        <v>0</v>
      </c>
      <c r="M4863" s="46">
        <v>0</v>
      </c>
      <c r="N4863" s="46">
        <v>0</v>
      </c>
      <c r="O4863" s="46">
        <v>0</v>
      </c>
      <c r="P4863" s="47">
        <v>0</v>
      </c>
      <c r="Q4863" s="27" t="s">
        <v>154</v>
      </c>
      <c r="R4863" s="160"/>
      <c r="S4863" s="164"/>
      <c r="T4863" s="164"/>
    </row>
    <row r="4864" spans="1:20" s="162" customFormat="1" ht="84" x14ac:dyDescent="0.25">
      <c r="A4864" s="17">
        <v>41134</v>
      </c>
      <c r="B4864" s="17">
        <v>41134</v>
      </c>
      <c r="C4864" s="43">
        <v>2012</v>
      </c>
      <c r="D4864" s="351" t="s">
        <v>23</v>
      </c>
      <c r="E4864" s="22" t="s">
        <v>86</v>
      </c>
      <c r="F4864" s="28" t="s">
        <v>210</v>
      </c>
      <c r="G4864" s="146" t="s">
        <v>4128</v>
      </c>
      <c r="H4864" s="147" t="s">
        <v>7062</v>
      </c>
      <c r="I4864" s="163">
        <v>2</v>
      </c>
      <c r="J4864" s="46">
        <v>2</v>
      </c>
      <c r="K4864" s="46">
        <v>0</v>
      </c>
      <c r="L4864" s="46">
        <v>0</v>
      </c>
      <c r="M4864" s="46">
        <v>0</v>
      </c>
      <c r="N4864" s="46">
        <v>0</v>
      </c>
      <c r="O4864" s="46">
        <v>0</v>
      </c>
      <c r="P4864" s="47">
        <v>0</v>
      </c>
      <c r="Q4864" s="27" t="s">
        <v>154</v>
      </c>
      <c r="R4864" s="160"/>
      <c r="S4864" s="164"/>
      <c r="T4864" s="164"/>
    </row>
    <row r="4865" spans="1:20" s="162" customFormat="1" ht="72" x14ac:dyDescent="0.25">
      <c r="A4865" s="21">
        <v>41128</v>
      </c>
      <c r="B4865" s="17">
        <v>41129</v>
      </c>
      <c r="C4865" s="43">
        <v>2012</v>
      </c>
      <c r="D4865" s="351" t="s">
        <v>23</v>
      </c>
      <c r="E4865" s="22" t="s">
        <v>86</v>
      </c>
      <c r="F4865" s="7" t="s">
        <v>49</v>
      </c>
      <c r="G4865" s="146" t="s">
        <v>7063</v>
      </c>
      <c r="H4865" s="147" t="s">
        <v>7064</v>
      </c>
      <c r="I4865" s="163">
        <v>0</v>
      </c>
      <c r="J4865" s="46">
        <v>1500</v>
      </c>
      <c r="K4865" s="46">
        <v>300</v>
      </c>
      <c r="L4865" s="46">
        <v>0</v>
      </c>
      <c r="M4865" s="46">
        <v>0</v>
      </c>
      <c r="N4865" s="46">
        <v>0</v>
      </c>
      <c r="O4865" s="46">
        <v>0</v>
      </c>
      <c r="P4865" s="47">
        <f>(K4865*5500)/1000000</f>
        <v>1.65</v>
      </c>
      <c r="Q4865" s="27" t="s">
        <v>154</v>
      </c>
      <c r="R4865" s="160"/>
      <c r="S4865" s="164"/>
      <c r="T4865" s="164"/>
    </row>
    <row r="4866" spans="1:20" s="162" customFormat="1" ht="84" x14ac:dyDescent="0.25">
      <c r="A4866" s="17">
        <v>41136</v>
      </c>
      <c r="B4866" s="17">
        <v>41136</v>
      </c>
      <c r="C4866" s="43">
        <v>2012</v>
      </c>
      <c r="D4866" s="35" t="s">
        <v>28</v>
      </c>
      <c r="E4866" s="30" t="s">
        <v>133</v>
      </c>
      <c r="F4866" s="7" t="s">
        <v>82</v>
      </c>
      <c r="G4866" s="146" t="s">
        <v>3981</v>
      </c>
      <c r="H4866" s="147" t="s">
        <v>7065</v>
      </c>
      <c r="I4866" s="163">
        <v>0</v>
      </c>
      <c r="J4866" s="46">
        <v>5</v>
      </c>
      <c r="K4866" s="46">
        <v>1</v>
      </c>
      <c r="L4866" s="46">
        <v>0</v>
      </c>
      <c r="M4866" s="46">
        <v>0</v>
      </c>
      <c r="N4866" s="46">
        <v>1</v>
      </c>
      <c r="O4866" s="46">
        <v>0</v>
      </c>
      <c r="P4866" s="47">
        <v>5.4999999999999997E-3</v>
      </c>
      <c r="Q4866" s="27" t="s">
        <v>154</v>
      </c>
      <c r="R4866" s="160"/>
      <c r="S4866" s="164"/>
      <c r="T4866" s="164"/>
    </row>
    <row r="4867" spans="1:20" s="162" customFormat="1" ht="60" x14ac:dyDescent="0.25">
      <c r="A4867" s="17">
        <v>41136</v>
      </c>
      <c r="B4867" s="17">
        <v>41136</v>
      </c>
      <c r="C4867" s="43">
        <v>2012</v>
      </c>
      <c r="D4867" s="24" t="s">
        <v>130</v>
      </c>
      <c r="E4867" s="30" t="s">
        <v>139</v>
      </c>
      <c r="F4867" s="7" t="s">
        <v>87</v>
      </c>
      <c r="G4867" s="146" t="s">
        <v>2141</v>
      </c>
      <c r="H4867" s="147" t="s">
        <v>7066</v>
      </c>
      <c r="I4867" s="163">
        <v>1</v>
      </c>
      <c r="J4867" s="46">
        <v>5</v>
      </c>
      <c r="K4867" s="46">
        <v>0</v>
      </c>
      <c r="L4867" s="46">
        <v>0</v>
      </c>
      <c r="M4867" s="46">
        <v>0</v>
      </c>
      <c r="N4867" s="46">
        <v>0</v>
      </c>
      <c r="O4867" s="46">
        <v>0</v>
      </c>
      <c r="P4867" s="47">
        <v>0</v>
      </c>
      <c r="Q4867" s="27" t="s">
        <v>154</v>
      </c>
      <c r="R4867" s="160"/>
      <c r="S4867" s="164"/>
      <c r="T4867" s="164"/>
    </row>
    <row r="4868" spans="1:20" s="162" customFormat="1" ht="108" x14ac:dyDescent="0.25">
      <c r="A4868" s="17">
        <v>41132</v>
      </c>
      <c r="B4868" s="17">
        <v>41132</v>
      </c>
      <c r="C4868" s="43">
        <v>2012</v>
      </c>
      <c r="D4868" s="24" t="s">
        <v>141</v>
      </c>
      <c r="E4868" s="6" t="s">
        <v>333</v>
      </c>
      <c r="F4868" s="28" t="s">
        <v>210</v>
      </c>
      <c r="G4868" s="146" t="s">
        <v>7067</v>
      </c>
      <c r="H4868" s="147" t="s">
        <v>7068</v>
      </c>
      <c r="I4868" s="163">
        <v>0</v>
      </c>
      <c r="J4868" s="46">
        <v>160</v>
      </c>
      <c r="K4868" s="46">
        <v>32</v>
      </c>
      <c r="L4868" s="46">
        <v>0</v>
      </c>
      <c r="M4868" s="46">
        <v>0</v>
      </c>
      <c r="N4868" s="46">
        <v>0</v>
      </c>
      <c r="O4868" s="46">
        <v>0</v>
      </c>
      <c r="P4868" s="47">
        <f>((K4868*5500)+(32*10000))/1000000</f>
        <v>0.496</v>
      </c>
      <c r="Q4868" s="27" t="s">
        <v>154</v>
      </c>
      <c r="R4868" s="160"/>
      <c r="S4868" s="164"/>
      <c r="T4868" s="164"/>
    </row>
    <row r="4869" spans="1:20" s="162" customFormat="1" ht="96" x14ac:dyDescent="0.25">
      <c r="A4869" s="17">
        <v>41136</v>
      </c>
      <c r="B4869" s="17">
        <v>41136</v>
      </c>
      <c r="C4869" s="43">
        <v>2012</v>
      </c>
      <c r="D4869" s="351" t="s">
        <v>23</v>
      </c>
      <c r="E4869" s="22" t="s">
        <v>86</v>
      </c>
      <c r="F4869" s="7" t="s">
        <v>84</v>
      </c>
      <c r="G4869" s="146" t="s">
        <v>2844</v>
      </c>
      <c r="H4869" s="147" t="s">
        <v>7069</v>
      </c>
      <c r="I4869" s="163">
        <v>0</v>
      </c>
      <c r="J4869" s="46">
        <v>750</v>
      </c>
      <c r="K4869" s="46">
        <v>150</v>
      </c>
      <c r="L4869" s="46">
        <v>0</v>
      </c>
      <c r="M4869" s="46">
        <v>0</v>
      </c>
      <c r="N4869" s="46">
        <v>0</v>
      </c>
      <c r="O4869" s="46">
        <v>0</v>
      </c>
      <c r="P4869" s="47">
        <f>(K4869*5500)/1000000</f>
        <v>0.82499999999999996</v>
      </c>
      <c r="Q4869" s="27" t="s">
        <v>154</v>
      </c>
      <c r="R4869" s="160"/>
      <c r="S4869" s="164"/>
      <c r="T4869" s="164"/>
    </row>
    <row r="4870" spans="1:20" s="162" customFormat="1" ht="48" x14ac:dyDescent="0.25">
      <c r="A4870" s="17">
        <v>41137</v>
      </c>
      <c r="B4870" s="17">
        <v>41137</v>
      </c>
      <c r="C4870" s="43">
        <v>2012</v>
      </c>
      <c r="D4870" s="24" t="s">
        <v>130</v>
      </c>
      <c r="E4870" s="30" t="s">
        <v>139</v>
      </c>
      <c r="F4870" s="7" t="s">
        <v>56</v>
      </c>
      <c r="G4870" s="146" t="s">
        <v>3722</v>
      </c>
      <c r="H4870" s="147" t="s">
        <v>7070</v>
      </c>
      <c r="I4870" s="163">
        <v>0</v>
      </c>
      <c r="J4870" s="46">
        <v>11</v>
      </c>
      <c r="K4870" s="46">
        <v>0</v>
      </c>
      <c r="L4870" s="46">
        <v>0</v>
      </c>
      <c r="M4870" s="46">
        <v>0</v>
      </c>
      <c r="N4870" s="46">
        <v>0</v>
      </c>
      <c r="O4870" s="46">
        <v>0</v>
      </c>
      <c r="P4870" s="47">
        <v>0</v>
      </c>
      <c r="Q4870" s="27" t="s">
        <v>154</v>
      </c>
      <c r="R4870" s="160"/>
      <c r="S4870" s="164"/>
      <c r="T4870" s="164"/>
    </row>
    <row r="4871" spans="1:20" s="162" customFormat="1" ht="96" x14ac:dyDescent="0.25">
      <c r="A4871" s="23">
        <v>41138</v>
      </c>
      <c r="B4871" s="23">
        <v>41138</v>
      </c>
      <c r="C4871" s="43">
        <v>2012</v>
      </c>
      <c r="D4871" s="24" t="s">
        <v>141</v>
      </c>
      <c r="E4871" s="30" t="s">
        <v>142</v>
      </c>
      <c r="F4871" s="7" t="s">
        <v>67</v>
      </c>
      <c r="G4871" s="146" t="s">
        <v>6997</v>
      </c>
      <c r="H4871" s="147" t="s">
        <v>7071</v>
      </c>
      <c r="I4871" s="163">
        <v>1</v>
      </c>
      <c r="J4871" s="46">
        <v>45</v>
      </c>
      <c r="K4871" s="46">
        <v>0</v>
      </c>
      <c r="L4871" s="46">
        <v>0</v>
      </c>
      <c r="M4871" s="46">
        <v>0</v>
      </c>
      <c r="N4871" s="46">
        <v>0</v>
      </c>
      <c r="O4871" s="46">
        <v>0</v>
      </c>
      <c r="P4871" s="47">
        <v>0.42</v>
      </c>
      <c r="Q4871" s="27" t="s">
        <v>154</v>
      </c>
      <c r="R4871" s="160"/>
      <c r="S4871" s="164"/>
      <c r="T4871" s="164"/>
    </row>
    <row r="4872" spans="1:20" s="162" customFormat="1" ht="84" x14ac:dyDescent="0.25">
      <c r="A4872" s="17">
        <v>41137</v>
      </c>
      <c r="B4872" s="17">
        <v>41137</v>
      </c>
      <c r="C4872" s="43">
        <v>2012</v>
      </c>
      <c r="D4872" s="24" t="s">
        <v>141</v>
      </c>
      <c r="E4872" s="30" t="s">
        <v>142</v>
      </c>
      <c r="F4872" s="7" t="s">
        <v>49</v>
      </c>
      <c r="G4872" s="146" t="s">
        <v>1206</v>
      </c>
      <c r="H4872" s="147" t="s">
        <v>7072</v>
      </c>
      <c r="I4872" s="163">
        <v>12</v>
      </c>
      <c r="J4872" s="46">
        <v>34</v>
      </c>
      <c r="K4872" s="46">
        <v>0</v>
      </c>
      <c r="L4872" s="46">
        <v>0</v>
      </c>
      <c r="M4872" s="46">
        <v>0</v>
      </c>
      <c r="N4872" s="46">
        <v>0</v>
      </c>
      <c r="O4872" s="46">
        <v>0</v>
      </c>
      <c r="P4872" s="47">
        <v>0.42</v>
      </c>
      <c r="Q4872" s="27" t="s">
        <v>154</v>
      </c>
      <c r="R4872" s="160"/>
      <c r="S4872" s="164"/>
      <c r="T4872" s="164"/>
    </row>
    <row r="4873" spans="1:20" s="162" customFormat="1" ht="84" x14ac:dyDescent="0.25">
      <c r="A4873" s="17">
        <v>41140</v>
      </c>
      <c r="B4873" s="17">
        <v>41140</v>
      </c>
      <c r="C4873" s="43">
        <v>2012</v>
      </c>
      <c r="D4873" s="24" t="s">
        <v>141</v>
      </c>
      <c r="E4873" s="30" t="s">
        <v>142</v>
      </c>
      <c r="F4873" s="7" t="s">
        <v>62</v>
      </c>
      <c r="G4873" s="146" t="s">
        <v>2562</v>
      </c>
      <c r="H4873" s="147" t="s">
        <v>7073</v>
      </c>
      <c r="I4873" s="163">
        <v>1</v>
      </c>
      <c r="J4873" s="46">
        <v>6</v>
      </c>
      <c r="K4873" s="46">
        <v>0</v>
      </c>
      <c r="L4873" s="46">
        <v>0</v>
      </c>
      <c r="M4873" s="46">
        <v>0</v>
      </c>
      <c r="N4873" s="46">
        <v>0</v>
      </c>
      <c r="O4873" s="46">
        <v>0</v>
      </c>
      <c r="P4873" s="47">
        <v>0.42</v>
      </c>
      <c r="Q4873" s="27" t="s">
        <v>154</v>
      </c>
      <c r="R4873" s="160"/>
      <c r="S4873" s="164"/>
      <c r="T4873" s="164"/>
    </row>
    <row r="4874" spans="1:20" s="162" customFormat="1" ht="72" x14ac:dyDescent="0.25">
      <c r="A4874" s="17">
        <v>41140</v>
      </c>
      <c r="B4874" s="17">
        <v>41140</v>
      </c>
      <c r="C4874" s="43">
        <v>2012</v>
      </c>
      <c r="D4874" s="351" t="s">
        <v>23</v>
      </c>
      <c r="E4874" s="22" t="s">
        <v>86</v>
      </c>
      <c r="F4874" s="7" t="s">
        <v>84</v>
      </c>
      <c r="G4874" s="146" t="s">
        <v>7074</v>
      </c>
      <c r="H4874" s="147" t="s">
        <v>7075</v>
      </c>
      <c r="I4874" s="163">
        <v>0</v>
      </c>
      <c r="J4874" s="46">
        <v>1150</v>
      </c>
      <c r="K4874" s="46">
        <v>0</v>
      </c>
      <c r="L4874" s="46">
        <v>0</v>
      </c>
      <c r="M4874" s="46">
        <v>0</v>
      </c>
      <c r="N4874" s="46">
        <v>0</v>
      </c>
      <c r="O4874" s="46">
        <v>0</v>
      </c>
      <c r="P4874" s="47">
        <v>0</v>
      </c>
      <c r="Q4874" s="27" t="s">
        <v>154</v>
      </c>
      <c r="R4874" s="160"/>
      <c r="S4874" s="164"/>
      <c r="T4874" s="164"/>
    </row>
    <row r="4875" spans="1:20" s="162" customFormat="1" ht="108" x14ac:dyDescent="0.25">
      <c r="A4875" s="17">
        <v>41140</v>
      </c>
      <c r="B4875" s="17">
        <v>41140</v>
      </c>
      <c r="C4875" s="43">
        <v>2012</v>
      </c>
      <c r="D4875" s="351" t="s">
        <v>23</v>
      </c>
      <c r="E4875" s="22" t="s">
        <v>86</v>
      </c>
      <c r="F4875" s="7" t="s">
        <v>87</v>
      </c>
      <c r="G4875" s="146" t="s">
        <v>7076</v>
      </c>
      <c r="H4875" s="147" t="s">
        <v>7077</v>
      </c>
      <c r="I4875" s="163">
        <v>0</v>
      </c>
      <c r="J4875" s="46">
        <v>23</v>
      </c>
      <c r="K4875" s="46">
        <v>2</v>
      </c>
      <c r="L4875" s="46">
        <v>0</v>
      </c>
      <c r="M4875" s="46">
        <v>0</v>
      </c>
      <c r="N4875" s="46">
        <v>0</v>
      </c>
      <c r="O4875" s="46">
        <v>0</v>
      </c>
      <c r="P4875" s="47">
        <f>(K4875*5500)/1000000</f>
        <v>1.0999999999999999E-2</v>
      </c>
      <c r="Q4875" s="27" t="s">
        <v>154</v>
      </c>
      <c r="R4875" s="160"/>
      <c r="S4875" s="164"/>
      <c r="T4875" s="164"/>
    </row>
    <row r="4876" spans="1:20" s="162" customFormat="1" ht="60" x14ac:dyDescent="0.25">
      <c r="A4876" s="17">
        <v>41141</v>
      </c>
      <c r="B4876" s="17">
        <v>41141</v>
      </c>
      <c r="C4876" s="43">
        <v>2012</v>
      </c>
      <c r="D4876" s="24" t="s">
        <v>141</v>
      </c>
      <c r="E4876" s="30" t="s">
        <v>142</v>
      </c>
      <c r="F4876" s="7" t="s">
        <v>62</v>
      </c>
      <c r="G4876" s="146" t="s">
        <v>3407</v>
      </c>
      <c r="H4876" s="147" t="s">
        <v>7078</v>
      </c>
      <c r="I4876" s="163">
        <v>0</v>
      </c>
      <c r="J4876" s="46">
        <v>0</v>
      </c>
      <c r="K4876" s="46">
        <v>0</v>
      </c>
      <c r="L4876" s="46">
        <v>0</v>
      </c>
      <c r="M4876" s="46">
        <v>0</v>
      </c>
      <c r="N4876" s="46">
        <v>0</v>
      </c>
      <c r="O4876" s="46">
        <v>0</v>
      </c>
      <c r="P4876" s="47">
        <v>0</v>
      </c>
      <c r="Q4876" s="27" t="s">
        <v>154</v>
      </c>
      <c r="R4876" s="160"/>
      <c r="S4876" s="164"/>
      <c r="T4876" s="164"/>
    </row>
    <row r="4877" spans="1:20" s="162" customFormat="1" ht="84" x14ac:dyDescent="0.25">
      <c r="A4877" s="17">
        <v>41142</v>
      </c>
      <c r="B4877" s="17">
        <v>41142</v>
      </c>
      <c r="C4877" s="43">
        <v>2012</v>
      </c>
      <c r="D4877" s="24" t="s">
        <v>141</v>
      </c>
      <c r="E4877" s="30" t="s">
        <v>142</v>
      </c>
      <c r="F4877" s="7" t="s">
        <v>72</v>
      </c>
      <c r="G4877" s="146" t="s">
        <v>7079</v>
      </c>
      <c r="H4877" s="147" t="s">
        <v>7080</v>
      </c>
      <c r="I4877" s="163">
        <v>0</v>
      </c>
      <c r="J4877" s="46">
        <v>0</v>
      </c>
      <c r="K4877" s="46">
        <v>0</v>
      </c>
      <c r="L4877" s="46">
        <v>0</v>
      </c>
      <c r="M4877" s="46">
        <v>0</v>
      </c>
      <c r="N4877" s="46">
        <v>0</v>
      </c>
      <c r="O4877" s="46">
        <v>0</v>
      </c>
      <c r="P4877" s="47">
        <f>((472500)+(44000*10.84))/1000000</f>
        <v>0.94945999999999997</v>
      </c>
      <c r="Q4877" s="27" t="s">
        <v>154</v>
      </c>
      <c r="R4877" s="160"/>
      <c r="S4877" s="164"/>
      <c r="T4877" s="164"/>
    </row>
    <row r="4878" spans="1:20" s="162" customFormat="1" ht="48" x14ac:dyDescent="0.25">
      <c r="A4878" s="17">
        <v>41142</v>
      </c>
      <c r="B4878" s="17">
        <v>41142</v>
      </c>
      <c r="C4878" s="43">
        <v>2012</v>
      </c>
      <c r="D4878" s="24" t="s">
        <v>141</v>
      </c>
      <c r="E4878" s="30" t="s">
        <v>142</v>
      </c>
      <c r="F4878" s="28" t="s">
        <v>210</v>
      </c>
      <c r="G4878" s="146" t="s">
        <v>7081</v>
      </c>
      <c r="H4878" s="147" t="s">
        <v>7082</v>
      </c>
      <c r="I4878" s="163">
        <v>0</v>
      </c>
      <c r="J4878" s="46">
        <v>0</v>
      </c>
      <c r="K4878" s="46">
        <v>0</v>
      </c>
      <c r="L4878" s="46">
        <v>0</v>
      </c>
      <c r="M4878" s="46">
        <v>0</v>
      </c>
      <c r="N4878" s="46">
        <v>0</v>
      </c>
      <c r="O4878" s="46">
        <v>0</v>
      </c>
      <c r="P4878" s="47">
        <v>0</v>
      </c>
      <c r="Q4878" s="27" t="s">
        <v>154</v>
      </c>
      <c r="R4878" s="160"/>
      <c r="S4878" s="164"/>
      <c r="T4878" s="164"/>
    </row>
    <row r="4879" spans="1:20" s="162" customFormat="1" ht="84" x14ac:dyDescent="0.25">
      <c r="A4879" s="17">
        <v>41143</v>
      </c>
      <c r="B4879" s="17">
        <v>41143</v>
      </c>
      <c r="C4879" s="43">
        <v>2012</v>
      </c>
      <c r="D4879" s="24" t="s">
        <v>141</v>
      </c>
      <c r="E4879" s="30" t="s">
        <v>142</v>
      </c>
      <c r="F4879" s="7" t="s">
        <v>91</v>
      </c>
      <c r="G4879" s="146" t="s">
        <v>4511</v>
      </c>
      <c r="H4879" s="147" t="s">
        <v>7083</v>
      </c>
      <c r="I4879" s="163">
        <v>0</v>
      </c>
      <c r="J4879" s="46">
        <v>2</v>
      </c>
      <c r="K4879" s="46">
        <v>0</v>
      </c>
      <c r="L4879" s="46">
        <v>0</v>
      </c>
      <c r="M4879" s="46">
        <v>0</v>
      </c>
      <c r="N4879" s="46">
        <v>0</v>
      </c>
      <c r="O4879" s="46">
        <v>0</v>
      </c>
      <c r="P4879" s="47">
        <v>0</v>
      </c>
      <c r="Q4879" s="27" t="s">
        <v>154</v>
      </c>
      <c r="R4879" s="160"/>
      <c r="S4879" s="164"/>
      <c r="T4879" s="164"/>
    </row>
    <row r="4880" spans="1:20" s="162" customFormat="1" ht="72" x14ac:dyDescent="0.25">
      <c r="A4880" s="17">
        <v>41143</v>
      </c>
      <c r="B4880" s="17">
        <v>41143</v>
      </c>
      <c r="C4880" s="43">
        <v>2012</v>
      </c>
      <c r="D4880" s="351" t="s">
        <v>23</v>
      </c>
      <c r="E4880" s="22" t="s">
        <v>86</v>
      </c>
      <c r="F4880" s="7" t="s">
        <v>58</v>
      </c>
      <c r="G4880" s="146" t="s">
        <v>5866</v>
      </c>
      <c r="H4880" s="147" t="s">
        <v>7084</v>
      </c>
      <c r="I4880" s="163">
        <v>1</v>
      </c>
      <c r="J4880" s="46">
        <v>1</v>
      </c>
      <c r="K4880" s="46">
        <v>0</v>
      </c>
      <c r="L4880" s="46">
        <v>0</v>
      </c>
      <c r="M4880" s="46">
        <v>0</v>
      </c>
      <c r="N4880" s="46">
        <v>0</v>
      </c>
      <c r="O4880" s="46">
        <v>0</v>
      </c>
      <c r="P4880" s="47">
        <v>3.9690000000000003E-2</v>
      </c>
      <c r="Q4880" s="27" t="s">
        <v>154</v>
      </c>
      <c r="R4880" s="160"/>
      <c r="S4880" s="164"/>
      <c r="T4880" s="164"/>
    </row>
    <row r="4881" spans="1:20" s="162" customFormat="1" ht="84" x14ac:dyDescent="0.25">
      <c r="A4881" s="17">
        <v>41144</v>
      </c>
      <c r="B4881" s="17">
        <v>41144</v>
      </c>
      <c r="C4881" s="43">
        <v>2012</v>
      </c>
      <c r="D4881" s="24" t="s">
        <v>141</v>
      </c>
      <c r="E4881" s="30" t="s">
        <v>142</v>
      </c>
      <c r="F4881" s="7" t="s">
        <v>87</v>
      </c>
      <c r="G4881" s="146" t="s">
        <v>2141</v>
      </c>
      <c r="H4881" s="147" t="s">
        <v>7085</v>
      </c>
      <c r="I4881" s="163">
        <v>1</v>
      </c>
      <c r="J4881" s="46">
        <v>1</v>
      </c>
      <c r="K4881" s="46">
        <v>0</v>
      </c>
      <c r="L4881" s="46">
        <v>0</v>
      </c>
      <c r="M4881" s="46">
        <v>0</v>
      </c>
      <c r="N4881" s="46">
        <v>0</v>
      </c>
      <c r="O4881" s="46">
        <v>0</v>
      </c>
      <c r="P4881" s="47">
        <f>(288750*2)/1000000</f>
        <v>0.57750000000000001</v>
      </c>
      <c r="Q4881" s="27" t="s">
        <v>154</v>
      </c>
      <c r="R4881" s="160"/>
      <c r="S4881" s="164"/>
      <c r="T4881" s="164"/>
    </row>
    <row r="4882" spans="1:20" s="162" customFormat="1" ht="60" x14ac:dyDescent="0.25">
      <c r="A4882" s="17">
        <v>41144</v>
      </c>
      <c r="B4882" s="17">
        <v>41144</v>
      </c>
      <c r="C4882" s="43">
        <v>2012</v>
      </c>
      <c r="D4882" s="24" t="s">
        <v>141</v>
      </c>
      <c r="E4882" s="30" t="s">
        <v>142</v>
      </c>
      <c r="F4882" s="7" t="s">
        <v>62</v>
      </c>
      <c r="G4882" s="146" t="s">
        <v>959</v>
      </c>
      <c r="H4882" s="147" t="s">
        <v>7086</v>
      </c>
      <c r="I4882" s="163">
        <v>0</v>
      </c>
      <c r="J4882" s="46">
        <v>1</v>
      </c>
      <c r="K4882" s="46">
        <v>0</v>
      </c>
      <c r="L4882" s="46">
        <v>0</v>
      </c>
      <c r="M4882" s="46">
        <v>0</v>
      </c>
      <c r="N4882" s="46">
        <v>0</v>
      </c>
      <c r="O4882" s="46">
        <v>0</v>
      </c>
      <c r="P4882" s="47">
        <v>0.47249999999999998</v>
      </c>
      <c r="Q4882" s="27" t="s">
        <v>154</v>
      </c>
      <c r="R4882" s="160"/>
      <c r="S4882" s="164"/>
      <c r="T4882" s="164"/>
    </row>
    <row r="4883" spans="1:20" s="162" customFormat="1" ht="96" x14ac:dyDescent="0.25">
      <c r="A4883" s="17">
        <v>41145</v>
      </c>
      <c r="B4883" s="17">
        <v>41145</v>
      </c>
      <c r="C4883" s="43">
        <v>2012</v>
      </c>
      <c r="D4883" s="24" t="s">
        <v>141</v>
      </c>
      <c r="E4883" s="30" t="s">
        <v>142</v>
      </c>
      <c r="F4883" s="28" t="s">
        <v>210</v>
      </c>
      <c r="G4883" s="146" t="s">
        <v>3003</v>
      </c>
      <c r="H4883" s="147" t="s">
        <v>7087</v>
      </c>
      <c r="I4883" s="163">
        <v>0</v>
      </c>
      <c r="J4883" s="46">
        <v>3</v>
      </c>
      <c r="K4883" s="46">
        <v>0</v>
      </c>
      <c r="L4883" s="46">
        <v>0</v>
      </c>
      <c r="M4883" s="46">
        <v>0</v>
      </c>
      <c r="N4883" s="46">
        <v>0</v>
      </c>
      <c r="O4883" s="46">
        <v>0</v>
      </c>
      <c r="P4883" s="47">
        <v>0</v>
      </c>
      <c r="Q4883" s="27" t="s">
        <v>154</v>
      </c>
      <c r="R4883" s="160"/>
      <c r="S4883" s="164"/>
      <c r="T4883" s="164"/>
    </row>
    <row r="4884" spans="1:20" s="162" customFormat="1" ht="48" x14ac:dyDescent="0.25">
      <c r="A4884" s="17">
        <v>41146</v>
      </c>
      <c r="B4884" s="17">
        <v>41146</v>
      </c>
      <c r="C4884" s="43">
        <v>2012</v>
      </c>
      <c r="D4884" s="24" t="s">
        <v>141</v>
      </c>
      <c r="E4884" s="30" t="s">
        <v>142</v>
      </c>
      <c r="F4884" s="7" t="s">
        <v>56</v>
      </c>
      <c r="G4884" s="146" t="s">
        <v>495</v>
      </c>
      <c r="H4884" s="147" t="s">
        <v>7088</v>
      </c>
      <c r="I4884" s="163">
        <v>0</v>
      </c>
      <c r="J4884" s="46">
        <v>1</v>
      </c>
      <c r="K4884" s="46">
        <v>0</v>
      </c>
      <c r="L4884" s="46">
        <v>0</v>
      </c>
      <c r="M4884" s="46">
        <v>0</v>
      </c>
      <c r="N4884" s="46">
        <v>0</v>
      </c>
      <c r="O4884" s="46">
        <v>0</v>
      </c>
      <c r="P4884" s="47">
        <v>0</v>
      </c>
      <c r="Q4884" s="27" t="s">
        <v>154</v>
      </c>
      <c r="R4884" s="160"/>
      <c r="S4884" s="164"/>
      <c r="T4884" s="164"/>
    </row>
    <row r="4885" spans="1:20" s="162" customFormat="1" ht="132" x14ac:dyDescent="0.25">
      <c r="A4885" s="17">
        <v>41145</v>
      </c>
      <c r="B4885" s="17">
        <v>41145</v>
      </c>
      <c r="C4885" s="43">
        <v>2012</v>
      </c>
      <c r="D4885" s="351" t="s">
        <v>23</v>
      </c>
      <c r="E4885" s="22" t="s">
        <v>86</v>
      </c>
      <c r="F4885" s="7" t="s">
        <v>65</v>
      </c>
      <c r="G4885" s="146" t="s">
        <v>7089</v>
      </c>
      <c r="H4885" s="147" t="s">
        <v>7090</v>
      </c>
      <c r="I4885" s="163">
        <v>0</v>
      </c>
      <c r="J4885" s="46">
        <v>260</v>
      </c>
      <c r="K4885" s="46">
        <v>52</v>
      </c>
      <c r="L4885" s="46">
        <v>0</v>
      </c>
      <c r="M4885" s="46">
        <v>0</v>
      </c>
      <c r="N4885" s="46">
        <v>0</v>
      </c>
      <c r="O4885" s="46">
        <v>0</v>
      </c>
      <c r="P4885" s="47">
        <f>((K4885*5500)+(K4885*10000))/1000000</f>
        <v>0.80600000000000005</v>
      </c>
      <c r="Q4885" s="27" t="s">
        <v>154</v>
      </c>
      <c r="R4885" s="160"/>
      <c r="S4885" s="164"/>
      <c r="T4885" s="164"/>
    </row>
    <row r="4886" spans="1:20" s="162" customFormat="1" ht="72" x14ac:dyDescent="0.25">
      <c r="A4886" s="17">
        <v>41147</v>
      </c>
      <c r="B4886" s="17">
        <v>41147</v>
      </c>
      <c r="C4886" s="43">
        <v>2012</v>
      </c>
      <c r="D4886" s="351" t="s">
        <v>23</v>
      </c>
      <c r="E4886" s="22" t="s">
        <v>86</v>
      </c>
      <c r="F4886" s="7" t="s">
        <v>62</v>
      </c>
      <c r="G4886" s="146" t="s">
        <v>474</v>
      </c>
      <c r="H4886" s="147" t="s">
        <v>7091</v>
      </c>
      <c r="I4886" s="163">
        <v>0</v>
      </c>
      <c r="J4886" s="46">
        <v>1000</v>
      </c>
      <c r="K4886" s="46">
        <v>200</v>
      </c>
      <c r="L4886" s="46">
        <v>0</v>
      </c>
      <c r="M4886" s="46">
        <v>0</v>
      </c>
      <c r="N4886" s="46">
        <v>0</v>
      </c>
      <c r="O4886" s="46">
        <v>0</v>
      </c>
      <c r="P4886" s="47">
        <f>(K4886*5500)/1000000</f>
        <v>1.1000000000000001</v>
      </c>
      <c r="Q4886" s="27" t="s">
        <v>154</v>
      </c>
      <c r="R4886" s="160"/>
      <c r="S4886" s="164"/>
      <c r="T4886" s="164"/>
    </row>
    <row r="4887" spans="1:20" s="162" customFormat="1" ht="72" x14ac:dyDescent="0.25">
      <c r="A4887" s="17">
        <v>41148</v>
      </c>
      <c r="B4887" s="17">
        <v>41148</v>
      </c>
      <c r="C4887" s="43">
        <v>2012</v>
      </c>
      <c r="D4887" s="24" t="s">
        <v>141</v>
      </c>
      <c r="E4887" s="30" t="s">
        <v>142</v>
      </c>
      <c r="F4887" s="7" t="s">
        <v>49</v>
      </c>
      <c r="G4887" s="146" t="s">
        <v>2765</v>
      </c>
      <c r="H4887" s="147" t="s">
        <v>7092</v>
      </c>
      <c r="I4887" s="163">
        <v>0</v>
      </c>
      <c r="J4887" s="46">
        <v>1</v>
      </c>
      <c r="K4887" s="46">
        <v>0</v>
      </c>
      <c r="L4887" s="46">
        <v>0</v>
      </c>
      <c r="M4887" s="46">
        <v>0</v>
      </c>
      <c r="N4887" s="46">
        <v>0</v>
      </c>
      <c r="O4887" s="46">
        <v>0</v>
      </c>
      <c r="P4887" s="47">
        <v>0.47249999999999998</v>
      </c>
      <c r="Q4887" s="27" t="s">
        <v>154</v>
      </c>
      <c r="R4887" s="160"/>
      <c r="S4887" s="164"/>
      <c r="T4887" s="164"/>
    </row>
    <row r="4888" spans="1:20" s="162" customFormat="1" ht="48" x14ac:dyDescent="0.25">
      <c r="A4888" s="23">
        <v>41149</v>
      </c>
      <c r="B4888" s="23">
        <v>41149</v>
      </c>
      <c r="C4888" s="43">
        <v>2012</v>
      </c>
      <c r="D4888" s="35" t="s">
        <v>28</v>
      </c>
      <c r="E4888" s="30" t="s">
        <v>125</v>
      </c>
      <c r="F4888" s="7" t="s">
        <v>87</v>
      </c>
      <c r="G4888" s="146" t="s">
        <v>4751</v>
      </c>
      <c r="H4888" s="147" t="s">
        <v>7093</v>
      </c>
      <c r="I4888" s="163">
        <v>0</v>
      </c>
      <c r="J4888" s="46">
        <v>300</v>
      </c>
      <c r="K4888" s="46">
        <v>0</v>
      </c>
      <c r="L4888" s="46">
        <v>0</v>
      </c>
      <c r="M4888" s="46">
        <v>0</v>
      </c>
      <c r="N4888" s="46">
        <v>0</v>
      </c>
      <c r="O4888" s="46">
        <v>0</v>
      </c>
      <c r="P4888" s="47">
        <v>0</v>
      </c>
      <c r="Q4888" s="27" t="s">
        <v>154</v>
      </c>
      <c r="R4888" s="160"/>
      <c r="S4888" s="164"/>
      <c r="T4888" s="164"/>
    </row>
    <row r="4889" spans="1:20" s="162" customFormat="1" ht="96" x14ac:dyDescent="0.25">
      <c r="A4889" s="17">
        <v>41149</v>
      </c>
      <c r="B4889" s="17">
        <v>41149</v>
      </c>
      <c r="C4889" s="43">
        <v>2012</v>
      </c>
      <c r="D4889" s="351" t="s">
        <v>23</v>
      </c>
      <c r="E4889" s="22" t="s">
        <v>86</v>
      </c>
      <c r="F4889" s="7" t="s">
        <v>33</v>
      </c>
      <c r="G4889" s="146" t="s">
        <v>7094</v>
      </c>
      <c r="H4889" s="147" t="s">
        <v>7095</v>
      </c>
      <c r="I4889" s="163">
        <v>2</v>
      </c>
      <c r="J4889" s="46">
        <v>3</v>
      </c>
      <c r="K4889" s="46">
        <v>0</v>
      </c>
      <c r="L4889" s="46">
        <v>0</v>
      </c>
      <c r="M4889" s="46">
        <v>0</v>
      </c>
      <c r="N4889" s="46">
        <v>0</v>
      </c>
      <c r="O4889" s="46">
        <v>0</v>
      </c>
      <c r="P4889" s="47">
        <v>0</v>
      </c>
      <c r="Q4889" s="27" t="s">
        <v>154</v>
      </c>
      <c r="R4889" s="160"/>
      <c r="S4889" s="164"/>
      <c r="T4889" s="164"/>
    </row>
    <row r="4890" spans="1:20" s="162" customFormat="1" ht="72" x14ac:dyDescent="0.25">
      <c r="A4890" s="23">
        <v>41150</v>
      </c>
      <c r="B4890" s="23">
        <v>41150</v>
      </c>
      <c r="C4890" s="43">
        <v>2012</v>
      </c>
      <c r="D4890" s="24" t="s">
        <v>141</v>
      </c>
      <c r="E4890" s="30" t="s">
        <v>142</v>
      </c>
      <c r="F4890" s="28" t="s">
        <v>210</v>
      </c>
      <c r="G4890" s="146" t="s">
        <v>4415</v>
      </c>
      <c r="H4890" s="147" t="s">
        <v>7096</v>
      </c>
      <c r="I4890" s="163">
        <v>1</v>
      </c>
      <c r="J4890" s="46">
        <v>33</v>
      </c>
      <c r="K4890" s="46">
        <v>0</v>
      </c>
      <c r="L4890" s="46">
        <v>0</v>
      </c>
      <c r="M4890" s="46">
        <v>0</v>
      </c>
      <c r="N4890" s="46">
        <v>0</v>
      </c>
      <c r="O4890" s="46">
        <v>0</v>
      </c>
      <c r="P4890" s="47">
        <f>(288750+39690)/1000000</f>
        <v>0.32844000000000001</v>
      </c>
      <c r="Q4890" s="27" t="s">
        <v>154</v>
      </c>
      <c r="R4890" s="160"/>
      <c r="S4890" s="164"/>
      <c r="T4890" s="164"/>
    </row>
    <row r="4891" spans="1:20" s="162" customFormat="1" ht="84" x14ac:dyDescent="0.25">
      <c r="A4891" s="17">
        <v>41150</v>
      </c>
      <c r="B4891" s="17">
        <v>41150</v>
      </c>
      <c r="C4891" s="43">
        <v>2012</v>
      </c>
      <c r="D4891" s="35" t="s">
        <v>28</v>
      </c>
      <c r="E4891" s="30" t="s">
        <v>133</v>
      </c>
      <c r="F4891" s="7" t="s">
        <v>30</v>
      </c>
      <c r="G4891" s="146" t="s">
        <v>901</v>
      </c>
      <c r="H4891" s="147" t="s">
        <v>7097</v>
      </c>
      <c r="I4891" s="163">
        <v>3</v>
      </c>
      <c r="J4891" s="46">
        <v>3</v>
      </c>
      <c r="K4891" s="46">
        <v>0</v>
      </c>
      <c r="L4891" s="46">
        <v>0</v>
      </c>
      <c r="M4891" s="46">
        <v>0</v>
      </c>
      <c r="N4891" s="46">
        <v>0</v>
      </c>
      <c r="O4891" s="46">
        <v>0</v>
      </c>
      <c r="P4891" s="47">
        <v>0</v>
      </c>
      <c r="Q4891" s="27" t="s">
        <v>154</v>
      </c>
      <c r="R4891" s="160"/>
      <c r="S4891" s="164"/>
      <c r="T4891" s="164"/>
    </row>
    <row r="4892" spans="1:20" s="162" customFormat="1" ht="84" x14ac:dyDescent="0.25">
      <c r="A4892" s="23">
        <v>41150</v>
      </c>
      <c r="B4892" s="23">
        <v>41150</v>
      </c>
      <c r="C4892" s="43">
        <v>2012</v>
      </c>
      <c r="D4892" s="24" t="s">
        <v>130</v>
      </c>
      <c r="E4892" s="30" t="s">
        <v>139</v>
      </c>
      <c r="F4892" s="7" t="s">
        <v>87</v>
      </c>
      <c r="G4892" s="146" t="s">
        <v>2608</v>
      </c>
      <c r="H4892" s="147" t="s">
        <v>7098</v>
      </c>
      <c r="I4892" s="163">
        <v>0</v>
      </c>
      <c r="J4892" s="46">
        <v>6</v>
      </c>
      <c r="K4892" s="46">
        <v>0</v>
      </c>
      <c r="L4892" s="46">
        <v>0</v>
      </c>
      <c r="M4892" s="46">
        <v>0</v>
      </c>
      <c r="N4892" s="46">
        <v>0</v>
      </c>
      <c r="O4892" s="46">
        <v>0</v>
      </c>
      <c r="P4892" s="47">
        <v>0</v>
      </c>
      <c r="Q4892" s="27" t="s">
        <v>154</v>
      </c>
      <c r="R4892" s="160"/>
      <c r="S4892" s="164"/>
      <c r="T4892" s="164"/>
    </row>
    <row r="4893" spans="1:20" s="162" customFormat="1" ht="72" x14ac:dyDescent="0.25">
      <c r="A4893" s="17">
        <v>41149</v>
      </c>
      <c r="B4893" s="17">
        <v>41149</v>
      </c>
      <c r="C4893" s="43">
        <v>2012</v>
      </c>
      <c r="D4893" s="351" t="s">
        <v>23</v>
      </c>
      <c r="E4893" s="22" t="s">
        <v>86</v>
      </c>
      <c r="F4893" s="7" t="s">
        <v>62</v>
      </c>
      <c r="G4893" s="146" t="s">
        <v>7099</v>
      </c>
      <c r="H4893" s="147" t="s">
        <v>7100</v>
      </c>
      <c r="I4893" s="163">
        <v>1</v>
      </c>
      <c r="J4893" s="46">
        <v>50</v>
      </c>
      <c r="K4893" s="46">
        <v>10</v>
      </c>
      <c r="L4893" s="46">
        <v>0</v>
      </c>
      <c r="M4893" s="46">
        <v>0</v>
      </c>
      <c r="N4893" s="46">
        <v>0</v>
      </c>
      <c r="O4893" s="46">
        <v>0</v>
      </c>
      <c r="P4893" s="47">
        <f>(K4893*5500)/1000000</f>
        <v>5.5E-2</v>
      </c>
      <c r="Q4893" s="27" t="s">
        <v>154</v>
      </c>
      <c r="R4893" s="160"/>
      <c r="S4893" s="164"/>
      <c r="T4893" s="164"/>
    </row>
    <row r="4894" spans="1:20" s="162" customFormat="1" ht="108" x14ac:dyDescent="0.25">
      <c r="A4894" s="17">
        <v>41152</v>
      </c>
      <c r="B4894" s="17">
        <v>41152</v>
      </c>
      <c r="C4894" s="43">
        <v>2012</v>
      </c>
      <c r="D4894" s="351" t="s">
        <v>23</v>
      </c>
      <c r="E4894" s="22" t="s">
        <v>86</v>
      </c>
      <c r="F4894" s="7" t="s">
        <v>60</v>
      </c>
      <c r="G4894" s="146" t="s">
        <v>7101</v>
      </c>
      <c r="H4894" s="147" t="s">
        <v>7102</v>
      </c>
      <c r="I4894" s="163">
        <v>0</v>
      </c>
      <c r="J4894" s="46">
        <v>1080</v>
      </c>
      <c r="K4894" s="46">
        <v>216</v>
      </c>
      <c r="L4894" s="46">
        <v>0</v>
      </c>
      <c r="M4894" s="46">
        <v>0</v>
      </c>
      <c r="N4894" s="46">
        <v>0</v>
      </c>
      <c r="O4894" s="46">
        <v>0</v>
      </c>
      <c r="P4894" s="47">
        <f>(K4894*5500)/1000000</f>
        <v>1.1879999999999999</v>
      </c>
      <c r="Q4894" s="27" t="s">
        <v>154</v>
      </c>
      <c r="R4894" s="160"/>
      <c r="S4894" s="164"/>
      <c r="T4894" s="164"/>
    </row>
    <row r="4895" spans="1:20" s="162" customFormat="1" ht="96" x14ac:dyDescent="0.25">
      <c r="A4895" s="17">
        <v>41152</v>
      </c>
      <c r="B4895" s="17">
        <v>41152</v>
      </c>
      <c r="C4895" s="43">
        <v>2012</v>
      </c>
      <c r="D4895" s="351" t="s">
        <v>23</v>
      </c>
      <c r="E4895" s="22" t="s">
        <v>86</v>
      </c>
      <c r="F4895" s="7" t="s">
        <v>65</v>
      </c>
      <c r="G4895" s="146" t="s">
        <v>2952</v>
      </c>
      <c r="H4895" s="147" t="s">
        <v>7103</v>
      </c>
      <c r="I4895" s="163">
        <v>0</v>
      </c>
      <c r="J4895" s="46">
        <v>100</v>
      </c>
      <c r="K4895" s="46">
        <v>20</v>
      </c>
      <c r="L4895" s="46">
        <v>3</v>
      </c>
      <c r="M4895" s="46">
        <v>0</v>
      </c>
      <c r="N4895" s="46">
        <v>0</v>
      </c>
      <c r="O4895" s="46">
        <v>0</v>
      </c>
      <c r="P4895" s="47">
        <f>(K4895*5500)/1000000</f>
        <v>0.11</v>
      </c>
      <c r="Q4895" s="27" t="s">
        <v>154</v>
      </c>
      <c r="R4895" s="160"/>
      <c r="S4895" s="164"/>
      <c r="T4895" s="164"/>
    </row>
    <row r="4896" spans="1:20" s="162" customFormat="1" ht="96" x14ac:dyDescent="0.25">
      <c r="A4896" s="17">
        <v>41153</v>
      </c>
      <c r="B4896" s="17">
        <v>41153</v>
      </c>
      <c r="C4896" s="43">
        <v>2012</v>
      </c>
      <c r="D4896" s="24" t="s">
        <v>141</v>
      </c>
      <c r="E4896" s="30" t="s">
        <v>142</v>
      </c>
      <c r="F4896" s="28" t="s">
        <v>210</v>
      </c>
      <c r="G4896" s="146" t="s">
        <v>567</v>
      </c>
      <c r="H4896" s="147" t="s">
        <v>7104</v>
      </c>
      <c r="I4896" s="148">
        <v>0</v>
      </c>
      <c r="J4896" s="46">
        <v>4</v>
      </c>
      <c r="K4896" s="46">
        <v>0</v>
      </c>
      <c r="L4896" s="46">
        <v>0</v>
      </c>
      <c r="M4896" s="46">
        <v>0</v>
      </c>
      <c r="N4896" s="46">
        <v>0</v>
      </c>
      <c r="O4896" s="46">
        <v>0</v>
      </c>
      <c r="P4896" s="47">
        <v>0.28875000000000001</v>
      </c>
      <c r="Q4896" s="27" t="s">
        <v>154</v>
      </c>
      <c r="R4896" s="160"/>
      <c r="S4896" s="164"/>
      <c r="T4896" s="164"/>
    </row>
    <row r="4897" spans="1:20" s="162" customFormat="1" ht="72" x14ac:dyDescent="0.25">
      <c r="A4897" s="17">
        <v>41153</v>
      </c>
      <c r="B4897" s="17">
        <v>41153</v>
      </c>
      <c r="C4897" s="43">
        <v>2012</v>
      </c>
      <c r="D4897" s="24" t="s">
        <v>141</v>
      </c>
      <c r="E4897" s="30" t="s">
        <v>142</v>
      </c>
      <c r="F4897" s="7" t="s">
        <v>56</v>
      </c>
      <c r="G4897" s="146" t="s">
        <v>4907</v>
      </c>
      <c r="H4897" s="147" t="s">
        <v>7105</v>
      </c>
      <c r="I4897" s="163">
        <v>0</v>
      </c>
      <c r="J4897" s="46">
        <v>40</v>
      </c>
      <c r="K4897" s="46">
        <v>0</v>
      </c>
      <c r="L4897" s="46">
        <v>0</v>
      </c>
      <c r="M4897" s="46">
        <v>0</v>
      </c>
      <c r="N4897" s="46">
        <v>0</v>
      </c>
      <c r="O4897" s="46">
        <v>0</v>
      </c>
      <c r="P4897" s="47">
        <v>0.47249999999999998</v>
      </c>
      <c r="Q4897" s="27" t="s">
        <v>154</v>
      </c>
      <c r="R4897" s="160"/>
      <c r="S4897" s="164"/>
      <c r="T4897" s="164"/>
    </row>
    <row r="4898" spans="1:20" s="162" customFormat="1" ht="84" x14ac:dyDescent="0.25">
      <c r="A4898" s="17">
        <v>41154</v>
      </c>
      <c r="B4898" s="17">
        <v>41154</v>
      </c>
      <c r="C4898" s="43">
        <v>2012</v>
      </c>
      <c r="D4898" s="35" t="s">
        <v>28</v>
      </c>
      <c r="E4898" s="6" t="s">
        <v>149</v>
      </c>
      <c r="F4898" s="7" t="s">
        <v>91</v>
      </c>
      <c r="G4898" s="146" t="s">
        <v>2342</v>
      </c>
      <c r="H4898" s="147" t="s">
        <v>7106</v>
      </c>
      <c r="I4898" s="148">
        <v>0</v>
      </c>
      <c r="J4898" s="46">
        <v>4</v>
      </c>
      <c r="K4898" s="46">
        <v>0</v>
      </c>
      <c r="L4898" s="46">
        <v>0</v>
      </c>
      <c r="M4898" s="46">
        <v>0</v>
      </c>
      <c r="N4898" s="46">
        <v>0</v>
      </c>
      <c r="O4898" s="46">
        <v>0</v>
      </c>
      <c r="P4898" s="47">
        <v>0</v>
      </c>
      <c r="Q4898" s="27" t="s">
        <v>154</v>
      </c>
      <c r="R4898" s="160"/>
      <c r="S4898" s="164"/>
      <c r="T4898" s="164"/>
    </row>
    <row r="4899" spans="1:20" s="162" customFormat="1" ht="96" x14ac:dyDescent="0.25">
      <c r="A4899" s="17">
        <v>41156</v>
      </c>
      <c r="B4899" s="17">
        <v>41156</v>
      </c>
      <c r="C4899" s="43">
        <v>2012</v>
      </c>
      <c r="D4899" s="24" t="s">
        <v>141</v>
      </c>
      <c r="E4899" s="30" t="s">
        <v>142</v>
      </c>
      <c r="F4899" s="7" t="s">
        <v>56</v>
      </c>
      <c r="G4899" s="146" t="s">
        <v>2786</v>
      </c>
      <c r="H4899" s="147" t="s">
        <v>7107</v>
      </c>
      <c r="I4899" s="163">
        <v>0</v>
      </c>
      <c r="J4899" s="46">
        <v>1</v>
      </c>
      <c r="K4899" s="46">
        <v>0</v>
      </c>
      <c r="L4899" s="46">
        <v>0</v>
      </c>
      <c r="M4899" s="46">
        <v>0</v>
      </c>
      <c r="N4899" s="46">
        <v>0</v>
      </c>
      <c r="O4899" s="46">
        <v>0</v>
      </c>
      <c r="P4899" s="47">
        <v>0</v>
      </c>
      <c r="Q4899" s="27" t="s">
        <v>154</v>
      </c>
      <c r="R4899" s="160"/>
      <c r="S4899" s="164"/>
      <c r="T4899" s="164"/>
    </row>
    <row r="4900" spans="1:20" s="162" customFormat="1" ht="60" x14ac:dyDescent="0.25">
      <c r="A4900" s="17">
        <v>41157</v>
      </c>
      <c r="B4900" s="17">
        <v>41157</v>
      </c>
      <c r="C4900" s="43">
        <v>2012</v>
      </c>
      <c r="D4900" s="24" t="s">
        <v>141</v>
      </c>
      <c r="E4900" s="30" t="s">
        <v>142</v>
      </c>
      <c r="F4900" s="7" t="s">
        <v>60</v>
      </c>
      <c r="G4900" s="146" t="s">
        <v>7108</v>
      </c>
      <c r="H4900" s="147" t="s">
        <v>7109</v>
      </c>
      <c r="I4900" s="163">
        <v>2</v>
      </c>
      <c r="J4900" s="46">
        <v>2</v>
      </c>
      <c r="K4900" s="46">
        <v>0</v>
      </c>
      <c r="L4900" s="46">
        <v>0</v>
      </c>
      <c r="M4900" s="46">
        <v>0</v>
      </c>
      <c r="N4900" s="46">
        <v>0</v>
      </c>
      <c r="O4900" s="46">
        <v>0</v>
      </c>
      <c r="P4900" s="47">
        <v>1.575</v>
      </c>
      <c r="Q4900" s="27" t="s">
        <v>154</v>
      </c>
      <c r="R4900" s="160"/>
      <c r="S4900" s="164"/>
      <c r="T4900" s="164"/>
    </row>
    <row r="4901" spans="1:20" s="162" customFormat="1" ht="108" x14ac:dyDescent="0.25">
      <c r="A4901" s="17">
        <v>41157</v>
      </c>
      <c r="B4901" s="17">
        <v>41157</v>
      </c>
      <c r="C4901" s="43">
        <v>2012</v>
      </c>
      <c r="D4901" s="35" t="s">
        <v>28</v>
      </c>
      <c r="E4901" s="30" t="s">
        <v>133</v>
      </c>
      <c r="F4901" s="28" t="s">
        <v>163</v>
      </c>
      <c r="G4901" s="146" t="s">
        <v>4202</v>
      </c>
      <c r="H4901" s="147" t="s">
        <v>7110</v>
      </c>
      <c r="I4901" s="163">
        <v>0</v>
      </c>
      <c r="J4901" s="46">
        <v>1</v>
      </c>
      <c r="K4901" s="46">
        <v>0</v>
      </c>
      <c r="L4901" s="46">
        <v>0</v>
      </c>
      <c r="M4901" s="46">
        <v>0</v>
      </c>
      <c r="N4901" s="46">
        <v>4</v>
      </c>
      <c r="O4901" s="46">
        <v>0</v>
      </c>
      <c r="P4901" s="47">
        <v>0</v>
      </c>
      <c r="Q4901" s="27" t="s">
        <v>154</v>
      </c>
      <c r="R4901" s="160"/>
      <c r="S4901" s="164"/>
      <c r="T4901" s="164"/>
    </row>
    <row r="4902" spans="1:20" s="162" customFormat="1" ht="36" x14ac:dyDescent="0.25">
      <c r="A4902" s="17">
        <v>41128</v>
      </c>
      <c r="B4902" s="17">
        <v>41123</v>
      </c>
      <c r="C4902" s="43">
        <v>2012</v>
      </c>
      <c r="D4902" s="351" t="s">
        <v>23</v>
      </c>
      <c r="E4902" s="14" t="s">
        <v>32</v>
      </c>
      <c r="F4902" s="28" t="s">
        <v>151</v>
      </c>
      <c r="G4902" s="146" t="s">
        <v>7111</v>
      </c>
      <c r="H4902" s="147" t="s">
        <v>7112</v>
      </c>
      <c r="I4902" s="148">
        <v>0</v>
      </c>
      <c r="J4902" s="46">
        <v>15044</v>
      </c>
      <c r="K4902" s="46">
        <v>1748</v>
      </c>
      <c r="L4902" s="46">
        <v>64</v>
      </c>
      <c r="M4902" s="46">
        <v>0</v>
      </c>
      <c r="N4902" s="46">
        <v>0</v>
      </c>
      <c r="O4902" s="46">
        <v>0</v>
      </c>
      <c r="P4902" s="47">
        <v>326.24900000000002</v>
      </c>
      <c r="Q4902" s="149" t="s">
        <v>22</v>
      </c>
      <c r="R4902" s="160"/>
      <c r="S4902" s="161"/>
      <c r="T4902" s="161"/>
    </row>
    <row r="4903" spans="1:20" s="162" customFormat="1" ht="60" x14ac:dyDescent="0.25">
      <c r="A4903" s="17">
        <v>41160</v>
      </c>
      <c r="B4903" s="17">
        <v>41160</v>
      </c>
      <c r="C4903" s="43">
        <v>2012</v>
      </c>
      <c r="D4903" s="24" t="s">
        <v>141</v>
      </c>
      <c r="E4903" s="30" t="s">
        <v>142</v>
      </c>
      <c r="F4903" s="7" t="s">
        <v>68</v>
      </c>
      <c r="G4903" s="146" t="s">
        <v>7113</v>
      </c>
      <c r="H4903" s="147" t="s">
        <v>7114</v>
      </c>
      <c r="I4903" s="163">
        <v>0</v>
      </c>
      <c r="J4903" s="46">
        <v>39</v>
      </c>
      <c r="K4903" s="46">
        <v>0</v>
      </c>
      <c r="L4903" s="46">
        <v>0</v>
      </c>
      <c r="M4903" s="46">
        <v>0</v>
      </c>
      <c r="N4903" s="46">
        <v>0</v>
      </c>
      <c r="O4903" s="46">
        <v>0</v>
      </c>
      <c r="P4903" s="47">
        <v>0.42</v>
      </c>
      <c r="Q4903" s="45" t="s">
        <v>154</v>
      </c>
      <c r="R4903" s="160"/>
      <c r="S4903" s="166"/>
      <c r="T4903" s="166"/>
    </row>
    <row r="4904" spans="1:20" s="162" customFormat="1" ht="72" x14ac:dyDescent="0.25">
      <c r="A4904" s="17">
        <v>41162</v>
      </c>
      <c r="B4904" s="17">
        <v>41162</v>
      </c>
      <c r="C4904" s="43">
        <v>2012</v>
      </c>
      <c r="D4904" s="24" t="s">
        <v>141</v>
      </c>
      <c r="E4904" s="30" t="s">
        <v>142</v>
      </c>
      <c r="F4904" s="7" t="s">
        <v>84</v>
      </c>
      <c r="G4904" s="146" t="s">
        <v>7115</v>
      </c>
      <c r="H4904" s="147" t="s">
        <v>7116</v>
      </c>
      <c r="I4904" s="163">
        <v>0</v>
      </c>
      <c r="J4904" s="46">
        <v>5</v>
      </c>
      <c r="K4904" s="46">
        <v>0</v>
      </c>
      <c r="L4904" s="46">
        <v>0</v>
      </c>
      <c r="M4904" s="46">
        <v>0</v>
      </c>
      <c r="N4904" s="46">
        <v>0</v>
      </c>
      <c r="O4904" s="46">
        <v>0</v>
      </c>
      <c r="P4904" s="47">
        <v>1.575</v>
      </c>
      <c r="Q4904" s="45" t="s">
        <v>154</v>
      </c>
      <c r="R4904" s="160"/>
      <c r="S4904" s="166"/>
      <c r="T4904" s="166"/>
    </row>
    <row r="4905" spans="1:20" s="162" customFormat="1" ht="96" x14ac:dyDescent="0.25">
      <c r="A4905" s="17">
        <v>41161</v>
      </c>
      <c r="B4905" s="17">
        <v>41161</v>
      </c>
      <c r="C4905" s="43">
        <v>2012</v>
      </c>
      <c r="D4905" s="35" t="s">
        <v>17</v>
      </c>
      <c r="E4905" s="30" t="s">
        <v>1597</v>
      </c>
      <c r="F4905" s="7" t="s">
        <v>72</v>
      </c>
      <c r="G4905" s="146" t="s">
        <v>7117</v>
      </c>
      <c r="H4905" s="147" t="s">
        <v>7118</v>
      </c>
      <c r="I4905" s="163">
        <v>4</v>
      </c>
      <c r="J4905" s="46">
        <v>7</v>
      </c>
      <c r="K4905" s="46">
        <v>1</v>
      </c>
      <c r="L4905" s="46">
        <v>0</v>
      </c>
      <c r="M4905" s="46">
        <v>0</v>
      </c>
      <c r="N4905" s="46">
        <v>0</v>
      </c>
      <c r="O4905" s="46">
        <v>0</v>
      </c>
      <c r="P4905" s="47">
        <v>0.12</v>
      </c>
      <c r="Q4905" s="45" t="s">
        <v>154</v>
      </c>
      <c r="R4905" s="160"/>
      <c r="S4905" s="166"/>
      <c r="T4905" s="166"/>
    </row>
    <row r="4906" spans="1:20" s="162" customFormat="1" ht="60" x14ac:dyDescent="0.25">
      <c r="A4906" s="17">
        <v>41161</v>
      </c>
      <c r="B4906" s="17">
        <v>41161</v>
      </c>
      <c r="C4906" s="43">
        <v>2012</v>
      </c>
      <c r="D4906" s="24" t="s">
        <v>141</v>
      </c>
      <c r="E4906" s="30" t="s">
        <v>142</v>
      </c>
      <c r="F4906" s="7" t="s">
        <v>91</v>
      </c>
      <c r="G4906" s="146" t="s">
        <v>3386</v>
      </c>
      <c r="H4906" s="147" t="s">
        <v>7119</v>
      </c>
      <c r="I4906" s="163">
        <v>0</v>
      </c>
      <c r="J4906" s="46">
        <v>0</v>
      </c>
      <c r="K4906" s="46">
        <v>0</v>
      </c>
      <c r="L4906" s="46">
        <v>0</v>
      </c>
      <c r="M4906" s="46">
        <v>0</v>
      </c>
      <c r="N4906" s="46">
        <v>0</v>
      </c>
      <c r="O4906" s="46">
        <v>0</v>
      </c>
      <c r="P4906" s="47">
        <v>0</v>
      </c>
      <c r="Q4906" s="45" t="s">
        <v>154</v>
      </c>
      <c r="R4906" s="160"/>
      <c r="S4906" s="166"/>
      <c r="T4906" s="166"/>
    </row>
    <row r="4907" spans="1:20" s="162" customFormat="1" ht="72" x14ac:dyDescent="0.25">
      <c r="A4907" s="17">
        <v>41162</v>
      </c>
      <c r="B4907" s="17">
        <v>41162</v>
      </c>
      <c r="C4907" s="43">
        <v>2012</v>
      </c>
      <c r="D4907" s="24" t="s">
        <v>141</v>
      </c>
      <c r="E4907" s="30" t="s">
        <v>6731</v>
      </c>
      <c r="F4907" s="7" t="s">
        <v>56</v>
      </c>
      <c r="G4907" s="146" t="s">
        <v>3722</v>
      </c>
      <c r="H4907" s="147" t="s">
        <v>7120</v>
      </c>
      <c r="I4907" s="163">
        <v>2</v>
      </c>
      <c r="J4907" s="46">
        <v>2</v>
      </c>
      <c r="K4907" s="46">
        <v>0</v>
      </c>
      <c r="L4907" s="46">
        <v>0</v>
      </c>
      <c r="M4907" s="46">
        <v>0</v>
      </c>
      <c r="N4907" s="46">
        <v>0</v>
      </c>
      <c r="O4907" s="46">
        <v>0</v>
      </c>
      <c r="P4907" s="47">
        <v>0</v>
      </c>
      <c r="Q4907" s="45" t="s">
        <v>154</v>
      </c>
      <c r="R4907" s="160"/>
      <c r="S4907" s="166"/>
      <c r="T4907" s="166"/>
    </row>
    <row r="4908" spans="1:20" s="162" customFormat="1" ht="120" x14ac:dyDescent="0.25">
      <c r="A4908" s="17">
        <v>41163</v>
      </c>
      <c r="B4908" s="17">
        <v>41163</v>
      </c>
      <c r="C4908" s="43">
        <v>2012</v>
      </c>
      <c r="D4908" s="35" t="s">
        <v>17</v>
      </c>
      <c r="E4908" s="30" t="s">
        <v>1597</v>
      </c>
      <c r="F4908" s="7" t="s">
        <v>72</v>
      </c>
      <c r="G4908" s="146" t="s">
        <v>7117</v>
      </c>
      <c r="H4908" s="147" t="s">
        <v>7121</v>
      </c>
      <c r="I4908" s="163">
        <v>1</v>
      </c>
      <c r="J4908" s="46">
        <v>100</v>
      </c>
      <c r="K4908" s="46">
        <v>10</v>
      </c>
      <c r="L4908" s="46">
        <v>0</v>
      </c>
      <c r="M4908" s="46">
        <v>0</v>
      </c>
      <c r="N4908" s="46">
        <v>0</v>
      </c>
      <c r="O4908" s="46">
        <v>0</v>
      </c>
      <c r="P4908" s="47">
        <f>(K4908*0.12)</f>
        <v>1.2</v>
      </c>
      <c r="Q4908" s="45" t="s">
        <v>154</v>
      </c>
      <c r="R4908" s="160"/>
      <c r="S4908" s="166"/>
      <c r="T4908" s="166"/>
    </row>
    <row r="4909" spans="1:20" s="162" customFormat="1" ht="60" x14ac:dyDescent="0.25">
      <c r="A4909" s="23">
        <v>41163</v>
      </c>
      <c r="B4909" s="17">
        <v>41220</v>
      </c>
      <c r="C4909" s="43">
        <v>2012</v>
      </c>
      <c r="D4909" s="24" t="s">
        <v>141</v>
      </c>
      <c r="E4909" s="30" t="s">
        <v>6731</v>
      </c>
      <c r="F4909" s="7" t="s">
        <v>87</v>
      </c>
      <c r="G4909" s="146" t="s">
        <v>4431</v>
      </c>
      <c r="H4909" s="147" t="s">
        <v>7122</v>
      </c>
      <c r="I4909" s="148">
        <v>1</v>
      </c>
      <c r="J4909" s="46">
        <v>2</v>
      </c>
      <c r="K4909" s="46">
        <v>0</v>
      </c>
      <c r="L4909" s="46">
        <v>0</v>
      </c>
      <c r="M4909" s="46">
        <v>0</v>
      </c>
      <c r="N4909" s="46">
        <v>0</v>
      </c>
      <c r="O4909" s="46">
        <v>0</v>
      </c>
      <c r="P4909" s="47">
        <v>0</v>
      </c>
      <c r="Q4909" s="45" t="s">
        <v>154</v>
      </c>
      <c r="R4909" s="160"/>
      <c r="S4909" s="166"/>
      <c r="T4909" s="166"/>
    </row>
    <row r="4910" spans="1:20" s="162" customFormat="1" ht="48" x14ac:dyDescent="0.25">
      <c r="A4910" s="17">
        <v>41163</v>
      </c>
      <c r="B4910" s="17">
        <v>41163</v>
      </c>
      <c r="C4910" s="43">
        <v>2012</v>
      </c>
      <c r="D4910" s="35" t="s">
        <v>17</v>
      </c>
      <c r="E4910" s="30" t="s">
        <v>1597</v>
      </c>
      <c r="F4910" s="28" t="s">
        <v>210</v>
      </c>
      <c r="G4910" s="146" t="s">
        <v>7123</v>
      </c>
      <c r="H4910" s="147" t="s">
        <v>7124</v>
      </c>
      <c r="I4910" s="163">
        <v>2</v>
      </c>
      <c r="J4910" s="46">
        <v>5</v>
      </c>
      <c r="K4910" s="46">
        <v>1</v>
      </c>
      <c r="L4910" s="46">
        <v>0</v>
      </c>
      <c r="M4910" s="46">
        <v>0</v>
      </c>
      <c r="N4910" s="46">
        <v>0</v>
      </c>
      <c r="O4910" s="46">
        <v>0</v>
      </c>
      <c r="P4910" s="47">
        <v>0.12</v>
      </c>
      <c r="Q4910" s="45" t="s">
        <v>154</v>
      </c>
      <c r="R4910" s="160"/>
      <c r="S4910" s="166"/>
      <c r="T4910" s="166"/>
    </row>
    <row r="4911" spans="1:20" s="162" customFormat="1" ht="72" x14ac:dyDescent="0.25">
      <c r="A4911" s="17">
        <v>41163</v>
      </c>
      <c r="B4911" s="17">
        <v>41163</v>
      </c>
      <c r="C4911" s="43">
        <v>2012</v>
      </c>
      <c r="D4911" s="35" t="s">
        <v>28</v>
      </c>
      <c r="E4911" s="6" t="s">
        <v>149</v>
      </c>
      <c r="F4911" s="7" t="s">
        <v>87</v>
      </c>
      <c r="G4911" s="146" t="s">
        <v>2608</v>
      </c>
      <c r="H4911" s="147" t="s">
        <v>7125</v>
      </c>
      <c r="I4911" s="163">
        <v>0</v>
      </c>
      <c r="J4911" s="46">
        <v>0</v>
      </c>
      <c r="K4911" s="46">
        <v>0</v>
      </c>
      <c r="L4911" s="46">
        <v>0</v>
      </c>
      <c r="M4911" s="46">
        <v>0</v>
      </c>
      <c r="N4911" s="46">
        <v>0</v>
      </c>
      <c r="O4911" s="46">
        <v>0</v>
      </c>
      <c r="P4911" s="47">
        <f>(8*250000)/1000000</f>
        <v>2</v>
      </c>
      <c r="Q4911" s="45" t="s">
        <v>154</v>
      </c>
      <c r="R4911" s="160"/>
      <c r="S4911" s="166"/>
      <c r="T4911" s="166"/>
    </row>
    <row r="4912" spans="1:20" s="162" customFormat="1" ht="48" x14ac:dyDescent="0.25">
      <c r="A4912" s="17">
        <v>41163</v>
      </c>
      <c r="B4912" s="17">
        <v>41163</v>
      </c>
      <c r="C4912" s="43">
        <v>2012</v>
      </c>
      <c r="D4912" s="351" t="s">
        <v>23</v>
      </c>
      <c r="E4912" s="30" t="s">
        <v>5893</v>
      </c>
      <c r="F4912" s="7" t="s">
        <v>84</v>
      </c>
      <c r="G4912" s="146" t="s">
        <v>7126</v>
      </c>
      <c r="H4912" s="147" t="s">
        <v>7127</v>
      </c>
      <c r="I4912" s="163">
        <v>2</v>
      </c>
      <c r="J4912" s="46">
        <v>2</v>
      </c>
      <c r="K4912" s="46">
        <v>0</v>
      </c>
      <c r="L4912" s="46">
        <v>0</v>
      </c>
      <c r="M4912" s="46">
        <v>0</v>
      </c>
      <c r="N4912" s="46">
        <v>0</v>
      </c>
      <c r="O4912" s="46">
        <v>0</v>
      </c>
      <c r="P4912" s="47">
        <v>0</v>
      </c>
      <c r="Q4912" s="45" t="s">
        <v>154</v>
      </c>
      <c r="R4912" s="160"/>
      <c r="S4912" s="166"/>
      <c r="T4912" s="166"/>
    </row>
    <row r="4913" spans="1:20" s="162" customFormat="1" ht="60" x14ac:dyDescent="0.25">
      <c r="A4913" s="17">
        <v>41165</v>
      </c>
      <c r="B4913" s="17">
        <v>41165</v>
      </c>
      <c r="C4913" s="43">
        <v>2012</v>
      </c>
      <c r="D4913" s="24" t="s">
        <v>141</v>
      </c>
      <c r="E4913" s="30" t="s">
        <v>142</v>
      </c>
      <c r="F4913" s="7" t="s">
        <v>56</v>
      </c>
      <c r="G4913" s="146" t="s">
        <v>5765</v>
      </c>
      <c r="H4913" s="147" t="s">
        <v>7128</v>
      </c>
      <c r="I4913" s="163">
        <v>0</v>
      </c>
      <c r="J4913" s="46">
        <v>0</v>
      </c>
      <c r="K4913" s="46">
        <v>0</v>
      </c>
      <c r="L4913" s="46">
        <v>0</v>
      </c>
      <c r="M4913" s="46">
        <v>0</v>
      </c>
      <c r="N4913" s="46">
        <v>0</v>
      </c>
      <c r="O4913" s="46">
        <v>0</v>
      </c>
      <c r="P4913" s="47">
        <v>0</v>
      </c>
      <c r="Q4913" s="45" t="s">
        <v>154</v>
      </c>
      <c r="R4913" s="160"/>
      <c r="S4913" s="166"/>
      <c r="T4913" s="166"/>
    </row>
    <row r="4914" spans="1:20" s="162" customFormat="1" ht="84" x14ac:dyDescent="0.25">
      <c r="A4914" s="17">
        <v>41165</v>
      </c>
      <c r="B4914" s="17">
        <v>41165</v>
      </c>
      <c r="C4914" s="43">
        <v>2012</v>
      </c>
      <c r="D4914" s="24" t="s">
        <v>141</v>
      </c>
      <c r="E4914" s="30" t="s">
        <v>142</v>
      </c>
      <c r="F4914" s="7" t="s">
        <v>49</v>
      </c>
      <c r="G4914" s="146" t="s">
        <v>5014</v>
      </c>
      <c r="H4914" s="147" t="s">
        <v>7129</v>
      </c>
      <c r="I4914" s="163">
        <v>0</v>
      </c>
      <c r="J4914" s="46">
        <v>21</v>
      </c>
      <c r="K4914" s="46">
        <v>0</v>
      </c>
      <c r="L4914" s="46">
        <v>0</v>
      </c>
      <c r="M4914" s="46">
        <v>0</v>
      </c>
      <c r="N4914" s="46">
        <v>0</v>
      </c>
      <c r="O4914" s="46">
        <v>0</v>
      </c>
      <c r="P4914" s="47">
        <v>0.42</v>
      </c>
      <c r="Q4914" s="45" t="s">
        <v>154</v>
      </c>
      <c r="R4914" s="160"/>
      <c r="S4914" s="166"/>
      <c r="T4914" s="166"/>
    </row>
    <row r="4915" spans="1:20" s="162" customFormat="1" ht="132" x14ac:dyDescent="0.25">
      <c r="A4915" s="17">
        <v>41163</v>
      </c>
      <c r="B4915" s="17">
        <v>41163</v>
      </c>
      <c r="C4915" s="43">
        <v>2012</v>
      </c>
      <c r="D4915" s="351" t="s">
        <v>23</v>
      </c>
      <c r="E4915" s="22" t="s">
        <v>86</v>
      </c>
      <c r="F4915" s="7" t="s">
        <v>65</v>
      </c>
      <c r="G4915" s="146" t="s">
        <v>7130</v>
      </c>
      <c r="H4915" s="147" t="s">
        <v>7131</v>
      </c>
      <c r="I4915" s="163">
        <v>1</v>
      </c>
      <c r="J4915" s="46">
        <v>200</v>
      </c>
      <c r="K4915" s="46">
        <v>40</v>
      </c>
      <c r="L4915" s="46">
        <v>0</v>
      </c>
      <c r="M4915" s="46">
        <v>0</v>
      </c>
      <c r="N4915" s="46">
        <v>0</v>
      </c>
      <c r="O4915" s="46">
        <v>0</v>
      </c>
      <c r="P4915" s="47">
        <f>(K4915*5500)/1000000</f>
        <v>0.22</v>
      </c>
      <c r="Q4915" s="45" t="s">
        <v>154</v>
      </c>
      <c r="R4915" s="160"/>
      <c r="S4915" s="166"/>
      <c r="T4915" s="166"/>
    </row>
    <row r="4916" spans="1:20" s="162" customFormat="1" ht="108" x14ac:dyDescent="0.25">
      <c r="A4916" s="17">
        <v>41165</v>
      </c>
      <c r="B4916" s="17">
        <v>41165</v>
      </c>
      <c r="C4916" s="43">
        <v>2012</v>
      </c>
      <c r="D4916" s="35" t="s">
        <v>28</v>
      </c>
      <c r="E4916" s="30" t="s">
        <v>133</v>
      </c>
      <c r="F4916" s="7" t="s">
        <v>60</v>
      </c>
      <c r="G4916" s="146" t="s">
        <v>1605</v>
      </c>
      <c r="H4916" s="147" t="s">
        <v>7132</v>
      </c>
      <c r="I4916" s="163">
        <v>0</v>
      </c>
      <c r="J4916" s="46">
        <v>235</v>
      </c>
      <c r="K4916" s="46">
        <v>47</v>
      </c>
      <c r="L4916" s="46">
        <v>0</v>
      </c>
      <c r="M4916" s="46">
        <v>0</v>
      </c>
      <c r="N4916" s="46">
        <v>0</v>
      </c>
      <c r="O4916" s="46">
        <v>0</v>
      </c>
      <c r="P4916" s="47">
        <f>((0.12)+(46*0.028))</f>
        <v>1.4079999999999999</v>
      </c>
      <c r="Q4916" s="45" t="s">
        <v>154</v>
      </c>
      <c r="R4916" s="160"/>
      <c r="S4916" s="166"/>
      <c r="T4916" s="166"/>
    </row>
    <row r="4917" spans="1:20" s="162" customFormat="1" ht="72" x14ac:dyDescent="0.25">
      <c r="A4917" s="17">
        <v>41165</v>
      </c>
      <c r="B4917" s="17">
        <v>41165</v>
      </c>
      <c r="C4917" s="43">
        <v>2012</v>
      </c>
      <c r="D4917" s="351" t="s">
        <v>23</v>
      </c>
      <c r="E4917" s="30" t="s">
        <v>5893</v>
      </c>
      <c r="F4917" s="7" t="s">
        <v>91</v>
      </c>
      <c r="G4917" s="146" t="s">
        <v>7133</v>
      </c>
      <c r="H4917" s="147" t="s">
        <v>7134</v>
      </c>
      <c r="I4917" s="163">
        <v>2</v>
      </c>
      <c r="J4917" s="46">
        <v>2</v>
      </c>
      <c r="K4917" s="46">
        <v>0</v>
      </c>
      <c r="L4917" s="46">
        <v>0</v>
      </c>
      <c r="M4917" s="46">
        <v>0</v>
      </c>
      <c r="N4917" s="46">
        <v>0</v>
      </c>
      <c r="O4917" s="46">
        <v>0</v>
      </c>
      <c r="P4917" s="47">
        <v>0</v>
      </c>
      <c r="Q4917" s="45" t="s">
        <v>154</v>
      </c>
      <c r="R4917" s="160"/>
      <c r="S4917" s="166"/>
      <c r="T4917" s="166"/>
    </row>
    <row r="4918" spans="1:20" s="162" customFormat="1" ht="96" x14ac:dyDescent="0.25">
      <c r="A4918" s="17">
        <v>41166</v>
      </c>
      <c r="B4918" s="17">
        <v>41166</v>
      </c>
      <c r="C4918" s="43">
        <v>2012</v>
      </c>
      <c r="D4918" s="24" t="s">
        <v>141</v>
      </c>
      <c r="E4918" s="30" t="s">
        <v>142</v>
      </c>
      <c r="F4918" s="7" t="s">
        <v>56</v>
      </c>
      <c r="G4918" s="146" t="s">
        <v>3722</v>
      </c>
      <c r="H4918" s="147" t="s">
        <v>7135</v>
      </c>
      <c r="I4918" s="163">
        <v>0</v>
      </c>
      <c r="J4918" s="46">
        <v>0</v>
      </c>
      <c r="K4918" s="46">
        <v>0</v>
      </c>
      <c r="L4918" s="46">
        <v>0</v>
      </c>
      <c r="M4918" s="46">
        <v>0</v>
      </c>
      <c r="N4918" s="46">
        <v>0</v>
      </c>
      <c r="O4918" s="46">
        <v>0</v>
      </c>
      <c r="P4918" s="47">
        <v>0</v>
      </c>
      <c r="Q4918" s="45" t="s">
        <v>154</v>
      </c>
      <c r="R4918" s="160"/>
      <c r="S4918" s="166"/>
      <c r="T4918" s="166"/>
    </row>
    <row r="4919" spans="1:20" s="162" customFormat="1" ht="84" x14ac:dyDescent="0.25">
      <c r="A4919" s="17">
        <v>41167</v>
      </c>
      <c r="B4919" s="17">
        <v>41167</v>
      </c>
      <c r="C4919" s="43">
        <v>2012</v>
      </c>
      <c r="D4919" s="24" t="s">
        <v>141</v>
      </c>
      <c r="E4919" s="30" t="s">
        <v>142</v>
      </c>
      <c r="F4919" s="7" t="s">
        <v>68</v>
      </c>
      <c r="G4919" s="146" t="s">
        <v>7136</v>
      </c>
      <c r="H4919" s="147" t="s">
        <v>7137</v>
      </c>
      <c r="I4919" s="163">
        <v>0</v>
      </c>
      <c r="J4919" s="46">
        <v>10</v>
      </c>
      <c r="K4919" s="46">
        <v>2</v>
      </c>
      <c r="L4919" s="46">
        <v>0</v>
      </c>
      <c r="M4919" s="46">
        <v>0</v>
      </c>
      <c r="N4919" s="46">
        <v>0</v>
      </c>
      <c r="O4919" s="46">
        <v>0</v>
      </c>
      <c r="P4919" s="47">
        <f>(0.4725+0.24)</f>
        <v>0.71249999999999991</v>
      </c>
      <c r="Q4919" s="45" t="s">
        <v>154</v>
      </c>
      <c r="R4919" s="160"/>
      <c r="S4919" s="166"/>
      <c r="T4919" s="166"/>
    </row>
    <row r="4920" spans="1:20" s="162" customFormat="1" ht="84" x14ac:dyDescent="0.25">
      <c r="A4920" s="17">
        <v>41170</v>
      </c>
      <c r="B4920" s="17">
        <v>41170</v>
      </c>
      <c r="C4920" s="43">
        <v>2012</v>
      </c>
      <c r="D4920" s="35" t="s">
        <v>28</v>
      </c>
      <c r="E4920" s="6" t="s">
        <v>149</v>
      </c>
      <c r="F4920" s="28" t="s">
        <v>157</v>
      </c>
      <c r="G4920" s="146" t="s">
        <v>3606</v>
      </c>
      <c r="H4920" s="147" t="s">
        <v>7138</v>
      </c>
      <c r="I4920" s="163">
        <v>0</v>
      </c>
      <c r="J4920" s="46">
        <v>15</v>
      </c>
      <c r="K4920" s="46">
        <v>0</v>
      </c>
      <c r="L4920" s="46">
        <v>0</v>
      </c>
      <c r="M4920" s="46">
        <v>0</v>
      </c>
      <c r="N4920" s="46">
        <v>1</v>
      </c>
      <c r="O4920" s="46">
        <v>0</v>
      </c>
      <c r="P4920" s="47">
        <v>0</v>
      </c>
      <c r="Q4920" s="45" t="s">
        <v>154</v>
      </c>
      <c r="R4920" s="160"/>
      <c r="S4920" s="166"/>
      <c r="T4920" s="166"/>
    </row>
    <row r="4921" spans="1:20" s="162" customFormat="1" ht="72" x14ac:dyDescent="0.25">
      <c r="A4921" s="17">
        <v>41170</v>
      </c>
      <c r="B4921" s="17">
        <v>41170</v>
      </c>
      <c r="C4921" s="43">
        <v>2012</v>
      </c>
      <c r="D4921" s="24" t="s">
        <v>141</v>
      </c>
      <c r="E4921" s="30" t="s">
        <v>142</v>
      </c>
      <c r="F4921" s="7" t="s">
        <v>62</v>
      </c>
      <c r="G4921" s="146" t="s">
        <v>3407</v>
      </c>
      <c r="H4921" s="147" t="s">
        <v>7139</v>
      </c>
      <c r="I4921" s="163">
        <v>1</v>
      </c>
      <c r="J4921" s="46">
        <v>5</v>
      </c>
      <c r="K4921" s="46">
        <v>0</v>
      </c>
      <c r="L4921" s="46">
        <v>0</v>
      </c>
      <c r="M4921" s="46">
        <v>0</v>
      </c>
      <c r="N4921" s="46">
        <v>0</v>
      </c>
      <c r="O4921" s="46">
        <v>0</v>
      </c>
      <c r="P4921" s="47">
        <v>1</v>
      </c>
      <c r="Q4921" s="45" t="s">
        <v>154</v>
      </c>
      <c r="R4921" s="160"/>
      <c r="S4921" s="166"/>
      <c r="T4921" s="166"/>
    </row>
    <row r="4922" spans="1:20" s="162" customFormat="1" ht="60" x14ac:dyDescent="0.25">
      <c r="A4922" s="17">
        <v>41171</v>
      </c>
      <c r="B4922" s="17">
        <v>41171</v>
      </c>
      <c r="C4922" s="43">
        <v>2012</v>
      </c>
      <c r="D4922" s="24" t="s">
        <v>141</v>
      </c>
      <c r="E4922" s="30" t="s">
        <v>142</v>
      </c>
      <c r="F4922" s="7" t="s">
        <v>56</v>
      </c>
      <c r="G4922" s="146" t="s">
        <v>2786</v>
      </c>
      <c r="H4922" s="147" t="s">
        <v>7140</v>
      </c>
      <c r="I4922" s="163">
        <v>1</v>
      </c>
      <c r="J4922" s="46">
        <v>1</v>
      </c>
      <c r="K4922" s="46">
        <v>0</v>
      </c>
      <c r="L4922" s="46">
        <v>0</v>
      </c>
      <c r="M4922" s="46">
        <v>0</v>
      </c>
      <c r="N4922" s="46">
        <v>0</v>
      </c>
      <c r="O4922" s="46">
        <v>0</v>
      </c>
      <c r="P4922" s="47">
        <v>0.47249999999999998</v>
      </c>
      <c r="Q4922" s="45" t="s">
        <v>154</v>
      </c>
      <c r="R4922" s="160"/>
      <c r="S4922" s="166"/>
      <c r="T4922" s="166"/>
    </row>
    <row r="4923" spans="1:20" s="162" customFormat="1" ht="156" x14ac:dyDescent="0.25">
      <c r="A4923" s="17">
        <v>41170</v>
      </c>
      <c r="B4923" s="17">
        <v>41170</v>
      </c>
      <c r="C4923" s="43">
        <v>2012</v>
      </c>
      <c r="D4923" s="35" t="s">
        <v>28</v>
      </c>
      <c r="E4923" s="30" t="s">
        <v>133</v>
      </c>
      <c r="F4923" s="7" t="s">
        <v>91</v>
      </c>
      <c r="G4923" s="146" t="s">
        <v>2315</v>
      </c>
      <c r="H4923" s="147" t="s">
        <v>7141</v>
      </c>
      <c r="I4923" s="163">
        <v>26</v>
      </c>
      <c r="J4923" s="46">
        <v>73</v>
      </c>
      <c r="K4923" s="46">
        <v>0</v>
      </c>
      <c r="L4923" s="46">
        <v>0</v>
      </c>
      <c r="M4923" s="46">
        <v>0</v>
      </c>
      <c r="N4923" s="46">
        <v>1</v>
      </c>
      <c r="O4923" s="46">
        <v>0</v>
      </c>
      <c r="P4923" s="47">
        <v>0</v>
      </c>
      <c r="Q4923" s="45" t="s">
        <v>154</v>
      </c>
      <c r="R4923" s="160"/>
      <c r="S4923" s="166"/>
      <c r="T4923" s="166"/>
    </row>
    <row r="4924" spans="1:20" s="162" customFormat="1" ht="84" x14ac:dyDescent="0.25">
      <c r="A4924" s="17">
        <v>41172</v>
      </c>
      <c r="B4924" s="17">
        <v>41172</v>
      </c>
      <c r="C4924" s="43">
        <v>2012</v>
      </c>
      <c r="D4924" s="24" t="s">
        <v>141</v>
      </c>
      <c r="E4924" s="30" t="s">
        <v>142</v>
      </c>
      <c r="F4924" s="7" t="s">
        <v>87</v>
      </c>
      <c r="G4924" s="146" t="s">
        <v>3734</v>
      </c>
      <c r="H4924" s="147" t="s">
        <v>7142</v>
      </c>
      <c r="I4924" s="163">
        <v>3</v>
      </c>
      <c r="J4924" s="46">
        <v>15</v>
      </c>
      <c r="K4924" s="46">
        <v>0</v>
      </c>
      <c r="L4924" s="46">
        <v>0</v>
      </c>
      <c r="M4924" s="46">
        <v>0</v>
      </c>
      <c r="N4924" s="46">
        <v>0</v>
      </c>
      <c r="O4924" s="46">
        <v>0</v>
      </c>
      <c r="P4924" s="47">
        <v>0.42</v>
      </c>
      <c r="Q4924" s="45" t="s">
        <v>154</v>
      </c>
      <c r="R4924" s="160"/>
      <c r="S4924" s="166"/>
      <c r="T4924" s="166"/>
    </row>
    <row r="4925" spans="1:20" s="162" customFormat="1" ht="72" x14ac:dyDescent="0.25">
      <c r="A4925" s="17">
        <v>41167</v>
      </c>
      <c r="B4925" s="23">
        <v>41170</v>
      </c>
      <c r="C4925" s="43">
        <v>2012</v>
      </c>
      <c r="D4925" s="351" t="s">
        <v>23</v>
      </c>
      <c r="E4925" s="22" t="s">
        <v>86</v>
      </c>
      <c r="F4925" s="28" t="s">
        <v>210</v>
      </c>
      <c r="G4925" s="146" t="s">
        <v>7143</v>
      </c>
      <c r="H4925" s="147" t="s">
        <v>7144</v>
      </c>
      <c r="I4925" s="163">
        <v>0</v>
      </c>
      <c r="J4925" s="46">
        <v>4475</v>
      </c>
      <c r="K4925" s="46">
        <v>895</v>
      </c>
      <c r="L4925" s="46">
        <v>2</v>
      </c>
      <c r="M4925" s="46">
        <v>0</v>
      </c>
      <c r="N4925" s="46">
        <v>0</v>
      </c>
      <c r="O4925" s="46">
        <v>0</v>
      </c>
      <c r="P4925" s="47">
        <f>(K4925*5500)/1000000</f>
        <v>4.9225000000000003</v>
      </c>
      <c r="Q4925" s="45" t="s">
        <v>154</v>
      </c>
      <c r="R4925" s="160"/>
      <c r="S4925" s="166"/>
      <c r="T4925" s="166"/>
    </row>
    <row r="4926" spans="1:20" s="162" customFormat="1" ht="108" x14ac:dyDescent="0.25">
      <c r="A4926" s="17">
        <v>41175</v>
      </c>
      <c r="B4926" s="17">
        <v>41175</v>
      </c>
      <c r="C4926" s="43">
        <v>2012</v>
      </c>
      <c r="D4926" s="24" t="s">
        <v>141</v>
      </c>
      <c r="E4926" s="30" t="s">
        <v>142</v>
      </c>
      <c r="F4926" s="7" t="s">
        <v>75</v>
      </c>
      <c r="G4926" s="146" t="s">
        <v>716</v>
      </c>
      <c r="H4926" s="147" t="s">
        <v>7145</v>
      </c>
      <c r="I4926" s="163">
        <v>2</v>
      </c>
      <c r="J4926" s="46">
        <v>17</v>
      </c>
      <c r="K4926" s="46">
        <v>0</v>
      </c>
      <c r="L4926" s="46">
        <v>0</v>
      </c>
      <c r="M4926" s="46">
        <v>0</v>
      </c>
      <c r="N4926" s="46">
        <v>0</v>
      </c>
      <c r="O4926" s="46">
        <v>0</v>
      </c>
      <c r="P4926" s="47">
        <f>(0.42+0.03969+0.28875)</f>
        <v>0.74843999999999999</v>
      </c>
      <c r="Q4926" s="45" t="s">
        <v>154</v>
      </c>
      <c r="R4926" s="160"/>
      <c r="S4926" s="166"/>
      <c r="T4926" s="166"/>
    </row>
    <row r="4927" spans="1:20" s="162" customFormat="1" ht="84" x14ac:dyDescent="0.25">
      <c r="A4927" s="17">
        <v>41176</v>
      </c>
      <c r="B4927" s="17">
        <v>41176</v>
      </c>
      <c r="C4927" s="43">
        <v>2012</v>
      </c>
      <c r="D4927" s="35" t="s">
        <v>28</v>
      </c>
      <c r="E4927" s="6" t="s">
        <v>149</v>
      </c>
      <c r="F4927" s="7" t="s">
        <v>68</v>
      </c>
      <c r="G4927" s="146" t="s">
        <v>1121</v>
      </c>
      <c r="H4927" s="147" t="s">
        <v>7146</v>
      </c>
      <c r="I4927" s="163">
        <v>0</v>
      </c>
      <c r="J4927" s="46">
        <v>300</v>
      </c>
      <c r="K4927" s="46">
        <v>0</v>
      </c>
      <c r="L4927" s="46">
        <v>0</v>
      </c>
      <c r="M4927" s="46">
        <v>0</v>
      </c>
      <c r="N4927" s="46">
        <v>1</v>
      </c>
      <c r="O4927" s="46">
        <v>0</v>
      </c>
      <c r="P4927" s="47">
        <v>0</v>
      </c>
      <c r="Q4927" s="45" t="s">
        <v>154</v>
      </c>
      <c r="R4927" s="160"/>
      <c r="S4927" s="166"/>
      <c r="T4927" s="166"/>
    </row>
    <row r="4928" spans="1:20" s="162" customFormat="1" ht="120" x14ac:dyDescent="0.25">
      <c r="A4928" s="17">
        <v>41176</v>
      </c>
      <c r="B4928" s="17">
        <v>41176</v>
      </c>
      <c r="C4928" s="43">
        <v>2012</v>
      </c>
      <c r="D4928" s="351" t="s">
        <v>23</v>
      </c>
      <c r="E4928" s="22" t="s">
        <v>86</v>
      </c>
      <c r="F4928" s="28" t="s">
        <v>151</v>
      </c>
      <c r="G4928" s="146" t="s">
        <v>1477</v>
      </c>
      <c r="H4928" s="147" t="s">
        <v>7147</v>
      </c>
      <c r="I4928" s="163">
        <v>0</v>
      </c>
      <c r="J4928" s="46">
        <v>100</v>
      </c>
      <c r="K4928" s="46">
        <v>20</v>
      </c>
      <c r="L4928" s="46">
        <v>0</v>
      </c>
      <c r="M4928" s="46">
        <v>0</v>
      </c>
      <c r="N4928" s="46">
        <v>0</v>
      </c>
      <c r="O4928" s="46">
        <v>0</v>
      </c>
      <c r="P4928" s="47">
        <f>(K4928*5500)/1000000</f>
        <v>0.11</v>
      </c>
      <c r="Q4928" s="45" t="s">
        <v>154</v>
      </c>
      <c r="R4928" s="160"/>
      <c r="S4928" s="166"/>
      <c r="T4928" s="166"/>
    </row>
    <row r="4929" spans="1:20" s="162" customFormat="1" ht="216" x14ac:dyDescent="0.25">
      <c r="A4929" s="17">
        <v>41176</v>
      </c>
      <c r="B4929" s="17">
        <v>41176</v>
      </c>
      <c r="C4929" s="43">
        <v>2012</v>
      </c>
      <c r="D4929" s="351" t="s">
        <v>23</v>
      </c>
      <c r="E4929" s="22" t="s">
        <v>86</v>
      </c>
      <c r="F4929" s="7" t="s">
        <v>36</v>
      </c>
      <c r="G4929" s="146" t="s">
        <v>3496</v>
      </c>
      <c r="H4929" s="147" t="s">
        <v>7148</v>
      </c>
      <c r="I4929" s="163">
        <v>0</v>
      </c>
      <c r="J4929" s="46">
        <v>500</v>
      </c>
      <c r="K4929" s="46">
        <v>9</v>
      </c>
      <c r="L4929" s="46">
        <v>0</v>
      </c>
      <c r="M4929" s="46">
        <v>0</v>
      </c>
      <c r="N4929" s="46">
        <v>0</v>
      </c>
      <c r="O4929" s="46">
        <v>0</v>
      </c>
      <c r="P4929" s="47">
        <f>(9*5500)/1000000</f>
        <v>4.9500000000000002E-2</v>
      </c>
      <c r="Q4929" s="45" t="s">
        <v>154</v>
      </c>
      <c r="R4929" s="160"/>
      <c r="S4929" s="166"/>
      <c r="T4929" s="166"/>
    </row>
    <row r="4930" spans="1:20" s="162" customFormat="1" ht="72" x14ac:dyDescent="0.25">
      <c r="A4930" s="23">
        <v>41177</v>
      </c>
      <c r="B4930" s="23">
        <v>41177</v>
      </c>
      <c r="C4930" s="43">
        <v>2012</v>
      </c>
      <c r="D4930" s="24" t="s">
        <v>141</v>
      </c>
      <c r="E4930" s="30" t="s">
        <v>142</v>
      </c>
      <c r="F4930" s="7" t="s">
        <v>87</v>
      </c>
      <c r="G4930" s="146" t="s">
        <v>2758</v>
      </c>
      <c r="H4930" s="147" t="s">
        <v>7149</v>
      </c>
      <c r="I4930" s="163">
        <v>1</v>
      </c>
      <c r="J4930" s="46">
        <v>1</v>
      </c>
      <c r="K4930" s="46">
        <v>0</v>
      </c>
      <c r="L4930" s="46">
        <v>0</v>
      </c>
      <c r="M4930" s="46">
        <v>0</v>
      </c>
      <c r="N4930" s="46">
        <v>0</v>
      </c>
      <c r="O4930" s="46">
        <v>0</v>
      </c>
      <c r="P4930" s="47">
        <v>0</v>
      </c>
      <c r="Q4930" s="45" t="s">
        <v>154</v>
      </c>
      <c r="R4930" s="160"/>
      <c r="S4930" s="166"/>
      <c r="T4930" s="166"/>
    </row>
    <row r="4931" spans="1:20" s="162" customFormat="1" ht="48" x14ac:dyDescent="0.25">
      <c r="A4931" s="17">
        <v>41177</v>
      </c>
      <c r="B4931" s="17">
        <v>41177</v>
      </c>
      <c r="C4931" s="43">
        <v>2012</v>
      </c>
      <c r="D4931" s="24" t="s">
        <v>141</v>
      </c>
      <c r="E4931" s="30" t="s">
        <v>142</v>
      </c>
      <c r="F4931" s="7" t="s">
        <v>87</v>
      </c>
      <c r="G4931" s="146" t="s">
        <v>3734</v>
      </c>
      <c r="H4931" s="147" t="s">
        <v>7150</v>
      </c>
      <c r="I4931" s="163">
        <v>0</v>
      </c>
      <c r="J4931" s="46">
        <v>1</v>
      </c>
      <c r="K4931" s="46">
        <v>0</v>
      </c>
      <c r="L4931" s="46">
        <v>0</v>
      </c>
      <c r="M4931" s="46">
        <v>0</v>
      </c>
      <c r="N4931" s="46">
        <v>0</v>
      </c>
      <c r="O4931" s="46">
        <v>0</v>
      </c>
      <c r="P4931" s="47">
        <v>0</v>
      </c>
      <c r="Q4931" s="45" t="s">
        <v>154</v>
      </c>
      <c r="R4931" s="160"/>
      <c r="S4931" s="166"/>
      <c r="T4931" s="166"/>
    </row>
    <row r="4932" spans="1:20" s="162" customFormat="1" ht="96" x14ac:dyDescent="0.25">
      <c r="A4932" s="17">
        <v>41179</v>
      </c>
      <c r="B4932" s="17">
        <v>41179</v>
      </c>
      <c r="C4932" s="43">
        <v>2012</v>
      </c>
      <c r="D4932" s="24" t="s">
        <v>141</v>
      </c>
      <c r="E4932" s="30" t="s">
        <v>142</v>
      </c>
      <c r="F4932" s="7" t="s">
        <v>87</v>
      </c>
      <c r="G4932" s="146" t="s">
        <v>4751</v>
      </c>
      <c r="H4932" s="147" t="s">
        <v>7151</v>
      </c>
      <c r="I4932" s="163">
        <v>2</v>
      </c>
      <c r="J4932" s="46">
        <v>12</v>
      </c>
      <c r="K4932" s="46">
        <v>2</v>
      </c>
      <c r="L4932" s="46">
        <v>0</v>
      </c>
      <c r="M4932" s="46">
        <v>0</v>
      </c>
      <c r="N4932" s="46">
        <v>0</v>
      </c>
      <c r="O4932" s="46">
        <v>0</v>
      </c>
      <c r="P4932" s="47">
        <v>1.575</v>
      </c>
      <c r="Q4932" s="45" t="s">
        <v>154</v>
      </c>
      <c r="R4932" s="160"/>
      <c r="S4932" s="166"/>
      <c r="T4932" s="166"/>
    </row>
    <row r="4933" spans="1:20" s="162" customFormat="1" ht="72" x14ac:dyDescent="0.25">
      <c r="A4933" s="17">
        <v>41178</v>
      </c>
      <c r="B4933" s="17">
        <v>41178</v>
      </c>
      <c r="C4933" s="43">
        <v>2012</v>
      </c>
      <c r="D4933" s="351" t="s">
        <v>23</v>
      </c>
      <c r="E4933" s="22" t="s">
        <v>86</v>
      </c>
      <c r="F4933" s="7" t="s">
        <v>97</v>
      </c>
      <c r="G4933" s="146" t="s">
        <v>489</v>
      </c>
      <c r="H4933" s="147" t="s">
        <v>7152</v>
      </c>
      <c r="I4933" s="163">
        <v>0</v>
      </c>
      <c r="J4933" s="46">
        <v>255</v>
      </c>
      <c r="K4933" s="46">
        <v>51</v>
      </c>
      <c r="L4933" s="46">
        <v>0</v>
      </c>
      <c r="M4933" s="46">
        <v>0</v>
      </c>
      <c r="N4933" s="46">
        <v>0</v>
      </c>
      <c r="O4933" s="46">
        <v>0</v>
      </c>
      <c r="P4933" s="47">
        <f>(K4933*5500)/1000000</f>
        <v>0.28050000000000003</v>
      </c>
      <c r="Q4933" s="45" t="s">
        <v>154</v>
      </c>
      <c r="R4933" s="160"/>
      <c r="S4933" s="166"/>
      <c r="T4933" s="166"/>
    </row>
    <row r="4934" spans="1:20" s="162" customFormat="1" ht="96" x14ac:dyDescent="0.25">
      <c r="A4934" s="17">
        <v>41181</v>
      </c>
      <c r="B4934" s="23">
        <v>41181</v>
      </c>
      <c r="C4934" s="43">
        <v>2012</v>
      </c>
      <c r="D4934" s="35" t="s">
        <v>28</v>
      </c>
      <c r="E4934" s="30" t="s">
        <v>125</v>
      </c>
      <c r="F4934" s="7" t="s">
        <v>84</v>
      </c>
      <c r="G4934" s="146" t="s">
        <v>2143</v>
      </c>
      <c r="H4934" s="147" t="s">
        <v>7153</v>
      </c>
      <c r="I4934" s="163">
        <v>0</v>
      </c>
      <c r="J4934" s="46">
        <v>500</v>
      </c>
      <c r="K4934" s="46">
        <v>0</v>
      </c>
      <c r="L4934" s="46">
        <v>0</v>
      </c>
      <c r="M4934" s="46">
        <v>0</v>
      </c>
      <c r="N4934" s="46">
        <v>0</v>
      </c>
      <c r="O4934" s="46">
        <v>0</v>
      </c>
      <c r="P4934" s="47">
        <v>0</v>
      </c>
      <c r="Q4934" s="45" t="s">
        <v>154</v>
      </c>
      <c r="R4934" s="160"/>
      <c r="S4934" s="166"/>
      <c r="T4934" s="166"/>
    </row>
    <row r="4935" spans="1:20" s="162" customFormat="1" ht="72" x14ac:dyDescent="0.25">
      <c r="A4935" s="17">
        <v>41182</v>
      </c>
      <c r="B4935" s="17">
        <v>41182</v>
      </c>
      <c r="C4935" s="43">
        <v>2012</v>
      </c>
      <c r="D4935" s="351" t="s">
        <v>23</v>
      </c>
      <c r="E4935" s="22" t="s">
        <v>86</v>
      </c>
      <c r="F4935" s="7" t="s">
        <v>75</v>
      </c>
      <c r="G4935" s="146" t="s">
        <v>75</v>
      </c>
      <c r="H4935" s="147" t="s">
        <v>7154</v>
      </c>
      <c r="I4935" s="163">
        <v>1</v>
      </c>
      <c r="J4935" s="46">
        <v>400</v>
      </c>
      <c r="K4935" s="46">
        <v>80</v>
      </c>
      <c r="L4935" s="46">
        <v>0</v>
      </c>
      <c r="M4935" s="46">
        <v>0</v>
      </c>
      <c r="N4935" s="46">
        <v>0</v>
      </c>
      <c r="O4935" s="46">
        <v>0</v>
      </c>
      <c r="P4935" s="47">
        <f>(K4935*5500)/1000000</f>
        <v>0.44</v>
      </c>
      <c r="Q4935" s="45" t="s">
        <v>154</v>
      </c>
      <c r="R4935" s="160"/>
      <c r="S4935" s="166"/>
      <c r="T4935" s="166"/>
    </row>
    <row r="4936" spans="1:20" s="162" customFormat="1" ht="108" x14ac:dyDescent="0.25">
      <c r="A4936" s="17">
        <v>41184</v>
      </c>
      <c r="B4936" s="17">
        <v>41184</v>
      </c>
      <c r="C4936" s="43">
        <v>2012</v>
      </c>
      <c r="D4936" s="35" t="s">
        <v>28</v>
      </c>
      <c r="E4936" s="30" t="s">
        <v>133</v>
      </c>
      <c r="F4936" s="7" t="s">
        <v>84</v>
      </c>
      <c r="G4936" s="146" t="s">
        <v>1802</v>
      </c>
      <c r="H4936" s="147" t="s">
        <v>7155</v>
      </c>
      <c r="I4936" s="163">
        <v>3</v>
      </c>
      <c r="J4936" s="46">
        <v>5</v>
      </c>
      <c r="K4936" s="46">
        <v>0</v>
      </c>
      <c r="L4936" s="46">
        <v>0</v>
      </c>
      <c r="M4936" s="46">
        <v>0</v>
      </c>
      <c r="N4936" s="46">
        <v>0</v>
      </c>
      <c r="O4936" s="46">
        <v>0</v>
      </c>
      <c r="P4936" s="47">
        <v>0.47249999999999998</v>
      </c>
      <c r="Q4936" s="45" t="s">
        <v>154</v>
      </c>
      <c r="R4936" s="160"/>
      <c r="S4936" s="166"/>
      <c r="T4936" s="166"/>
    </row>
    <row r="4937" spans="1:20" s="162" customFormat="1" ht="96" x14ac:dyDescent="0.25">
      <c r="A4937" s="17">
        <v>41185</v>
      </c>
      <c r="B4937" s="17">
        <v>41185</v>
      </c>
      <c r="C4937" s="43">
        <v>2012</v>
      </c>
      <c r="D4937" s="24" t="s">
        <v>141</v>
      </c>
      <c r="E4937" s="30" t="s">
        <v>142</v>
      </c>
      <c r="F4937" s="7" t="s">
        <v>53</v>
      </c>
      <c r="G4937" s="146" t="s">
        <v>2997</v>
      </c>
      <c r="H4937" s="147" t="s">
        <v>7156</v>
      </c>
      <c r="I4937" s="163">
        <v>5</v>
      </c>
      <c r="J4937" s="46">
        <v>14</v>
      </c>
      <c r="K4937" s="46">
        <v>0</v>
      </c>
      <c r="L4937" s="46">
        <v>0</v>
      </c>
      <c r="M4937" s="46">
        <v>0</v>
      </c>
      <c r="N4937" s="46">
        <v>0</v>
      </c>
      <c r="O4937" s="46">
        <v>0</v>
      </c>
      <c r="P4937" s="47">
        <v>3.9690000000000003E-2</v>
      </c>
      <c r="Q4937" s="45" t="s">
        <v>154</v>
      </c>
      <c r="R4937" s="160"/>
      <c r="S4937" s="166"/>
      <c r="T4937" s="166"/>
    </row>
    <row r="4938" spans="1:20" s="162" customFormat="1" ht="72" x14ac:dyDescent="0.25">
      <c r="A4938" s="17">
        <v>41185</v>
      </c>
      <c r="B4938" s="17">
        <v>41185</v>
      </c>
      <c r="C4938" s="43">
        <v>2012</v>
      </c>
      <c r="D4938" s="24" t="s">
        <v>141</v>
      </c>
      <c r="E4938" s="30" t="s">
        <v>142</v>
      </c>
      <c r="F4938" s="7" t="s">
        <v>60</v>
      </c>
      <c r="G4938" s="146" t="s">
        <v>924</v>
      </c>
      <c r="H4938" s="147" t="s">
        <v>7157</v>
      </c>
      <c r="I4938" s="163">
        <v>0</v>
      </c>
      <c r="J4938" s="46">
        <v>3</v>
      </c>
      <c r="K4938" s="46">
        <v>0</v>
      </c>
      <c r="L4938" s="46">
        <v>0</v>
      </c>
      <c r="M4938" s="46">
        <v>0</v>
      </c>
      <c r="N4938" s="46">
        <v>0</v>
      </c>
      <c r="O4938" s="46">
        <v>0</v>
      </c>
      <c r="P4938" s="47">
        <f>(0.28875*2)</f>
        <v>0.57750000000000001</v>
      </c>
      <c r="Q4938" s="45" t="s">
        <v>154</v>
      </c>
      <c r="R4938" s="160"/>
      <c r="S4938" s="166"/>
      <c r="T4938" s="166"/>
    </row>
    <row r="4939" spans="1:20" s="162" customFormat="1" ht="96" x14ac:dyDescent="0.25">
      <c r="A4939" s="17">
        <v>41185</v>
      </c>
      <c r="B4939" s="17">
        <v>41185</v>
      </c>
      <c r="C4939" s="43">
        <v>2012</v>
      </c>
      <c r="D4939" s="24" t="s">
        <v>130</v>
      </c>
      <c r="E4939" s="30" t="s">
        <v>139</v>
      </c>
      <c r="F4939" s="7" t="s">
        <v>56</v>
      </c>
      <c r="G4939" s="146" t="s">
        <v>5765</v>
      </c>
      <c r="H4939" s="147" t="s">
        <v>7158</v>
      </c>
      <c r="I4939" s="163">
        <v>0</v>
      </c>
      <c r="J4939" s="46">
        <v>7</v>
      </c>
      <c r="K4939" s="46">
        <v>0</v>
      </c>
      <c r="L4939" s="46">
        <v>0</v>
      </c>
      <c r="M4939" s="46">
        <v>0</v>
      </c>
      <c r="N4939" s="46">
        <v>0</v>
      </c>
      <c r="O4939" s="46">
        <v>0</v>
      </c>
      <c r="P4939" s="47">
        <v>0</v>
      </c>
      <c r="Q4939" s="45" t="s">
        <v>154</v>
      </c>
      <c r="R4939" s="160"/>
      <c r="S4939" s="166"/>
      <c r="T4939" s="166"/>
    </row>
    <row r="4940" spans="1:20" s="162" customFormat="1" ht="96" x14ac:dyDescent="0.25">
      <c r="A4940" s="17">
        <v>41189</v>
      </c>
      <c r="B4940" s="17">
        <v>41189</v>
      </c>
      <c r="C4940" s="43">
        <v>2012</v>
      </c>
      <c r="D4940" s="24" t="s">
        <v>141</v>
      </c>
      <c r="E4940" s="30" t="s">
        <v>142</v>
      </c>
      <c r="F4940" s="7" t="s">
        <v>84</v>
      </c>
      <c r="G4940" s="146" t="s">
        <v>3740</v>
      </c>
      <c r="H4940" s="147" t="s">
        <v>7159</v>
      </c>
      <c r="I4940" s="163">
        <v>5</v>
      </c>
      <c r="J4940" s="46">
        <v>26</v>
      </c>
      <c r="K4940" s="46">
        <v>0</v>
      </c>
      <c r="L4940" s="46">
        <v>0</v>
      </c>
      <c r="M4940" s="46">
        <v>0</v>
      </c>
      <c r="N4940" s="46">
        <v>0</v>
      </c>
      <c r="O4940" s="46">
        <v>0</v>
      </c>
      <c r="P4940" s="47">
        <v>0.42</v>
      </c>
      <c r="Q4940" s="45" t="s">
        <v>154</v>
      </c>
      <c r="R4940" s="160"/>
      <c r="S4940" s="166"/>
      <c r="T4940" s="166"/>
    </row>
    <row r="4941" spans="1:20" s="162" customFormat="1" ht="120" x14ac:dyDescent="0.25">
      <c r="A4941" s="17">
        <v>41191</v>
      </c>
      <c r="B4941" s="17">
        <v>41191</v>
      </c>
      <c r="C4941" s="43">
        <v>2012</v>
      </c>
      <c r="D4941" s="24" t="s">
        <v>141</v>
      </c>
      <c r="E4941" s="30" t="s">
        <v>142</v>
      </c>
      <c r="F4941" s="7" t="s">
        <v>72</v>
      </c>
      <c r="G4941" s="146" t="s">
        <v>7160</v>
      </c>
      <c r="H4941" s="147" t="s">
        <v>7161</v>
      </c>
      <c r="I4941" s="148">
        <v>1</v>
      </c>
      <c r="J4941" s="46">
        <v>17</v>
      </c>
      <c r="K4941" s="46">
        <v>0</v>
      </c>
      <c r="L4941" s="46">
        <v>0</v>
      </c>
      <c r="M4941" s="46">
        <v>0</v>
      </c>
      <c r="N4941" s="46">
        <v>0</v>
      </c>
      <c r="O4941" s="46">
        <v>0</v>
      </c>
      <c r="P4941" s="47">
        <v>0.42</v>
      </c>
      <c r="Q4941" s="45" t="s">
        <v>154</v>
      </c>
      <c r="R4941" s="160"/>
      <c r="S4941" s="166"/>
      <c r="T4941" s="166"/>
    </row>
    <row r="4942" spans="1:20" s="162" customFormat="1" ht="96" x14ac:dyDescent="0.25">
      <c r="A4942" s="17">
        <v>41197</v>
      </c>
      <c r="B4942" s="17">
        <v>41197</v>
      </c>
      <c r="C4942" s="43">
        <v>2012</v>
      </c>
      <c r="D4942" s="24" t="s">
        <v>141</v>
      </c>
      <c r="E4942" s="30" t="s">
        <v>142</v>
      </c>
      <c r="F4942" s="25" t="s">
        <v>781</v>
      </c>
      <c r="G4942" s="146" t="s">
        <v>3061</v>
      </c>
      <c r="H4942" s="147" t="s">
        <v>7162</v>
      </c>
      <c r="I4942" s="163">
        <v>0</v>
      </c>
      <c r="J4942" s="46">
        <v>375</v>
      </c>
      <c r="K4942" s="46">
        <v>0</v>
      </c>
      <c r="L4942" s="46">
        <v>0</v>
      </c>
      <c r="M4942" s="46">
        <v>0</v>
      </c>
      <c r="N4942" s="46">
        <v>0</v>
      </c>
      <c r="O4942" s="46">
        <v>0</v>
      </c>
      <c r="P4942" s="47">
        <v>0</v>
      </c>
      <c r="Q4942" s="45" t="s">
        <v>154</v>
      </c>
      <c r="R4942" s="160"/>
      <c r="S4942" s="166"/>
      <c r="T4942" s="166"/>
    </row>
    <row r="4943" spans="1:20" s="162" customFormat="1" ht="108" x14ac:dyDescent="0.25">
      <c r="A4943" s="23">
        <v>41198</v>
      </c>
      <c r="B4943" s="23">
        <v>41017</v>
      </c>
      <c r="C4943" s="43">
        <v>2012</v>
      </c>
      <c r="D4943" s="35" t="s">
        <v>28</v>
      </c>
      <c r="E4943" s="6" t="s">
        <v>149</v>
      </c>
      <c r="F4943" s="7" t="s">
        <v>53</v>
      </c>
      <c r="G4943" s="146" t="s">
        <v>6711</v>
      </c>
      <c r="H4943" s="147" t="s">
        <v>7163</v>
      </c>
      <c r="I4943" s="148">
        <v>0</v>
      </c>
      <c r="J4943" s="46">
        <v>8</v>
      </c>
      <c r="K4943" s="46">
        <v>0</v>
      </c>
      <c r="L4943" s="46">
        <v>0</v>
      </c>
      <c r="M4943" s="46">
        <v>0</v>
      </c>
      <c r="N4943" s="46">
        <v>15</v>
      </c>
      <c r="O4943" s="46">
        <v>0</v>
      </c>
      <c r="P4943" s="47">
        <v>0</v>
      </c>
      <c r="Q4943" s="45" t="s">
        <v>154</v>
      </c>
      <c r="R4943" s="160"/>
      <c r="S4943" s="166"/>
      <c r="T4943" s="166"/>
    </row>
    <row r="4944" spans="1:20" s="162" customFormat="1" ht="60" x14ac:dyDescent="0.25">
      <c r="A4944" s="17">
        <v>41199</v>
      </c>
      <c r="B4944" s="17">
        <v>41199</v>
      </c>
      <c r="C4944" s="43">
        <v>2012</v>
      </c>
      <c r="D4944" s="24" t="s">
        <v>141</v>
      </c>
      <c r="E4944" s="30" t="s">
        <v>142</v>
      </c>
      <c r="F4944" s="7" t="s">
        <v>62</v>
      </c>
      <c r="G4944" s="146" t="s">
        <v>959</v>
      </c>
      <c r="H4944" s="147" t="s">
        <v>7164</v>
      </c>
      <c r="I4944" s="163">
        <v>0</v>
      </c>
      <c r="J4944" s="46">
        <v>0</v>
      </c>
      <c r="K4944" s="46">
        <v>0</v>
      </c>
      <c r="L4944" s="46">
        <v>0</v>
      </c>
      <c r="M4944" s="46">
        <v>0</v>
      </c>
      <c r="N4944" s="46">
        <v>0</v>
      </c>
      <c r="O4944" s="46">
        <v>0</v>
      </c>
      <c r="P4944" s="47">
        <v>0</v>
      </c>
      <c r="Q4944" s="27" t="s">
        <v>154</v>
      </c>
      <c r="R4944" s="160"/>
      <c r="S4944" s="164"/>
      <c r="T4944" s="164"/>
    </row>
    <row r="4945" spans="1:20" s="162" customFormat="1" ht="108" x14ac:dyDescent="0.25">
      <c r="A4945" s="17">
        <v>41199</v>
      </c>
      <c r="B4945" s="17">
        <v>41199</v>
      </c>
      <c r="C4945" s="43">
        <v>2012</v>
      </c>
      <c r="D4945" s="35" t="s">
        <v>28</v>
      </c>
      <c r="E4945" s="30" t="s">
        <v>125</v>
      </c>
      <c r="F4945" s="7" t="s">
        <v>53</v>
      </c>
      <c r="G4945" s="146" t="s">
        <v>7165</v>
      </c>
      <c r="H4945" s="147" t="s">
        <v>7166</v>
      </c>
      <c r="I4945" s="163">
        <v>0</v>
      </c>
      <c r="J4945" s="46">
        <v>4000</v>
      </c>
      <c r="K4945" s="46">
        <v>0</v>
      </c>
      <c r="L4945" s="46">
        <v>0</v>
      </c>
      <c r="M4945" s="46">
        <v>0</v>
      </c>
      <c r="N4945" s="46">
        <v>0</v>
      </c>
      <c r="O4945" s="46">
        <v>0</v>
      </c>
      <c r="P4945" s="47">
        <v>0</v>
      </c>
      <c r="Q4945" s="27" t="s">
        <v>154</v>
      </c>
      <c r="R4945" s="160"/>
      <c r="S4945" s="164"/>
      <c r="T4945" s="164"/>
    </row>
    <row r="4946" spans="1:20" s="162" customFormat="1" ht="72" x14ac:dyDescent="0.25">
      <c r="A4946" s="17">
        <v>41200</v>
      </c>
      <c r="B4946" s="17">
        <v>41200</v>
      </c>
      <c r="C4946" s="43">
        <v>2012</v>
      </c>
      <c r="D4946" s="35" t="s">
        <v>28</v>
      </c>
      <c r="E4946" s="6" t="s">
        <v>149</v>
      </c>
      <c r="F4946" s="7" t="s">
        <v>72</v>
      </c>
      <c r="G4946" s="146" t="s">
        <v>3749</v>
      </c>
      <c r="H4946" s="147" t="s">
        <v>7167</v>
      </c>
      <c r="I4946" s="163">
        <v>0</v>
      </c>
      <c r="J4946" s="46">
        <v>6</v>
      </c>
      <c r="K4946" s="46">
        <v>0</v>
      </c>
      <c r="L4946" s="46">
        <v>0</v>
      </c>
      <c r="M4946" s="46">
        <v>0</v>
      </c>
      <c r="N4946" s="46">
        <v>0</v>
      </c>
      <c r="O4946" s="46">
        <v>0</v>
      </c>
      <c r="P4946" s="47">
        <v>0</v>
      </c>
      <c r="Q4946" s="27" t="s">
        <v>154</v>
      </c>
      <c r="R4946" s="160"/>
      <c r="S4946" s="164"/>
      <c r="T4946" s="164"/>
    </row>
    <row r="4947" spans="1:20" s="162" customFormat="1" ht="132" x14ac:dyDescent="0.25">
      <c r="A4947" s="23">
        <v>41200</v>
      </c>
      <c r="B4947" s="23">
        <v>41200</v>
      </c>
      <c r="C4947" s="43">
        <v>2012</v>
      </c>
      <c r="D4947" s="35" t="s">
        <v>28</v>
      </c>
      <c r="E4947" s="30" t="s">
        <v>125</v>
      </c>
      <c r="F4947" s="7" t="s">
        <v>84</v>
      </c>
      <c r="G4947" s="146" t="s">
        <v>2143</v>
      </c>
      <c r="H4947" s="147" t="s">
        <v>7168</v>
      </c>
      <c r="I4947" s="163">
        <v>0</v>
      </c>
      <c r="J4947" s="46">
        <v>20</v>
      </c>
      <c r="K4947" s="46">
        <v>0</v>
      </c>
      <c r="L4947" s="46">
        <v>0</v>
      </c>
      <c r="M4947" s="46">
        <v>0</v>
      </c>
      <c r="N4947" s="46">
        <v>0</v>
      </c>
      <c r="O4947" s="46">
        <v>0</v>
      </c>
      <c r="P4947" s="47">
        <v>0</v>
      </c>
      <c r="Q4947" s="27" t="s">
        <v>154</v>
      </c>
      <c r="R4947" s="160"/>
      <c r="S4947" s="164"/>
      <c r="T4947" s="164"/>
    </row>
    <row r="4948" spans="1:20" s="162" customFormat="1" ht="120" x14ac:dyDescent="0.25">
      <c r="A4948" s="17">
        <v>41201</v>
      </c>
      <c r="B4948" s="17">
        <v>41201</v>
      </c>
      <c r="C4948" s="43">
        <v>2012</v>
      </c>
      <c r="D4948" s="24" t="s">
        <v>141</v>
      </c>
      <c r="E4948" s="30" t="s">
        <v>142</v>
      </c>
      <c r="F4948" s="28" t="s">
        <v>151</v>
      </c>
      <c r="G4948" s="146" t="s">
        <v>1477</v>
      </c>
      <c r="H4948" s="147" t="s">
        <v>7169</v>
      </c>
      <c r="I4948" s="163">
        <v>0</v>
      </c>
      <c r="J4948" s="46">
        <v>0</v>
      </c>
      <c r="K4948" s="46">
        <v>0</v>
      </c>
      <c r="L4948" s="46">
        <v>0</v>
      </c>
      <c r="M4948" s="46">
        <v>0</v>
      </c>
      <c r="N4948" s="46">
        <v>0</v>
      </c>
      <c r="O4948" s="46">
        <v>0</v>
      </c>
      <c r="P4948" s="47">
        <v>0</v>
      </c>
      <c r="Q4948" s="27" t="s">
        <v>154</v>
      </c>
      <c r="R4948" s="160"/>
      <c r="S4948" s="164"/>
      <c r="T4948" s="164"/>
    </row>
    <row r="4949" spans="1:20" s="162" customFormat="1" ht="84" x14ac:dyDescent="0.25">
      <c r="A4949" s="17">
        <v>41229</v>
      </c>
      <c r="B4949" s="17">
        <v>41229</v>
      </c>
      <c r="C4949" s="43">
        <v>2012</v>
      </c>
      <c r="D4949" s="24" t="s">
        <v>141</v>
      </c>
      <c r="E4949" s="30" t="s">
        <v>142</v>
      </c>
      <c r="F4949" s="7" t="s">
        <v>75</v>
      </c>
      <c r="G4949" s="146" t="s">
        <v>7170</v>
      </c>
      <c r="H4949" s="147" t="s">
        <v>7171</v>
      </c>
      <c r="I4949" s="163">
        <v>1</v>
      </c>
      <c r="J4949" s="46">
        <v>27</v>
      </c>
      <c r="K4949" s="46">
        <v>0</v>
      </c>
      <c r="L4949" s="46">
        <v>0</v>
      </c>
      <c r="M4949" s="46">
        <v>0</v>
      </c>
      <c r="N4949" s="46">
        <v>0</v>
      </c>
      <c r="O4949" s="46">
        <v>0</v>
      </c>
      <c r="P4949" s="47">
        <v>0.25</v>
      </c>
      <c r="Q4949" s="27" t="s">
        <v>154</v>
      </c>
      <c r="R4949" s="160"/>
      <c r="S4949" s="164"/>
      <c r="T4949" s="164"/>
    </row>
    <row r="4950" spans="1:20" s="162" customFormat="1" ht="96" x14ac:dyDescent="0.25">
      <c r="A4950" s="17">
        <v>41204</v>
      </c>
      <c r="B4950" s="17">
        <v>41182</v>
      </c>
      <c r="C4950" s="43">
        <v>2012</v>
      </c>
      <c r="D4950" s="35" t="s">
        <v>28</v>
      </c>
      <c r="E4950" s="30" t="s">
        <v>125</v>
      </c>
      <c r="F4950" s="7" t="s">
        <v>101</v>
      </c>
      <c r="G4950" s="146" t="s">
        <v>7172</v>
      </c>
      <c r="H4950" s="147" t="s">
        <v>7173</v>
      </c>
      <c r="I4950" s="148">
        <v>0</v>
      </c>
      <c r="J4950" s="46">
        <v>70</v>
      </c>
      <c r="K4950" s="46">
        <v>0</v>
      </c>
      <c r="L4950" s="46">
        <v>0</v>
      </c>
      <c r="M4950" s="46">
        <v>0</v>
      </c>
      <c r="N4950" s="46">
        <v>0</v>
      </c>
      <c r="O4950" s="46">
        <v>0</v>
      </c>
      <c r="P4950" s="47">
        <v>0</v>
      </c>
      <c r="Q4950" s="27" t="s">
        <v>154</v>
      </c>
      <c r="R4950" s="160"/>
      <c r="S4950" s="164"/>
      <c r="T4950" s="164"/>
    </row>
    <row r="4951" spans="1:20" s="162" customFormat="1" ht="96" x14ac:dyDescent="0.25">
      <c r="A4951" s="23">
        <v>41206</v>
      </c>
      <c r="B4951" s="23">
        <v>41206</v>
      </c>
      <c r="C4951" s="43">
        <v>2012</v>
      </c>
      <c r="D4951" s="24" t="s">
        <v>141</v>
      </c>
      <c r="E4951" s="30" t="s">
        <v>142</v>
      </c>
      <c r="F4951" s="7" t="s">
        <v>75</v>
      </c>
      <c r="G4951" s="146" t="s">
        <v>4971</v>
      </c>
      <c r="H4951" s="147" t="s">
        <v>7174</v>
      </c>
      <c r="I4951" s="163">
        <v>0</v>
      </c>
      <c r="J4951" s="46">
        <v>2</v>
      </c>
      <c r="K4951" s="46">
        <v>0</v>
      </c>
      <c r="L4951" s="46">
        <v>0</v>
      </c>
      <c r="M4951" s="46">
        <v>0</v>
      </c>
      <c r="N4951" s="46">
        <v>0</v>
      </c>
      <c r="O4951" s="46">
        <v>0</v>
      </c>
      <c r="P4951" s="47">
        <v>0</v>
      </c>
      <c r="Q4951" s="27" t="s">
        <v>154</v>
      </c>
      <c r="R4951" s="160"/>
      <c r="S4951" s="164"/>
      <c r="T4951" s="164"/>
    </row>
    <row r="4952" spans="1:20" s="162" customFormat="1" ht="84" x14ac:dyDescent="0.25">
      <c r="A4952" s="17">
        <v>41206</v>
      </c>
      <c r="B4952" s="17">
        <v>41206</v>
      </c>
      <c r="C4952" s="43">
        <v>2012</v>
      </c>
      <c r="D4952" s="24" t="s">
        <v>141</v>
      </c>
      <c r="E4952" s="30" t="s">
        <v>142</v>
      </c>
      <c r="F4952" s="28" t="s">
        <v>210</v>
      </c>
      <c r="G4952" s="146" t="s">
        <v>7175</v>
      </c>
      <c r="H4952" s="147" t="s">
        <v>7176</v>
      </c>
      <c r="I4952" s="148">
        <v>2</v>
      </c>
      <c r="J4952" s="46">
        <v>11</v>
      </c>
      <c r="K4952" s="46">
        <v>0</v>
      </c>
      <c r="L4952" s="46">
        <v>0</v>
      </c>
      <c r="M4952" s="46">
        <v>0</v>
      </c>
      <c r="N4952" s="46">
        <v>0</v>
      </c>
      <c r="O4952" s="46">
        <v>0</v>
      </c>
      <c r="P4952" s="47">
        <v>0</v>
      </c>
      <c r="Q4952" s="27" t="s">
        <v>154</v>
      </c>
      <c r="R4952" s="160"/>
      <c r="S4952" s="164"/>
      <c r="T4952" s="164"/>
    </row>
    <row r="4953" spans="1:20" s="162" customFormat="1" ht="84" x14ac:dyDescent="0.25">
      <c r="A4953" s="17">
        <v>41206</v>
      </c>
      <c r="B4953" s="17">
        <v>41206</v>
      </c>
      <c r="C4953" s="43">
        <v>2012</v>
      </c>
      <c r="D4953" s="24" t="s">
        <v>141</v>
      </c>
      <c r="E4953" s="30" t="s">
        <v>142</v>
      </c>
      <c r="F4953" s="7" t="s">
        <v>77</v>
      </c>
      <c r="G4953" s="146" t="s">
        <v>7177</v>
      </c>
      <c r="H4953" s="147" t="s">
        <v>7178</v>
      </c>
      <c r="I4953" s="163">
        <v>0</v>
      </c>
      <c r="J4953" s="46">
        <v>0</v>
      </c>
      <c r="K4953" s="46">
        <v>0</v>
      </c>
      <c r="L4953" s="46">
        <v>0</v>
      </c>
      <c r="M4953" s="46">
        <v>0</v>
      </c>
      <c r="N4953" s="46">
        <v>0</v>
      </c>
      <c r="O4953" s="46">
        <v>0</v>
      </c>
      <c r="P4953" s="47">
        <v>0.28875000000000001</v>
      </c>
      <c r="Q4953" s="27" t="s">
        <v>154</v>
      </c>
      <c r="R4953" s="160"/>
      <c r="S4953" s="164"/>
      <c r="T4953" s="164"/>
    </row>
    <row r="4954" spans="1:20" s="162" customFormat="1" ht="60" x14ac:dyDescent="0.25">
      <c r="A4954" s="17">
        <v>41207</v>
      </c>
      <c r="B4954" s="17">
        <v>41207</v>
      </c>
      <c r="C4954" s="43">
        <v>2012</v>
      </c>
      <c r="D4954" s="35" t="s">
        <v>28</v>
      </c>
      <c r="E4954" s="6" t="s">
        <v>149</v>
      </c>
      <c r="F4954" s="7" t="s">
        <v>58</v>
      </c>
      <c r="G4954" s="146" t="s">
        <v>6757</v>
      </c>
      <c r="H4954" s="147" t="s">
        <v>7179</v>
      </c>
      <c r="I4954" s="163">
        <v>3</v>
      </c>
      <c r="J4954" s="46">
        <v>3</v>
      </c>
      <c r="K4954" s="46">
        <v>1</v>
      </c>
      <c r="L4954" s="46">
        <v>0</v>
      </c>
      <c r="M4954" s="46">
        <v>0</v>
      </c>
      <c r="N4954" s="46">
        <v>0</v>
      </c>
      <c r="O4954" s="46">
        <v>0</v>
      </c>
      <c r="P4954" s="47">
        <v>0.12</v>
      </c>
      <c r="Q4954" s="27" t="s">
        <v>154</v>
      </c>
      <c r="R4954" s="160"/>
      <c r="S4954" s="164"/>
      <c r="T4954" s="164"/>
    </row>
    <row r="4955" spans="1:20" s="162" customFormat="1" ht="48" x14ac:dyDescent="0.25">
      <c r="A4955" s="17">
        <v>41207</v>
      </c>
      <c r="B4955" s="17">
        <v>41207</v>
      </c>
      <c r="C4955" s="43">
        <v>2012</v>
      </c>
      <c r="D4955" s="35" t="s">
        <v>28</v>
      </c>
      <c r="E4955" s="30" t="s">
        <v>133</v>
      </c>
      <c r="F4955" s="7" t="s">
        <v>53</v>
      </c>
      <c r="G4955" s="146" t="s">
        <v>6359</v>
      </c>
      <c r="H4955" s="147" t="s">
        <v>7180</v>
      </c>
      <c r="I4955" s="163">
        <v>2</v>
      </c>
      <c r="J4955" s="46">
        <v>7</v>
      </c>
      <c r="K4955" s="46">
        <v>1</v>
      </c>
      <c r="L4955" s="46">
        <v>0</v>
      </c>
      <c r="M4955" s="46">
        <v>0</v>
      </c>
      <c r="N4955" s="46">
        <v>0</v>
      </c>
      <c r="O4955" s="46">
        <v>0</v>
      </c>
      <c r="P4955" s="47">
        <v>0.12</v>
      </c>
      <c r="Q4955" s="27" t="s">
        <v>154</v>
      </c>
      <c r="R4955" s="160"/>
      <c r="S4955" s="164"/>
      <c r="T4955" s="164"/>
    </row>
    <row r="4956" spans="1:20" s="162" customFormat="1" ht="96" x14ac:dyDescent="0.25">
      <c r="A4956" s="17">
        <v>41207</v>
      </c>
      <c r="B4956" s="17">
        <v>41207</v>
      </c>
      <c r="C4956" s="43">
        <v>2012</v>
      </c>
      <c r="D4956" s="35" t="s">
        <v>28</v>
      </c>
      <c r="E4956" s="30" t="s">
        <v>125</v>
      </c>
      <c r="F4956" s="28" t="s">
        <v>151</v>
      </c>
      <c r="G4956" s="146" t="s">
        <v>1477</v>
      </c>
      <c r="H4956" s="147" t="s">
        <v>7181</v>
      </c>
      <c r="I4956" s="163">
        <v>0</v>
      </c>
      <c r="J4956" s="46">
        <v>2</v>
      </c>
      <c r="K4956" s="46">
        <v>0</v>
      </c>
      <c r="L4956" s="46">
        <v>0</v>
      </c>
      <c r="M4956" s="46">
        <v>0</v>
      </c>
      <c r="N4956" s="46">
        <v>0</v>
      </c>
      <c r="O4956" s="46">
        <v>0</v>
      </c>
      <c r="P4956" s="47">
        <v>0</v>
      </c>
      <c r="Q4956" s="27" t="s">
        <v>154</v>
      </c>
      <c r="R4956" s="160"/>
      <c r="S4956" s="164"/>
      <c r="T4956" s="164"/>
    </row>
    <row r="4957" spans="1:20" s="162" customFormat="1" ht="120" x14ac:dyDescent="0.25">
      <c r="A4957" s="17">
        <v>41208</v>
      </c>
      <c r="B4957" s="17">
        <v>41208</v>
      </c>
      <c r="C4957" s="43">
        <v>2012</v>
      </c>
      <c r="D4957" s="24" t="s">
        <v>141</v>
      </c>
      <c r="E4957" s="30" t="s">
        <v>142</v>
      </c>
      <c r="F4957" s="7" t="s">
        <v>84</v>
      </c>
      <c r="G4957" s="146" t="s">
        <v>1802</v>
      </c>
      <c r="H4957" s="147" t="s">
        <v>7182</v>
      </c>
      <c r="I4957" s="163">
        <v>4</v>
      </c>
      <c r="J4957" s="46">
        <v>23</v>
      </c>
      <c r="K4957" s="46">
        <v>0</v>
      </c>
      <c r="L4957" s="46">
        <v>0</v>
      </c>
      <c r="M4957" s="46">
        <v>0</v>
      </c>
      <c r="N4957" s="46">
        <v>0</v>
      </c>
      <c r="O4957" s="46">
        <v>0</v>
      </c>
      <c r="P4957" s="47">
        <f>(420000+39690)/1000000</f>
        <v>0.45968999999999999</v>
      </c>
      <c r="Q4957" s="27" t="s">
        <v>154</v>
      </c>
      <c r="R4957" s="160"/>
      <c r="S4957" s="164"/>
      <c r="T4957" s="164"/>
    </row>
    <row r="4958" spans="1:20" s="162" customFormat="1" ht="96" x14ac:dyDescent="0.25">
      <c r="A4958" s="17">
        <v>41208</v>
      </c>
      <c r="B4958" s="17">
        <v>41208</v>
      </c>
      <c r="C4958" s="43">
        <v>2012</v>
      </c>
      <c r="D4958" s="35" t="s">
        <v>28</v>
      </c>
      <c r="E4958" s="30" t="s">
        <v>133</v>
      </c>
      <c r="F4958" s="7" t="s">
        <v>56</v>
      </c>
      <c r="G4958" s="146" t="s">
        <v>1160</v>
      </c>
      <c r="H4958" s="147" t="s">
        <v>7183</v>
      </c>
      <c r="I4958" s="163">
        <v>0</v>
      </c>
      <c r="J4958" s="46">
        <v>60</v>
      </c>
      <c r="K4958" s="46">
        <v>0</v>
      </c>
      <c r="L4958" s="46">
        <v>0</v>
      </c>
      <c r="M4958" s="46">
        <v>0</v>
      </c>
      <c r="N4958" s="46">
        <v>1</v>
      </c>
      <c r="O4958" s="46">
        <v>0</v>
      </c>
      <c r="P4958" s="47">
        <v>0</v>
      </c>
      <c r="Q4958" s="27" t="s">
        <v>154</v>
      </c>
      <c r="R4958" s="160"/>
      <c r="S4958" s="164"/>
      <c r="T4958" s="164"/>
    </row>
    <row r="4959" spans="1:20" s="162" customFormat="1" ht="60" x14ac:dyDescent="0.25">
      <c r="A4959" s="17">
        <v>41210</v>
      </c>
      <c r="B4959" s="17">
        <v>41210</v>
      </c>
      <c r="C4959" s="43">
        <v>2012</v>
      </c>
      <c r="D4959" s="24" t="s">
        <v>141</v>
      </c>
      <c r="E4959" s="30" t="s">
        <v>142</v>
      </c>
      <c r="F4959" s="7" t="s">
        <v>84</v>
      </c>
      <c r="G4959" s="146" t="s">
        <v>2143</v>
      </c>
      <c r="H4959" s="147" t="s">
        <v>7184</v>
      </c>
      <c r="I4959" s="163">
        <v>0</v>
      </c>
      <c r="J4959" s="46">
        <v>16</v>
      </c>
      <c r="K4959" s="46">
        <v>0</v>
      </c>
      <c r="L4959" s="46">
        <v>0</v>
      </c>
      <c r="M4959" s="46">
        <v>0</v>
      </c>
      <c r="N4959" s="46">
        <v>0</v>
      </c>
      <c r="O4959" s="46">
        <v>0</v>
      </c>
      <c r="P4959" s="47">
        <v>0.42</v>
      </c>
      <c r="Q4959" s="27" t="s">
        <v>154</v>
      </c>
      <c r="R4959" s="160"/>
      <c r="S4959" s="164"/>
      <c r="T4959" s="164"/>
    </row>
    <row r="4960" spans="1:20" s="162" customFormat="1" ht="180" x14ac:dyDescent="0.25">
      <c r="A4960" s="17">
        <v>41212</v>
      </c>
      <c r="B4960" s="17">
        <v>41212</v>
      </c>
      <c r="C4960" s="43">
        <v>2012</v>
      </c>
      <c r="D4960" s="35" t="s">
        <v>28</v>
      </c>
      <c r="E4960" s="30" t="s">
        <v>125</v>
      </c>
      <c r="F4960" s="7" t="s">
        <v>40</v>
      </c>
      <c r="G4960" s="146" t="s">
        <v>3351</v>
      </c>
      <c r="H4960" s="147" t="s">
        <v>7185</v>
      </c>
      <c r="I4960" s="163">
        <v>0</v>
      </c>
      <c r="J4960" s="46">
        <v>20</v>
      </c>
      <c r="K4960" s="46">
        <v>4</v>
      </c>
      <c r="L4960" s="46">
        <v>0</v>
      </c>
      <c r="M4960" s="46">
        <v>0</v>
      </c>
      <c r="N4960" s="46">
        <v>0</v>
      </c>
      <c r="O4960" s="46">
        <v>0</v>
      </c>
      <c r="P4960" s="47">
        <f>((472500)+(4*5500)+(3*39690))/1000000</f>
        <v>0.61356999999999995</v>
      </c>
      <c r="Q4960" s="27" t="s">
        <v>154</v>
      </c>
      <c r="R4960" s="160"/>
      <c r="S4960" s="164"/>
      <c r="T4960" s="164"/>
    </row>
    <row r="4961" spans="1:20" s="162" customFormat="1" ht="72" x14ac:dyDescent="0.25">
      <c r="A4961" s="17">
        <v>41214</v>
      </c>
      <c r="B4961" s="17">
        <v>41214</v>
      </c>
      <c r="C4961" s="43">
        <v>2012</v>
      </c>
      <c r="D4961" s="24" t="s">
        <v>141</v>
      </c>
      <c r="E4961" s="30" t="s">
        <v>142</v>
      </c>
      <c r="F4961" s="28" t="s">
        <v>160</v>
      </c>
      <c r="G4961" s="146" t="s">
        <v>7186</v>
      </c>
      <c r="H4961" s="147" t="s">
        <v>7187</v>
      </c>
      <c r="I4961" s="163">
        <v>4</v>
      </c>
      <c r="J4961" s="46">
        <v>24</v>
      </c>
      <c r="K4961" s="46">
        <v>0</v>
      </c>
      <c r="L4961" s="46">
        <v>0</v>
      </c>
      <c r="M4961" s="46">
        <v>0</v>
      </c>
      <c r="N4961" s="46">
        <v>0</v>
      </c>
      <c r="O4961" s="46">
        <v>0</v>
      </c>
      <c r="P4961" s="47">
        <v>0.42</v>
      </c>
      <c r="Q4961" s="27" t="s">
        <v>154</v>
      </c>
      <c r="R4961" s="160"/>
      <c r="S4961" s="164"/>
      <c r="T4961" s="164"/>
    </row>
    <row r="4962" spans="1:20" s="162" customFormat="1" ht="96" x14ac:dyDescent="0.25">
      <c r="A4962" s="17">
        <v>41213</v>
      </c>
      <c r="B4962" s="17">
        <v>41213</v>
      </c>
      <c r="C4962" s="43">
        <v>2012</v>
      </c>
      <c r="D4962" s="35" t="s">
        <v>28</v>
      </c>
      <c r="E4962" s="6" t="s">
        <v>369</v>
      </c>
      <c r="F4962" s="7" t="s">
        <v>87</v>
      </c>
      <c r="G4962" s="146" t="s">
        <v>2608</v>
      </c>
      <c r="H4962" s="147" t="s">
        <v>7188</v>
      </c>
      <c r="I4962" s="148">
        <v>0</v>
      </c>
      <c r="J4962" s="46">
        <v>0</v>
      </c>
      <c r="K4962" s="46">
        <v>0</v>
      </c>
      <c r="L4962" s="46">
        <v>0</v>
      </c>
      <c r="M4962" s="46">
        <v>0</v>
      </c>
      <c r="N4962" s="46">
        <v>0</v>
      </c>
      <c r="O4962" s="46">
        <v>0</v>
      </c>
      <c r="P4962" s="47">
        <f>(200*26.3)/1000000</f>
        <v>5.2599999999999999E-3</v>
      </c>
      <c r="Q4962" s="27" t="s">
        <v>154</v>
      </c>
      <c r="R4962" s="160"/>
      <c r="S4962" s="164"/>
      <c r="T4962" s="164"/>
    </row>
    <row r="4963" spans="1:20" s="162" customFormat="1" ht="84" x14ac:dyDescent="0.25">
      <c r="A4963" s="23">
        <v>41215</v>
      </c>
      <c r="B4963" s="23">
        <v>41215</v>
      </c>
      <c r="C4963" s="43">
        <v>2012</v>
      </c>
      <c r="D4963" s="24" t="s">
        <v>141</v>
      </c>
      <c r="E4963" s="30" t="s">
        <v>142</v>
      </c>
      <c r="F4963" s="7" t="s">
        <v>87</v>
      </c>
      <c r="G4963" s="146" t="s">
        <v>2141</v>
      </c>
      <c r="H4963" s="147" t="s">
        <v>7189</v>
      </c>
      <c r="I4963" s="163">
        <v>0</v>
      </c>
      <c r="J4963" s="46">
        <v>30</v>
      </c>
      <c r="K4963" s="46">
        <v>0</v>
      </c>
      <c r="L4963" s="46">
        <v>0</v>
      </c>
      <c r="M4963" s="46">
        <v>0</v>
      </c>
      <c r="N4963" s="46">
        <v>0</v>
      </c>
      <c r="O4963" s="46">
        <v>0</v>
      </c>
      <c r="P4963" s="47">
        <f>((288750+420000))/1000000</f>
        <v>0.70874999999999999</v>
      </c>
      <c r="Q4963" s="27" t="s">
        <v>154</v>
      </c>
      <c r="R4963" s="160"/>
      <c r="S4963" s="164"/>
      <c r="T4963" s="164"/>
    </row>
    <row r="4964" spans="1:20" s="162" customFormat="1" ht="108" x14ac:dyDescent="0.25">
      <c r="A4964" s="23">
        <v>41216</v>
      </c>
      <c r="B4964" s="23">
        <v>41216</v>
      </c>
      <c r="C4964" s="43">
        <v>2012</v>
      </c>
      <c r="D4964" s="35" t="s">
        <v>28</v>
      </c>
      <c r="E4964" s="30" t="s">
        <v>125</v>
      </c>
      <c r="F4964" s="28" t="s">
        <v>210</v>
      </c>
      <c r="G4964" s="146" t="s">
        <v>2317</v>
      </c>
      <c r="H4964" s="147" t="s">
        <v>7190</v>
      </c>
      <c r="I4964" s="163">
        <v>0</v>
      </c>
      <c r="J4964" s="46">
        <v>4</v>
      </c>
      <c r="K4964" s="46">
        <v>0</v>
      </c>
      <c r="L4964" s="46">
        <v>0</v>
      </c>
      <c r="M4964" s="46">
        <v>0</v>
      </c>
      <c r="N4964" s="46">
        <v>0</v>
      </c>
      <c r="O4964" s="46">
        <v>0</v>
      </c>
      <c r="P4964" s="47">
        <v>0</v>
      </c>
      <c r="Q4964" s="27" t="s">
        <v>154</v>
      </c>
      <c r="R4964" s="160"/>
      <c r="S4964" s="164"/>
      <c r="T4964" s="164"/>
    </row>
    <row r="4965" spans="1:20" s="162" customFormat="1" ht="72" x14ac:dyDescent="0.25">
      <c r="A4965" s="17">
        <v>41226</v>
      </c>
      <c r="B4965" s="17">
        <v>41226</v>
      </c>
      <c r="C4965" s="43">
        <v>2012</v>
      </c>
      <c r="D4965" s="35" t="s">
        <v>28</v>
      </c>
      <c r="E4965" s="30" t="s">
        <v>133</v>
      </c>
      <c r="F4965" s="7" t="s">
        <v>87</v>
      </c>
      <c r="G4965" s="146" t="s">
        <v>3420</v>
      </c>
      <c r="H4965" s="147" t="s">
        <v>7191</v>
      </c>
      <c r="I4965" s="163">
        <v>2</v>
      </c>
      <c r="J4965" s="46">
        <v>4</v>
      </c>
      <c r="K4965" s="46">
        <v>0</v>
      </c>
      <c r="L4965" s="46">
        <v>0</v>
      </c>
      <c r="M4965" s="46">
        <v>0</v>
      </c>
      <c r="N4965" s="46">
        <v>0</v>
      </c>
      <c r="O4965" s="46">
        <v>0</v>
      </c>
      <c r="P4965" s="47">
        <v>0</v>
      </c>
      <c r="Q4965" s="27" t="s">
        <v>154</v>
      </c>
      <c r="R4965" s="160"/>
      <c r="S4965" s="164"/>
      <c r="T4965" s="164"/>
    </row>
    <row r="4966" spans="1:20" s="162" customFormat="1" ht="84" x14ac:dyDescent="0.25">
      <c r="A4966" s="17">
        <v>41227</v>
      </c>
      <c r="B4966" s="17">
        <v>41227</v>
      </c>
      <c r="C4966" s="43">
        <v>2012</v>
      </c>
      <c r="D4966" s="24" t="s">
        <v>141</v>
      </c>
      <c r="E4966" s="30" t="s">
        <v>142</v>
      </c>
      <c r="F4966" s="7" t="s">
        <v>68</v>
      </c>
      <c r="G4966" s="146" t="s">
        <v>2581</v>
      </c>
      <c r="H4966" s="147" t="s">
        <v>7192</v>
      </c>
      <c r="I4966" s="163">
        <v>1</v>
      </c>
      <c r="J4966" s="46">
        <v>1</v>
      </c>
      <c r="K4966" s="46">
        <v>0</v>
      </c>
      <c r="L4966" s="46">
        <v>0</v>
      </c>
      <c r="M4966" s="46">
        <v>0</v>
      </c>
      <c r="N4966" s="46">
        <v>0</v>
      </c>
      <c r="O4966" s="46">
        <v>0</v>
      </c>
      <c r="P4966" s="47">
        <v>0.28875000000000001</v>
      </c>
      <c r="Q4966" s="27" t="s">
        <v>154</v>
      </c>
      <c r="R4966" s="160"/>
      <c r="S4966" s="164"/>
      <c r="T4966" s="164"/>
    </row>
    <row r="4967" spans="1:20" s="162" customFormat="1" ht="84" x14ac:dyDescent="0.25">
      <c r="A4967" s="17">
        <v>41229</v>
      </c>
      <c r="B4967" s="17">
        <v>41229</v>
      </c>
      <c r="C4967" s="43">
        <v>2012</v>
      </c>
      <c r="D4967" s="24" t="s">
        <v>130</v>
      </c>
      <c r="E4967" s="30" t="s">
        <v>136</v>
      </c>
      <c r="F4967" s="7" t="s">
        <v>65</v>
      </c>
      <c r="G4967" s="146" t="s">
        <v>1511</v>
      </c>
      <c r="H4967" s="147" t="s">
        <v>7193</v>
      </c>
      <c r="I4967" s="163">
        <v>0</v>
      </c>
      <c r="J4967" s="46">
        <v>980</v>
      </c>
      <c r="K4967" s="46">
        <v>0</v>
      </c>
      <c r="L4967" s="46">
        <v>0</v>
      </c>
      <c r="M4967" s="46">
        <v>0</v>
      </c>
      <c r="N4967" s="46">
        <v>0</v>
      </c>
      <c r="O4967" s="46">
        <v>0</v>
      </c>
      <c r="P4967" s="47">
        <v>0</v>
      </c>
      <c r="Q4967" s="27" t="s">
        <v>154</v>
      </c>
      <c r="R4967" s="160"/>
      <c r="S4967" s="164"/>
      <c r="T4967" s="164"/>
    </row>
    <row r="4968" spans="1:20" s="162" customFormat="1" ht="84" x14ac:dyDescent="0.25">
      <c r="A4968" s="17">
        <v>41230</v>
      </c>
      <c r="B4968" s="17">
        <v>41230</v>
      </c>
      <c r="C4968" s="43">
        <v>2012</v>
      </c>
      <c r="D4968" s="24" t="s">
        <v>141</v>
      </c>
      <c r="E4968" s="30" t="s">
        <v>142</v>
      </c>
      <c r="F4968" s="7" t="s">
        <v>68</v>
      </c>
      <c r="G4968" s="146" t="s">
        <v>2512</v>
      </c>
      <c r="H4968" s="147" t="s">
        <v>7194</v>
      </c>
      <c r="I4968" s="163">
        <v>1</v>
      </c>
      <c r="J4968" s="46">
        <v>31</v>
      </c>
      <c r="K4968" s="46">
        <v>0</v>
      </c>
      <c r="L4968" s="46">
        <v>0</v>
      </c>
      <c r="M4968" s="46">
        <v>0</v>
      </c>
      <c r="N4968" s="46">
        <v>0</v>
      </c>
      <c r="O4968" s="46">
        <v>0</v>
      </c>
      <c r="P4968" s="47">
        <f>((288750)+(20*39690))/1000000</f>
        <v>1.0825499999999999</v>
      </c>
      <c r="Q4968" s="27" t="s">
        <v>154</v>
      </c>
      <c r="R4968" s="160"/>
      <c r="S4968" s="164"/>
      <c r="T4968" s="164"/>
    </row>
    <row r="4969" spans="1:20" s="162" customFormat="1" ht="60" x14ac:dyDescent="0.25">
      <c r="A4969" s="17">
        <v>41232</v>
      </c>
      <c r="B4969" s="17">
        <v>41232</v>
      </c>
      <c r="C4969" s="43">
        <v>2012</v>
      </c>
      <c r="D4969" s="24" t="s">
        <v>141</v>
      </c>
      <c r="E4969" s="30" t="s">
        <v>142</v>
      </c>
      <c r="F4969" s="7" t="s">
        <v>53</v>
      </c>
      <c r="G4969" s="146" t="s">
        <v>460</v>
      </c>
      <c r="H4969" s="147" t="s">
        <v>7195</v>
      </c>
      <c r="I4969" s="163">
        <v>1</v>
      </c>
      <c r="J4969" s="46">
        <v>11</v>
      </c>
      <c r="K4969" s="46">
        <v>0</v>
      </c>
      <c r="L4969" s="46">
        <v>0</v>
      </c>
      <c r="M4969" s="46">
        <v>0</v>
      </c>
      <c r="N4969" s="46">
        <v>0</v>
      </c>
      <c r="O4969" s="46">
        <v>0</v>
      </c>
      <c r="P4969" s="47">
        <f>(7*39690)/1000000</f>
        <v>0.27783000000000002</v>
      </c>
      <c r="Q4969" s="27" t="s">
        <v>154</v>
      </c>
      <c r="R4969" s="160"/>
      <c r="S4969" s="164"/>
      <c r="T4969" s="164"/>
    </row>
    <row r="4970" spans="1:20" s="162" customFormat="1" ht="84" x14ac:dyDescent="0.25">
      <c r="A4970" s="17">
        <v>41228</v>
      </c>
      <c r="B4970" s="17">
        <v>41228</v>
      </c>
      <c r="C4970" s="43">
        <v>2012</v>
      </c>
      <c r="D4970" s="35" t="s">
        <v>17</v>
      </c>
      <c r="E4970" s="30" t="s">
        <v>122</v>
      </c>
      <c r="F4970" s="7" t="s">
        <v>58</v>
      </c>
      <c r="G4970" s="146" t="s">
        <v>3252</v>
      </c>
      <c r="H4970" s="147" t="s">
        <v>7196</v>
      </c>
      <c r="I4970" s="163">
        <v>0</v>
      </c>
      <c r="J4970" s="46">
        <v>250</v>
      </c>
      <c r="K4970" s="46">
        <v>50</v>
      </c>
      <c r="L4970" s="46">
        <v>10</v>
      </c>
      <c r="M4970" s="46">
        <v>0</v>
      </c>
      <c r="N4970" s="46">
        <v>0</v>
      </c>
      <c r="O4970" s="46">
        <v>0</v>
      </c>
      <c r="P4970" s="47">
        <f>(K4970*28000)/1000000</f>
        <v>1.4</v>
      </c>
      <c r="Q4970" s="27" t="s">
        <v>154</v>
      </c>
      <c r="R4970" s="160"/>
      <c r="S4970" s="164"/>
      <c r="T4970" s="164"/>
    </row>
    <row r="4971" spans="1:20" s="162" customFormat="1" ht="120" x14ac:dyDescent="0.25">
      <c r="A4971" s="17">
        <v>41234</v>
      </c>
      <c r="B4971" s="17">
        <v>41234</v>
      </c>
      <c r="C4971" s="43">
        <v>2012</v>
      </c>
      <c r="D4971" s="24" t="s">
        <v>141</v>
      </c>
      <c r="E4971" s="30" t="s">
        <v>142</v>
      </c>
      <c r="F4971" s="28" t="s">
        <v>210</v>
      </c>
      <c r="G4971" s="146" t="s">
        <v>7197</v>
      </c>
      <c r="H4971" s="147" t="s">
        <v>7198</v>
      </c>
      <c r="I4971" s="163">
        <v>2</v>
      </c>
      <c r="J4971" s="46">
        <v>8</v>
      </c>
      <c r="K4971" s="46">
        <v>0</v>
      </c>
      <c r="L4971" s="46">
        <v>0</v>
      </c>
      <c r="M4971" s="46">
        <v>0</v>
      </c>
      <c r="N4971" s="46">
        <v>0</v>
      </c>
      <c r="O4971" s="46">
        <v>0</v>
      </c>
      <c r="P4971" s="47">
        <v>0.42</v>
      </c>
      <c r="Q4971" s="27" t="s">
        <v>154</v>
      </c>
      <c r="R4971" s="160"/>
      <c r="S4971" s="164"/>
      <c r="T4971" s="164"/>
    </row>
    <row r="4972" spans="1:20" s="162" customFormat="1" ht="60" x14ac:dyDescent="0.25">
      <c r="A4972" s="17">
        <v>41235</v>
      </c>
      <c r="B4972" s="17">
        <v>41235</v>
      </c>
      <c r="C4972" s="43">
        <v>2012</v>
      </c>
      <c r="D4972" s="24" t="s">
        <v>141</v>
      </c>
      <c r="E4972" s="30" t="s">
        <v>142</v>
      </c>
      <c r="F4972" s="28" t="s">
        <v>157</v>
      </c>
      <c r="G4972" s="146" t="s">
        <v>6309</v>
      </c>
      <c r="H4972" s="147" t="s">
        <v>7199</v>
      </c>
      <c r="I4972" s="163">
        <v>0</v>
      </c>
      <c r="J4972" s="46">
        <v>2</v>
      </c>
      <c r="K4972" s="46">
        <v>0</v>
      </c>
      <c r="L4972" s="46">
        <v>0</v>
      </c>
      <c r="M4972" s="46">
        <v>0</v>
      </c>
      <c r="N4972" s="46">
        <v>0</v>
      </c>
      <c r="O4972" s="46">
        <v>0</v>
      </c>
      <c r="P4972" s="47">
        <v>1.575</v>
      </c>
      <c r="Q4972" s="27" t="s">
        <v>154</v>
      </c>
      <c r="R4972" s="160"/>
      <c r="S4972" s="164"/>
      <c r="T4972" s="164"/>
    </row>
    <row r="4973" spans="1:20" s="162" customFormat="1" ht="60" x14ac:dyDescent="0.25">
      <c r="A4973" s="17">
        <v>41235</v>
      </c>
      <c r="B4973" s="17">
        <v>41235</v>
      </c>
      <c r="C4973" s="43">
        <v>2012</v>
      </c>
      <c r="D4973" s="24" t="s">
        <v>141</v>
      </c>
      <c r="E4973" s="30" t="s">
        <v>142</v>
      </c>
      <c r="F4973" s="7" t="s">
        <v>84</v>
      </c>
      <c r="G4973" s="146" t="s">
        <v>2143</v>
      </c>
      <c r="H4973" s="147" t="s">
        <v>7200</v>
      </c>
      <c r="I4973" s="163">
        <v>0</v>
      </c>
      <c r="J4973" s="46">
        <v>1</v>
      </c>
      <c r="K4973" s="46">
        <v>0</v>
      </c>
      <c r="L4973" s="46">
        <v>0</v>
      </c>
      <c r="M4973" s="46">
        <v>0</v>
      </c>
      <c r="N4973" s="46">
        <v>0</v>
      </c>
      <c r="O4973" s="46">
        <v>0</v>
      </c>
      <c r="P4973" s="47">
        <v>0.47249999999999998</v>
      </c>
      <c r="Q4973" s="27" t="s">
        <v>154</v>
      </c>
      <c r="R4973" s="160"/>
      <c r="S4973" s="164"/>
      <c r="T4973" s="164"/>
    </row>
    <row r="4974" spans="1:20" s="162" customFormat="1" ht="60" x14ac:dyDescent="0.25">
      <c r="A4974" s="17">
        <v>41180</v>
      </c>
      <c r="B4974" s="17">
        <v>41180</v>
      </c>
      <c r="C4974" s="43">
        <v>2012</v>
      </c>
      <c r="D4974" s="35" t="s">
        <v>28</v>
      </c>
      <c r="E4974" s="6" t="s">
        <v>149</v>
      </c>
      <c r="F4974" s="7" t="s">
        <v>60</v>
      </c>
      <c r="G4974" s="146" t="s">
        <v>908</v>
      </c>
      <c r="H4974" s="147" t="s">
        <v>7201</v>
      </c>
      <c r="I4974" s="163">
        <v>0</v>
      </c>
      <c r="J4974" s="46">
        <v>11</v>
      </c>
      <c r="K4974" s="46">
        <v>0</v>
      </c>
      <c r="L4974" s="46">
        <v>0</v>
      </c>
      <c r="M4974" s="46">
        <v>0</v>
      </c>
      <c r="N4974" s="46">
        <v>0</v>
      </c>
      <c r="O4974" s="46">
        <v>0</v>
      </c>
      <c r="P4974" s="47">
        <v>0</v>
      </c>
      <c r="Q4974" s="27" t="s">
        <v>154</v>
      </c>
      <c r="R4974" s="160"/>
      <c r="S4974" s="164"/>
      <c r="T4974" s="164"/>
    </row>
    <row r="4975" spans="1:20" s="162" customFormat="1" ht="84" x14ac:dyDescent="0.25">
      <c r="A4975" s="17">
        <v>41241</v>
      </c>
      <c r="B4975" s="17">
        <v>41241</v>
      </c>
      <c r="C4975" s="43">
        <v>2012</v>
      </c>
      <c r="D4975" s="35" t="s">
        <v>28</v>
      </c>
      <c r="E4975" s="6" t="s">
        <v>149</v>
      </c>
      <c r="F4975" s="7" t="s">
        <v>87</v>
      </c>
      <c r="G4975" s="146" t="s">
        <v>2608</v>
      </c>
      <c r="H4975" s="147" t="s">
        <v>7202</v>
      </c>
      <c r="I4975" s="148">
        <v>0</v>
      </c>
      <c r="J4975" s="46">
        <v>300</v>
      </c>
      <c r="K4975" s="46">
        <v>0</v>
      </c>
      <c r="L4975" s="46">
        <v>0</v>
      </c>
      <c r="M4975" s="46">
        <v>0</v>
      </c>
      <c r="N4975" s="46">
        <v>1</v>
      </c>
      <c r="O4975" s="46">
        <v>0</v>
      </c>
      <c r="P4975" s="47">
        <v>0</v>
      </c>
      <c r="Q4975" s="27" t="s">
        <v>154</v>
      </c>
      <c r="R4975" s="160"/>
      <c r="S4975" s="164"/>
      <c r="T4975" s="164"/>
    </row>
    <row r="4976" spans="1:20" s="162" customFormat="1" ht="60" x14ac:dyDescent="0.25">
      <c r="A4976" s="17">
        <v>41241</v>
      </c>
      <c r="B4976" s="17">
        <v>41241</v>
      </c>
      <c r="C4976" s="43">
        <v>2012</v>
      </c>
      <c r="D4976" s="35" t="s">
        <v>28</v>
      </c>
      <c r="E4976" s="6" t="s">
        <v>149</v>
      </c>
      <c r="F4976" s="28" t="s">
        <v>157</v>
      </c>
      <c r="G4976" s="146" t="s">
        <v>3606</v>
      </c>
      <c r="H4976" s="147" t="s">
        <v>7203</v>
      </c>
      <c r="I4976" s="163">
        <v>0</v>
      </c>
      <c r="J4976" s="46">
        <v>30</v>
      </c>
      <c r="K4976" s="46">
        <v>0</v>
      </c>
      <c r="L4976" s="46">
        <v>0</v>
      </c>
      <c r="M4976" s="46">
        <v>0</v>
      </c>
      <c r="N4976" s="46">
        <v>1</v>
      </c>
      <c r="O4976" s="46">
        <v>0</v>
      </c>
      <c r="P4976" s="47">
        <v>0</v>
      </c>
      <c r="Q4976" s="27" t="s">
        <v>154</v>
      </c>
      <c r="R4976" s="160"/>
      <c r="S4976" s="164"/>
      <c r="T4976" s="164"/>
    </row>
    <row r="4977" spans="1:20" s="162" customFormat="1" ht="72" x14ac:dyDescent="0.25">
      <c r="A4977" s="17">
        <v>41238</v>
      </c>
      <c r="B4977" s="17">
        <v>41238</v>
      </c>
      <c r="C4977" s="43">
        <v>2012</v>
      </c>
      <c r="D4977" s="24" t="s">
        <v>141</v>
      </c>
      <c r="E4977" s="6" t="s">
        <v>333</v>
      </c>
      <c r="F4977" s="7" t="s">
        <v>53</v>
      </c>
      <c r="G4977" s="146" t="s">
        <v>1236</v>
      </c>
      <c r="H4977" s="147" t="s">
        <v>7204</v>
      </c>
      <c r="I4977" s="163">
        <v>4</v>
      </c>
      <c r="J4977" s="46">
        <v>5</v>
      </c>
      <c r="K4977" s="46">
        <v>0</v>
      </c>
      <c r="L4977" s="46">
        <v>0</v>
      </c>
      <c r="M4977" s="46">
        <v>0</v>
      </c>
      <c r="N4977" s="46">
        <v>0</v>
      </c>
      <c r="O4977" s="46">
        <v>0</v>
      </c>
      <c r="P4977" s="47">
        <v>0</v>
      </c>
      <c r="Q4977" s="27" t="s">
        <v>154</v>
      </c>
      <c r="R4977" s="160"/>
      <c r="S4977" s="164"/>
      <c r="T4977" s="164"/>
    </row>
    <row r="4978" spans="1:20" s="162" customFormat="1" ht="72" x14ac:dyDescent="0.25">
      <c r="A4978" s="17">
        <v>41243</v>
      </c>
      <c r="B4978" s="17">
        <v>41243</v>
      </c>
      <c r="C4978" s="43">
        <v>2012</v>
      </c>
      <c r="D4978" s="35" t="s">
        <v>28</v>
      </c>
      <c r="E4978" s="30" t="s">
        <v>133</v>
      </c>
      <c r="F4978" s="7" t="s">
        <v>53</v>
      </c>
      <c r="G4978" s="146" t="s">
        <v>1588</v>
      </c>
      <c r="H4978" s="147" t="s">
        <v>7205</v>
      </c>
      <c r="I4978" s="163">
        <v>3</v>
      </c>
      <c r="J4978" s="46">
        <v>6</v>
      </c>
      <c r="K4978" s="46">
        <v>0</v>
      </c>
      <c r="L4978" s="46">
        <v>0</v>
      </c>
      <c r="M4978" s="46">
        <v>0</v>
      </c>
      <c r="N4978" s="46">
        <v>0</v>
      </c>
      <c r="O4978" s="46">
        <v>0</v>
      </c>
      <c r="P4978" s="47">
        <v>0</v>
      </c>
      <c r="Q4978" s="27" t="s">
        <v>154</v>
      </c>
      <c r="R4978" s="160"/>
      <c r="S4978" s="164"/>
      <c r="T4978" s="164"/>
    </row>
    <row r="4979" spans="1:20" s="162" customFormat="1" ht="60" x14ac:dyDescent="0.25">
      <c r="A4979" s="17">
        <v>41244</v>
      </c>
      <c r="B4979" s="17">
        <v>41244</v>
      </c>
      <c r="C4979" s="43">
        <v>2012</v>
      </c>
      <c r="D4979" s="35" t="s">
        <v>28</v>
      </c>
      <c r="E4979" s="30" t="s">
        <v>133</v>
      </c>
      <c r="F4979" s="7" t="s">
        <v>56</v>
      </c>
      <c r="G4979" s="146" t="s">
        <v>646</v>
      </c>
      <c r="H4979" s="147" t="s">
        <v>7206</v>
      </c>
      <c r="I4979" s="163">
        <v>0</v>
      </c>
      <c r="J4979" s="46">
        <v>13</v>
      </c>
      <c r="K4979" s="46">
        <v>0</v>
      </c>
      <c r="L4979" s="46">
        <v>0</v>
      </c>
      <c r="M4979" s="46">
        <v>0</v>
      </c>
      <c r="N4979" s="46">
        <v>0</v>
      </c>
      <c r="O4979" s="46">
        <v>0</v>
      </c>
      <c r="P4979" s="47">
        <v>0</v>
      </c>
      <c r="Q4979" s="27" t="s">
        <v>154</v>
      </c>
      <c r="R4979" s="160"/>
      <c r="S4979" s="164"/>
      <c r="T4979" s="164"/>
    </row>
    <row r="4980" spans="1:20" s="162" customFormat="1" ht="72" x14ac:dyDescent="0.25">
      <c r="A4980" s="17">
        <v>41248</v>
      </c>
      <c r="B4980" s="17">
        <v>41248</v>
      </c>
      <c r="C4980" s="43">
        <v>2012</v>
      </c>
      <c r="D4980" s="35" t="s">
        <v>28</v>
      </c>
      <c r="E4980" s="30" t="s">
        <v>133</v>
      </c>
      <c r="F4980" s="28" t="s">
        <v>157</v>
      </c>
      <c r="G4980" s="146" t="s">
        <v>6268</v>
      </c>
      <c r="H4980" s="147" t="s">
        <v>7207</v>
      </c>
      <c r="I4980" s="163">
        <v>0</v>
      </c>
      <c r="J4980" s="46">
        <v>25</v>
      </c>
      <c r="K4980" s="46">
        <v>5</v>
      </c>
      <c r="L4980" s="46">
        <v>0</v>
      </c>
      <c r="M4980" s="46">
        <v>0</v>
      </c>
      <c r="N4980" s="46">
        <v>0</v>
      </c>
      <c r="O4980" s="46">
        <v>0</v>
      </c>
      <c r="P4980" s="47">
        <f>((120000)+(4*5500))/1000000</f>
        <v>0.14199999999999999</v>
      </c>
      <c r="Q4980" s="27" t="s">
        <v>154</v>
      </c>
      <c r="R4980" s="160"/>
      <c r="S4980" s="164"/>
      <c r="T4980" s="164"/>
    </row>
    <row r="4981" spans="1:20" s="162" customFormat="1" ht="36" x14ac:dyDescent="0.25">
      <c r="A4981" s="17">
        <v>41248</v>
      </c>
      <c r="B4981" s="17">
        <v>41248</v>
      </c>
      <c r="C4981" s="43">
        <v>2012</v>
      </c>
      <c r="D4981" s="24" t="s">
        <v>141</v>
      </c>
      <c r="E4981" s="30" t="s">
        <v>142</v>
      </c>
      <c r="F4981" s="7" t="s">
        <v>84</v>
      </c>
      <c r="G4981" s="146" t="s">
        <v>4988</v>
      </c>
      <c r="H4981" s="147" t="s">
        <v>7208</v>
      </c>
      <c r="I4981" s="163">
        <v>0</v>
      </c>
      <c r="J4981" s="46">
        <v>1</v>
      </c>
      <c r="K4981" s="46">
        <v>0</v>
      </c>
      <c r="L4981" s="46">
        <v>0</v>
      </c>
      <c r="M4981" s="46">
        <v>0</v>
      </c>
      <c r="N4981" s="46">
        <v>0</v>
      </c>
      <c r="O4981" s="46">
        <v>0</v>
      </c>
      <c r="P4981" s="47">
        <v>1.575</v>
      </c>
      <c r="Q4981" s="27" t="s">
        <v>154</v>
      </c>
      <c r="R4981" s="160"/>
      <c r="S4981" s="164"/>
      <c r="T4981" s="164"/>
    </row>
    <row r="4982" spans="1:20" s="162" customFormat="1" ht="48" x14ac:dyDescent="0.25">
      <c r="A4982" s="17">
        <v>41248</v>
      </c>
      <c r="B4982" s="17">
        <v>41248</v>
      </c>
      <c r="C4982" s="43">
        <v>2012</v>
      </c>
      <c r="D4982" s="24" t="s">
        <v>141</v>
      </c>
      <c r="E4982" s="30" t="s">
        <v>142</v>
      </c>
      <c r="F4982" s="7" t="s">
        <v>33</v>
      </c>
      <c r="G4982" s="146" t="s">
        <v>247</v>
      </c>
      <c r="H4982" s="147" t="s">
        <v>7209</v>
      </c>
      <c r="I4982" s="163">
        <v>2</v>
      </c>
      <c r="J4982" s="46">
        <v>2</v>
      </c>
      <c r="K4982" s="46">
        <v>0</v>
      </c>
      <c r="L4982" s="46">
        <v>0</v>
      </c>
      <c r="M4982" s="46">
        <v>0</v>
      </c>
      <c r="N4982" s="46">
        <v>0</v>
      </c>
      <c r="O4982" s="46">
        <v>0</v>
      </c>
      <c r="P4982" s="47">
        <v>1.575</v>
      </c>
      <c r="Q4982" s="27" t="s">
        <v>154</v>
      </c>
      <c r="R4982" s="160"/>
      <c r="S4982" s="164"/>
      <c r="T4982" s="164"/>
    </row>
    <row r="4983" spans="1:20" s="162" customFormat="1" ht="96" x14ac:dyDescent="0.25">
      <c r="A4983" s="17">
        <v>41249</v>
      </c>
      <c r="B4983" s="17">
        <v>41249</v>
      </c>
      <c r="C4983" s="43">
        <v>2012</v>
      </c>
      <c r="D4983" s="24" t="s">
        <v>141</v>
      </c>
      <c r="E4983" s="30" t="s">
        <v>142</v>
      </c>
      <c r="F4983" s="7" t="s">
        <v>101</v>
      </c>
      <c r="G4983" s="146" t="s">
        <v>1029</v>
      </c>
      <c r="H4983" s="147" t="s">
        <v>7210</v>
      </c>
      <c r="I4983" s="163">
        <v>5</v>
      </c>
      <c r="J4983" s="46">
        <v>12</v>
      </c>
      <c r="K4983" s="46">
        <v>0</v>
      </c>
      <c r="L4983" s="46">
        <v>0</v>
      </c>
      <c r="M4983" s="46">
        <v>0</v>
      </c>
      <c r="N4983" s="46">
        <v>0</v>
      </c>
      <c r="O4983" s="46">
        <v>0</v>
      </c>
      <c r="P4983" s="47">
        <f>((472500+288750)+(39690*3))/1000000</f>
        <v>0.88031999999999999</v>
      </c>
      <c r="Q4983" s="27" t="s">
        <v>154</v>
      </c>
      <c r="R4983" s="160"/>
      <c r="S4983" s="164"/>
      <c r="T4983" s="164"/>
    </row>
    <row r="4984" spans="1:20" s="162" customFormat="1" ht="108" x14ac:dyDescent="0.25">
      <c r="A4984" s="17">
        <v>41248</v>
      </c>
      <c r="B4984" s="17">
        <v>41248</v>
      </c>
      <c r="C4984" s="43">
        <v>2012</v>
      </c>
      <c r="D4984" s="24" t="s">
        <v>141</v>
      </c>
      <c r="E4984" s="6" t="s">
        <v>333</v>
      </c>
      <c r="F4984" s="7" t="s">
        <v>72</v>
      </c>
      <c r="G4984" s="146" t="s">
        <v>7211</v>
      </c>
      <c r="H4984" s="147" t="s">
        <v>7212</v>
      </c>
      <c r="I4984" s="163">
        <v>0</v>
      </c>
      <c r="J4984" s="46">
        <v>2</v>
      </c>
      <c r="K4984" s="46">
        <v>0</v>
      </c>
      <c r="L4984" s="46">
        <v>0</v>
      </c>
      <c r="M4984" s="46">
        <v>0</v>
      </c>
      <c r="N4984" s="46">
        <v>0</v>
      </c>
      <c r="O4984" s="46">
        <v>0</v>
      </c>
      <c r="P4984" s="47">
        <v>0</v>
      </c>
      <c r="Q4984" s="27" t="s">
        <v>154</v>
      </c>
      <c r="R4984" s="160"/>
      <c r="S4984" s="164"/>
      <c r="T4984" s="164"/>
    </row>
    <row r="4985" spans="1:20" s="162" customFormat="1" ht="72" x14ac:dyDescent="0.25">
      <c r="A4985" s="17">
        <v>41252</v>
      </c>
      <c r="B4985" s="17">
        <v>41252</v>
      </c>
      <c r="C4985" s="43">
        <v>2012</v>
      </c>
      <c r="D4985" s="24" t="s">
        <v>141</v>
      </c>
      <c r="E4985" s="30" t="s">
        <v>142</v>
      </c>
      <c r="F4985" s="7" t="s">
        <v>68</v>
      </c>
      <c r="G4985" s="146" t="s">
        <v>7213</v>
      </c>
      <c r="H4985" s="147" t="s">
        <v>7214</v>
      </c>
      <c r="I4985" s="163">
        <v>7</v>
      </c>
      <c r="J4985" s="46">
        <v>7</v>
      </c>
      <c r="K4985" s="46">
        <v>0</v>
      </c>
      <c r="L4985" s="46">
        <v>0</v>
      </c>
      <c r="M4985" s="46">
        <v>0</v>
      </c>
      <c r="N4985" s="46">
        <v>0</v>
      </c>
      <c r="O4985" s="46">
        <v>0</v>
      </c>
      <c r="P4985" s="47">
        <v>1.575</v>
      </c>
      <c r="Q4985" s="27" t="s">
        <v>154</v>
      </c>
      <c r="R4985" s="160"/>
      <c r="S4985" s="164"/>
      <c r="T4985" s="164"/>
    </row>
    <row r="4986" spans="1:20" s="162" customFormat="1" ht="84" x14ac:dyDescent="0.25">
      <c r="A4986" s="17">
        <v>41255</v>
      </c>
      <c r="B4986" s="17">
        <v>41255</v>
      </c>
      <c r="C4986" s="43">
        <v>2012</v>
      </c>
      <c r="D4986" s="35" t="s">
        <v>28</v>
      </c>
      <c r="E4986" s="6" t="s">
        <v>149</v>
      </c>
      <c r="F4986" s="7" t="s">
        <v>97</v>
      </c>
      <c r="G4986" s="146" t="s">
        <v>7215</v>
      </c>
      <c r="H4986" s="147" t="s">
        <v>7216</v>
      </c>
      <c r="I4986" s="148">
        <v>0</v>
      </c>
      <c r="J4986" s="46">
        <v>0</v>
      </c>
      <c r="K4986" s="46">
        <v>0</v>
      </c>
      <c r="L4986" s="46">
        <v>0</v>
      </c>
      <c r="M4986" s="46">
        <v>0</v>
      </c>
      <c r="N4986" s="46">
        <v>1</v>
      </c>
      <c r="O4986" s="46">
        <v>0</v>
      </c>
      <c r="P4986" s="47">
        <v>0</v>
      </c>
      <c r="Q4986" s="27" t="s">
        <v>154</v>
      </c>
      <c r="R4986" s="160"/>
      <c r="S4986" s="164"/>
      <c r="T4986" s="164"/>
    </row>
    <row r="4987" spans="1:20" s="162" customFormat="1" ht="96" x14ac:dyDescent="0.25">
      <c r="A4987" s="17">
        <v>41255</v>
      </c>
      <c r="B4987" s="17">
        <v>41255</v>
      </c>
      <c r="C4987" s="43">
        <v>2012</v>
      </c>
      <c r="D4987" s="35" t="s">
        <v>28</v>
      </c>
      <c r="E4987" s="30" t="s">
        <v>133</v>
      </c>
      <c r="F4987" s="28" t="s">
        <v>157</v>
      </c>
      <c r="G4987" s="146" t="s">
        <v>6309</v>
      </c>
      <c r="H4987" s="147" t="s">
        <v>7217</v>
      </c>
      <c r="I4987" s="163">
        <v>1</v>
      </c>
      <c r="J4987" s="46">
        <v>7</v>
      </c>
      <c r="K4987" s="46">
        <v>0</v>
      </c>
      <c r="L4987" s="46">
        <v>0</v>
      </c>
      <c r="M4987" s="46">
        <v>0</v>
      </c>
      <c r="N4987" s="46">
        <v>0</v>
      </c>
      <c r="O4987" s="46">
        <v>0</v>
      </c>
      <c r="P4987" s="47">
        <v>0</v>
      </c>
      <c r="Q4987" s="27" t="s">
        <v>154</v>
      </c>
      <c r="R4987" s="160"/>
      <c r="S4987" s="164"/>
      <c r="T4987" s="164"/>
    </row>
    <row r="4988" spans="1:20" s="162" customFormat="1" ht="60" x14ac:dyDescent="0.25">
      <c r="A4988" s="17">
        <v>41255</v>
      </c>
      <c r="B4988" s="17">
        <v>41255</v>
      </c>
      <c r="C4988" s="43">
        <v>2012</v>
      </c>
      <c r="D4988" s="24" t="s">
        <v>141</v>
      </c>
      <c r="E4988" s="41" t="s">
        <v>1965</v>
      </c>
      <c r="F4988" s="7" t="s">
        <v>60</v>
      </c>
      <c r="G4988" s="146" t="s">
        <v>1163</v>
      </c>
      <c r="H4988" s="147" t="s">
        <v>7218</v>
      </c>
      <c r="I4988" s="163">
        <v>1</v>
      </c>
      <c r="J4988" s="46">
        <v>6</v>
      </c>
      <c r="K4988" s="46">
        <v>0</v>
      </c>
      <c r="L4988" s="46">
        <v>0</v>
      </c>
      <c r="M4988" s="46">
        <v>0</v>
      </c>
      <c r="N4988" s="46">
        <v>0</v>
      </c>
      <c r="O4988" s="46">
        <v>0</v>
      </c>
      <c r="P4988" s="47">
        <v>0</v>
      </c>
      <c r="Q4988" s="27" t="s">
        <v>154</v>
      </c>
      <c r="R4988" s="160"/>
      <c r="S4988" s="164"/>
      <c r="T4988" s="164"/>
    </row>
    <row r="4989" spans="1:20" s="162" customFormat="1" ht="96" x14ac:dyDescent="0.25">
      <c r="A4989" s="17">
        <v>41256</v>
      </c>
      <c r="B4989" s="17">
        <v>41256</v>
      </c>
      <c r="C4989" s="43">
        <v>2012</v>
      </c>
      <c r="D4989" s="35" t="s">
        <v>28</v>
      </c>
      <c r="E4989" s="6" t="s">
        <v>149</v>
      </c>
      <c r="F4989" s="28" t="s">
        <v>157</v>
      </c>
      <c r="G4989" s="146" t="s">
        <v>6309</v>
      </c>
      <c r="H4989" s="147" t="s">
        <v>7219</v>
      </c>
      <c r="I4989" s="163">
        <v>0</v>
      </c>
      <c r="J4989" s="46">
        <v>3</v>
      </c>
      <c r="K4989" s="46">
        <v>1</v>
      </c>
      <c r="L4989" s="46">
        <v>0</v>
      </c>
      <c r="M4989" s="46">
        <v>0</v>
      </c>
      <c r="N4989" s="46">
        <v>0</v>
      </c>
      <c r="O4989" s="46">
        <v>0</v>
      </c>
      <c r="P4989" s="47">
        <v>0.12</v>
      </c>
      <c r="Q4989" s="27" t="s">
        <v>154</v>
      </c>
      <c r="R4989" s="160"/>
      <c r="S4989" s="164"/>
      <c r="T4989" s="164"/>
    </row>
    <row r="4990" spans="1:20" s="162" customFormat="1" ht="72" x14ac:dyDescent="0.25">
      <c r="A4990" s="17">
        <v>41259</v>
      </c>
      <c r="B4990" s="17">
        <v>41259</v>
      </c>
      <c r="C4990" s="43">
        <v>2012</v>
      </c>
      <c r="D4990" s="24" t="s">
        <v>141</v>
      </c>
      <c r="E4990" s="30" t="s">
        <v>142</v>
      </c>
      <c r="F4990" s="28" t="s">
        <v>210</v>
      </c>
      <c r="G4990" s="146" t="s">
        <v>5050</v>
      </c>
      <c r="H4990" s="147" t="s">
        <v>7220</v>
      </c>
      <c r="I4990" s="163">
        <v>0</v>
      </c>
      <c r="J4990" s="46">
        <v>3</v>
      </c>
      <c r="K4990" s="46">
        <v>0</v>
      </c>
      <c r="L4990" s="46">
        <v>0</v>
      </c>
      <c r="M4990" s="46">
        <v>0</v>
      </c>
      <c r="N4990" s="46">
        <v>0</v>
      </c>
      <c r="O4990" s="46">
        <v>0</v>
      </c>
      <c r="P4990" s="47">
        <v>1.575</v>
      </c>
      <c r="Q4990" s="27" t="s">
        <v>154</v>
      </c>
      <c r="R4990" s="160"/>
      <c r="S4990" s="164"/>
      <c r="T4990" s="164"/>
    </row>
    <row r="4991" spans="1:20" s="162" customFormat="1" ht="72" x14ac:dyDescent="0.25">
      <c r="A4991" s="17">
        <v>41260</v>
      </c>
      <c r="B4991" s="17">
        <v>41260</v>
      </c>
      <c r="C4991" s="43">
        <v>2012</v>
      </c>
      <c r="D4991" s="24" t="s">
        <v>141</v>
      </c>
      <c r="E4991" s="30" t="s">
        <v>142</v>
      </c>
      <c r="F4991" s="7" t="s">
        <v>87</v>
      </c>
      <c r="G4991" s="146" t="s">
        <v>2259</v>
      </c>
      <c r="H4991" s="147" t="s">
        <v>7221</v>
      </c>
      <c r="I4991" s="163">
        <v>1</v>
      </c>
      <c r="J4991" s="46">
        <v>1</v>
      </c>
      <c r="K4991" s="46">
        <v>0</v>
      </c>
      <c r="L4991" s="46">
        <v>0</v>
      </c>
      <c r="M4991" s="46">
        <v>0</v>
      </c>
      <c r="N4991" s="46">
        <v>0</v>
      </c>
      <c r="O4991" s="46">
        <v>0</v>
      </c>
      <c r="P4991" s="47">
        <v>0.47249999999999998</v>
      </c>
      <c r="Q4991" s="27" t="s">
        <v>154</v>
      </c>
      <c r="R4991" s="160"/>
      <c r="S4991" s="164"/>
      <c r="T4991" s="164"/>
    </row>
    <row r="4992" spans="1:20" s="162" customFormat="1" ht="48" x14ac:dyDescent="0.25">
      <c r="A4992" s="17">
        <v>41259</v>
      </c>
      <c r="B4992" s="17">
        <v>40986</v>
      </c>
      <c r="C4992" s="43">
        <v>2012</v>
      </c>
      <c r="D4992" s="24" t="s">
        <v>141</v>
      </c>
      <c r="E4992" s="30" t="s">
        <v>142</v>
      </c>
      <c r="F4992" s="28" t="s">
        <v>163</v>
      </c>
      <c r="G4992" s="146" t="s">
        <v>7222</v>
      </c>
      <c r="H4992" s="147" t="s">
        <v>7223</v>
      </c>
      <c r="I4992" s="148">
        <v>0</v>
      </c>
      <c r="J4992" s="46">
        <v>0</v>
      </c>
      <c r="K4992" s="46">
        <v>0</v>
      </c>
      <c r="L4992" s="46">
        <v>0</v>
      </c>
      <c r="M4992" s="46">
        <v>0</v>
      </c>
      <c r="N4992" s="46">
        <v>0</v>
      </c>
      <c r="O4992" s="46">
        <v>0</v>
      </c>
      <c r="P4992" s="47">
        <f>((472500)+(9000*10.84))/1000000</f>
        <v>0.57006000000000001</v>
      </c>
      <c r="Q4992" s="27" t="s">
        <v>154</v>
      </c>
      <c r="R4992" s="160"/>
      <c r="S4992" s="164"/>
      <c r="T4992" s="164"/>
    </row>
    <row r="4993" spans="1:20" s="162" customFormat="1" ht="60" x14ac:dyDescent="0.25">
      <c r="A4993" s="17">
        <v>41259</v>
      </c>
      <c r="B4993" s="17">
        <v>41259</v>
      </c>
      <c r="C4993" s="43">
        <v>2012</v>
      </c>
      <c r="D4993" s="35" t="s">
        <v>28</v>
      </c>
      <c r="E4993" s="6" t="s">
        <v>149</v>
      </c>
      <c r="F4993" s="7" t="s">
        <v>72</v>
      </c>
      <c r="G4993" s="146" t="s">
        <v>7224</v>
      </c>
      <c r="H4993" s="147" t="s">
        <v>7225</v>
      </c>
      <c r="I4993" s="163">
        <v>0</v>
      </c>
      <c r="J4993" s="46">
        <v>57</v>
      </c>
      <c r="K4993" s="46">
        <v>0</v>
      </c>
      <c r="L4993" s="46">
        <v>0</v>
      </c>
      <c r="M4993" s="46">
        <v>1</v>
      </c>
      <c r="N4993" s="46">
        <v>0</v>
      </c>
      <c r="O4993" s="46">
        <v>0</v>
      </c>
      <c r="P4993" s="47">
        <v>0</v>
      </c>
      <c r="Q4993" s="27" t="s">
        <v>154</v>
      </c>
      <c r="R4993" s="160"/>
      <c r="S4993" s="164"/>
      <c r="T4993" s="164"/>
    </row>
    <row r="4994" spans="1:20" s="162" customFormat="1" ht="84" x14ac:dyDescent="0.25">
      <c r="A4994" s="17">
        <v>41260</v>
      </c>
      <c r="B4994" s="17">
        <v>41259</v>
      </c>
      <c r="C4994" s="43">
        <v>2012</v>
      </c>
      <c r="D4994" s="24" t="s">
        <v>141</v>
      </c>
      <c r="E4994" s="30" t="s">
        <v>142</v>
      </c>
      <c r="F4994" s="28" t="s">
        <v>210</v>
      </c>
      <c r="G4994" s="146" t="s">
        <v>6785</v>
      </c>
      <c r="H4994" s="147" t="s">
        <v>7226</v>
      </c>
      <c r="I4994" s="148">
        <v>1</v>
      </c>
      <c r="J4994" s="46">
        <v>41</v>
      </c>
      <c r="K4994" s="46">
        <v>0</v>
      </c>
      <c r="L4994" s="46">
        <v>0</v>
      </c>
      <c r="M4994" s="46">
        <v>0</v>
      </c>
      <c r="N4994" s="46">
        <v>0</v>
      </c>
      <c r="O4994" s="46">
        <v>0</v>
      </c>
      <c r="P4994" s="47">
        <v>0.42</v>
      </c>
      <c r="Q4994" s="27" t="s">
        <v>154</v>
      </c>
      <c r="R4994" s="160"/>
      <c r="S4994" s="164"/>
      <c r="T4994" s="164"/>
    </row>
    <row r="4995" spans="1:20" s="162" customFormat="1" ht="72" x14ac:dyDescent="0.25">
      <c r="A4995" s="17">
        <v>41262</v>
      </c>
      <c r="B4995" s="17">
        <v>41262</v>
      </c>
      <c r="C4995" s="43">
        <v>2012</v>
      </c>
      <c r="D4995" s="24" t="s">
        <v>141</v>
      </c>
      <c r="E4995" s="30" t="s">
        <v>142</v>
      </c>
      <c r="F4995" s="28" t="s">
        <v>160</v>
      </c>
      <c r="G4995" s="146" t="s">
        <v>7227</v>
      </c>
      <c r="H4995" s="147" t="s">
        <v>7228</v>
      </c>
      <c r="I4995" s="148">
        <v>3</v>
      </c>
      <c r="J4995" s="46">
        <v>51</v>
      </c>
      <c r="K4995" s="46">
        <v>0</v>
      </c>
      <c r="L4995" s="46">
        <v>0</v>
      </c>
      <c r="M4995" s="46">
        <v>0</v>
      </c>
      <c r="N4995" s="46">
        <v>0</v>
      </c>
      <c r="O4995" s="46">
        <v>0</v>
      </c>
      <c r="P4995" s="47">
        <f>(18*39690)/1000000</f>
        <v>0.71442000000000005</v>
      </c>
      <c r="Q4995" s="27" t="s">
        <v>154</v>
      </c>
      <c r="R4995" s="160"/>
      <c r="S4995" s="164"/>
      <c r="T4995" s="164"/>
    </row>
    <row r="4996" spans="1:20" s="162" customFormat="1" ht="84" x14ac:dyDescent="0.25">
      <c r="A4996" s="17">
        <v>41264</v>
      </c>
      <c r="B4996" s="17">
        <v>41264</v>
      </c>
      <c r="C4996" s="43">
        <v>2012</v>
      </c>
      <c r="D4996" s="35" t="s">
        <v>28</v>
      </c>
      <c r="E4996" s="6" t="s">
        <v>149</v>
      </c>
      <c r="F4996" s="7" t="s">
        <v>62</v>
      </c>
      <c r="G4996" s="146" t="s">
        <v>165</v>
      </c>
      <c r="H4996" s="147" t="s">
        <v>7229</v>
      </c>
      <c r="I4996" s="163">
        <v>0</v>
      </c>
      <c r="J4996" s="46">
        <v>300</v>
      </c>
      <c r="K4996" s="46">
        <v>60</v>
      </c>
      <c r="L4996" s="46">
        <v>0</v>
      </c>
      <c r="M4996" s="46">
        <v>0</v>
      </c>
      <c r="N4996" s="46">
        <v>0</v>
      </c>
      <c r="O4996" s="46">
        <v>0</v>
      </c>
      <c r="P4996" s="47">
        <f>(60*120000)/1000000</f>
        <v>7.2</v>
      </c>
      <c r="Q4996" s="27" t="s">
        <v>154</v>
      </c>
      <c r="R4996" s="160"/>
      <c r="S4996" s="164"/>
      <c r="T4996" s="164"/>
    </row>
    <row r="4997" spans="1:20" s="162" customFormat="1" ht="72" x14ac:dyDescent="0.25">
      <c r="A4997" s="17">
        <v>41264</v>
      </c>
      <c r="B4997" s="17">
        <v>41264</v>
      </c>
      <c r="C4997" s="43">
        <v>2012</v>
      </c>
      <c r="D4997" s="35" t="s">
        <v>28</v>
      </c>
      <c r="E4997" s="30" t="s">
        <v>133</v>
      </c>
      <c r="F4997" s="7" t="s">
        <v>36</v>
      </c>
      <c r="G4997" s="146" t="s">
        <v>4966</v>
      </c>
      <c r="H4997" s="147" t="s">
        <v>7230</v>
      </c>
      <c r="I4997" s="163">
        <v>1</v>
      </c>
      <c r="J4997" s="46">
        <v>8</v>
      </c>
      <c r="K4997" s="46">
        <v>1</v>
      </c>
      <c r="L4997" s="46">
        <v>0</v>
      </c>
      <c r="M4997" s="46">
        <v>0</v>
      </c>
      <c r="N4997" s="46">
        <v>0</v>
      </c>
      <c r="O4997" s="46">
        <v>0</v>
      </c>
      <c r="P4997" s="47">
        <v>0.12</v>
      </c>
      <c r="Q4997" s="27" t="s">
        <v>154</v>
      </c>
      <c r="R4997" s="160"/>
      <c r="S4997" s="164"/>
      <c r="T4997" s="164"/>
    </row>
    <row r="4998" spans="1:20" s="162" customFormat="1" ht="96" x14ac:dyDescent="0.25">
      <c r="A4998" s="17">
        <v>41264</v>
      </c>
      <c r="B4998" s="17">
        <v>41264</v>
      </c>
      <c r="C4998" s="43">
        <v>2012</v>
      </c>
      <c r="D4998" s="24" t="s">
        <v>141</v>
      </c>
      <c r="E4998" s="30" t="s">
        <v>142</v>
      </c>
      <c r="F4998" s="7" t="s">
        <v>30</v>
      </c>
      <c r="G4998" s="146" t="s">
        <v>1070</v>
      </c>
      <c r="H4998" s="147" t="s">
        <v>7231</v>
      </c>
      <c r="I4998" s="163">
        <v>1</v>
      </c>
      <c r="J4998" s="46">
        <v>20</v>
      </c>
      <c r="K4998" s="46">
        <v>0</v>
      </c>
      <c r="L4998" s="46">
        <v>0</v>
      </c>
      <c r="M4998" s="46">
        <v>0</v>
      </c>
      <c r="N4998" s="46">
        <v>0</v>
      </c>
      <c r="O4998" s="46">
        <v>0</v>
      </c>
      <c r="P4998" s="47">
        <v>0.42</v>
      </c>
      <c r="Q4998" s="27" t="s">
        <v>154</v>
      </c>
      <c r="R4998" s="160"/>
      <c r="S4998" s="164"/>
      <c r="T4998" s="164"/>
    </row>
    <row r="4999" spans="1:20" s="162" customFormat="1" ht="108" x14ac:dyDescent="0.25">
      <c r="A4999" s="17">
        <v>41266</v>
      </c>
      <c r="B4999" s="17">
        <v>41266</v>
      </c>
      <c r="C4999" s="43">
        <v>2012</v>
      </c>
      <c r="D4999" s="35" t="s">
        <v>28</v>
      </c>
      <c r="E4999" s="30" t="s">
        <v>133</v>
      </c>
      <c r="F4999" s="7" t="s">
        <v>87</v>
      </c>
      <c r="G4999" s="146" t="s">
        <v>1718</v>
      </c>
      <c r="H4999" s="147" t="s">
        <v>7232</v>
      </c>
      <c r="I4999" s="163">
        <v>0</v>
      </c>
      <c r="J4999" s="46">
        <v>7</v>
      </c>
      <c r="K4999" s="46">
        <v>1</v>
      </c>
      <c r="L4999" s="46">
        <v>0</v>
      </c>
      <c r="M4999" s="46">
        <v>0</v>
      </c>
      <c r="N4999" s="46">
        <v>0</v>
      </c>
      <c r="O4999" s="46">
        <v>0</v>
      </c>
      <c r="P4999" s="47">
        <v>0.12</v>
      </c>
      <c r="Q4999" s="27" t="s">
        <v>154</v>
      </c>
      <c r="R4999" s="160"/>
      <c r="S4999" s="164"/>
      <c r="T4999" s="164"/>
    </row>
    <row r="5000" spans="1:20" s="162" customFormat="1" ht="96" x14ac:dyDescent="0.25">
      <c r="A5000" s="17">
        <v>41267</v>
      </c>
      <c r="B5000" s="17">
        <v>41267</v>
      </c>
      <c r="C5000" s="43">
        <v>2012</v>
      </c>
      <c r="D5000" s="35" t="s">
        <v>28</v>
      </c>
      <c r="E5000" s="30" t="s">
        <v>136</v>
      </c>
      <c r="F5000" s="28" t="s">
        <v>157</v>
      </c>
      <c r="G5000" s="146" t="s">
        <v>6056</v>
      </c>
      <c r="H5000" s="147" t="s">
        <v>7233</v>
      </c>
      <c r="I5000" s="163">
        <v>2</v>
      </c>
      <c r="J5000" s="46">
        <v>6</v>
      </c>
      <c r="K5000" s="46">
        <v>0</v>
      </c>
      <c r="L5000" s="46">
        <v>0</v>
      </c>
      <c r="M5000" s="46">
        <v>0</v>
      </c>
      <c r="N5000" s="46">
        <v>0</v>
      </c>
      <c r="O5000" s="46">
        <v>0</v>
      </c>
      <c r="P5000" s="47">
        <v>0</v>
      </c>
      <c r="Q5000" s="27" t="s">
        <v>154</v>
      </c>
      <c r="R5000" s="160"/>
      <c r="S5000" s="164"/>
      <c r="T5000" s="164"/>
    </row>
    <row r="5001" spans="1:20" s="162" customFormat="1" ht="60" x14ac:dyDescent="0.25">
      <c r="A5001" s="17">
        <v>41267</v>
      </c>
      <c r="B5001" s="17">
        <v>41267</v>
      </c>
      <c r="C5001" s="43">
        <v>2012</v>
      </c>
      <c r="D5001" s="35" t="s">
        <v>28</v>
      </c>
      <c r="E5001" s="30" t="s">
        <v>133</v>
      </c>
      <c r="F5001" s="7" t="s">
        <v>53</v>
      </c>
      <c r="G5001" s="146" t="s">
        <v>7234</v>
      </c>
      <c r="H5001" s="147" t="s">
        <v>7235</v>
      </c>
      <c r="I5001" s="163">
        <v>2</v>
      </c>
      <c r="J5001" s="46">
        <v>2</v>
      </c>
      <c r="K5001" s="46">
        <v>0</v>
      </c>
      <c r="L5001" s="46">
        <v>0</v>
      </c>
      <c r="M5001" s="46">
        <v>0</v>
      </c>
      <c r="N5001" s="46">
        <v>0</v>
      </c>
      <c r="O5001" s="46">
        <v>0</v>
      </c>
      <c r="P5001" s="47">
        <v>3.9690000000000003E-2</v>
      </c>
      <c r="Q5001" s="27" t="s">
        <v>154</v>
      </c>
      <c r="R5001" s="160"/>
      <c r="S5001" s="164"/>
      <c r="T5001" s="164"/>
    </row>
    <row r="5002" spans="1:20" s="162" customFormat="1" ht="72" x14ac:dyDescent="0.25">
      <c r="A5002" s="17">
        <v>41270</v>
      </c>
      <c r="B5002" s="17">
        <v>41270</v>
      </c>
      <c r="C5002" s="43">
        <v>2012</v>
      </c>
      <c r="D5002" s="24" t="s">
        <v>141</v>
      </c>
      <c r="E5002" s="30" t="s">
        <v>142</v>
      </c>
      <c r="F5002" s="7" t="s">
        <v>72</v>
      </c>
      <c r="G5002" s="146" t="s">
        <v>1954</v>
      </c>
      <c r="H5002" s="147" t="s">
        <v>7236</v>
      </c>
      <c r="I5002" s="163">
        <v>1</v>
      </c>
      <c r="J5002" s="46">
        <v>5</v>
      </c>
      <c r="K5002" s="46">
        <v>0</v>
      </c>
      <c r="L5002" s="46">
        <v>0</v>
      </c>
      <c r="M5002" s="46">
        <v>0</v>
      </c>
      <c r="N5002" s="46">
        <v>0</v>
      </c>
      <c r="O5002" s="46">
        <v>0</v>
      </c>
      <c r="P5002" s="47">
        <v>3.9690000000000003E-2</v>
      </c>
      <c r="Q5002" s="27" t="s">
        <v>154</v>
      </c>
      <c r="R5002" s="160"/>
      <c r="S5002" s="164"/>
      <c r="T5002" s="164"/>
    </row>
    <row r="5003" spans="1:20" s="162" customFormat="1" ht="60" x14ac:dyDescent="0.25">
      <c r="A5003" s="17">
        <v>41271</v>
      </c>
      <c r="B5003" s="17">
        <v>41271</v>
      </c>
      <c r="C5003" s="43">
        <v>2012</v>
      </c>
      <c r="D5003" s="24" t="s">
        <v>141</v>
      </c>
      <c r="E5003" s="30" t="s">
        <v>6731</v>
      </c>
      <c r="F5003" s="28" t="s">
        <v>157</v>
      </c>
      <c r="G5003" s="146" t="s">
        <v>6309</v>
      </c>
      <c r="H5003" s="147" t="s">
        <v>7237</v>
      </c>
      <c r="I5003" s="163">
        <v>1</v>
      </c>
      <c r="J5003" s="46">
        <v>4</v>
      </c>
      <c r="K5003" s="46">
        <v>0</v>
      </c>
      <c r="L5003" s="46">
        <v>0</v>
      </c>
      <c r="M5003" s="46">
        <v>0</v>
      </c>
      <c r="N5003" s="46">
        <v>0</v>
      </c>
      <c r="O5003" s="46">
        <v>0</v>
      </c>
      <c r="P5003" s="47">
        <v>0</v>
      </c>
      <c r="Q5003" s="27" t="s">
        <v>154</v>
      </c>
      <c r="R5003" s="160"/>
      <c r="S5003" s="164"/>
      <c r="T5003" s="164"/>
    </row>
    <row r="5004" spans="1:20" s="162" customFormat="1" ht="108" x14ac:dyDescent="0.25">
      <c r="A5004" s="17">
        <v>40988</v>
      </c>
      <c r="B5004" s="17">
        <v>40988</v>
      </c>
      <c r="C5004" s="43">
        <v>2012</v>
      </c>
      <c r="D5004" s="35" t="s">
        <v>28</v>
      </c>
      <c r="E5004" s="6" t="s">
        <v>369</v>
      </c>
      <c r="F5004" s="7" t="s">
        <v>77</v>
      </c>
      <c r="G5004" s="146" t="s">
        <v>1203</v>
      </c>
      <c r="H5004" s="147" t="s">
        <v>7238</v>
      </c>
      <c r="I5004" s="163">
        <v>0</v>
      </c>
      <c r="J5004" s="46">
        <v>0</v>
      </c>
      <c r="K5004" s="46">
        <v>0</v>
      </c>
      <c r="L5004" s="46">
        <v>0</v>
      </c>
      <c r="M5004" s="46">
        <v>0</v>
      </c>
      <c r="N5004" s="46">
        <v>0</v>
      </c>
      <c r="O5004" s="46">
        <v>400</v>
      </c>
      <c r="P5004" s="47">
        <v>1.2210000000000001</v>
      </c>
      <c r="Q5004" s="27" t="s">
        <v>154</v>
      </c>
      <c r="R5004" s="160"/>
      <c r="S5004" s="164"/>
      <c r="T5004" s="164"/>
    </row>
    <row r="5005" spans="1:20" s="162" customFormat="1" ht="36" x14ac:dyDescent="0.25">
      <c r="A5005" s="23">
        <v>40909</v>
      </c>
      <c r="B5005" s="23">
        <v>41274</v>
      </c>
      <c r="C5005" s="24">
        <v>2012</v>
      </c>
      <c r="D5005" s="351" t="s">
        <v>23</v>
      </c>
      <c r="E5005" s="22" t="s">
        <v>42</v>
      </c>
      <c r="F5005" s="7" t="s">
        <v>30</v>
      </c>
      <c r="G5005" s="44" t="s">
        <v>26</v>
      </c>
      <c r="H5005" s="44" t="s">
        <v>7239</v>
      </c>
      <c r="I5005" s="20">
        <v>5</v>
      </c>
      <c r="J5005" s="20">
        <v>5</v>
      </c>
      <c r="K5005" s="20">
        <v>0</v>
      </c>
      <c r="L5005" s="20">
        <v>0</v>
      </c>
      <c r="M5005" s="20">
        <v>0</v>
      </c>
      <c r="N5005" s="20">
        <v>0</v>
      </c>
      <c r="O5005" s="20">
        <v>0</v>
      </c>
      <c r="P5005" s="26">
        <v>0</v>
      </c>
      <c r="Q5005" s="45" t="s">
        <v>2218</v>
      </c>
      <c r="R5005" s="167"/>
      <c r="S5005" s="164"/>
      <c r="T5005" s="164"/>
    </row>
    <row r="5006" spans="1:20" s="162" customFormat="1" ht="48" x14ac:dyDescent="0.25">
      <c r="A5006" s="23">
        <v>40909</v>
      </c>
      <c r="B5006" s="23">
        <v>41274</v>
      </c>
      <c r="C5006" s="24">
        <v>2012</v>
      </c>
      <c r="D5006" s="351" t="s">
        <v>23</v>
      </c>
      <c r="E5006" s="22" t="s">
        <v>42</v>
      </c>
      <c r="F5006" s="7" t="s">
        <v>40</v>
      </c>
      <c r="G5006" s="44" t="s">
        <v>26</v>
      </c>
      <c r="H5006" s="44" t="s">
        <v>7240</v>
      </c>
      <c r="I5006" s="20">
        <v>30</v>
      </c>
      <c r="J5006" s="20">
        <v>30</v>
      </c>
      <c r="K5006" s="20">
        <v>0</v>
      </c>
      <c r="L5006" s="20">
        <v>0</v>
      </c>
      <c r="M5006" s="20">
        <v>0</v>
      </c>
      <c r="N5006" s="20">
        <v>0</v>
      </c>
      <c r="O5006" s="20">
        <v>0</v>
      </c>
      <c r="P5006" s="26">
        <v>0</v>
      </c>
      <c r="Q5006" s="45" t="s">
        <v>2218</v>
      </c>
      <c r="R5006" s="167"/>
      <c r="S5006" s="164"/>
      <c r="T5006" s="164"/>
    </row>
    <row r="5007" spans="1:20" s="162" customFormat="1" ht="36" x14ac:dyDescent="0.25">
      <c r="A5007" s="23">
        <v>40909</v>
      </c>
      <c r="B5007" s="23">
        <v>41274</v>
      </c>
      <c r="C5007" s="24">
        <v>2012</v>
      </c>
      <c r="D5007" s="351" t="s">
        <v>23</v>
      </c>
      <c r="E5007" s="22" t="s">
        <v>42</v>
      </c>
      <c r="F5007" s="28" t="s">
        <v>160</v>
      </c>
      <c r="G5007" s="44" t="s">
        <v>26</v>
      </c>
      <c r="H5007" s="44" t="s">
        <v>7241</v>
      </c>
      <c r="I5007" s="20">
        <v>3</v>
      </c>
      <c r="J5007" s="20">
        <v>3</v>
      </c>
      <c r="K5007" s="20">
        <v>0</v>
      </c>
      <c r="L5007" s="20">
        <v>0</v>
      </c>
      <c r="M5007" s="20">
        <v>0</v>
      </c>
      <c r="N5007" s="20">
        <v>0</v>
      </c>
      <c r="O5007" s="20">
        <v>0</v>
      </c>
      <c r="P5007" s="26">
        <v>0</v>
      </c>
      <c r="Q5007" s="45" t="s">
        <v>2218</v>
      </c>
      <c r="R5007" s="167"/>
      <c r="S5007" s="164"/>
      <c r="T5007" s="164"/>
    </row>
    <row r="5008" spans="1:20" s="162" customFormat="1" ht="24" x14ac:dyDescent="0.25">
      <c r="A5008" s="23">
        <v>40909</v>
      </c>
      <c r="B5008" s="23">
        <v>41274</v>
      </c>
      <c r="C5008" s="24">
        <v>2012</v>
      </c>
      <c r="D5008" s="351" t="s">
        <v>23</v>
      </c>
      <c r="E5008" s="22" t="s">
        <v>42</v>
      </c>
      <c r="F5008" s="7" t="s">
        <v>60</v>
      </c>
      <c r="G5008" s="44" t="s">
        <v>26</v>
      </c>
      <c r="H5008" s="44" t="s">
        <v>7242</v>
      </c>
      <c r="I5008" s="20">
        <v>1</v>
      </c>
      <c r="J5008" s="20">
        <v>1</v>
      </c>
      <c r="K5008" s="20">
        <v>0</v>
      </c>
      <c r="L5008" s="20">
        <v>0</v>
      </c>
      <c r="M5008" s="20">
        <v>0</v>
      </c>
      <c r="N5008" s="20">
        <v>0</v>
      </c>
      <c r="O5008" s="20">
        <v>0</v>
      </c>
      <c r="P5008" s="26">
        <v>0</v>
      </c>
      <c r="Q5008" s="45" t="s">
        <v>2218</v>
      </c>
      <c r="R5008" s="167"/>
      <c r="S5008" s="164"/>
      <c r="T5008" s="164"/>
    </row>
    <row r="5009" spans="1:20" s="162" customFormat="1" ht="36" x14ac:dyDescent="0.25">
      <c r="A5009" s="23">
        <v>40909</v>
      </c>
      <c r="B5009" s="23">
        <v>41274</v>
      </c>
      <c r="C5009" s="24">
        <v>2012</v>
      </c>
      <c r="D5009" s="351" t="s">
        <v>23</v>
      </c>
      <c r="E5009" s="22" t="s">
        <v>42</v>
      </c>
      <c r="F5009" s="7" t="s">
        <v>75</v>
      </c>
      <c r="G5009" s="44" t="s">
        <v>26</v>
      </c>
      <c r="H5009" s="44" t="s">
        <v>7243</v>
      </c>
      <c r="I5009" s="20">
        <v>2</v>
      </c>
      <c r="J5009" s="20">
        <v>2</v>
      </c>
      <c r="K5009" s="20">
        <v>0</v>
      </c>
      <c r="L5009" s="20">
        <v>0</v>
      </c>
      <c r="M5009" s="20">
        <v>0</v>
      </c>
      <c r="N5009" s="20">
        <v>0</v>
      </c>
      <c r="O5009" s="20">
        <v>0</v>
      </c>
      <c r="P5009" s="26">
        <v>0</v>
      </c>
      <c r="Q5009" s="45" t="s">
        <v>2218</v>
      </c>
      <c r="R5009" s="167"/>
      <c r="S5009" s="164"/>
      <c r="T5009" s="164"/>
    </row>
    <row r="5010" spans="1:20" s="162" customFormat="1" ht="24" x14ac:dyDescent="0.25">
      <c r="A5010" s="23">
        <v>40909</v>
      </c>
      <c r="B5010" s="23">
        <v>41274</v>
      </c>
      <c r="C5010" s="24">
        <v>2012</v>
      </c>
      <c r="D5010" s="351" t="s">
        <v>23</v>
      </c>
      <c r="E5010" s="22" t="s">
        <v>42</v>
      </c>
      <c r="F5010" s="7" t="s">
        <v>77</v>
      </c>
      <c r="G5010" s="44" t="s">
        <v>26</v>
      </c>
      <c r="H5010" s="44" t="s">
        <v>7242</v>
      </c>
      <c r="I5010" s="20">
        <v>1</v>
      </c>
      <c r="J5010" s="20">
        <v>1</v>
      </c>
      <c r="K5010" s="20">
        <v>0</v>
      </c>
      <c r="L5010" s="20">
        <v>0</v>
      </c>
      <c r="M5010" s="20">
        <v>0</v>
      </c>
      <c r="N5010" s="20">
        <v>0</v>
      </c>
      <c r="O5010" s="20">
        <v>0</v>
      </c>
      <c r="P5010" s="26">
        <v>0</v>
      </c>
      <c r="Q5010" s="45" t="s">
        <v>2218</v>
      </c>
      <c r="R5010" s="167"/>
      <c r="S5010" s="164"/>
      <c r="T5010" s="164"/>
    </row>
    <row r="5011" spans="1:20" s="162" customFormat="1" ht="36" x14ac:dyDescent="0.25">
      <c r="A5011" s="23">
        <v>40909</v>
      </c>
      <c r="B5011" s="23">
        <v>41274</v>
      </c>
      <c r="C5011" s="24">
        <v>2012</v>
      </c>
      <c r="D5011" s="351" t="s">
        <v>23</v>
      </c>
      <c r="E5011" s="22" t="s">
        <v>42</v>
      </c>
      <c r="F5011" s="7" t="s">
        <v>87</v>
      </c>
      <c r="G5011" s="44" t="s">
        <v>26</v>
      </c>
      <c r="H5011" s="44" t="s">
        <v>7244</v>
      </c>
      <c r="I5011" s="20">
        <v>7</v>
      </c>
      <c r="J5011" s="20">
        <v>7</v>
      </c>
      <c r="K5011" s="20">
        <v>0</v>
      </c>
      <c r="L5011" s="20">
        <v>0</v>
      </c>
      <c r="M5011" s="20">
        <v>0</v>
      </c>
      <c r="N5011" s="20">
        <v>0</v>
      </c>
      <c r="O5011" s="20">
        <v>0</v>
      </c>
      <c r="P5011" s="26">
        <v>0</v>
      </c>
      <c r="Q5011" s="45" t="s">
        <v>2218</v>
      </c>
      <c r="R5011" s="167"/>
      <c r="S5011" s="164"/>
      <c r="T5011" s="164"/>
    </row>
    <row r="5012" spans="1:20" s="162" customFormat="1" ht="24" x14ac:dyDescent="0.25">
      <c r="A5012" s="23">
        <v>40909</v>
      </c>
      <c r="B5012" s="23">
        <v>41274</v>
      </c>
      <c r="C5012" s="24">
        <v>2012</v>
      </c>
      <c r="D5012" s="351" t="s">
        <v>23</v>
      </c>
      <c r="E5012" s="22" t="s">
        <v>42</v>
      </c>
      <c r="F5012" s="7" t="s">
        <v>45</v>
      </c>
      <c r="G5012" s="44" t="s">
        <v>26</v>
      </c>
      <c r="H5012" s="44" t="s">
        <v>7242</v>
      </c>
      <c r="I5012" s="20">
        <v>1</v>
      </c>
      <c r="J5012" s="20">
        <v>1</v>
      </c>
      <c r="K5012" s="20">
        <v>0</v>
      </c>
      <c r="L5012" s="20">
        <v>0</v>
      </c>
      <c r="M5012" s="20">
        <v>0</v>
      </c>
      <c r="N5012" s="20">
        <v>0</v>
      </c>
      <c r="O5012" s="20">
        <v>0</v>
      </c>
      <c r="P5012" s="26">
        <v>0</v>
      </c>
      <c r="Q5012" s="45" t="s">
        <v>2218</v>
      </c>
      <c r="R5012" s="167"/>
      <c r="S5012" s="164"/>
      <c r="T5012" s="164"/>
    </row>
    <row r="5013" spans="1:20" s="162" customFormat="1" ht="24" x14ac:dyDescent="0.25">
      <c r="A5013" s="23">
        <v>40909</v>
      </c>
      <c r="B5013" s="23">
        <v>41274</v>
      </c>
      <c r="C5013" s="24">
        <v>2012</v>
      </c>
      <c r="D5013" s="351" t="s">
        <v>23</v>
      </c>
      <c r="E5013" s="22" t="s">
        <v>42</v>
      </c>
      <c r="F5013" s="7" t="s">
        <v>49</v>
      </c>
      <c r="G5013" s="44" t="s">
        <v>26</v>
      </c>
      <c r="H5013" s="44" t="s">
        <v>7242</v>
      </c>
      <c r="I5013" s="20">
        <v>1</v>
      </c>
      <c r="J5013" s="20">
        <v>1</v>
      </c>
      <c r="K5013" s="20">
        <v>0</v>
      </c>
      <c r="L5013" s="20">
        <v>0</v>
      </c>
      <c r="M5013" s="20">
        <v>0</v>
      </c>
      <c r="N5013" s="20">
        <v>0</v>
      </c>
      <c r="O5013" s="20">
        <v>0</v>
      </c>
      <c r="P5013" s="26">
        <v>0</v>
      </c>
      <c r="Q5013" s="45" t="s">
        <v>2218</v>
      </c>
      <c r="R5013" s="167"/>
      <c r="S5013" s="164"/>
      <c r="T5013" s="164"/>
    </row>
    <row r="5014" spans="1:20" s="162" customFormat="1" ht="24" x14ac:dyDescent="0.25">
      <c r="A5014" s="23">
        <v>40909</v>
      </c>
      <c r="B5014" s="23">
        <v>41274</v>
      </c>
      <c r="C5014" s="24">
        <v>2012</v>
      </c>
      <c r="D5014" s="351" t="s">
        <v>23</v>
      </c>
      <c r="E5014" s="28" t="s">
        <v>327</v>
      </c>
      <c r="F5014" s="7" t="s">
        <v>30</v>
      </c>
      <c r="G5014" s="44" t="s">
        <v>26</v>
      </c>
      <c r="H5014" s="44" t="s">
        <v>7245</v>
      </c>
      <c r="I5014" s="20">
        <v>3</v>
      </c>
      <c r="J5014" s="20">
        <v>3</v>
      </c>
      <c r="K5014" s="20">
        <v>0</v>
      </c>
      <c r="L5014" s="20">
        <v>0</v>
      </c>
      <c r="M5014" s="20">
        <v>0</v>
      </c>
      <c r="N5014" s="20">
        <v>0</v>
      </c>
      <c r="O5014" s="20">
        <v>0</v>
      </c>
      <c r="P5014" s="26">
        <v>0</v>
      </c>
      <c r="Q5014" s="45" t="s">
        <v>2218</v>
      </c>
      <c r="R5014" s="167"/>
      <c r="S5014" s="164"/>
      <c r="T5014" s="164"/>
    </row>
    <row r="5015" spans="1:20" s="162" customFormat="1" ht="24" x14ac:dyDescent="0.25">
      <c r="A5015" s="23">
        <v>40909</v>
      </c>
      <c r="B5015" s="23">
        <v>41274</v>
      </c>
      <c r="C5015" s="24">
        <v>2012</v>
      </c>
      <c r="D5015" s="351" t="s">
        <v>23</v>
      </c>
      <c r="E5015" s="28" t="s">
        <v>327</v>
      </c>
      <c r="F5015" s="7" t="s">
        <v>40</v>
      </c>
      <c r="G5015" s="44" t="s">
        <v>26</v>
      </c>
      <c r="H5015" s="44" t="s">
        <v>7246</v>
      </c>
      <c r="I5015" s="20">
        <v>1</v>
      </c>
      <c r="J5015" s="20">
        <v>1</v>
      </c>
      <c r="K5015" s="20">
        <v>0</v>
      </c>
      <c r="L5015" s="20">
        <v>0</v>
      </c>
      <c r="M5015" s="20">
        <v>0</v>
      </c>
      <c r="N5015" s="20">
        <v>0</v>
      </c>
      <c r="O5015" s="20">
        <v>0</v>
      </c>
      <c r="P5015" s="26">
        <v>0</v>
      </c>
      <c r="Q5015" s="45" t="s">
        <v>2218</v>
      </c>
      <c r="R5015" s="167"/>
      <c r="S5015" s="164"/>
      <c r="T5015" s="164"/>
    </row>
    <row r="5016" spans="1:20" s="162" customFormat="1" ht="24" x14ac:dyDescent="0.25">
      <c r="A5016" s="23">
        <v>40909</v>
      </c>
      <c r="B5016" s="23">
        <v>41274</v>
      </c>
      <c r="C5016" s="24">
        <v>2012</v>
      </c>
      <c r="D5016" s="351" t="s">
        <v>23</v>
      </c>
      <c r="E5016" s="28" t="s">
        <v>327</v>
      </c>
      <c r="F5016" s="7" t="s">
        <v>82</v>
      </c>
      <c r="G5016" s="44" t="s">
        <v>26</v>
      </c>
      <c r="H5016" s="44" t="s">
        <v>7246</v>
      </c>
      <c r="I5016" s="20">
        <v>1</v>
      </c>
      <c r="J5016" s="20">
        <v>1</v>
      </c>
      <c r="K5016" s="20">
        <v>0</v>
      </c>
      <c r="L5016" s="20">
        <v>0</v>
      </c>
      <c r="M5016" s="20">
        <v>0</v>
      </c>
      <c r="N5016" s="20">
        <v>0</v>
      </c>
      <c r="O5016" s="20">
        <v>0</v>
      </c>
      <c r="P5016" s="26">
        <v>0</v>
      </c>
      <c r="Q5016" s="45" t="s">
        <v>2218</v>
      </c>
      <c r="R5016" s="167"/>
      <c r="S5016" s="164"/>
      <c r="T5016" s="164"/>
    </row>
    <row r="5017" spans="1:20" s="162" customFormat="1" ht="36" x14ac:dyDescent="0.25">
      <c r="A5017" s="23">
        <v>40909</v>
      </c>
      <c r="B5017" s="23">
        <v>41274</v>
      </c>
      <c r="C5017" s="24">
        <v>2012</v>
      </c>
      <c r="D5017" s="351" t="s">
        <v>23</v>
      </c>
      <c r="E5017" s="28" t="s">
        <v>327</v>
      </c>
      <c r="F5017" s="7" t="s">
        <v>87</v>
      </c>
      <c r="G5017" s="44" t="s">
        <v>26</v>
      </c>
      <c r="H5017" s="44" t="s">
        <v>7247</v>
      </c>
      <c r="I5017" s="20">
        <v>10</v>
      </c>
      <c r="J5017" s="20">
        <v>10</v>
      </c>
      <c r="K5017" s="20">
        <v>0</v>
      </c>
      <c r="L5017" s="20">
        <v>0</v>
      </c>
      <c r="M5017" s="20">
        <v>0</v>
      </c>
      <c r="N5017" s="20">
        <v>0</v>
      </c>
      <c r="O5017" s="20">
        <v>0</v>
      </c>
      <c r="P5017" s="26">
        <v>0</v>
      </c>
      <c r="Q5017" s="45" t="s">
        <v>2218</v>
      </c>
      <c r="R5017" s="167"/>
      <c r="S5017" s="164"/>
      <c r="T5017" s="164"/>
    </row>
    <row r="5018" spans="1:20" s="162" customFormat="1" ht="48" x14ac:dyDescent="0.25">
      <c r="A5018" s="23">
        <v>40909</v>
      </c>
      <c r="B5018" s="23">
        <v>41274</v>
      </c>
      <c r="C5018" s="24">
        <v>2012</v>
      </c>
      <c r="D5018" s="35" t="s">
        <v>28</v>
      </c>
      <c r="E5018" s="14" t="s">
        <v>29</v>
      </c>
      <c r="F5018" s="7" t="s">
        <v>25</v>
      </c>
      <c r="G5018" s="44" t="s">
        <v>26</v>
      </c>
      <c r="H5018" s="44" t="s">
        <v>7248</v>
      </c>
      <c r="I5018" s="20">
        <v>0</v>
      </c>
      <c r="J5018" s="20">
        <v>0</v>
      </c>
      <c r="K5018" s="20">
        <v>0</v>
      </c>
      <c r="L5018" s="20">
        <v>0</v>
      </c>
      <c r="M5018" s="20">
        <v>0</v>
      </c>
      <c r="N5018" s="20">
        <v>0</v>
      </c>
      <c r="O5018" s="20">
        <v>266</v>
      </c>
      <c r="P5018" s="26">
        <f t="shared" ref="P5018:P5049" si="15">(O5018*1000)/1000000</f>
        <v>0.26600000000000001</v>
      </c>
      <c r="Q5018" s="27" t="s">
        <v>3556</v>
      </c>
      <c r="R5018" s="167"/>
      <c r="S5018" s="168"/>
      <c r="T5018" s="168"/>
    </row>
    <row r="5019" spans="1:20" s="162" customFormat="1" ht="36" x14ac:dyDescent="0.25">
      <c r="A5019" s="23">
        <v>40909</v>
      </c>
      <c r="B5019" s="23">
        <v>41274</v>
      </c>
      <c r="C5019" s="24">
        <v>2012</v>
      </c>
      <c r="D5019" s="35" t="s">
        <v>28</v>
      </c>
      <c r="E5019" s="14" t="s">
        <v>29</v>
      </c>
      <c r="F5019" s="7" t="s">
        <v>30</v>
      </c>
      <c r="G5019" s="44" t="s">
        <v>26</v>
      </c>
      <c r="H5019" s="44" t="s">
        <v>7249</v>
      </c>
      <c r="I5019" s="20">
        <v>0</v>
      </c>
      <c r="J5019" s="20">
        <v>0</v>
      </c>
      <c r="K5019" s="20">
        <v>0</v>
      </c>
      <c r="L5019" s="20">
        <v>0</v>
      </c>
      <c r="M5019" s="20">
        <v>0</v>
      </c>
      <c r="N5019" s="20">
        <v>0</v>
      </c>
      <c r="O5019" s="20">
        <v>27222.309999999998</v>
      </c>
      <c r="P5019" s="26">
        <f t="shared" si="15"/>
        <v>27.222309999999997</v>
      </c>
      <c r="Q5019" s="27" t="s">
        <v>3556</v>
      </c>
      <c r="R5019" s="167"/>
      <c r="S5019" s="168"/>
      <c r="T5019" s="168"/>
    </row>
    <row r="5020" spans="1:20" s="162" customFormat="1" ht="48" x14ac:dyDescent="0.25">
      <c r="A5020" s="23">
        <v>40909</v>
      </c>
      <c r="B5020" s="23">
        <v>41274</v>
      </c>
      <c r="C5020" s="24">
        <v>2012</v>
      </c>
      <c r="D5020" s="35" t="s">
        <v>28</v>
      </c>
      <c r="E5020" s="14" t="s">
        <v>29</v>
      </c>
      <c r="F5020" s="7" t="s">
        <v>33</v>
      </c>
      <c r="G5020" s="44" t="s">
        <v>26</v>
      </c>
      <c r="H5020" s="44" t="s">
        <v>7250</v>
      </c>
      <c r="I5020" s="20">
        <v>0</v>
      </c>
      <c r="J5020" s="20">
        <v>0</v>
      </c>
      <c r="K5020" s="20">
        <v>0</v>
      </c>
      <c r="L5020" s="20">
        <v>0</v>
      </c>
      <c r="M5020" s="20">
        <v>0</v>
      </c>
      <c r="N5020" s="20">
        <v>0</v>
      </c>
      <c r="O5020" s="20">
        <v>73</v>
      </c>
      <c r="P5020" s="26">
        <f t="shared" si="15"/>
        <v>7.2999999999999995E-2</v>
      </c>
      <c r="Q5020" s="27" t="s">
        <v>3556</v>
      </c>
      <c r="R5020" s="167"/>
      <c r="S5020" s="168"/>
      <c r="T5020" s="168"/>
    </row>
    <row r="5021" spans="1:20" s="162" customFormat="1" ht="48" x14ac:dyDescent="0.25">
      <c r="A5021" s="23">
        <v>40909</v>
      </c>
      <c r="B5021" s="23">
        <v>41274</v>
      </c>
      <c r="C5021" s="24">
        <v>2012</v>
      </c>
      <c r="D5021" s="35" t="s">
        <v>28</v>
      </c>
      <c r="E5021" s="14" t="s">
        <v>29</v>
      </c>
      <c r="F5021" s="28" t="s">
        <v>151</v>
      </c>
      <c r="G5021" s="44" t="s">
        <v>26</v>
      </c>
      <c r="H5021" s="44" t="s">
        <v>7251</v>
      </c>
      <c r="I5021" s="20">
        <v>0</v>
      </c>
      <c r="J5021" s="20">
        <v>0</v>
      </c>
      <c r="K5021" s="20">
        <v>0</v>
      </c>
      <c r="L5021" s="20">
        <v>0</v>
      </c>
      <c r="M5021" s="20">
        <v>0</v>
      </c>
      <c r="N5021" s="20">
        <v>0</v>
      </c>
      <c r="O5021" s="20">
        <v>407.73</v>
      </c>
      <c r="P5021" s="26">
        <f t="shared" si="15"/>
        <v>0.40772999999999998</v>
      </c>
      <c r="Q5021" s="27" t="s">
        <v>3556</v>
      </c>
      <c r="R5021" s="167"/>
      <c r="S5021" s="168"/>
      <c r="T5021" s="168"/>
    </row>
    <row r="5022" spans="1:20" s="162" customFormat="1" ht="48" x14ac:dyDescent="0.25">
      <c r="A5022" s="23">
        <v>40909</v>
      </c>
      <c r="B5022" s="23">
        <v>41274</v>
      </c>
      <c r="C5022" s="24">
        <v>2012</v>
      </c>
      <c r="D5022" s="35" t="s">
        <v>28</v>
      </c>
      <c r="E5022" s="14" t="s">
        <v>29</v>
      </c>
      <c r="F5022" s="7" t="s">
        <v>45</v>
      </c>
      <c r="G5022" s="44" t="s">
        <v>26</v>
      </c>
      <c r="H5022" s="44" t="s">
        <v>7252</v>
      </c>
      <c r="I5022" s="20">
        <v>0</v>
      </c>
      <c r="J5022" s="20">
        <v>0</v>
      </c>
      <c r="K5022" s="20">
        <v>0</v>
      </c>
      <c r="L5022" s="20">
        <v>0</v>
      </c>
      <c r="M5022" s="20">
        <v>0</v>
      </c>
      <c r="N5022" s="20">
        <v>0</v>
      </c>
      <c r="O5022" s="20">
        <v>32182</v>
      </c>
      <c r="P5022" s="26">
        <f t="shared" si="15"/>
        <v>32.182000000000002</v>
      </c>
      <c r="Q5022" s="27" t="s">
        <v>3556</v>
      </c>
      <c r="R5022" s="167"/>
      <c r="S5022" s="168"/>
      <c r="T5022" s="168"/>
    </row>
    <row r="5023" spans="1:20" s="162" customFormat="1" ht="48" x14ac:dyDescent="0.25">
      <c r="A5023" s="23">
        <v>40909</v>
      </c>
      <c r="B5023" s="23">
        <v>41274</v>
      </c>
      <c r="C5023" s="24">
        <v>2012</v>
      </c>
      <c r="D5023" s="35" t="s">
        <v>28</v>
      </c>
      <c r="E5023" s="14" t="s">
        <v>29</v>
      </c>
      <c r="F5023" s="7" t="s">
        <v>47</v>
      </c>
      <c r="G5023" s="44" t="s">
        <v>26</v>
      </c>
      <c r="H5023" s="44" t="s">
        <v>7253</v>
      </c>
      <c r="I5023" s="20">
        <v>0</v>
      </c>
      <c r="J5023" s="20">
        <v>0</v>
      </c>
      <c r="K5023" s="20">
        <v>0</v>
      </c>
      <c r="L5023" s="20">
        <v>0</v>
      </c>
      <c r="M5023" s="20">
        <v>0</v>
      </c>
      <c r="N5023" s="20">
        <v>0</v>
      </c>
      <c r="O5023" s="20">
        <v>611</v>
      </c>
      <c r="P5023" s="26">
        <f t="shared" si="15"/>
        <v>0.61099999999999999</v>
      </c>
      <c r="Q5023" s="27" t="s">
        <v>3556</v>
      </c>
      <c r="R5023" s="167"/>
      <c r="S5023" s="168"/>
      <c r="T5023" s="168"/>
    </row>
    <row r="5024" spans="1:20" s="162" customFormat="1" ht="48" x14ac:dyDescent="0.25">
      <c r="A5024" s="23">
        <v>40909</v>
      </c>
      <c r="B5024" s="23">
        <v>41274</v>
      </c>
      <c r="C5024" s="24">
        <v>2012</v>
      </c>
      <c r="D5024" s="35" t="s">
        <v>28</v>
      </c>
      <c r="E5024" s="14" t="s">
        <v>29</v>
      </c>
      <c r="F5024" s="7" t="s">
        <v>36</v>
      </c>
      <c r="G5024" s="44" t="s">
        <v>26</v>
      </c>
      <c r="H5024" s="44" t="s">
        <v>7254</v>
      </c>
      <c r="I5024" s="20">
        <v>0</v>
      </c>
      <c r="J5024" s="20">
        <v>0</v>
      </c>
      <c r="K5024" s="20">
        <v>0</v>
      </c>
      <c r="L5024" s="20">
        <v>0</v>
      </c>
      <c r="M5024" s="20">
        <v>0</v>
      </c>
      <c r="N5024" s="20">
        <v>0</v>
      </c>
      <c r="O5024" s="20">
        <v>8968.75</v>
      </c>
      <c r="P5024" s="26">
        <f t="shared" si="15"/>
        <v>8.96875</v>
      </c>
      <c r="Q5024" s="27" t="s">
        <v>3556</v>
      </c>
      <c r="R5024" s="167"/>
      <c r="S5024" s="168"/>
      <c r="T5024" s="168"/>
    </row>
    <row r="5025" spans="1:20" s="162" customFormat="1" ht="48" x14ac:dyDescent="0.25">
      <c r="A5025" s="23">
        <v>40909</v>
      </c>
      <c r="B5025" s="23">
        <v>41274</v>
      </c>
      <c r="C5025" s="24">
        <v>2012</v>
      </c>
      <c r="D5025" s="35" t="s">
        <v>28</v>
      </c>
      <c r="E5025" s="14" t="s">
        <v>29</v>
      </c>
      <c r="F5025" s="7" t="s">
        <v>40</v>
      </c>
      <c r="G5025" s="44" t="s">
        <v>26</v>
      </c>
      <c r="H5025" s="44" t="s">
        <v>7255</v>
      </c>
      <c r="I5025" s="20">
        <v>0</v>
      </c>
      <c r="J5025" s="20">
        <v>0</v>
      </c>
      <c r="K5025" s="20">
        <v>0</v>
      </c>
      <c r="L5025" s="20">
        <v>0</v>
      </c>
      <c r="M5025" s="20">
        <v>0</v>
      </c>
      <c r="N5025" s="20">
        <v>0</v>
      </c>
      <c r="O5025" s="20">
        <v>51902.61</v>
      </c>
      <c r="P5025" s="26">
        <f t="shared" si="15"/>
        <v>51.902610000000003</v>
      </c>
      <c r="Q5025" s="27" t="s">
        <v>3556</v>
      </c>
      <c r="R5025" s="167"/>
      <c r="S5025" s="168"/>
      <c r="T5025" s="168"/>
    </row>
    <row r="5026" spans="1:20" s="162" customFormat="1" ht="48" x14ac:dyDescent="0.25">
      <c r="A5026" s="23">
        <v>40909</v>
      </c>
      <c r="B5026" s="23">
        <v>41274</v>
      </c>
      <c r="C5026" s="24">
        <v>2012</v>
      </c>
      <c r="D5026" s="35" t="s">
        <v>28</v>
      </c>
      <c r="E5026" s="14" t="s">
        <v>29</v>
      </c>
      <c r="F5026" s="28" t="s">
        <v>157</v>
      </c>
      <c r="G5026" s="44" t="s">
        <v>26</v>
      </c>
      <c r="H5026" s="44" t="s">
        <v>7256</v>
      </c>
      <c r="I5026" s="20">
        <v>0</v>
      </c>
      <c r="J5026" s="20">
        <v>0</v>
      </c>
      <c r="K5026" s="20">
        <v>0</v>
      </c>
      <c r="L5026" s="20">
        <v>0</v>
      </c>
      <c r="M5026" s="20">
        <v>0</v>
      </c>
      <c r="N5026" s="20">
        <v>0</v>
      </c>
      <c r="O5026" s="20">
        <v>359.92</v>
      </c>
      <c r="P5026" s="26">
        <f t="shared" si="15"/>
        <v>0.35992000000000002</v>
      </c>
      <c r="Q5026" s="27" t="s">
        <v>3556</v>
      </c>
      <c r="R5026" s="167"/>
      <c r="S5026" s="168"/>
      <c r="T5026" s="168"/>
    </row>
    <row r="5027" spans="1:20" s="162" customFormat="1" ht="48" x14ac:dyDescent="0.25">
      <c r="A5027" s="23">
        <v>40909</v>
      </c>
      <c r="B5027" s="23">
        <v>41274</v>
      </c>
      <c r="C5027" s="24">
        <v>2012</v>
      </c>
      <c r="D5027" s="35" t="s">
        <v>28</v>
      </c>
      <c r="E5027" s="14" t="s">
        <v>29</v>
      </c>
      <c r="F5027" s="7" t="s">
        <v>49</v>
      </c>
      <c r="G5027" s="44" t="s">
        <v>26</v>
      </c>
      <c r="H5027" s="44" t="s">
        <v>7257</v>
      </c>
      <c r="I5027" s="20">
        <v>0</v>
      </c>
      <c r="J5027" s="20">
        <v>0</v>
      </c>
      <c r="K5027" s="20">
        <v>0</v>
      </c>
      <c r="L5027" s="20">
        <v>0</v>
      </c>
      <c r="M5027" s="20">
        <v>0</v>
      </c>
      <c r="N5027" s="20">
        <v>0</v>
      </c>
      <c r="O5027" s="20">
        <v>51626.43</v>
      </c>
      <c r="P5027" s="26">
        <f t="shared" si="15"/>
        <v>51.626429999999999</v>
      </c>
      <c r="Q5027" s="27" t="s">
        <v>3556</v>
      </c>
      <c r="R5027" s="167"/>
      <c r="S5027" s="168"/>
      <c r="T5027" s="168"/>
    </row>
    <row r="5028" spans="1:20" s="162" customFormat="1" ht="48" x14ac:dyDescent="0.25">
      <c r="A5028" s="23">
        <v>40909</v>
      </c>
      <c r="B5028" s="23">
        <v>41274</v>
      </c>
      <c r="C5028" s="24">
        <v>2012</v>
      </c>
      <c r="D5028" s="35" t="s">
        <v>28</v>
      </c>
      <c r="E5028" s="14" t="s">
        <v>29</v>
      </c>
      <c r="F5028" s="7" t="s">
        <v>56</v>
      </c>
      <c r="G5028" s="44" t="s">
        <v>26</v>
      </c>
      <c r="H5028" s="44" t="s">
        <v>7258</v>
      </c>
      <c r="I5028" s="20">
        <v>0</v>
      </c>
      <c r="J5028" s="20">
        <v>0</v>
      </c>
      <c r="K5028" s="20">
        <v>0</v>
      </c>
      <c r="L5028" s="20">
        <v>0</v>
      </c>
      <c r="M5028" s="20">
        <v>0</v>
      </c>
      <c r="N5028" s="20">
        <v>0</v>
      </c>
      <c r="O5028" s="20">
        <v>429.17</v>
      </c>
      <c r="P5028" s="26">
        <f t="shared" si="15"/>
        <v>0.42917</v>
      </c>
      <c r="Q5028" s="27" t="s">
        <v>3556</v>
      </c>
      <c r="R5028" s="167"/>
      <c r="S5028" s="168"/>
      <c r="T5028" s="168"/>
    </row>
    <row r="5029" spans="1:20" s="162" customFormat="1" ht="48" x14ac:dyDescent="0.25">
      <c r="A5029" s="23">
        <v>40909</v>
      </c>
      <c r="B5029" s="23">
        <v>41274</v>
      </c>
      <c r="C5029" s="24">
        <v>2012</v>
      </c>
      <c r="D5029" s="35" t="s">
        <v>28</v>
      </c>
      <c r="E5029" s="14" t="s">
        <v>29</v>
      </c>
      <c r="F5029" s="7" t="s">
        <v>58</v>
      </c>
      <c r="G5029" s="44" t="s">
        <v>26</v>
      </c>
      <c r="H5029" s="44" t="s">
        <v>7259</v>
      </c>
      <c r="I5029" s="20">
        <v>0</v>
      </c>
      <c r="J5029" s="20">
        <v>0</v>
      </c>
      <c r="K5029" s="20">
        <v>0</v>
      </c>
      <c r="L5029" s="20">
        <v>0</v>
      </c>
      <c r="M5029" s="20">
        <v>0</v>
      </c>
      <c r="N5029" s="20">
        <v>0</v>
      </c>
      <c r="O5029" s="20">
        <v>15177.130000000001</v>
      </c>
      <c r="P5029" s="26">
        <f t="shared" si="15"/>
        <v>15.177130000000002</v>
      </c>
      <c r="Q5029" s="27" t="s">
        <v>3556</v>
      </c>
      <c r="R5029" s="167"/>
      <c r="S5029" s="168"/>
      <c r="T5029" s="168"/>
    </row>
    <row r="5030" spans="1:20" s="162" customFormat="1" ht="48" x14ac:dyDescent="0.25">
      <c r="A5030" s="23">
        <v>40909</v>
      </c>
      <c r="B5030" s="23">
        <v>41274</v>
      </c>
      <c r="C5030" s="24">
        <v>2012</v>
      </c>
      <c r="D5030" s="35" t="s">
        <v>28</v>
      </c>
      <c r="E5030" s="14" t="s">
        <v>29</v>
      </c>
      <c r="F5030" s="28" t="s">
        <v>160</v>
      </c>
      <c r="G5030" s="44" t="s">
        <v>26</v>
      </c>
      <c r="H5030" s="44" t="s">
        <v>7260</v>
      </c>
      <c r="I5030" s="20">
        <v>0</v>
      </c>
      <c r="J5030" s="20">
        <v>0</v>
      </c>
      <c r="K5030" s="20">
        <v>0</v>
      </c>
      <c r="L5030" s="20">
        <v>0</v>
      </c>
      <c r="M5030" s="20">
        <v>0</v>
      </c>
      <c r="N5030" s="20">
        <v>0</v>
      </c>
      <c r="O5030" s="20">
        <v>492.34</v>
      </c>
      <c r="P5030" s="26">
        <f t="shared" si="15"/>
        <v>0.49234</v>
      </c>
      <c r="Q5030" s="27" t="s">
        <v>3556</v>
      </c>
      <c r="R5030" s="167"/>
      <c r="S5030" s="168"/>
      <c r="T5030" s="168"/>
    </row>
    <row r="5031" spans="1:20" s="162" customFormat="1" ht="48" x14ac:dyDescent="0.25">
      <c r="A5031" s="23">
        <v>40909</v>
      </c>
      <c r="B5031" s="23">
        <v>41274</v>
      </c>
      <c r="C5031" s="24">
        <v>2012</v>
      </c>
      <c r="D5031" s="35" t="s">
        <v>28</v>
      </c>
      <c r="E5031" s="14" t="s">
        <v>29</v>
      </c>
      <c r="F5031" s="7" t="s">
        <v>60</v>
      </c>
      <c r="G5031" s="44" t="s">
        <v>26</v>
      </c>
      <c r="H5031" s="44" t="s">
        <v>7261</v>
      </c>
      <c r="I5031" s="20">
        <v>0</v>
      </c>
      <c r="J5031" s="20">
        <v>0</v>
      </c>
      <c r="K5031" s="20">
        <v>0</v>
      </c>
      <c r="L5031" s="20">
        <v>0</v>
      </c>
      <c r="M5031" s="20">
        <v>0</v>
      </c>
      <c r="N5031" s="20">
        <v>0</v>
      </c>
      <c r="O5031" s="20">
        <v>24397</v>
      </c>
      <c r="P5031" s="26">
        <f t="shared" si="15"/>
        <v>24.396999999999998</v>
      </c>
      <c r="Q5031" s="27" t="s">
        <v>3556</v>
      </c>
      <c r="R5031" s="167"/>
      <c r="S5031" s="168"/>
      <c r="T5031" s="168"/>
    </row>
    <row r="5032" spans="1:20" s="162" customFormat="1" ht="48" x14ac:dyDescent="0.25">
      <c r="A5032" s="23">
        <v>40909</v>
      </c>
      <c r="B5032" s="23">
        <v>41274</v>
      </c>
      <c r="C5032" s="24">
        <v>2012</v>
      </c>
      <c r="D5032" s="35" t="s">
        <v>28</v>
      </c>
      <c r="E5032" s="14" t="s">
        <v>29</v>
      </c>
      <c r="F5032" s="7" t="s">
        <v>53</v>
      </c>
      <c r="G5032" s="44" t="s">
        <v>26</v>
      </c>
      <c r="H5032" s="44" t="s">
        <v>7262</v>
      </c>
      <c r="I5032" s="20">
        <v>0</v>
      </c>
      <c r="J5032" s="20">
        <v>0</v>
      </c>
      <c r="K5032" s="20">
        <v>0</v>
      </c>
      <c r="L5032" s="20">
        <v>0</v>
      </c>
      <c r="M5032" s="20">
        <v>0</v>
      </c>
      <c r="N5032" s="20">
        <v>0</v>
      </c>
      <c r="O5032" s="20">
        <v>2632.95</v>
      </c>
      <c r="P5032" s="26">
        <f t="shared" si="15"/>
        <v>2.6329500000000001</v>
      </c>
      <c r="Q5032" s="27" t="s">
        <v>3556</v>
      </c>
      <c r="R5032" s="167"/>
      <c r="S5032" s="168"/>
      <c r="T5032" s="168"/>
    </row>
    <row r="5033" spans="1:20" s="162" customFormat="1" ht="48" x14ac:dyDescent="0.25">
      <c r="A5033" s="23">
        <v>40909</v>
      </c>
      <c r="B5033" s="23">
        <v>41274</v>
      </c>
      <c r="C5033" s="24">
        <v>2012</v>
      </c>
      <c r="D5033" s="35" t="s">
        <v>28</v>
      </c>
      <c r="E5033" s="14" t="s">
        <v>29</v>
      </c>
      <c r="F5033" s="7" t="s">
        <v>62</v>
      </c>
      <c r="G5033" s="44" t="s">
        <v>26</v>
      </c>
      <c r="H5033" s="44" t="s">
        <v>7263</v>
      </c>
      <c r="I5033" s="20">
        <v>0</v>
      </c>
      <c r="J5033" s="20">
        <v>0</v>
      </c>
      <c r="K5033" s="20">
        <v>0</v>
      </c>
      <c r="L5033" s="20">
        <v>0</v>
      </c>
      <c r="M5033" s="20">
        <v>0</v>
      </c>
      <c r="N5033" s="20">
        <v>0</v>
      </c>
      <c r="O5033" s="20">
        <v>13854.27</v>
      </c>
      <c r="P5033" s="26">
        <f t="shared" si="15"/>
        <v>13.85427</v>
      </c>
      <c r="Q5033" s="27" t="s">
        <v>3556</v>
      </c>
      <c r="R5033" s="167"/>
      <c r="S5033" s="168"/>
      <c r="T5033" s="168"/>
    </row>
    <row r="5034" spans="1:20" s="162" customFormat="1" ht="48" x14ac:dyDescent="0.25">
      <c r="A5034" s="23">
        <v>40909</v>
      </c>
      <c r="B5034" s="23">
        <v>41274</v>
      </c>
      <c r="C5034" s="24">
        <v>2012</v>
      </c>
      <c r="D5034" s="35" t="s">
        <v>28</v>
      </c>
      <c r="E5034" s="14" t="s">
        <v>29</v>
      </c>
      <c r="F5034" s="7" t="s">
        <v>65</v>
      </c>
      <c r="G5034" s="44" t="s">
        <v>26</v>
      </c>
      <c r="H5034" s="44" t="s">
        <v>7264</v>
      </c>
      <c r="I5034" s="20">
        <v>0</v>
      </c>
      <c r="J5034" s="20">
        <v>0</v>
      </c>
      <c r="K5034" s="20">
        <v>0</v>
      </c>
      <c r="L5034" s="20">
        <v>0</v>
      </c>
      <c r="M5034" s="20">
        <v>0</v>
      </c>
      <c r="N5034" s="20">
        <v>0</v>
      </c>
      <c r="O5034" s="20">
        <v>1391.8</v>
      </c>
      <c r="P5034" s="26">
        <f t="shared" si="15"/>
        <v>1.3917999999999999</v>
      </c>
      <c r="Q5034" s="27" t="s">
        <v>3556</v>
      </c>
      <c r="R5034" s="167"/>
      <c r="S5034" s="168"/>
      <c r="T5034" s="168"/>
    </row>
    <row r="5035" spans="1:20" s="162" customFormat="1" ht="48" x14ac:dyDescent="0.25">
      <c r="A5035" s="23">
        <v>40909</v>
      </c>
      <c r="B5035" s="23">
        <v>41274</v>
      </c>
      <c r="C5035" s="24">
        <v>2012</v>
      </c>
      <c r="D5035" s="35" t="s">
        <v>28</v>
      </c>
      <c r="E5035" s="14" t="s">
        <v>29</v>
      </c>
      <c r="F5035" s="7" t="s">
        <v>67</v>
      </c>
      <c r="G5035" s="44" t="s">
        <v>26</v>
      </c>
      <c r="H5035" s="44" t="s">
        <v>7265</v>
      </c>
      <c r="I5035" s="20">
        <v>0</v>
      </c>
      <c r="J5035" s="20">
        <v>0</v>
      </c>
      <c r="K5035" s="20">
        <v>0</v>
      </c>
      <c r="L5035" s="20">
        <v>0</v>
      </c>
      <c r="M5035" s="20">
        <v>0</v>
      </c>
      <c r="N5035" s="20">
        <v>0</v>
      </c>
      <c r="O5035" s="20">
        <v>4766</v>
      </c>
      <c r="P5035" s="26">
        <f t="shared" si="15"/>
        <v>4.766</v>
      </c>
      <c r="Q5035" s="27" t="s">
        <v>3556</v>
      </c>
      <c r="R5035" s="167"/>
      <c r="S5035" s="168"/>
      <c r="T5035" s="168"/>
    </row>
    <row r="5036" spans="1:20" s="162" customFormat="1" ht="48" x14ac:dyDescent="0.25">
      <c r="A5036" s="23">
        <v>40909</v>
      </c>
      <c r="B5036" s="23">
        <v>41274</v>
      </c>
      <c r="C5036" s="24">
        <v>2012</v>
      </c>
      <c r="D5036" s="35" t="s">
        <v>28</v>
      </c>
      <c r="E5036" s="14" t="s">
        <v>29</v>
      </c>
      <c r="F5036" s="7" t="s">
        <v>68</v>
      </c>
      <c r="G5036" s="44" t="s">
        <v>26</v>
      </c>
      <c r="H5036" s="44" t="s">
        <v>7266</v>
      </c>
      <c r="I5036" s="20">
        <v>0</v>
      </c>
      <c r="J5036" s="20">
        <v>0</v>
      </c>
      <c r="K5036" s="20">
        <v>0</v>
      </c>
      <c r="L5036" s="20">
        <v>0</v>
      </c>
      <c r="M5036" s="20">
        <v>0</v>
      </c>
      <c r="N5036" s="20">
        <v>0</v>
      </c>
      <c r="O5036" s="20">
        <v>280.35000000000002</v>
      </c>
      <c r="P5036" s="26">
        <f t="shared" si="15"/>
        <v>0.28034999999999999</v>
      </c>
      <c r="Q5036" s="27" t="s">
        <v>3556</v>
      </c>
      <c r="R5036" s="167"/>
      <c r="S5036" s="168"/>
      <c r="T5036" s="168"/>
    </row>
    <row r="5037" spans="1:20" s="162" customFormat="1" ht="48" x14ac:dyDescent="0.25">
      <c r="A5037" s="23">
        <v>40909</v>
      </c>
      <c r="B5037" s="23">
        <v>41274</v>
      </c>
      <c r="C5037" s="24">
        <v>2012</v>
      </c>
      <c r="D5037" s="35" t="s">
        <v>28</v>
      </c>
      <c r="E5037" s="14" t="s">
        <v>29</v>
      </c>
      <c r="F5037" s="7" t="s">
        <v>72</v>
      </c>
      <c r="G5037" s="44" t="s">
        <v>26</v>
      </c>
      <c r="H5037" s="44" t="s">
        <v>7267</v>
      </c>
      <c r="I5037" s="20">
        <v>0</v>
      </c>
      <c r="J5037" s="20">
        <v>0</v>
      </c>
      <c r="K5037" s="20">
        <v>0</v>
      </c>
      <c r="L5037" s="20">
        <v>0</v>
      </c>
      <c r="M5037" s="20">
        <v>0</v>
      </c>
      <c r="N5037" s="20">
        <v>0</v>
      </c>
      <c r="O5037" s="20">
        <v>15237.400000000001</v>
      </c>
      <c r="P5037" s="26">
        <f t="shared" si="15"/>
        <v>15.237400000000003</v>
      </c>
      <c r="Q5037" s="27" t="s">
        <v>3556</v>
      </c>
      <c r="R5037" s="167"/>
      <c r="S5037" s="168"/>
      <c r="T5037" s="168"/>
    </row>
    <row r="5038" spans="1:20" s="162" customFormat="1" ht="48" x14ac:dyDescent="0.25">
      <c r="A5038" s="23">
        <v>40909</v>
      </c>
      <c r="B5038" s="23">
        <v>41274</v>
      </c>
      <c r="C5038" s="24">
        <v>2012</v>
      </c>
      <c r="D5038" s="35" t="s">
        <v>28</v>
      </c>
      <c r="E5038" s="14" t="s">
        <v>29</v>
      </c>
      <c r="F5038" s="7" t="s">
        <v>75</v>
      </c>
      <c r="G5038" s="44" t="s">
        <v>26</v>
      </c>
      <c r="H5038" s="44" t="s">
        <v>7268</v>
      </c>
      <c r="I5038" s="20">
        <v>0</v>
      </c>
      <c r="J5038" s="20">
        <v>0</v>
      </c>
      <c r="K5038" s="20">
        <v>0</v>
      </c>
      <c r="L5038" s="20">
        <v>0</v>
      </c>
      <c r="M5038" s="20">
        <v>0</v>
      </c>
      <c r="N5038" s="20">
        <v>0</v>
      </c>
      <c r="O5038" s="20">
        <v>3459.77</v>
      </c>
      <c r="P5038" s="26">
        <f t="shared" si="15"/>
        <v>3.4597699999999998</v>
      </c>
      <c r="Q5038" s="27" t="s">
        <v>3556</v>
      </c>
      <c r="R5038" s="167"/>
      <c r="S5038" s="168"/>
      <c r="T5038" s="168"/>
    </row>
    <row r="5039" spans="1:20" s="162" customFormat="1" ht="36" x14ac:dyDescent="0.25">
      <c r="A5039" s="23">
        <v>40909</v>
      </c>
      <c r="B5039" s="23">
        <v>41274</v>
      </c>
      <c r="C5039" s="24">
        <v>2012</v>
      </c>
      <c r="D5039" s="35" t="s">
        <v>28</v>
      </c>
      <c r="E5039" s="14" t="s">
        <v>29</v>
      </c>
      <c r="F5039" s="7" t="s">
        <v>77</v>
      </c>
      <c r="G5039" s="44" t="s">
        <v>26</v>
      </c>
      <c r="H5039" s="44" t="s">
        <v>7269</v>
      </c>
      <c r="I5039" s="20">
        <v>0</v>
      </c>
      <c r="J5039" s="20">
        <v>0</v>
      </c>
      <c r="K5039" s="20">
        <v>0</v>
      </c>
      <c r="L5039" s="20">
        <v>0</v>
      </c>
      <c r="M5039" s="20">
        <v>0</v>
      </c>
      <c r="N5039" s="20">
        <v>0</v>
      </c>
      <c r="O5039" s="20">
        <v>779.9</v>
      </c>
      <c r="P5039" s="26">
        <f t="shared" si="15"/>
        <v>0.77990000000000004</v>
      </c>
      <c r="Q5039" s="27" t="s">
        <v>3556</v>
      </c>
      <c r="R5039" s="167"/>
      <c r="S5039" s="168"/>
      <c r="T5039" s="168"/>
    </row>
    <row r="5040" spans="1:20" s="162" customFormat="1" ht="48" x14ac:dyDescent="0.25">
      <c r="A5040" s="23">
        <v>40909</v>
      </c>
      <c r="B5040" s="23">
        <v>41274</v>
      </c>
      <c r="C5040" s="24">
        <v>2012</v>
      </c>
      <c r="D5040" s="35" t="s">
        <v>28</v>
      </c>
      <c r="E5040" s="14" t="s">
        <v>29</v>
      </c>
      <c r="F5040" s="7" t="s">
        <v>80</v>
      </c>
      <c r="G5040" s="44" t="s">
        <v>26</v>
      </c>
      <c r="H5040" s="44" t="s">
        <v>7270</v>
      </c>
      <c r="I5040" s="20">
        <v>0</v>
      </c>
      <c r="J5040" s="20">
        <v>0</v>
      </c>
      <c r="K5040" s="20">
        <v>0</v>
      </c>
      <c r="L5040" s="20">
        <v>0</v>
      </c>
      <c r="M5040" s="20">
        <v>0</v>
      </c>
      <c r="N5040" s="20">
        <v>0</v>
      </c>
      <c r="O5040" s="20">
        <v>1015.16</v>
      </c>
      <c r="P5040" s="26">
        <f t="shared" si="15"/>
        <v>1.0151600000000001</v>
      </c>
      <c r="Q5040" s="27" t="s">
        <v>3556</v>
      </c>
      <c r="R5040" s="167"/>
      <c r="S5040" s="168"/>
      <c r="T5040" s="168"/>
    </row>
    <row r="5041" spans="1:20" s="162" customFormat="1" ht="48" x14ac:dyDescent="0.25">
      <c r="A5041" s="23">
        <v>40909</v>
      </c>
      <c r="B5041" s="23">
        <v>41274</v>
      </c>
      <c r="C5041" s="24">
        <v>2012</v>
      </c>
      <c r="D5041" s="35" t="s">
        <v>28</v>
      </c>
      <c r="E5041" s="14" t="s">
        <v>29</v>
      </c>
      <c r="F5041" s="7" t="s">
        <v>82</v>
      </c>
      <c r="G5041" s="44" t="s">
        <v>26</v>
      </c>
      <c r="H5041" s="44" t="s">
        <v>7271</v>
      </c>
      <c r="I5041" s="20">
        <v>0</v>
      </c>
      <c r="J5041" s="20">
        <v>0</v>
      </c>
      <c r="K5041" s="20">
        <v>0</v>
      </c>
      <c r="L5041" s="20">
        <v>0</v>
      </c>
      <c r="M5041" s="20">
        <v>0</v>
      </c>
      <c r="N5041" s="20">
        <v>0</v>
      </c>
      <c r="O5041" s="20">
        <v>427.11</v>
      </c>
      <c r="P5041" s="26">
        <f t="shared" si="15"/>
        <v>0.42710999999999999</v>
      </c>
      <c r="Q5041" s="27" t="s">
        <v>3556</v>
      </c>
      <c r="R5041" s="167"/>
      <c r="S5041" s="168"/>
      <c r="T5041" s="168"/>
    </row>
    <row r="5042" spans="1:20" s="162" customFormat="1" ht="48" x14ac:dyDescent="0.25">
      <c r="A5042" s="23">
        <v>40909</v>
      </c>
      <c r="B5042" s="23">
        <v>41274</v>
      </c>
      <c r="C5042" s="24">
        <v>2012</v>
      </c>
      <c r="D5042" s="35" t="s">
        <v>28</v>
      </c>
      <c r="E5042" s="14" t="s">
        <v>29</v>
      </c>
      <c r="F5042" s="7" t="s">
        <v>84</v>
      </c>
      <c r="G5042" s="44" t="s">
        <v>26</v>
      </c>
      <c r="H5042" s="44" t="s">
        <v>7272</v>
      </c>
      <c r="I5042" s="20">
        <v>0</v>
      </c>
      <c r="J5042" s="20">
        <v>0</v>
      </c>
      <c r="K5042" s="20">
        <v>0</v>
      </c>
      <c r="L5042" s="20">
        <v>0</v>
      </c>
      <c r="M5042" s="20">
        <v>0</v>
      </c>
      <c r="N5042" s="20">
        <v>0</v>
      </c>
      <c r="O5042" s="20">
        <v>4516</v>
      </c>
      <c r="P5042" s="26">
        <f t="shared" si="15"/>
        <v>4.516</v>
      </c>
      <c r="Q5042" s="27" t="s">
        <v>3556</v>
      </c>
      <c r="R5042" s="167"/>
      <c r="S5042" s="168"/>
      <c r="T5042" s="168"/>
    </row>
    <row r="5043" spans="1:20" s="162" customFormat="1" ht="48" x14ac:dyDescent="0.25">
      <c r="A5043" s="23">
        <v>40909</v>
      </c>
      <c r="B5043" s="23">
        <v>41274</v>
      </c>
      <c r="C5043" s="24">
        <v>2012</v>
      </c>
      <c r="D5043" s="35" t="s">
        <v>28</v>
      </c>
      <c r="E5043" s="14" t="s">
        <v>29</v>
      </c>
      <c r="F5043" s="7" t="s">
        <v>87</v>
      </c>
      <c r="G5043" s="44" t="s">
        <v>26</v>
      </c>
      <c r="H5043" s="44" t="s">
        <v>7273</v>
      </c>
      <c r="I5043" s="20">
        <v>0</v>
      </c>
      <c r="J5043" s="20">
        <v>0</v>
      </c>
      <c r="K5043" s="20">
        <v>0</v>
      </c>
      <c r="L5043" s="20">
        <v>0</v>
      </c>
      <c r="M5043" s="20">
        <v>0</v>
      </c>
      <c r="N5043" s="20">
        <v>0</v>
      </c>
      <c r="O5043" s="20">
        <v>75202</v>
      </c>
      <c r="P5043" s="26">
        <f t="shared" si="15"/>
        <v>75.201999999999998</v>
      </c>
      <c r="Q5043" s="27" t="s">
        <v>3556</v>
      </c>
      <c r="R5043" s="167"/>
      <c r="S5043" s="168"/>
      <c r="T5043" s="168"/>
    </row>
    <row r="5044" spans="1:20" s="162" customFormat="1" ht="48" x14ac:dyDescent="0.25">
      <c r="A5044" s="23">
        <v>40909</v>
      </c>
      <c r="B5044" s="23">
        <v>41274</v>
      </c>
      <c r="C5044" s="24">
        <v>2012</v>
      </c>
      <c r="D5044" s="35" t="s">
        <v>28</v>
      </c>
      <c r="E5044" s="14" t="s">
        <v>29</v>
      </c>
      <c r="F5044" s="25" t="s">
        <v>781</v>
      </c>
      <c r="G5044" s="44" t="s">
        <v>26</v>
      </c>
      <c r="H5044" s="44" t="s">
        <v>7274</v>
      </c>
      <c r="I5044" s="20">
        <v>0</v>
      </c>
      <c r="J5044" s="20">
        <v>0</v>
      </c>
      <c r="K5044" s="20">
        <v>0</v>
      </c>
      <c r="L5044" s="20">
        <v>0</v>
      </c>
      <c r="M5044" s="20">
        <v>0</v>
      </c>
      <c r="N5044" s="20">
        <v>0</v>
      </c>
      <c r="O5044" s="20">
        <v>1524.5</v>
      </c>
      <c r="P5044" s="26">
        <f t="shared" si="15"/>
        <v>1.5245</v>
      </c>
      <c r="Q5044" s="27" t="s">
        <v>3556</v>
      </c>
      <c r="R5044" s="167"/>
      <c r="S5044" s="168"/>
      <c r="T5044" s="168"/>
    </row>
    <row r="5045" spans="1:20" s="162" customFormat="1" ht="48" x14ac:dyDescent="0.25">
      <c r="A5045" s="23">
        <v>40909</v>
      </c>
      <c r="B5045" s="23">
        <v>41274</v>
      </c>
      <c r="C5045" s="24">
        <v>2012</v>
      </c>
      <c r="D5045" s="35" t="s">
        <v>28</v>
      </c>
      <c r="E5045" s="14" t="s">
        <v>29</v>
      </c>
      <c r="F5045" s="7" t="s">
        <v>91</v>
      </c>
      <c r="G5045" s="44" t="s">
        <v>26</v>
      </c>
      <c r="H5045" s="44" t="s">
        <v>7275</v>
      </c>
      <c r="I5045" s="20">
        <v>0</v>
      </c>
      <c r="J5045" s="20">
        <v>0</v>
      </c>
      <c r="K5045" s="20">
        <v>0</v>
      </c>
      <c r="L5045" s="20">
        <v>0</v>
      </c>
      <c r="M5045" s="20">
        <v>0</v>
      </c>
      <c r="N5045" s="20">
        <v>0</v>
      </c>
      <c r="O5045" s="20">
        <v>205</v>
      </c>
      <c r="P5045" s="26">
        <f t="shared" si="15"/>
        <v>0.20499999999999999</v>
      </c>
      <c r="Q5045" s="27" t="s">
        <v>3556</v>
      </c>
      <c r="R5045" s="167"/>
      <c r="S5045" s="168"/>
      <c r="T5045" s="168"/>
    </row>
    <row r="5046" spans="1:20" s="162" customFormat="1" ht="48" x14ac:dyDescent="0.25">
      <c r="A5046" s="23">
        <v>40909</v>
      </c>
      <c r="B5046" s="23">
        <v>41274</v>
      </c>
      <c r="C5046" s="24">
        <v>2012</v>
      </c>
      <c r="D5046" s="35" t="s">
        <v>28</v>
      </c>
      <c r="E5046" s="14" t="s">
        <v>29</v>
      </c>
      <c r="F5046" s="7" t="s">
        <v>97</v>
      </c>
      <c r="G5046" s="44" t="s">
        <v>26</v>
      </c>
      <c r="H5046" s="44" t="s">
        <v>7276</v>
      </c>
      <c r="I5046" s="20">
        <v>0</v>
      </c>
      <c r="J5046" s="20">
        <v>0</v>
      </c>
      <c r="K5046" s="20">
        <v>0</v>
      </c>
      <c r="L5046" s="20">
        <v>0</v>
      </c>
      <c r="M5046" s="20">
        <v>0</v>
      </c>
      <c r="N5046" s="20">
        <v>0</v>
      </c>
      <c r="O5046" s="20">
        <v>815.49</v>
      </c>
      <c r="P5046" s="26">
        <f t="shared" si="15"/>
        <v>0.81549000000000005</v>
      </c>
      <c r="Q5046" s="27" t="s">
        <v>3556</v>
      </c>
      <c r="R5046" s="167"/>
      <c r="S5046" s="168"/>
      <c r="T5046" s="168"/>
    </row>
    <row r="5047" spans="1:20" s="162" customFormat="1" ht="48" x14ac:dyDescent="0.25">
      <c r="A5047" s="23">
        <v>40909</v>
      </c>
      <c r="B5047" s="23">
        <v>41274</v>
      </c>
      <c r="C5047" s="24">
        <v>2012</v>
      </c>
      <c r="D5047" s="35" t="s">
        <v>28</v>
      </c>
      <c r="E5047" s="14" t="s">
        <v>29</v>
      </c>
      <c r="F5047" s="28" t="s">
        <v>210</v>
      </c>
      <c r="G5047" s="44" t="s">
        <v>26</v>
      </c>
      <c r="H5047" s="44" t="s">
        <v>7277</v>
      </c>
      <c r="I5047" s="20">
        <v>0</v>
      </c>
      <c r="J5047" s="20">
        <v>0</v>
      </c>
      <c r="K5047" s="20">
        <v>0</v>
      </c>
      <c r="L5047" s="20">
        <v>0</v>
      </c>
      <c r="M5047" s="20">
        <v>0</v>
      </c>
      <c r="N5047" s="20">
        <v>0</v>
      </c>
      <c r="O5047" s="20">
        <v>916.25</v>
      </c>
      <c r="P5047" s="26">
        <f t="shared" si="15"/>
        <v>0.91625000000000001</v>
      </c>
      <c r="Q5047" s="27" t="s">
        <v>3556</v>
      </c>
      <c r="R5047" s="167"/>
      <c r="S5047" s="168"/>
      <c r="T5047" s="168"/>
    </row>
    <row r="5048" spans="1:20" s="162" customFormat="1" ht="48" x14ac:dyDescent="0.25">
      <c r="A5048" s="23">
        <v>40909</v>
      </c>
      <c r="B5048" s="23">
        <v>41274</v>
      </c>
      <c r="C5048" s="24">
        <v>2012</v>
      </c>
      <c r="D5048" s="35" t="s">
        <v>28</v>
      </c>
      <c r="E5048" s="14" t="s">
        <v>29</v>
      </c>
      <c r="F5048" s="28" t="s">
        <v>163</v>
      </c>
      <c r="G5048" s="44" t="s">
        <v>26</v>
      </c>
      <c r="H5048" s="44" t="s">
        <v>7278</v>
      </c>
      <c r="I5048" s="20">
        <v>0</v>
      </c>
      <c r="J5048" s="20">
        <v>0</v>
      </c>
      <c r="K5048" s="20">
        <v>0</v>
      </c>
      <c r="L5048" s="20">
        <v>0</v>
      </c>
      <c r="M5048" s="20">
        <v>0</v>
      </c>
      <c r="N5048" s="20">
        <v>0</v>
      </c>
      <c r="O5048" s="20">
        <v>461.3</v>
      </c>
      <c r="P5048" s="26">
        <f t="shared" si="15"/>
        <v>0.46129999999999999</v>
      </c>
      <c r="Q5048" s="27" t="s">
        <v>3556</v>
      </c>
      <c r="R5048" s="167"/>
      <c r="S5048" s="168"/>
      <c r="T5048" s="168"/>
    </row>
    <row r="5049" spans="1:20" s="162" customFormat="1" ht="48" x14ac:dyDescent="0.25">
      <c r="A5049" s="23">
        <v>40909</v>
      </c>
      <c r="B5049" s="23">
        <v>41274</v>
      </c>
      <c r="C5049" s="24">
        <v>2012</v>
      </c>
      <c r="D5049" s="35" t="s">
        <v>28</v>
      </c>
      <c r="E5049" s="14" t="s">
        <v>29</v>
      </c>
      <c r="F5049" s="7" t="s">
        <v>101</v>
      </c>
      <c r="G5049" s="44" t="s">
        <v>26</v>
      </c>
      <c r="H5049" s="44" t="s">
        <v>7279</v>
      </c>
      <c r="I5049" s="20">
        <v>0</v>
      </c>
      <c r="J5049" s="20">
        <v>0</v>
      </c>
      <c r="K5049" s="20">
        <v>0</v>
      </c>
      <c r="L5049" s="20">
        <v>0</v>
      </c>
      <c r="M5049" s="20">
        <v>0</v>
      </c>
      <c r="N5049" s="20">
        <v>0</v>
      </c>
      <c r="O5049" s="20">
        <v>5624.9000000000005</v>
      </c>
      <c r="P5049" s="26">
        <f t="shared" si="15"/>
        <v>5.6249000000000011</v>
      </c>
      <c r="Q5049" s="27" t="s">
        <v>3556</v>
      </c>
      <c r="R5049" s="167"/>
      <c r="S5049" s="168"/>
      <c r="T5049" s="168"/>
    </row>
    <row r="5050" spans="1:20" s="162" customFormat="1" ht="36" x14ac:dyDescent="0.25">
      <c r="A5050" s="17">
        <v>41129</v>
      </c>
      <c r="B5050" s="17">
        <v>41129</v>
      </c>
      <c r="C5050" s="43">
        <v>2012</v>
      </c>
      <c r="D5050" s="351" t="s">
        <v>23</v>
      </c>
      <c r="E5050" s="14" t="s">
        <v>32</v>
      </c>
      <c r="F5050" s="7" t="s">
        <v>36</v>
      </c>
      <c r="G5050" s="146" t="s">
        <v>7280</v>
      </c>
      <c r="H5050" s="147" t="s">
        <v>7281</v>
      </c>
      <c r="I5050" s="163">
        <v>2</v>
      </c>
      <c r="J5050" s="46">
        <v>82</v>
      </c>
      <c r="K5050" s="46">
        <v>16</v>
      </c>
      <c r="L5050" s="46">
        <v>0</v>
      </c>
      <c r="M5050" s="46">
        <v>0</v>
      </c>
      <c r="N5050" s="46">
        <v>0</v>
      </c>
      <c r="O5050" s="46">
        <v>0</v>
      </c>
      <c r="P5050" s="47">
        <v>532.29999999999995</v>
      </c>
      <c r="Q5050" s="149" t="s">
        <v>22</v>
      </c>
      <c r="R5050" s="160"/>
      <c r="S5050" s="161"/>
      <c r="T5050" s="161"/>
    </row>
    <row r="5051" spans="1:20" s="162" customFormat="1" ht="24" x14ac:dyDescent="0.25">
      <c r="A5051" s="118">
        <v>41129</v>
      </c>
      <c r="B5051" s="118">
        <v>41129</v>
      </c>
      <c r="C5051" s="24">
        <v>2012</v>
      </c>
      <c r="D5051" s="351" t="s">
        <v>23</v>
      </c>
      <c r="E5051" s="14" t="s">
        <v>32</v>
      </c>
      <c r="F5051" s="7" t="s">
        <v>80</v>
      </c>
      <c r="G5051" s="146" t="s">
        <v>7282</v>
      </c>
      <c r="H5051" s="147" t="s">
        <v>7283</v>
      </c>
      <c r="I5051" s="19">
        <v>0</v>
      </c>
      <c r="J5051" s="20">
        <v>10019</v>
      </c>
      <c r="K5051" s="20">
        <v>0</v>
      </c>
      <c r="L5051" s="20">
        <v>0</v>
      </c>
      <c r="M5051" s="20">
        <v>0</v>
      </c>
      <c r="N5051" s="20">
        <v>0</v>
      </c>
      <c r="O5051" s="20">
        <v>0</v>
      </c>
      <c r="P5051" s="26">
        <v>208.9</v>
      </c>
      <c r="Q5051" s="169" t="s">
        <v>22</v>
      </c>
      <c r="R5051" s="170"/>
      <c r="S5051" s="171"/>
      <c r="T5051" s="171"/>
    </row>
    <row r="5052" spans="1:20" s="162" customFormat="1" x14ac:dyDescent="0.25">
      <c r="A5052" s="17">
        <v>41077</v>
      </c>
      <c r="B5052" s="17">
        <v>41077</v>
      </c>
      <c r="C5052" s="43">
        <v>2012</v>
      </c>
      <c r="D5052" s="351" t="s">
        <v>23</v>
      </c>
      <c r="E5052" s="22" t="s">
        <v>86</v>
      </c>
      <c r="F5052" s="28" t="s">
        <v>210</v>
      </c>
      <c r="G5052" s="146" t="s">
        <v>7284</v>
      </c>
      <c r="H5052" s="147" t="s">
        <v>7285</v>
      </c>
      <c r="I5052" s="163">
        <v>0</v>
      </c>
      <c r="J5052" s="46">
        <v>0</v>
      </c>
      <c r="K5052" s="46">
        <v>0</v>
      </c>
      <c r="L5052" s="46">
        <v>0</v>
      </c>
      <c r="M5052" s="46">
        <v>0</v>
      </c>
      <c r="N5052" s="46">
        <v>0</v>
      </c>
      <c r="O5052" s="46">
        <v>0</v>
      </c>
      <c r="P5052" s="47">
        <v>106.88</v>
      </c>
      <c r="Q5052" s="27" t="s">
        <v>186</v>
      </c>
      <c r="R5052" s="160"/>
      <c r="S5052" s="164"/>
      <c r="T5052" s="164"/>
    </row>
    <row r="5053" spans="1:20" s="162" customFormat="1" ht="60" x14ac:dyDescent="0.25">
      <c r="A5053" s="23">
        <v>41030</v>
      </c>
      <c r="B5053" s="23">
        <v>41243</v>
      </c>
      <c r="C5053" s="24">
        <v>2012</v>
      </c>
      <c r="D5053" s="351" t="s">
        <v>23</v>
      </c>
      <c r="E5053" s="14" t="s">
        <v>24</v>
      </c>
      <c r="F5053" s="7" t="s">
        <v>40</v>
      </c>
      <c r="G5053" s="146" t="s">
        <v>7286</v>
      </c>
      <c r="H5053" s="126" t="s">
        <v>7287</v>
      </c>
      <c r="I5053" s="172">
        <v>0</v>
      </c>
      <c r="J5053" s="20" t="s">
        <v>3339</v>
      </c>
      <c r="K5053" s="20">
        <v>0</v>
      </c>
      <c r="L5053" s="20">
        <v>0</v>
      </c>
      <c r="M5053" s="20">
        <v>0</v>
      </c>
      <c r="N5053" s="20">
        <v>0</v>
      </c>
      <c r="O5053" s="20">
        <v>0</v>
      </c>
      <c r="P5053" s="26">
        <v>28.065000000000001</v>
      </c>
      <c r="Q5053" s="169" t="s">
        <v>186</v>
      </c>
      <c r="R5053" s="173"/>
      <c r="S5053" s="171"/>
      <c r="T5053" s="171"/>
    </row>
    <row r="5054" spans="1:20" s="162" customFormat="1" ht="60" x14ac:dyDescent="0.25">
      <c r="A5054" s="17">
        <v>41181</v>
      </c>
      <c r="B5054" s="17">
        <v>41183</v>
      </c>
      <c r="C5054" s="43">
        <v>2012</v>
      </c>
      <c r="D5054" s="35" t="s">
        <v>17</v>
      </c>
      <c r="E5054" s="30" t="s">
        <v>1597</v>
      </c>
      <c r="F5054" s="7" t="s">
        <v>72</v>
      </c>
      <c r="G5054" s="146" t="s">
        <v>7288</v>
      </c>
      <c r="H5054" s="147" t="s">
        <v>7289</v>
      </c>
      <c r="I5054" s="163" t="s">
        <v>3339</v>
      </c>
      <c r="J5054" s="46" t="s">
        <v>3339</v>
      </c>
      <c r="K5054" s="46">
        <v>14</v>
      </c>
      <c r="L5054" s="46">
        <v>0</v>
      </c>
      <c r="M5054" s="46">
        <v>0</v>
      </c>
      <c r="N5054" s="46">
        <v>0</v>
      </c>
      <c r="O5054" s="46">
        <v>0</v>
      </c>
      <c r="P5054" s="47">
        <v>52.817</v>
      </c>
      <c r="Q5054" s="27" t="s">
        <v>186</v>
      </c>
      <c r="R5054" s="160"/>
      <c r="S5054" s="164"/>
      <c r="T5054" s="164"/>
    </row>
    <row r="5055" spans="1:20" s="162" customFormat="1" ht="48" x14ac:dyDescent="0.25">
      <c r="A5055" s="17">
        <v>41194</v>
      </c>
      <c r="B5055" s="17">
        <v>41194</v>
      </c>
      <c r="C5055" s="43">
        <v>2012</v>
      </c>
      <c r="D5055" s="35" t="s">
        <v>17</v>
      </c>
      <c r="E5055" s="30" t="s">
        <v>1597</v>
      </c>
      <c r="F5055" s="7" t="s">
        <v>72</v>
      </c>
      <c r="G5055" s="146" t="s">
        <v>7290</v>
      </c>
      <c r="H5055" s="147" t="s">
        <v>7291</v>
      </c>
      <c r="I5055" s="163" t="s">
        <v>3339</v>
      </c>
      <c r="J5055" s="46" t="s">
        <v>3339</v>
      </c>
      <c r="K5055" s="46">
        <v>3</v>
      </c>
      <c r="L5055" s="46">
        <v>0</v>
      </c>
      <c r="M5055" s="46">
        <v>0</v>
      </c>
      <c r="N5055" s="46">
        <v>0</v>
      </c>
      <c r="O5055" s="46">
        <v>0</v>
      </c>
      <c r="P5055" s="47">
        <v>23.864999999999998</v>
      </c>
      <c r="Q5055" s="27" t="s">
        <v>186</v>
      </c>
      <c r="R5055" s="160"/>
      <c r="S5055" s="164"/>
      <c r="T5055" s="164"/>
    </row>
    <row r="5056" spans="1:20" s="162" customFormat="1" ht="36" x14ac:dyDescent="0.25">
      <c r="A5056" s="17">
        <v>41220</v>
      </c>
      <c r="B5056" s="17">
        <v>41220</v>
      </c>
      <c r="C5056" s="43">
        <v>2012</v>
      </c>
      <c r="D5056" s="35" t="s">
        <v>17</v>
      </c>
      <c r="E5056" s="30" t="s">
        <v>122</v>
      </c>
      <c r="F5056" s="7" t="s">
        <v>72</v>
      </c>
      <c r="G5056" s="146" t="s">
        <v>7292</v>
      </c>
      <c r="H5056" s="147" t="s">
        <v>7293</v>
      </c>
      <c r="I5056" s="163" t="s">
        <v>3339</v>
      </c>
      <c r="J5056" s="46" t="s">
        <v>3339</v>
      </c>
      <c r="K5056" s="46">
        <v>1</v>
      </c>
      <c r="L5056" s="46">
        <v>0</v>
      </c>
      <c r="M5056" s="46">
        <v>0</v>
      </c>
      <c r="N5056" s="46">
        <v>0</v>
      </c>
      <c r="O5056" s="46">
        <v>0</v>
      </c>
      <c r="P5056" s="47">
        <v>0.24959999999999999</v>
      </c>
      <c r="Q5056" s="27" t="s">
        <v>186</v>
      </c>
      <c r="R5056" s="160"/>
      <c r="S5056" s="164"/>
      <c r="T5056" s="164"/>
    </row>
    <row r="5057" spans="1:17" s="162" customFormat="1" ht="96" x14ac:dyDescent="0.25">
      <c r="A5057" s="17">
        <v>41529</v>
      </c>
      <c r="B5057" s="17">
        <v>41563</v>
      </c>
      <c r="C5057" s="43">
        <v>2013</v>
      </c>
      <c r="D5057" s="351" t="s">
        <v>23</v>
      </c>
      <c r="E5057" s="22" t="s">
        <v>86</v>
      </c>
      <c r="F5057" s="7" t="s">
        <v>82</v>
      </c>
      <c r="G5057" s="146" t="s">
        <v>7294</v>
      </c>
      <c r="H5057" s="147" t="s">
        <v>7295</v>
      </c>
      <c r="I5057" s="148">
        <v>0</v>
      </c>
      <c r="J5057" s="46">
        <v>4604</v>
      </c>
      <c r="K5057" s="46">
        <v>0</v>
      </c>
      <c r="L5057" s="46">
        <v>0</v>
      </c>
      <c r="M5057" s="46">
        <v>0</v>
      </c>
      <c r="N5057" s="46">
        <v>0</v>
      </c>
      <c r="O5057" s="46">
        <v>11271</v>
      </c>
      <c r="P5057" s="47">
        <v>64.739999999999995</v>
      </c>
      <c r="Q5057" s="45" t="s">
        <v>2234</v>
      </c>
    </row>
    <row r="5058" spans="1:17" s="162" customFormat="1" ht="72" x14ac:dyDescent="0.25">
      <c r="A5058" s="17">
        <v>41523</v>
      </c>
      <c r="B5058" s="17">
        <v>41523</v>
      </c>
      <c r="C5058" s="43">
        <v>2013</v>
      </c>
      <c r="D5058" s="351" t="s">
        <v>23</v>
      </c>
      <c r="E5058" s="14" t="s">
        <v>52</v>
      </c>
      <c r="F5058" s="28" t="s">
        <v>157</v>
      </c>
      <c r="G5058" s="146" t="s">
        <v>401</v>
      </c>
      <c r="H5058" s="174" t="s">
        <v>7296</v>
      </c>
      <c r="I5058" s="148">
        <v>0</v>
      </c>
      <c r="J5058" s="46">
        <v>20</v>
      </c>
      <c r="K5058" s="46">
        <v>0</v>
      </c>
      <c r="L5058" s="46">
        <v>0</v>
      </c>
      <c r="M5058" s="46">
        <v>0</v>
      </c>
      <c r="N5058" s="46">
        <v>0</v>
      </c>
      <c r="O5058" s="46">
        <v>5.77</v>
      </c>
      <c r="P5058" s="47">
        <v>13.84</v>
      </c>
      <c r="Q5058" s="45" t="s">
        <v>2234</v>
      </c>
    </row>
    <row r="5059" spans="1:17" s="162" customFormat="1" ht="96" x14ac:dyDescent="0.25">
      <c r="A5059" s="17">
        <v>41531</v>
      </c>
      <c r="B5059" s="17">
        <v>41534</v>
      </c>
      <c r="C5059" s="43">
        <v>2013</v>
      </c>
      <c r="D5059" s="351" t="s">
        <v>23</v>
      </c>
      <c r="E5059" s="22" t="s">
        <v>86</v>
      </c>
      <c r="F5059" s="7" t="s">
        <v>91</v>
      </c>
      <c r="G5059" s="146" t="s">
        <v>7297</v>
      </c>
      <c r="H5059" s="174" t="s">
        <v>7298</v>
      </c>
      <c r="I5059" s="148">
        <v>0</v>
      </c>
      <c r="J5059" s="46">
        <v>1773</v>
      </c>
      <c r="K5059" s="46">
        <v>0</v>
      </c>
      <c r="L5059" s="46">
        <v>0</v>
      </c>
      <c r="M5059" s="46">
        <v>0</v>
      </c>
      <c r="N5059" s="46">
        <v>0</v>
      </c>
      <c r="O5059" s="46" t="s">
        <v>7299</v>
      </c>
      <c r="P5059" s="47">
        <v>157.5</v>
      </c>
      <c r="Q5059" s="45" t="s">
        <v>2234</v>
      </c>
    </row>
    <row r="5060" spans="1:17" s="162" customFormat="1" ht="60" x14ac:dyDescent="0.25">
      <c r="A5060" s="17">
        <v>41365</v>
      </c>
      <c r="B5060" s="17">
        <v>41486</v>
      </c>
      <c r="C5060" s="43">
        <v>2013</v>
      </c>
      <c r="D5060" s="351" t="s">
        <v>23</v>
      </c>
      <c r="E5060" s="14" t="s">
        <v>24</v>
      </c>
      <c r="F5060" s="7" t="s">
        <v>84</v>
      </c>
      <c r="G5060" s="146" t="s">
        <v>84</v>
      </c>
      <c r="H5060" s="147" t="s">
        <v>7300</v>
      </c>
      <c r="I5060" s="148">
        <v>0</v>
      </c>
      <c r="J5060" s="46">
        <v>162</v>
      </c>
      <c r="K5060" s="46">
        <v>0</v>
      </c>
      <c r="L5060" s="46">
        <v>0</v>
      </c>
      <c r="M5060" s="46">
        <v>0</v>
      </c>
      <c r="N5060" s="46">
        <v>0</v>
      </c>
      <c r="O5060" s="46">
        <v>1530.66</v>
      </c>
      <c r="P5060" s="47">
        <v>7.0640000000000001</v>
      </c>
      <c r="Q5060" s="45" t="s">
        <v>2234</v>
      </c>
    </row>
    <row r="5061" spans="1:17" s="162" customFormat="1" ht="36" x14ac:dyDescent="0.25">
      <c r="A5061" s="17">
        <v>41408</v>
      </c>
      <c r="B5061" s="17">
        <v>41408</v>
      </c>
      <c r="C5061" s="43">
        <v>2013</v>
      </c>
      <c r="D5061" s="351" t="s">
        <v>23</v>
      </c>
      <c r="E5061" s="30" t="s">
        <v>2070</v>
      </c>
      <c r="F5061" s="7" t="s">
        <v>40</v>
      </c>
      <c r="G5061" s="146" t="s">
        <v>7301</v>
      </c>
      <c r="H5061" s="147" t="s">
        <v>7302</v>
      </c>
      <c r="I5061" s="148">
        <v>0</v>
      </c>
      <c r="J5061" s="46">
        <v>89</v>
      </c>
      <c r="K5061" s="46">
        <v>0</v>
      </c>
      <c r="L5061" s="46">
        <v>0</v>
      </c>
      <c r="M5061" s="46">
        <v>0</v>
      </c>
      <c r="N5061" s="46">
        <v>0</v>
      </c>
      <c r="O5061" s="46">
        <v>448</v>
      </c>
      <c r="P5061" s="47">
        <v>22.443000000000001</v>
      </c>
      <c r="Q5061" s="45" t="s">
        <v>2234</v>
      </c>
    </row>
    <row r="5062" spans="1:17" s="162" customFormat="1" ht="48" x14ac:dyDescent="0.25">
      <c r="A5062" s="17">
        <v>41405</v>
      </c>
      <c r="B5062" s="17">
        <v>41407</v>
      </c>
      <c r="C5062" s="43">
        <v>2013</v>
      </c>
      <c r="D5062" s="351" t="s">
        <v>23</v>
      </c>
      <c r="E5062" s="30" t="s">
        <v>2070</v>
      </c>
      <c r="F5062" s="7" t="s">
        <v>40</v>
      </c>
      <c r="G5062" s="146" t="s">
        <v>7303</v>
      </c>
      <c r="H5062" s="126" t="s">
        <v>7304</v>
      </c>
      <c r="I5062" s="148">
        <v>0</v>
      </c>
      <c r="J5062" s="46">
        <v>637</v>
      </c>
      <c r="K5062" s="46">
        <v>0</v>
      </c>
      <c r="L5062" s="46">
        <v>0</v>
      </c>
      <c r="M5062" s="46">
        <v>0</v>
      </c>
      <c r="N5062" s="46">
        <v>0</v>
      </c>
      <c r="O5062" s="46">
        <v>2126.3000000000002</v>
      </c>
      <c r="P5062" s="47">
        <v>175.12</v>
      </c>
      <c r="Q5062" s="45" t="s">
        <v>2234</v>
      </c>
    </row>
    <row r="5063" spans="1:17" s="162" customFormat="1" ht="72" x14ac:dyDescent="0.25">
      <c r="A5063" s="17">
        <v>41335</v>
      </c>
      <c r="B5063" s="17">
        <v>41337</v>
      </c>
      <c r="C5063" s="43">
        <v>2013</v>
      </c>
      <c r="D5063" s="351" t="s">
        <v>23</v>
      </c>
      <c r="E5063" s="22" t="s">
        <v>42</v>
      </c>
      <c r="F5063" s="28" t="s">
        <v>210</v>
      </c>
      <c r="G5063" s="146" t="s">
        <v>7305</v>
      </c>
      <c r="H5063" s="147" t="s">
        <v>7306</v>
      </c>
      <c r="I5063" s="148">
        <v>0</v>
      </c>
      <c r="J5063" s="46">
        <v>5560</v>
      </c>
      <c r="K5063" s="46">
        <v>0</v>
      </c>
      <c r="L5063" s="46">
        <v>0</v>
      </c>
      <c r="M5063" s="46">
        <v>0</v>
      </c>
      <c r="N5063" s="46">
        <v>0</v>
      </c>
      <c r="O5063" s="46">
        <v>14292.55</v>
      </c>
      <c r="P5063" s="47">
        <f>432568209.46/1000000</f>
        <v>432.56820945999999</v>
      </c>
      <c r="Q5063" s="45" t="s">
        <v>2234</v>
      </c>
    </row>
    <row r="5064" spans="1:17" s="162" customFormat="1" ht="72" x14ac:dyDescent="0.25">
      <c r="A5064" s="17">
        <v>41529</v>
      </c>
      <c r="B5064" s="17">
        <v>41563</v>
      </c>
      <c r="C5064" s="43">
        <v>2013</v>
      </c>
      <c r="D5064" s="351" t="s">
        <v>23</v>
      </c>
      <c r="E5064" s="14" t="s">
        <v>24</v>
      </c>
      <c r="F5064" s="7" t="s">
        <v>47</v>
      </c>
      <c r="G5064" s="146" t="s">
        <v>7307</v>
      </c>
      <c r="H5064" s="147" t="s">
        <v>7308</v>
      </c>
      <c r="I5064" s="148">
        <v>0</v>
      </c>
      <c r="J5064" s="46">
        <v>2482</v>
      </c>
      <c r="K5064" s="46">
        <v>0</v>
      </c>
      <c r="L5064" s="46">
        <v>0</v>
      </c>
      <c r="M5064" s="46">
        <v>0</v>
      </c>
      <c r="N5064" s="46">
        <v>0</v>
      </c>
      <c r="O5064" s="20">
        <v>9984</v>
      </c>
      <c r="P5064" s="47">
        <v>640.83000000000004</v>
      </c>
      <c r="Q5064" s="45" t="s">
        <v>2234</v>
      </c>
    </row>
    <row r="5065" spans="1:17" s="162" customFormat="1" ht="132" x14ac:dyDescent="0.25">
      <c r="A5065" s="17">
        <v>41336</v>
      </c>
      <c r="B5065" s="17">
        <v>41337</v>
      </c>
      <c r="C5065" s="43">
        <v>2013</v>
      </c>
      <c r="D5065" s="351" t="s">
        <v>23</v>
      </c>
      <c r="E5065" s="22" t="s">
        <v>42</v>
      </c>
      <c r="F5065" s="7" t="s">
        <v>77</v>
      </c>
      <c r="G5065" s="146" t="s">
        <v>7309</v>
      </c>
      <c r="H5065" s="147" t="s">
        <v>7310</v>
      </c>
      <c r="I5065" s="148">
        <v>0</v>
      </c>
      <c r="J5065" s="46">
        <v>1045</v>
      </c>
      <c r="K5065" s="46">
        <v>0</v>
      </c>
      <c r="L5065" s="46">
        <v>0</v>
      </c>
      <c r="M5065" s="46">
        <v>0</v>
      </c>
      <c r="N5065" s="46">
        <v>0</v>
      </c>
      <c r="O5065" s="46">
        <v>7759.54</v>
      </c>
      <c r="P5065" s="47">
        <v>349.77</v>
      </c>
      <c r="Q5065" s="45" t="s">
        <v>2234</v>
      </c>
    </row>
    <row r="5066" spans="1:17" s="162" customFormat="1" ht="96" x14ac:dyDescent="0.25">
      <c r="A5066" s="17">
        <v>41335</v>
      </c>
      <c r="B5066" s="17">
        <v>41338</v>
      </c>
      <c r="C5066" s="43">
        <v>2013</v>
      </c>
      <c r="D5066" s="351" t="s">
        <v>23</v>
      </c>
      <c r="E5066" s="22" t="s">
        <v>42</v>
      </c>
      <c r="F5066" s="7" t="s">
        <v>56</v>
      </c>
      <c r="G5066" s="146" t="s">
        <v>7311</v>
      </c>
      <c r="H5066" s="147" t="s">
        <v>7312</v>
      </c>
      <c r="I5066" s="148">
        <v>0</v>
      </c>
      <c r="J5066" s="46">
        <v>16230</v>
      </c>
      <c r="K5066" s="46">
        <v>0</v>
      </c>
      <c r="L5066" s="20">
        <v>0</v>
      </c>
      <c r="M5066" s="46">
        <v>0</v>
      </c>
      <c r="N5066" s="46">
        <v>0</v>
      </c>
      <c r="O5066" s="31">
        <v>67001</v>
      </c>
      <c r="P5066" s="26">
        <v>166.3</v>
      </c>
      <c r="Q5066" s="45" t="s">
        <v>2234</v>
      </c>
    </row>
    <row r="5067" spans="1:17" s="162" customFormat="1" ht="84" x14ac:dyDescent="0.25">
      <c r="A5067" s="17">
        <v>41336</v>
      </c>
      <c r="B5067" s="17">
        <v>41336</v>
      </c>
      <c r="C5067" s="43">
        <v>2013</v>
      </c>
      <c r="D5067" s="351" t="s">
        <v>23</v>
      </c>
      <c r="E5067" s="22" t="s">
        <v>42</v>
      </c>
      <c r="F5067" s="28" t="s">
        <v>157</v>
      </c>
      <c r="G5067" s="146" t="s">
        <v>7313</v>
      </c>
      <c r="H5067" s="147" t="s">
        <v>7314</v>
      </c>
      <c r="I5067" s="148">
        <v>0</v>
      </c>
      <c r="J5067" s="46">
        <v>4664</v>
      </c>
      <c r="K5067" s="46">
        <v>0</v>
      </c>
      <c r="L5067" s="46">
        <v>0</v>
      </c>
      <c r="M5067" s="46">
        <v>0</v>
      </c>
      <c r="N5067" s="46">
        <v>0</v>
      </c>
      <c r="O5067" s="20">
        <v>2417.3833</v>
      </c>
      <c r="P5067" s="26">
        <v>332.209</v>
      </c>
      <c r="Q5067" s="45" t="s">
        <v>2234</v>
      </c>
    </row>
    <row r="5068" spans="1:17" s="162" customFormat="1" ht="72" x14ac:dyDescent="0.25">
      <c r="A5068" s="17">
        <v>41335</v>
      </c>
      <c r="B5068" s="17">
        <v>41337</v>
      </c>
      <c r="C5068" s="43">
        <v>2013</v>
      </c>
      <c r="D5068" s="351" t="s">
        <v>23</v>
      </c>
      <c r="E5068" s="22" t="s">
        <v>42</v>
      </c>
      <c r="F5068" s="7" t="s">
        <v>53</v>
      </c>
      <c r="G5068" s="146" t="s">
        <v>7315</v>
      </c>
      <c r="H5068" s="147" t="s">
        <v>7316</v>
      </c>
      <c r="I5068" s="148">
        <v>0</v>
      </c>
      <c r="J5068" s="46">
        <v>2072</v>
      </c>
      <c r="K5068" s="46">
        <v>0</v>
      </c>
      <c r="L5068" s="46">
        <v>0</v>
      </c>
      <c r="M5068" s="46">
        <v>0</v>
      </c>
      <c r="N5068" s="46">
        <v>0</v>
      </c>
      <c r="O5068" s="20">
        <v>6843.19</v>
      </c>
      <c r="P5068" s="47">
        <v>112.41</v>
      </c>
      <c r="Q5068" s="45" t="s">
        <v>2234</v>
      </c>
    </row>
    <row r="5069" spans="1:17" s="162" customFormat="1" ht="168" x14ac:dyDescent="0.25">
      <c r="A5069" s="17">
        <v>41334</v>
      </c>
      <c r="B5069" s="17">
        <v>41339</v>
      </c>
      <c r="C5069" s="43">
        <v>2013</v>
      </c>
      <c r="D5069" s="351" t="s">
        <v>23</v>
      </c>
      <c r="E5069" s="22" t="s">
        <v>42</v>
      </c>
      <c r="F5069" s="7" t="s">
        <v>62</v>
      </c>
      <c r="G5069" s="146" t="s">
        <v>7317</v>
      </c>
      <c r="H5069" s="126" t="s">
        <v>7318</v>
      </c>
      <c r="I5069" s="148">
        <v>0</v>
      </c>
      <c r="J5069" s="46">
        <v>15672</v>
      </c>
      <c r="K5069" s="46">
        <v>0</v>
      </c>
      <c r="L5069" s="46">
        <v>0</v>
      </c>
      <c r="M5069" s="46">
        <v>0</v>
      </c>
      <c r="N5069" s="46">
        <v>0</v>
      </c>
      <c r="O5069" s="175">
        <v>50915.66</v>
      </c>
      <c r="P5069" s="47">
        <v>126.4</v>
      </c>
      <c r="Q5069" s="45" t="s">
        <v>2234</v>
      </c>
    </row>
    <row r="5070" spans="1:17" s="162" customFormat="1" ht="60" x14ac:dyDescent="0.25">
      <c r="A5070" s="17">
        <v>41336</v>
      </c>
      <c r="B5070" s="17">
        <v>41336</v>
      </c>
      <c r="C5070" s="43">
        <v>2013</v>
      </c>
      <c r="D5070" s="351" t="s">
        <v>23</v>
      </c>
      <c r="E5070" s="22" t="s">
        <v>42</v>
      </c>
      <c r="F5070" s="7" t="s">
        <v>65</v>
      </c>
      <c r="G5070" s="146" t="s">
        <v>7319</v>
      </c>
      <c r="H5070" s="147" t="s">
        <v>7320</v>
      </c>
      <c r="I5070" s="148">
        <v>0</v>
      </c>
      <c r="J5070" s="46">
        <v>304</v>
      </c>
      <c r="K5070" s="46">
        <v>0</v>
      </c>
      <c r="L5070" s="46">
        <v>0</v>
      </c>
      <c r="M5070" s="46">
        <v>0</v>
      </c>
      <c r="N5070" s="46">
        <v>0</v>
      </c>
      <c r="O5070" s="20">
        <v>426.4</v>
      </c>
      <c r="P5070" s="47">
        <v>38.96</v>
      </c>
      <c r="Q5070" s="45" t="s">
        <v>2234</v>
      </c>
    </row>
    <row r="5071" spans="1:17" s="162" customFormat="1" ht="60" x14ac:dyDescent="0.25">
      <c r="A5071" s="17">
        <v>41336</v>
      </c>
      <c r="B5071" s="17">
        <v>41340</v>
      </c>
      <c r="C5071" s="43">
        <v>2013</v>
      </c>
      <c r="D5071" s="351" t="s">
        <v>23</v>
      </c>
      <c r="E5071" s="22" t="s">
        <v>42</v>
      </c>
      <c r="F5071" s="7" t="s">
        <v>75</v>
      </c>
      <c r="G5071" s="146" t="s">
        <v>7321</v>
      </c>
      <c r="H5071" s="147" t="s">
        <v>7322</v>
      </c>
      <c r="I5071" s="148">
        <v>0</v>
      </c>
      <c r="J5071" s="46">
        <v>3196</v>
      </c>
      <c r="K5071" s="46">
        <v>0</v>
      </c>
      <c r="L5071" s="46">
        <v>0</v>
      </c>
      <c r="M5071" s="46">
        <v>0</v>
      </c>
      <c r="N5071" s="46">
        <v>0</v>
      </c>
      <c r="O5071" s="20">
        <v>5250.44</v>
      </c>
      <c r="P5071" s="26">
        <v>96.69</v>
      </c>
      <c r="Q5071" s="45" t="s">
        <v>2234</v>
      </c>
    </row>
    <row r="5072" spans="1:17" s="162" customFormat="1" ht="60" x14ac:dyDescent="0.25">
      <c r="A5072" s="23">
        <v>41334</v>
      </c>
      <c r="B5072" s="17">
        <v>41348</v>
      </c>
      <c r="C5072" s="43">
        <v>2013</v>
      </c>
      <c r="D5072" s="351" t="s">
        <v>23</v>
      </c>
      <c r="E5072" s="22" t="s">
        <v>42</v>
      </c>
      <c r="F5072" s="7" t="s">
        <v>82</v>
      </c>
      <c r="G5072" s="146" t="s">
        <v>7323</v>
      </c>
      <c r="H5072" s="126" t="s">
        <v>7324</v>
      </c>
      <c r="I5072" s="148">
        <v>0</v>
      </c>
      <c r="J5072" s="46">
        <v>12741</v>
      </c>
      <c r="K5072" s="46">
        <v>0</v>
      </c>
      <c r="L5072" s="46">
        <v>0</v>
      </c>
      <c r="M5072" s="46">
        <v>0</v>
      </c>
      <c r="N5072" s="46">
        <v>0</v>
      </c>
      <c r="O5072" s="20">
        <v>0</v>
      </c>
      <c r="P5072" s="47">
        <v>0.28999999999999998</v>
      </c>
      <c r="Q5072" s="45" t="s">
        <v>2234</v>
      </c>
    </row>
    <row r="5073" spans="1:17" s="162" customFormat="1" ht="132" x14ac:dyDescent="0.25">
      <c r="A5073" s="17">
        <v>41275</v>
      </c>
      <c r="B5073" s="17">
        <v>41364</v>
      </c>
      <c r="C5073" s="43">
        <v>2013</v>
      </c>
      <c r="D5073" s="351" t="s">
        <v>23</v>
      </c>
      <c r="E5073" s="14" t="s">
        <v>24</v>
      </c>
      <c r="F5073" s="7" t="s">
        <v>45</v>
      </c>
      <c r="G5073" s="146" t="s">
        <v>7311</v>
      </c>
      <c r="H5073" s="147" t="s">
        <v>7325</v>
      </c>
      <c r="I5073" s="148">
        <v>0</v>
      </c>
      <c r="J5073" s="46">
        <v>13220</v>
      </c>
      <c r="K5073" s="46">
        <v>0</v>
      </c>
      <c r="L5073" s="46">
        <v>0</v>
      </c>
      <c r="M5073" s="46">
        <v>0</v>
      </c>
      <c r="N5073" s="46">
        <v>0</v>
      </c>
      <c r="O5073" s="46">
        <v>5506.5</v>
      </c>
      <c r="P5073" s="26">
        <v>1104.33</v>
      </c>
      <c r="Q5073" s="45" t="s">
        <v>2234</v>
      </c>
    </row>
    <row r="5074" spans="1:17" s="162" customFormat="1" ht="60" x14ac:dyDescent="0.25">
      <c r="A5074" s="17">
        <v>41275</v>
      </c>
      <c r="B5074" s="23">
        <v>41364</v>
      </c>
      <c r="C5074" s="43">
        <v>2013</v>
      </c>
      <c r="D5074" s="351" t="s">
        <v>23</v>
      </c>
      <c r="E5074" s="14" t="s">
        <v>24</v>
      </c>
      <c r="F5074" s="7" t="s">
        <v>91</v>
      </c>
      <c r="G5074" s="146" t="s">
        <v>7326</v>
      </c>
      <c r="H5074" s="147" t="s">
        <v>7327</v>
      </c>
      <c r="I5074" s="148">
        <v>0</v>
      </c>
      <c r="J5074" s="46">
        <v>8585</v>
      </c>
      <c r="K5074" s="46">
        <v>0</v>
      </c>
      <c r="L5074" s="46">
        <v>0</v>
      </c>
      <c r="M5074" s="46">
        <v>0</v>
      </c>
      <c r="N5074" s="46">
        <v>0</v>
      </c>
      <c r="O5074" s="46">
        <v>112087.39</v>
      </c>
      <c r="P5074" s="26">
        <v>278.2</v>
      </c>
      <c r="Q5074" s="45" t="s">
        <v>2234</v>
      </c>
    </row>
    <row r="5075" spans="1:17" s="162" customFormat="1" ht="168" x14ac:dyDescent="0.25">
      <c r="A5075" s="17">
        <v>41275</v>
      </c>
      <c r="B5075" s="17">
        <v>41394</v>
      </c>
      <c r="C5075" s="43">
        <v>2013</v>
      </c>
      <c r="D5075" s="351" t="s">
        <v>23</v>
      </c>
      <c r="E5075" s="14" t="s">
        <v>24</v>
      </c>
      <c r="F5075" s="7" t="s">
        <v>82</v>
      </c>
      <c r="G5075" s="146" t="s">
        <v>7323</v>
      </c>
      <c r="H5075" s="147" t="s">
        <v>7328</v>
      </c>
      <c r="I5075" s="148">
        <v>0</v>
      </c>
      <c r="J5075" s="46">
        <v>7414</v>
      </c>
      <c r="K5075" s="46">
        <v>0</v>
      </c>
      <c r="L5075" s="46">
        <v>0</v>
      </c>
      <c r="M5075" s="46">
        <v>0</v>
      </c>
      <c r="N5075" s="46">
        <v>0</v>
      </c>
      <c r="O5075" s="46">
        <v>0</v>
      </c>
      <c r="P5075" s="26">
        <v>919.65881400000001</v>
      </c>
      <c r="Q5075" s="45" t="s">
        <v>2234</v>
      </c>
    </row>
    <row r="5076" spans="1:17" s="162" customFormat="1" ht="96" x14ac:dyDescent="0.25">
      <c r="A5076" s="17">
        <v>41365</v>
      </c>
      <c r="B5076" s="17">
        <v>41394</v>
      </c>
      <c r="C5076" s="43">
        <v>2013</v>
      </c>
      <c r="D5076" s="351" t="s">
        <v>23</v>
      </c>
      <c r="E5076" s="14" t="s">
        <v>24</v>
      </c>
      <c r="F5076" s="7" t="s">
        <v>49</v>
      </c>
      <c r="G5076" s="146" t="s">
        <v>7305</v>
      </c>
      <c r="H5076" s="147" t="s">
        <v>7329</v>
      </c>
      <c r="I5076" s="148">
        <v>0</v>
      </c>
      <c r="J5076" s="46">
        <v>37017</v>
      </c>
      <c r="K5076" s="46">
        <v>0</v>
      </c>
      <c r="L5076" s="46">
        <v>0</v>
      </c>
      <c r="M5076" s="46">
        <v>0</v>
      </c>
      <c r="N5076" s="46">
        <v>0</v>
      </c>
      <c r="O5076" s="46">
        <v>0</v>
      </c>
      <c r="P5076" s="26">
        <v>608.20000000000005</v>
      </c>
      <c r="Q5076" s="45" t="s">
        <v>2234</v>
      </c>
    </row>
    <row r="5077" spans="1:17" s="162" customFormat="1" ht="84" x14ac:dyDescent="0.25">
      <c r="A5077" s="17">
        <v>41405</v>
      </c>
      <c r="B5077" s="17">
        <v>41407</v>
      </c>
      <c r="C5077" s="43">
        <v>2013</v>
      </c>
      <c r="D5077" s="351" t="s">
        <v>23</v>
      </c>
      <c r="E5077" s="30" t="s">
        <v>2070</v>
      </c>
      <c r="F5077" s="7" t="s">
        <v>45</v>
      </c>
      <c r="G5077" s="146" t="s">
        <v>7330</v>
      </c>
      <c r="H5077" s="147" t="s">
        <v>7331</v>
      </c>
      <c r="I5077" s="148">
        <v>0</v>
      </c>
      <c r="J5077" s="46">
        <v>163</v>
      </c>
      <c r="K5077" s="46">
        <v>0</v>
      </c>
      <c r="L5077" s="46">
        <v>0</v>
      </c>
      <c r="M5077" s="46">
        <v>0</v>
      </c>
      <c r="N5077" s="46">
        <v>0</v>
      </c>
      <c r="O5077" s="46">
        <v>1284.1400000000001</v>
      </c>
      <c r="P5077" s="26">
        <v>31.43</v>
      </c>
      <c r="Q5077" s="45" t="s">
        <v>2234</v>
      </c>
    </row>
    <row r="5078" spans="1:17" s="162" customFormat="1" ht="108" x14ac:dyDescent="0.25">
      <c r="A5078" s="17">
        <v>41418</v>
      </c>
      <c r="B5078" s="17">
        <v>41418</v>
      </c>
      <c r="C5078" s="43">
        <v>2013</v>
      </c>
      <c r="D5078" s="351" t="s">
        <v>23</v>
      </c>
      <c r="E5078" s="22" t="s">
        <v>42</v>
      </c>
      <c r="F5078" s="7" t="s">
        <v>45</v>
      </c>
      <c r="G5078" s="146" t="s">
        <v>1920</v>
      </c>
      <c r="H5078" s="147" t="s">
        <v>7332</v>
      </c>
      <c r="I5078" s="148">
        <v>0</v>
      </c>
      <c r="J5078" s="46">
        <v>372</v>
      </c>
      <c r="K5078" s="46">
        <v>0</v>
      </c>
      <c r="L5078" s="46">
        <v>0</v>
      </c>
      <c r="M5078" s="46">
        <v>0</v>
      </c>
      <c r="N5078" s="46">
        <v>0</v>
      </c>
      <c r="O5078" s="46">
        <v>736.3</v>
      </c>
      <c r="P5078" s="47">
        <v>10.16</v>
      </c>
      <c r="Q5078" s="45" t="s">
        <v>2234</v>
      </c>
    </row>
    <row r="5079" spans="1:17" s="162" customFormat="1" ht="36" x14ac:dyDescent="0.25">
      <c r="A5079" s="17">
        <v>41365</v>
      </c>
      <c r="B5079" s="17">
        <v>41455</v>
      </c>
      <c r="C5079" s="43">
        <v>2013</v>
      </c>
      <c r="D5079" s="351" t="s">
        <v>23</v>
      </c>
      <c r="E5079" s="14" t="s">
        <v>24</v>
      </c>
      <c r="F5079" s="7" t="s">
        <v>91</v>
      </c>
      <c r="G5079" s="146" t="s">
        <v>7333</v>
      </c>
      <c r="H5079" s="147" t="s">
        <v>7334</v>
      </c>
      <c r="I5079" s="148">
        <v>0</v>
      </c>
      <c r="J5079" s="46">
        <v>9678</v>
      </c>
      <c r="K5079" s="46">
        <v>0</v>
      </c>
      <c r="L5079" s="46">
        <v>0</v>
      </c>
      <c r="M5079" s="46">
        <v>0</v>
      </c>
      <c r="N5079" s="46">
        <v>0</v>
      </c>
      <c r="O5079" s="46">
        <v>149616.84</v>
      </c>
      <c r="P5079" s="26">
        <v>371.3</v>
      </c>
      <c r="Q5079" s="45" t="s">
        <v>2234</v>
      </c>
    </row>
    <row r="5080" spans="1:17" s="162" customFormat="1" ht="144" x14ac:dyDescent="0.25">
      <c r="A5080" s="17">
        <v>41531</v>
      </c>
      <c r="B5080" s="17">
        <v>41534</v>
      </c>
      <c r="C5080" s="43">
        <v>2013</v>
      </c>
      <c r="D5080" s="351" t="s">
        <v>23</v>
      </c>
      <c r="E5080" s="14" t="s">
        <v>32</v>
      </c>
      <c r="F5080" s="7" t="s">
        <v>47</v>
      </c>
      <c r="G5080" s="146" t="s">
        <v>7309</v>
      </c>
      <c r="H5080" s="147" t="s">
        <v>7335</v>
      </c>
      <c r="I5080" s="148">
        <v>0</v>
      </c>
      <c r="J5080" s="46">
        <v>404</v>
      </c>
      <c r="K5080" s="46">
        <v>0</v>
      </c>
      <c r="L5080" s="46">
        <v>0</v>
      </c>
      <c r="M5080" s="46">
        <v>0</v>
      </c>
      <c r="N5080" s="46">
        <v>0</v>
      </c>
      <c r="O5080" s="46">
        <v>1537.48</v>
      </c>
      <c r="P5080" s="47">
        <v>0.72</v>
      </c>
      <c r="Q5080" s="45" t="s">
        <v>2234</v>
      </c>
    </row>
    <row r="5081" spans="1:17" s="162" customFormat="1" ht="72" x14ac:dyDescent="0.25">
      <c r="A5081" s="17">
        <v>41531</v>
      </c>
      <c r="B5081" s="17">
        <v>41542</v>
      </c>
      <c r="C5081" s="43">
        <v>2013</v>
      </c>
      <c r="D5081" s="351" t="s">
        <v>23</v>
      </c>
      <c r="E5081" s="14" t="s">
        <v>32</v>
      </c>
      <c r="F5081" s="7" t="s">
        <v>62</v>
      </c>
      <c r="G5081" s="146" t="s">
        <v>7336</v>
      </c>
      <c r="H5081" s="147" t="s">
        <v>7337</v>
      </c>
      <c r="I5081" s="148">
        <v>0</v>
      </c>
      <c r="J5081" s="46">
        <v>7858</v>
      </c>
      <c r="K5081" s="46">
        <v>0</v>
      </c>
      <c r="L5081" s="46">
        <v>0</v>
      </c>
      <c r="M5081" s="46">
        <v>0</v>
      </c>
      <c r="N5081" s="46">
        <v>0</v>
      </c>
      <c r="O5081" s="20">
        <v>29235.79</v>
      </c>
      <c r="P5081" s="47">
        <v>577.6</v>
      </c>
      <c r="Q5081" s="45" t="s">
        <v>2234</v>
      </c>
    </row>
    <row r="5082" spans="1:17" s="162" customFormat="1" ht="72" x14ac:dyDescent="0.25">
      <c r="A5082" s="17">
        <v>41531</v>
      </c>
      <c r="B5082" s="17">
        <v>41537</v>
      </c>
      <c r="C5082" s="43">
        <v>2013</v>
      </c>
      <c r="D5082" s="351" t="s">
        <v>23</v>
      </c>
      <c r="E5082" s="14" t="s">
        <v>32</v>
      </c>
      <c r="F5082" s="7" t="s">
        <v>60</v>
      </c>
      <c r="G5082" s="146" t="s">
        <v>7338</v>
      </c>
      <c r="H5082" s="147" t="s">
        <v>7339</v>
      </c>
      <c r="I5082" s="148">
        <v>0</v>
      </c>
      <c r="J5082" s="46">
        <v>1078</v>
      </c>
      <c r="K5082" s="46">
        <v>0</v>
      </c>
      <c r="L5082" s="46">
        <v>0</v>
      </c>
      <c r="M5082" s="46">
        <v>0</v>
      </c>
      <c r="N5082" s="46">
        <v>0</v>
      </c>
      <c r="O5082" s="46">
        <v>3747.8</v>
      </c>
      <c r="P5082" s="47">
        <v>178.59</v>
      </c>
      <c r="Q5082" s="45" t="s">
        <v>2234</v>
      </c>
    </row>
    <row r="5083" spans="1:17" s="162" customFormat="1" ht="84" x14ac:dyDescent="0.25">
      <c r="A5083" s="17">
        <v>41589</v>
      </c>
      <c r="B5083" s="17">
        <v>41592</v>
      </c>
      <c r="C5083" s="43">
        <v>2013</v>
      </c>
      <c r="D5083" s="351" t="s">
        <v>23</v>
      </c>
      <c r="E5083" s="22" t="s">
        <v>86</v>
      </c>
      <c r="F5083" s="7" t="s">
        <v>62</v>
      </c>
      <c r="G5083" s="146" t="s">
        <v>7340</v>
      </c>
      <c r="H5083" s="147" t="s">
        <v>7341</v>
      </c>
      <c r="I5083" s="148">
        <v>0</v>
      </c>
      <c r="J5083" s="46">
        <v>185</v>
      </c>
      <c r="K5083" s="46">
        <v>0</v>
      </c>
      <c r="L5083" s="46">
        <v>0</v>
      </c>
      <c r="M5083" s="46">
        <v>0</v>
      </c>
      <c r="N5083" s="46">
        <v>0</v>
      </c>
      <c r="O5083" s="46">
        <v>682.6</v>
      </c>
      <c r="P5083" s="47">
        <v>188.16</v>
      </c>
      <c r="Q5083" s="45" t="s">
        <v>2234</v>
      </c>
    </row>
    <row r="5084" spans="1:17" s="162" customFormat="1" ht="48" x14ac:dyDescent="0.25">
      <c r="A5084" s="17">
        <v>41622</v>
      </c>
      <c r="B5084" s="17">
        <v>41639</v>
      </c>
      <c r="C5084" s="43">
        <v>2013</v>
      </c>
      <c r="D5084" s="351" t="s">
        <v>23</v>
      </c>
      <c r="E5084" s="14" t="s">
        <v>52</v>
      </c>
      <c r="F5084" s="25" t="s">
        <v>781</v>
      </c>
      <c r="G5084" s="146" t="s">
        <v>7342</v>
      </c>
      <c r="H5084" s="147" t="s">
        <v>7343</v>
      </c>
      <c r="I5084" s="172">
        <v>0</v>
      </c>
      <c r="J5084" s="46">
        <v>7400</v>
      </c>
      <c r="K5084" s="46">
        <v>0</v>
      </c>
      <c r="L5084" s="46">
        <v>0</v>
      </c>
      <c r="M5084" s="46">
        <v>0</v>
      </c>
      <c r="N5084" s="46">
        <v>0</v>
      </c>
      <c r="O5084" s="46">
        <v>0</v>
      </c>
      <c r="P5084" s="47">
        <v>503.4</v>
      </c>
      <c r="Q5084" s="45" t="s">
        <v>2234</v>
      </c>
    </row>
    <row r="5085" spans="1:17" s="162" customFormat="1" ht="60" x14ac:dyDescent="0.25">
      <c r="A5085" s="17">
        <v>41285</v>
      </c>
      <c r="B5085" s="17">
        <v>41285</v>
      </c>
      <c r="C5085" s="43">
        <v>2013</v>
      </c>
      <c r="D5085" s="24" t="s">
        <v>141</v>
      </c>
      <c r="E5085" s="30" t="s">
        <v>142</v>
      </c>
      <c r="F5085" s="7" t="s">
        <v>36</v>
      </c>
      <c r="G5085" s="146" t="s">
        <v>7344</v>
      </c>
      <c r="H5085" s="147" t="s">
        <v>7345</v>
      </c>
      <c r="I5085" s="148">
        <v>1</v>
      </c>
      <c r="J5085" s="46">
        <v>26</v>
      </c>
      <c r="K5085" s="46">
        <v>0</v>
      </c>
      <c r="L5085" s="46">
        <v>0</v>
      </c>
      <c r="M5085" s="46">
        <v>0</v>
      </c>
      <c r="N5085" s="46">
        <v>0</v>
      </c>
      <c r="O5085" s="46">
        <v>0</v>
      </c>
      <c r="P5085" s="47">
        <v>0.6</v>
      </c>
      <c r="Q5085" s="149" t="s">
        <v>154</v>
      </c>
    </row>
    <row r="5086" spans="1:17" s="162" customFormat="1" ht="48" x14ac:dyDescent="0.25">
      <c r="A5086" s="17">
        <v>41293</v>
      </c>
      <c r="B5086" s="17">
        <v>41293</v>
      </c>
      <c r="C5086" s="43">
        <v>2013</v>
      </c>
      <c r="D5086" s="24" t="s">
        <v>141</v>
      </c>
      <c r="E5086" s="30" t="s">
        <v>142</v>
      </c>
      <c r="F5086" s="7" t="s">
        <v>36</v>
      </c>
      <c r="G5086" s="146" t="s">
        <v>5228</v>
      </c>
      <c r="H5086" s="147" t="s">
        <v>7346</v>
      </c>
      <c r="I5086" s="148">
        <v>0</v>
      </c>
      <c r="J5086" s="46">
        <v>1</v>
      </c>
      <c r="K5086" s="46">
        <v>0</v>
      </c>
      <c r="L5086" s="46">
        <v>0</v>
      </c>
      <c r="M5086" s="46">
        <v>0</v>
      </c>
      <c r="N5086" s="46">
        <v>0</v>
      </c>
      <c r="O5086" s="46">
        <v>0</v>
      </c>
      <c r="P5086" s="47">
        <v>1</v>
      </c>
      <c r="Q5086" s="149" t="s">
        <v>154</v>
      </c>
    </row>
    <row r="5087" spans="1:17" s="162" customFormat="1" ht="96" x14ac:dyDescent="0.25">
      <c r="A5087" s="17">
        <v>41291</v>
      </c>
      <c r="B5087" s="17">
        <v>41291</v>
      </c>
      <c r="C5087" s="43">
        <v>2013</v>
      </c>
      <c r="D5087" s="24" t="s">
        <v>141</v>
      </c>
      <c r="E5087" s="30" t="s">
        <v>142</v>
      </c>
      <c r="F5087" s="7" t="s">
        <v>36</v>
      </c>
      <c r="G5087" s="146" t="s">
        <v>2276</v>
      </c>
      <c r="H5087" s="147" t="s">
        <v>7347</v>
      </c>
      <c r="I5087" s="148">
        <v>8</v>
      </c>
      <c r="J5087" s="46">
        <v>8</v>
      </c>
      <c r="K5087" s="46">
        <v>0</v>
      </c>
      <c r="L5087" s="46">
        <v>0</v>
      </c>
      <c r="M5087" s="46">
        <v>0</v>
      </c>
      <c r="N5087" s="46">
        <v>0</v>
      </c>
      <c r="O5087" s="46">
        <v>0</v>
      </c>
      <c r="P5087" s="47">
        <v>0</v>
      </c>
      <c r="Q5087" s="149" t="s">
        <v>154</v>
      </c>
    </row>
    <row r="5088" spans="1:17" s="162" customFormat="1" ht="72" x14ac:dyDescent="0.25">
      <c r="A5088" s="23">
        <v>41282</v>
      </c>
      <c r="B5088" s="23">
        <v>41282</v>
      </c>
      <c r="C5088" s="43">
        <v>2013</v>
      </c>
      <c r="D5088" s="351" t="s">
        <v>23</v>
      </c>
      <c r="E5088" s="22" t="s">
        <v>42</v>
      </c>
      <c r="F5088" s="7" t="s">
        <v>40</v>
      </c>
      <c r="G5088" s="146" t="s">
        <v>7348</v>
      </c>
      <c r="H5088" s="147" t="s">
        <v>7349</v>
      </c>
      <c r="I5088" s="148">
        <v>0</v>
      </c>
      <c r="J5088" s="46">
        <v>0</v>
      </c>
      <c r="K5088" s="46">
        <v>0</v>
      </c>
      <c r="L5088" s="46">
        <v>0</v>
      </c>
      <c r="M5088" s="46">
        <v>0</v>
      </c>
      <c r="N5088" s="46">
        <v>0</v>
      </c>
      <c r="O5088" s="46">
        <v>0</v>
      </c>
      <c r="P5088" s="47">
        <v>77.569999999999993</v>
      </c>
      <c r="Q5088" s="149" t="s">
        <v>154</v>
      </c>
    </row>
    <row r="5089" spans="1:17" s="162" customFormat="1" ht="60" x14ac:dyDescent="0.25">
      <c r="A5089" s="23">
        <v>41275</v>
      </c>
      <c r="B5089" s="23">
        <v>41275</v>
      </c>
      <c r="C5089" s="43">
        <v>2013</v>
      </c>
      <c r="D5089" s="35" t="s">
        <v>28</v>
      </c>
      <c r="E5089" s="6" t="s">
        <v>149</v>
      </c>
      <c r="F5089" s="28" t="s">
        <v>157</v>
      </c>
      <c r="G5089" s="146" t="s">
        <v>3606</v>
      </c>
      <c r="H5089" s="147" t="s">
        <v>7350</v>
      </c>
      <c r="I5089" s="148">
        <v>0</v>
      </c>
      <c r="J5089" s="46">
        <v>0</v>
      </c>
      <c r="K5089" s="46">
        <v>0</v>
      </c>
      <c r="L5089" s="46">
        <v>0</v>
      </c>
      <c r="M5089" s="46">
        <v>0</v>
      </c>
      <c r="N5089" s="46">
        <v>1</v>
      </c>
      <c r="O5089" s="46">
        <v>0</v>
      </c>
      <c r="P5089" s="47">
        <v>0</v>
      </c>
      <c r="Q5089" s="149" t="s">
        <v>154</v>
      </c>
    </row>
    <row r="5090" spans="1:17" s="162" customFormat="1" ht="48" x14ac:dyDescent="0.25">
      <c r="A5090" s="17">
        <v>41279</v>
      </c>
      <c r="B5090" s="17">
        <v>41279</v>
      </c>
      <c r="C5090" s="43">
        <v>2013</v>
      </c>
      <c r="D5090" s="35" t="s">
        <v>28</v>
      </c>
      <c r="E5090" s="6" t="s">
        <v>149</v>
      </c>
      <c r="F5090" s="28" t="s">
        <v>157</v>
      </c>
      <c r="G5090" s="146" t="s">
        <v>3606</v>
      </c>
      <c r="H5090" s="147" t="s">
        <v>7351</v>
      </c>
      <c r="I5090" s="148">
        <v>0</v>
      </c>
      <c r="J5090" s="46">
        <v>0</v>
      </c>
      <c r="K5090" s="46">
        <v>0</v>
      </c>
      <c r="L5090" s="46">
        <v>0</v>
      </c>
      <c r="M5090" s="46">
        <v>0</v>
      </c>
      <c r="N5090" s="46">
        <v>1</v>
      </c>
      <c r="O5090" s="46">
        <v>0</v>
      </c>
      <c r="P5090" s="47">
        <v>0</v>
      </c>
      <c r="Q5090" s="149" t="s">
        <v>154</v>
      </c>
    </row>
    <row r="5091" spans="1:17" s="162" customFormat="1" ht="108" x14ac:dyDescent="0.25">
      <c r="A5091" s="17">
        <v>41276</v>
      </c>
      <c r="B5091" s="17">
        <v>41276</v>
      </c>
      <c r="C5091" s="43">
        <v>2013</v>
      </c>
      <c r="D5091" s="35" t="s">
        <v>28</v>
      </c>
      <c r="E5091" s="30" t="s">
        <v>125</v>
      </c>
      <c r="F5091" s="28" t="s">
        <v>157</v>
      </c>
      <c r="G5091" s="146" t="s">
        <v>3606</v>
      </c>
      <c r="H5091" s="147" t="s">
        <v>7352</v>
      </c>
      <c r="I5091" s="148">
        <v>0</v>
      </c>
      <c r="J5091" s="46">
        <v>331</v>
      </c>
      <c r="K5091" s="46">
        <v>0</v>
      </c>
      <c r="L5091" s="46">
        <v>0</v>
      </c>
      <c r="M5091" s="46">
        <v>0</v>
      </c>
      <c r="N5091" s="46">
        <v>0</v>
      </c>
      <c r="O5091" s="46">
        <v>0</v>
      </c>
      <c r="P5091" s="47">
        <v>0</v>
      </c>
      <c r="Q5091" s="149" t="s">
        <v>154</v>
      </c>
    </row>
    <row r="5092" spans="1:17" s="162" customFormat="1" ht="84" x14ac:dyDescent="0.25">
      <c r="A5092" s="17">
        <v>41286</v>
      </c>
      <c r="B5092" s="17">
        <v>41286</v>
      </c>
      <c r="C5092" s="43">
        <v>2013</v>
      </c>
      <c r="D5092" s="35" t="s">
        <v>28</v>
      </c>
      <c r="E5092" s="6" t="s">
        <v>149</v>
      </c>
      <c r="F5092" s="28" t="s">
        <v>157</v>
      </c>
      <c r="G5092" s="146" t="s">
        <v>5927</v>
      </c>
      <c r="H5092" s="147" t="s">
        <v>7353</v>
      </c>
      <c r="I5092" s="148">
        <v>0</v>
      </c>
      <c r="J5092" s="46">
        <v>4</v>
      </c>
      <c r="K5092" s="46">
        <v>0</v>
      </c>
      <c r="L5092" s="46">
        <v>0</v>
      </c>
      <c r="M5092" s="46">
        <v>0</v>
      </c>
      <c r="N5092" s="46">
        <v>0</v>
      </c>
      <c r="O5092" s="46">
        <v>0</v>
      </c>
      <c r="P5092" s="47">
        <v>0</v>
      </c>
      <c r="Q5092" s="149" t="s">
        <v>154</v>
      </c>
    </row>
    <row r="5093" spans="1:17" s="162" customFormat="1" ht="84" x14ac:dyDescent="0.25">
      <c r="A5093" s="17">
        <v>41301</v>
      </c>
      <c r="B5093" s="17">
        <v>41301</v>
      </c>
      <c r="C5093" s="43">
        <v>2013</v>
      </c>
      <c r="D5093" s="35" t="s">
        <v>28</v>
      </c>
      <c r="E5093" s="6" t="s">
        <v>149</v>
      </c>
      <c r="F5093" s="28" t="s">
        <v>157</v>
      </c>
      <c r="G5093" s="146" t="s">
        <v>6309</v>
      </c>
      <c r="H5093" s="147" t="s">
        <v>7354</v>
      </c>
      <c r="I5093" s="148">
        <v>2</v>
      </c>
      <c r="J5093" s="46">
        <v>2</v>
      </c>
      <c r="K5093" s="46">
        <v>0</v>
      </c>
      <c r="L5093" s="46">
        <v>0</v>
      </c>
      <c r="M5093" s="46">
        <v>0</v>
      </c>
      <c r="N5093" s="46">
        <v>44</v>
      </c>
      <c r="O5093" s="46">
        <v>0</v>
      </c>
      <c r="P5093" s="47">
        <v>0</v>
      </c>
      <c r="Q5093" s="149" t="s">
        <v>154</v>
      </c>
    </row>
    <row r="5094" spans="1:17" s="162" customFormat="1" ht="192" x14ac:dyDescent="0.25">
      <c r="A5094" s="17">
        <v>41294</v>
      </c>
      <c r="B5094" s="17">
        <v>41297</v>
      </c>
      <c r="C5094" s="43">
        <v>2013</v>
      </c>
      <c r="D5094" s="35" t="s">
        <v>17</v>
      </c>
      <c r="E5094" s="30" t="s">
        <v>1597</v>
      </c>
      <c r="F5094" s="7" t="s">
        <v>49</v>
      </c>
      <c r="G5094" s="146" t="s">
        <v>3223</v>
      </c>
      <c r="H5094" s="147" t="s">
        <v>7355</v>
      </c>
      <c r="I5094" s="148">
        <v>3</v>
      </c>
      <c r="J5094" s="46">
        <v>5</v>
      </c>
      <c r="K5094" s="46">
        <v>1</v>
      </c>
      <c r="L5094" s="46">
        <v>0</v>
      </c>
      <c r="M5094" s="46">
        <v>0</v>
      </c>
      <c r="N5094" s="46">
        <v>0</v>
      </c>
      <c r="O5094" s="46">
        <v>0</v>
      </c>
      <c r="P5094" s="47">
        <v>0.12</v>
      </c>
      <c r="Q5094" s="149" t="s">
        <v>154</v>
      </c>
    </row>
    <row r="5095" spans="1:17" s="162" customFormat="1" ht="168" x14ac:dyDescent="0.25">
      <c r="A5095" s="17">
        <v>41280</v>
      </c>
      <c r="B5095" s="17">
        <v>41280</v>
      </c>
      <c r="C5095" s="43">
        <v>2013</v>
      </c>
      <c r="D5095" s="35" t="s">
        <v>28</v>
      </c>
      <c r="E5095" s="30" t="s">
        <v>133</v>
      </c>
      <c r="F5095" s="7" t="s">
        <v>53</v>
      </c>
      <c r="G5095" s="146" t="s">
        <v>1844</v>
      </c>
      <c r="H5095" s="147" t="s">
        <v>7356</v>
      </c>
      <c r="I5095" s="148">
        <v>1</v>
      </c>
      <c r="J5095" s="46">
        <v>41</v>
      </c>
      <c r="K5095" s="46">
        <v>0</v>
      </c>
      <c r="L5095" s="46">
        <v>0</v>
      </c>
      <c r="M5095" s="46">
        <v>0</v>
      </c>
      <c r="N5095" s="46">
        <v>0</v>
      </c>
      <c r="O5095" s="46">
        <v>0</v>
      </c>
      <c r="P5095" s="47">
        <v>0</v>
      </c>
      <c r="Q5095" s="149" t="s">
        <v>154</v>
      </c>
    </row>
    <row r="5096" spans="1:17" s="162" customFormat="1" ht="60" x14ac:dyDescent="0.25">
      <c r="A5096" s="17">
        <v>41302</v>
      </c>
      <c r="B5096" s="17">
        <v>41302</v>
      </c>
      <c r="C5096" s="43">
        <v>2013</v>
      </c>
      <c r="D5096" s="24" t="s">
        <v>141</v>
      </c>
      <c r="E5096" s="30" t="s">
        <v>142</v>
      </c>
      <c r="F5096" s="7" t="s">
        <v>62</v>
      </c>
      <c r="G5096" s="146" t="s">
        <v>7357</v>
      </c>
      <c r="H5096" s="147" t="s">
        <v>7358</v>
      </c>
      <c r="I5096" s="148">
        <v>6</v>
      </c>
      <c r="J5096" s="46">
        <v>32</v>
      </c>
      <c r="K5096" s="46">
        <v>0</v>
      </c>
      <c r="L5096" s="46">
        <v>0</v>
      </c>
      <c r="M5096" s="46">
        <v>0</v>
      </c>
      <c r="N5096" s="46">
        <v>0</v>
      </c>
      <c r="O5096" s="46">
        <v>0</v>
      </c>
      <c r="P5096" s="47">
        <v>0.42</v>
      </c>
      <c r="Q5096" s="149" t="s">
        <v>154</v>
      </c>
    </row>
    <row r="5097" spans="1:17" s="162" customFormat="1" ht="108" x14ac:dyDescent="0.25">
      <c r="A5097" s="17">
        <v>41302</v>
      </c>
      <c r="B5097" s="17">
        <v>41302</v>
      </c>
      <c r="C5097" s="43">
        <v>2013</v>
      </c>
      <c r="D5097" s="35" t="s">
        <v>28</v>
      </c>
      <c r="E5097" s="30" t="s">
        <v>133</v>
      </c>
      <c r="F5097" s="7" t="s">
        <v>62</v>
      </c>
      <c r="G5097" s="146" t="s">
        <v>7359</v>
      </c>
      <c r="H5097" s="147" t="s">
        <v>7360</v>
      </c>
      <c r="I5097" s="148">
        <v>2</v>
      </c>
      <c r="J5097" s="46">
        <v>6</v>
      </c>
      <c r="K5097" s="46">
        <v>0</v>
      </c>
      <c r="L5097" s="46">
        <v>0</v>
      </c>
      <c r="M5097" s="46">
        <v>0</v>
      </c>
      <c r="N5097" s="46">
        <v>1</v>
      </c>
      <c r="O5097" s="46">
        <v>0</v>
      </c>
      <c r="P5097" s="47">
        <v>0</v>
      </c>
      <c r="Q5097" s="149" t="s">
        <v>154</v>
      </c>
    </row>
    <row r="5098" spans="1:17" s="162" customFormat="1" ht="60" x14ac:dyDescent="0.25">
      <c r="A5098" s="17">
        <v>41286</v>
      </c>
      <c r="B5098" s="17">
        <v>41286</v>
      </c>
      <c r="C5098" s="43">
        <v>2013</v>
      </c>
      <c r="D5098" s="24" t="s">
        <v>141</v>
      </c>
      <c r="E5098" s="30" t="s">
        <v>142</v>
      </c>
      <c r="F5098" s="7" t="s">
        <v>68</v>
      </c>
      <c r="G5098" s="146" t="s">
        <v>7361</v>
      </c>
      <c r="H5098" s="147" t="s">
        <v>7362</v>
      </c>
      <c r="I5098" s="148">
        <v>0</v>
      </c>
      <c r="J5098" s="46">
        <v>1</v>
      </c>
      <c r="K5098" s="46">
        <v>0</v>
      </c>
      <c r="L5098" s="46">
        <v>0</v>
      </c>
      <c r="M5098" s="46">
        <v>0</v>
      </c>
      <c r="N5098" s="46">
        <v>0</v>
      </c>
      <c r="O5098" s="46">
        <v>0</v>
      </c>
      <c r="P5098" s="47">
        <v>0.5</v>
      </c>
      <c r="Q5098" s="149" t="s">
        <v>154</v>
      </c>
    </row>
    <row r="5099" spans="1:17" s="162" customFormat="1" ht="72" x14ac:dyDescent="0.25">
      <c r="A5099" s="17">
        <v>41296</v>
      </c>
      <c r="B5099" s="17">
        <v>41296</v>
      </c>
      <c r="C5099" s="43">
        <v>2013</v>
      </c>
      <c r="D5099" s="35" t="s">
        <v>28</v>
      </c>
      <c r="E5099" s="6" t="s">
        <v>149</v>
      </c>
      <c r="F5099" s="7" t="s">
        <v>68</v>
      </c>
      <c r="G5099" s="146" t="s">
        <v>1121</v>
      </c>
      <c r="H5099" s="147" t="s">
        <v>7363</v>
      </c>
      <c r="I5099" s="148">
        <v>0</v>
      </c>
      <c r="J5099" s="46">
        <v>500</v>
      </c>
      <c r="K5099" s="46">
        <v>0</v>
      </c>
      <c r="L5099" s="46">
        <v>0</v>
      </c>
      <c r="M5099" s="46">
        <v>1</v>
      </c>
      <c r="N5099" s="46">
        <v>0</v>
      </c>
      <c r="O5099" s="46">
        <v>0</v>
      </c>
      <c r="P5099" s="47">
        <v>0</v>
      </c>
      <c r="Q5099" s="149" t="s">
        <v>154</v>
      </c>
    </row>
    <row r="5100" spans="1:17" s="162" customFormat="1" ht="72" x14ac:dyDescent="0.25">
      <c r="A5100" s="17">
        <v>41300</v>
      </c>
      <c r="B5100" s="17">
        <v>41300</v>
      </c>
      <c r="C5100" s="43">
        <v>2013</v>
      </c>
      <c r="D5100" s="35" t="s">
        <v>28</v>
      </c>
      <c r="E5100" s="6" t="s">
        <v>149</v>
      </c>
      <c r="F5100" s="7" t="s">
        <v>87</v>
      </c>
      <c r="G5100" s="146" t="s">
        <v>567</v>
      </c>
      <c r="H5100" s="147" t="s">
        <v>7364</v>
      </c>
      <c r="I5100" s="148">
        <v>0</v>
      </c>
      <c r="J5100" s="46">
        <v>0</v>
      </c>
      <c r="K5100" s="46">
        <v>0</v>
      </c>
      <c r="L5100" s="46">
        <v>0</v>
      </c>
      <c r="M5100" s="46">
        <v>0</v>
      </c>
      <c r="N5100" s="46">
        <v>1</v>
      </c>
      <c r="O5100" s="46">
        <v>0</v>
      </c>
      <c r="P5100" s="47">
        <v>0</v>
      </c>
      <c r="Q5100" s="149" t="s">
        <v>154</v>
      </c>
    </row>
    <row r="5101" spans="1:17" s="162" customFormat="1" ht="156" x14ac:dyDescent="0.25">
      <c r="A5101" s="17">
        <v>41293</v>
      </c>
      <c r="B5101" s="17">
        <v>41293</v>
      </c>
      <c r="C5101" s="43">
        <v>2013</v>
      </c>
      <c r="D5101" s="24" t="s">
        <v>141</v>
      </c>
      <c r="E5101" s="30" t="s">
        <v>142</v>
      </c>
      <c r="F5101" s="7" t="s">
        <v>87</v>
      </c>
      <c r="G5101" s="146" t="s">
        <v>2608</v>
      </c>
      <c r="H5101" s="147" t="s">
        <v>7365</v>
      </c>
      <c r="I5101" s="148">
        <v>1</v>
      </c>
      <c r="J5101" s="46">
        <v>4</v>
      </c>
      <c r="K5101" s="46">
        <v>0</v>
      </c>
      <c r="L5101" s="46">
        <v>0</v>
      </c>
      <c r="M5101" s="46">
        <v>0</v>
      </c>
      <c r="N5101" s="46">
        <v>0</v>
      </c>
      <c r="O5101" s="46">
        <v>0</v>
      </c>
      <c r="P5101" s="47">
        <v>0.5</v>
      </c>
      <c r="Q5101" s="149" t="s">
        <v>154</v>
      </c>
    </row>
    <row r="5102" spans="1:17" s="162" customFormat="1" ht="72" x14ac:dyDescent="0.25">
      <c r="A5102" s="17">
        <v>41289</v>
      </c>
      <c r="B5102" s="17">
        <v>41289</v>
      </c>
      <c r="C5102" s="43">
        <v>2013</v>
      </c>
      <c r="D5102" s="24" t="s">
        <v>141</v>
      </c>
      <c r="E5102" s="30" t="s">
        <v>142</v>
      </c>
      <c r="F5102" s="7" t="s">
        <v>80</v>
      </c>
      <c r="G5102" s="146" t="s">
        <v>7366</v>
      </c>
      <c r="H5102" s="147" t="s">
        <v>7367</v>
      </c>
      <c r="I5102" s="148">
        <v>2</v>
      </c>
      <c r="J5102" s="46">
        <v>2</v>
      </c>
      <c r="K5102" s="46">
        <v>0</v>
      </c>
      <c r="L5102" s="46">
        <v>0</v>
      </c>
      <c r="M5102" s="46">
        <v>0</v>
      </c>
      <c r="N5102" s="46">
        <v>0</v>
      </c>
      <c r="O5102" s="46">
        <v>0</v>
      </c>
      <c r="P5102" s="47">
        <v>0.5</v>
      </c>
      <c r="Q5102" s="149" t="s">
        <v>154</v>
      </c>
    </row>
    <row r="5103" spans="1:17" s="162" customFormat="1" ht="60" x14ac:dyDescent="0.25">
      <c r="A5103" s="17">
        <v>41298</v>
      </c>
      <c r="B5103" s="17">
        <v>41298</v>
      </c>
      <c r="C5103" s="43">
        <v>2013</v>
      </c>
      <c r="D5103" s="24" t="s">
        <v>141</v>
      </c>
      <c r="E5103" s="30" t="s">
        <v>142</v>
      </c>
      <c r="F5103" s="7" t="s">
        <v>65</v>
      </c>
      <c r="G5103" s="146" t="s">
        <v>477</v>
      </c>
      <c r="H5103" s="147" t="s">
        <v>7368</v>
      </c>
      <c r="I5103" s="148">
        <v>1</v>
      </c>
      <c r="J5103" s="46">
        <v>2</v>
      </c>
      <c r="K5103" s="46">
        <v>0</v>
      </c>
      <c r="L5103" s="46">
        <v>0</v>
      </c>
      <c r="M5103" s="46">
        <v>0</v>
      </c>
      <c r="N5103" s="46">
        <v>0</v>
      </c>
      <c r="O5103" s="46">
        <v>0</v>
      </c>
      <c r="P5103" s="47">
        <v>0.75</v>
      </c>
      <c r="Q5103" s="149" t="s">
        <v>154</v>
      </c>
    </row>
    <row r="5104" spans="1:17" s="162" customFormat="1" ht="48" x14ac:dyDescent="0.25">
      <c r="A5104" s="17">
        <v>41278</v>
      </c>
      <c r="B5104" s="17">
        <v>41278</v>
      </c>
      <c r="C5104" s="43">
        <v>2013</v>
      </c>
      <c r="D5104" s="24" t="s">
        <v>130</v>
      </c>
      <c r="E5104" s="30" t="s">
        <v>136</v>
      </c>
      <c r="F5104" s="28" t="s">
        <v>163</v>
      </c>
      <c r="G5104" s="146" t="s">
        <v>7369</v>
      </c>
      <c r="H5104" s="147" t="s">
        <v>7370</v>
      </c>
      <c r="I5104" s="148">
        <v>0</v>
      </c>
      <c r="J5104" s="46">
        <v>345</v>
      </c>
      <c r="K5104" s="46">
        <v>0</v>
      </c>
      <c r="L5104" s="46">
        <v>0</v>
      </c>
      <c r="M5104" s="46">
        <v>0</v>
      </c>
      <c r="N5104" s="46">
        <v>0</v>
      </c>
      <c r="O5104" s="46">
        <v>0</v>
      </c>
      <c r="P5104" s="47">
        <v>0</v>
      </c>
      <c r="Q5104" s="149" t="s">
        <v>154</v>
      </c>
    </row>
    <row r="5105" spans="1:17" s="162" customFormat="1" ht="72" x14ac:dyDescent="0.25">
      <c r="A5105" s="17">
        <v>41300</v>
      </c>
      <c r="B5105" s="17">
        <v>41300</v>
      </c>
      <c r="C5105" s="43">
        <v>2013</v>
      </c>
      <c r="D5105" s="24" t="s">
        <v>141</v>
      </c>
      <c r="E5105" s="30" t="s">
        <v>1600</v>
      </c>
      <c r="F5105" s="7" t="s">
        <v>49</v>
      </c>
      <c r="G5105" s="146" t="s">
        <v>7371</v>
      </c>
      <c r="H5105" s="147" t="s">
        <v>7372</v>
      </c>
      <c r="I5105" s="148">
        <v>1</v>
      </c>
      <c r="J5105" s="46">
        <v>2</v>
      </c>
      <c r="K5105" s="46">
        <v>0</v>
      </c>
      <c r="L5105" s="46">
        <v>0</v>
      </c>
      <c r="M5105" s="46">
        <v>0</v>
      </c>
      <c r="N5105" s="46">
        <v>1</v>
      </c>
      <c r="O5105" s="46">
        <v>0</v>
      </c>
      <c r="P5105" s="47">
        <v>0</v>
      </c>
      <c r="Q5105" s="149" t="s">
        <v>154</v>
      </c>
    </row>
    <row r="5106" spans="1:17" s="162" customFormat="1" ht="84" x14ac:dyDescent="0.25">
      <c r="A5106" s="17">
        <v>41275</v>
      </c>
      <c r="B5106" s="17">
        <v>41275</v>
      </c>
      <c r="C5106" s="43">
        <v>2013</v>
      </c>
      <c r="D5106" s="35" t="s">
        <v>28</v>
      </c>
      <c r="E5106" s="6" t="s">
        <v>149</v>
      </c>
      <c r="F5106" s="7" t="s">
        <v>53</v>
      </c>
      <c r="G5106" s="146" t="s">
        <v>878</v>
      </c>
      <c r="H5106" s="147" t="s">
        <v>7373</v>
      </c>
      <c r="I5106" s="148">
        <v>0</v>
      </c>
      <c r="J5106" s="46">
        <v>0</v>
      </c>
      <c r="K5106" s="46">
        <v>0</v>
      </c>
      <c r="L5106" s="46">
        <v>0</v>
      </c>
      <c r="M5106" s="46">
        <v>0</v>
      </c>
      <c r="N5106" s="46">
        <v>1</v>
      </c>
      <c r="O5106" s="46">
        <v>0</v>
      </c>
      <c r="P5106" s="47">
        <v>0</v>
      </c>
      <c r="Q5106" s="149" t="s">
        <v>154</v>
      </c>
    </row>
    <row r="5107" spans="1:17" s="162" customFormat="1" ht="84" x14ac:dyDescent="0.25">
      <c r="A5107" s="17">
        <v>41303</v>
      </c>
      <c r="B5107" s="17">
        <v>41303</v>
      </c>
      <c r="C5107" s="43">
        <v>2013</v>
      </c>
      <c r="D5107" s="24" t="s">
        <v>141</v>
      </c>
      <c r="E5107" s="30" t="s">
        <v>1600</v>
      </c>
      <c r="F5107" s="7" t="s">
        <v>62</v>
      </c>
      <c r="G5107" s="146" t="s">
        <v>1320</v>
      </c>
      <c r="H5107" s="147" t="s">
        <v>7374</v>
      </c>
      <c r="I5107" s="148">
        <v>1</v>
      </c>
      <c r="J5107" s="46">
        <v>3</v>
      </c>
      <c r="K5107" s="46">
        <v>0</v>
      </c>
      <c r="L5107" s="46">
        <v>0</v>
      </c>
      <c r="M5107" s="46">
        <v>0</v>
      </c>
      <c r="N5107" s="46">
        <v>0</v>
      </c>
      <c r="O5107" s="46">
        <v>0</v>
      </c>
      <c r="P5107" s="47">
        <v>0</v>
      </c>
      <c r="Q5107" s="149" t="s">
        <v>154</v>
      </c>
    </row>
    <row r="5108" spans="1:17" s="162" customFormat="1" ht="96" x14ac:dyDescent="0.25">
      <c r="A5108" s="17">
        <v>41305</v>
      </c>
      <c r="B5108" s="17">
        <v>41305</v>
      </c>
      <c r="C5108" s="43">
        <v>2013</v>
      </c>
      <c r="D5108" s="24" t="s">
        <v>141</v>
      </c>
      <c r="E5108" s="30" t="s">
        <v>142</v>
      </c>
      <c r="F5108" s="7" t="s">
        <v>87</v>
      </c>
      <c r="G5108" s="146" t="s">
        <v>2671</v>
      </c>
      <c r="H5108" s="147" t="s">
        <v>7375</v>
      </c>
      <c r="I5108" s="148">
        <v>0</v>
      </c>
      <c r="J5108" s="46">
        <v>1</v>
      </c>
      <c r="K5108" s="46">
        <v>0</v>
      </c>
      <c r="L5108" s="46">
        <v>0</v>
      </c>
      <c r="M5108" s="46">
        <v>0</v>
      </c>
      <c r="N5108" s="46">
        <v>0</v>
      </c>
      <c r="O5108" s="46">
        <v>0</v>
      </c>
      <c r="P5108" s="47">
        <v>0.4</v>
      </c>
      <c r="Q5108" s="149" t="s">
        <v>154</v>
      </c>
    </row>
    <row r="5109" spans="1:17" s="162" customFormat="1" ht="84" x14ac:dyDescent="0.25">
      <c r="A5109" s="17">
        <v>41306</v>
      </c>
      <c r="B5109" s="17">
        <v>41306</v>
      </c>
      <c r="C5109" s="43">
        <v>2013</v>
      </c>
      <c r="D5109" s="35" t="s">
        <v>28</v>
      </c>
      <c r="E5109" s="30" t="s">
        <v>133</v>
      </c>
      <c r="F5109" s="7" t="s">
        <v>53</v>
      </c>
      <c r="G5109" s="146" t="s">
        <v>1236</v>
      </c>
      <c r="H5109" s="147" t="s">
        <v>7376</v>
      </c>
      <c r="I5109" s="148">
        <v>0</v>
      </c>
      <c r="J5109" s="46">
        <v>27</v>
      </c>
      <c r="K5109" s="46">
        <v>1</v>
      </c>
      <c r="L5109" s="46">
        <v>0</v>
      </c>
      <c r="M5109" s="46">
        <v>0</v>
      </c>
      <c r="N5109" s="46">
        <v>0</v>
      </c>
      <c r="O5109" s="46">
        <v>0</v>
      </c>
      <c r="P5109" s="47">
        <v>0.12</v>
      </c>
      <c r="Q5109" s="149" t="s">
        <v>154</v>
      </c>
    </row>
    <row r="5110" spans="1:17" s="162" customFormat="1" ht="84" x14ac:dyDescent="0.25">
      <c r="A5110" s="17">
        <v>41310</v>
      </c>
      <c r="B5110" s="17">
        <v>41310</v>
      </c>
      <c r="C5110" s="43">
        <v>2013</v>
      </c>
      <c r="D5110" s="24" t="s">
        <v>141</v>
      </c>
      <c r="E5110" s="30" t="s">
        <v>142</v>
      </c>
      <c r="F5110" s="7" t="s">
        <v>84</v>
      </c>
      <c r="G5110" s="146" t="s">
        <v>1802</v>
      </c>
      <c r="H5110" s="147" t="s">
        <v>7377</v>
      </c>
      <c r="I5110" s="148">
        <v>0</v>
      </c>
      <c r="J5110" s="46">
        <v>18</v>
      </c>
      <c r="K5110" s="46">
        <v>0</v>
      </c>
      <c r="L5110" s="46">
        <v>0</v>
      </c>
      <c r="M5110" s="46">
        <v>0</v>
      </c>
      <c r="N5110" s="46">
        <v>0</v>
      </c>
      <c r="O5110" s="46">
        <v>0</v>
      </c>
      <c r="P5110" s="47">
        <v>0.4</v>
      </c>
      <c r="Q5110" s="149" t="s">
        <v>154</v>
      </c>
    </row>
    <row r="5111" spans="1:17" s="162" customFormat="1" ht="96" x14ac:dyDescent="0.25">
      <c r="A5111" s="17">
        <v>41311</v>
      </c>
      <c r="B5111" s="17">
        <v>41311</v>
      </c>
      <c r="C5111" s="43">
        <v>2013</v>
      </c>
      <c r="D5111" s="24" t="s">
        <v>141</v>
      </c>
      <c r="E5111" s="30" t="s">
        <v>142</v>
      </c>
      <c r="F5111" s="7" t="s">
        <v>60</v>
      </c>
      <c r="G5111" s="146" t="s">
        <v>3754</v>
      </c>
      <c r="H5111" s="147" t="s">
        <v>7378</v>
      </c>
      <c r="I5111" s="148">
        <v>2</v>
      </c>
      <c r="J5111" s="46">
        <v>2</v>
      </c>
      <c r="K5111" s="46">
        <v>0</v>
      </c>
      <c r="L5111" s="46">
        <v>0</v>
      </c>
      <c r="M5111" s="46">
        <v>0</v>
      </c>
      <c r="N5111" s="46">
        <v>0</v>
      </c>
      <c r="O5111" s="46">
        <v>0</v>
      </c>
      <c r="P5111" s="47">
        <v>0</v>
      </c>
      <c r="Q5111" s="149" t="s">
        <v>154</v>
      </c>
    </row>
    <row r="5112" spans="1:17" s="162" customFormat="1" ht="132" x14ac:dyDescent="0.25">
      <c r="A5112" s="17">
        <v>41312</v>
      </c>
      <c r="B5112" s="17">
        <v>41312</v>
      </c>
      <c r="C5112" s="43">
        <v>2013</v>
      </c>
      <c r="D5112" s="35" t="s">
        <v>28</v>
      </c>
      <c r="E5112" s="30" t="s">
        <v>133</v>
      </c>
      <c r="F5112" s="7" t="s">
        <v>53</v>
      </c>
      <c r="G5112" s="146" t="s">
        <v>7379</v>
      </c>
      <c r="H5112" s="147" t="s">
        <v>7380</v>
      </c>
      <c r="I5112" s="148">
        <v>1</v>
      </c>
      <c r="J5112" s="46">
        <v>4</v>
      </c>
      <c r="K5112" s="46">
        <v>1</v>
      </c>
      <c r="L5112" s="46">
        <v>0</v>
      </c>
      <c r="M5112" s="46">
        <v>0</v>
      </c>
      <c r="N5112" s="46">
        <v>0</v>
      </c>
      <c r="O5112" s="46">
        <v>0</v>
      </c>
      <c r="P5112" s="47">
        <v>0</v>
      </c>
      <c r="Q5112" s="149" t="s">
        <v>154</v>
      </c>
    </row>
    <row r="5113" spans="1:17" s="162" customFormat="1" ht="48" x14ac:dyDescent="0.25">
      <c r="A5113" s="17">
        <v>41312</v>
      </c>
      <c r="B5113" s="17">
        <v>41312</v>
      </c>
      <c r="C5113" s="43">
        <v>2013</v>
      </c>
      <c r="D5113" s="35" t="s">
        <v>28</v>
      </c>
      <c r="E5113" s="6" t="s">
        <v>149</v>
      </c>
      <c r="F5113" s="7" t="s">
        <v>25</v>
      </c>
      <c r="G5113" s="146" t="s">
        <v>25</v>
      </c>
      <c r="H5113" s="147" t="s">
        <v>7381</v>
      </c>
      <c r="I5113" s="148">
        <v>0</v>
      </c>
      <c r="J5113" s="46">
        <v>0</v>
      </c>
      <c r="K5113" s="46">
        <v>0</v>
      </c>
      <c r="L5113" s="46">
        <v>0</v>
      </c>
      <c r="M5113" s="46">
        <v>0</v>
      </c>
      <c r="N5113" s="46">
        <v>1</v>
      </c>
      <c r="O5113" s="46">
        <v>0</v>
      </c>
      <c r="P5113" s="47">
        <v>0</v>
      </c>
      <c r="Q5113" s="149" t="s">
        <v>154</v>
      </c>
    </row>
    <row r="5114" spans="1:17" s="162" customFormat="1" ht="120" x14ac:dyDescent="0.25">
      <c r="A5114" s="17">
        <v>41313</v>
      </c>
      <c r="B5114" s="17">
        <v>41313</v>
      </c>
      <c r="C5114" s="43">
        <v>2013</v>
      </c>
      <c r="D5114" s="24" t="s">
        <v>141</v>
      </c>
      <c r="E5114" s="30" t="s">
        <v>142</v>
      </c>
      <c r="F5114" s="7" t="s">
        <v>87</v>
      </c>
      <c r="G5114" s="146" t="s">
        <v>567</v>
      </c>
      <c r="H5114" s="147" t="s">
        <v>7382</v>
      </c>
      <c r="I5114" s="148">
        <v>0</v>
      </c>
      <c r="J5114" s="46">
        <v>2</v>
      </c>
      <c r="K5114" s="46">
        <v>0</v>
      </c>
      <c r="L5114" s="46">
        <v>0</v>
      </c>
      <c r="M5114" s="46">
        <v>0</v>
      </c>
      <c r="N5114" s="46">
        <v>0</v>
      </c>
      <c r="O5114" s="46">
        <v>0</v>
      </c>
      <c r="P5114" s="47">
        <v>0</v>
      </c>
      <c r="Q5114" s="149" t="s">
        <v>154</v>
      </c>
    </row>
    <row r="5115" spans="1:17" s="162" customFormat="1" ht="132" x14ac:dyDescent="0.25">
      <c r="A5115" s="17">
        <v>41315</v>
      </c>
      <c r="B5115" s="17">
        <v>41315</v>
      </c>
      <c r="C5115" s="43">
        <v>2013</v>
      </c>
      <c r="D5115" s="35" t="s">
        <v>28</v>
      </c>
      <c r="E5115" s="6" t="s">
        <v>149</v>
      </c>
      <c r="F5115" s="7" t="s">
        <v>87</v>
      </c>
      <c r="G5115" s="146" t="s">
        <v>2608</v>
      </c>
      <c r="H5115" s="147" t="s">
        <v>7383</v>
      </c>
      <c r="I5115" s="148">
        <v>1</v>
      </c>
      <c r="J5115" s="46">
        <v>5</v>
      </c>
      <c r="K5115" s="46">
        <v>1</v>
      </c>
      <c r="L5115" s="46">
        <v>0</v>
      </c>
      <c r="M5115" s="46">
        <v>0</v>
      </c>
      <c r="N5115" s="46">
        <v>0</v>
      </c>
      <c r="O5115" s="46">
        <v>0</v>
      </c>
      <c r="P5115" s="47">
        <v>0</v>
      </c>
      <c r="Q5115" s="149" t="s">
        <v>154</v>
      </c>
    </row>
    <row r="5116" spans="1:17" s="162" customFormat="1" ht="108" x14ac:dyDescent="0.25">
      <c r="A5116" s="17">
        <v>41313</v>
      </c>
      <c r="B5116" s="17">
        <v>41313</v>
      </c>
      <c r="C5116" s="43">
        <v>2013</v>
      </c>
      <c r="D5116" s="24" t="s">
        <v>141</v>
      </c>
      <c r="E5116" s="30" t="s">
        <v>142</v>
      </c>
      <c r="F5116" s="7" t="s">
        <v>91</v>
      </c>
      <c r="G5116" s="146" t="s">
        <v>7384</v>
      </c>
      <c r="H5116" s="147" t="s">
        <v>7385</v>
      </c>
      <c r="I5116" s="148">
        <v>0</v>
      </c>
      <c r="J5116" s="46">
        <v>0</v>
      </c>
      <c r="K5116" s="46">
        <v>0</v>
      </c>
      <c r="L5116" s="46">
        <v>0</v>
      </c>
      <c r="M5116" s="46">
        <v>0</v>
      </c>
      <c r="N5116" s="46">
        <v>0</v>
      </c>
      <c r="O5116" s="46">
        <v>0</v>
      </c>
      <c r="P5116" s="47">
        <v>0.4</v>
      </c>
      <c r="Q5116" s="149" t="s">
        <v>154</v>
      </c>
    </row>
    <row r="5117" spans="1:17" s="162" customFormat="1" ht="72" x14ac:dyDescent="0.25">
      <c r="A5117" s="17">
        <v>41317</v>
      </c>
      <c r="B5117" s="17">
        <v>41317</v>
      </c>
      <c r="C5117" s="43">
        <v>2013</v>
      </c>
      <c r="D5117" s="24" t="s">
        <v>141</v>
      </c>
      <c r="E5117" s="30" t="s">
        <v>142</v>
      </c>
      <c r="F5117" s="7" t="s">
        <v>45</v>
      </c>
      <c r="G5117" s="146" t="s">
        <v>1601</v>
      </c>
      <c r="H5117" s="147" t="s">
        <v>7386</v>
      </c>
      <c r="I5117" s="148">
        <v>2</v>
      </c>
      <c r="J5117" s="46">
        <v>12</v>
      </c>
      <c r="K5117" s="46">
        <v>0</v>
      </c>
      <c r="L5117" s="46">
        <v>0</v>
      </c>
      <c r="M5117" s="46">
        <v>0</v>
      </c>
      <c r="N5117" s="46">
        <v>0</v>
      </c>
      <c r="O5117" s="46">
        <v>0</v>
      </c>
      <c r="P5117" s="47">
        <v>0</v>
      </c>
      <c r="Q5117" s="149" t="s">
        <v>154</v>
      </c>
    </row>
    <row r="5118" spans="1:17" s="162" customFormat="1" ht="96" x14ac:dyDescent="0.25">
      <c r="A5118" s="17">
        <v>41320</v>
      </c>
      <c r="B5118" s="17">
        <v>41320</v>
      </c>
      <c r="C5118" s="43">
        <v>2013</v>
      </c>
      <c r="D5118" s="24" t="s">
        <v>141</v>
      </c>
      <c r="E5118" s="30" t="s">
        <v>142</v>
      </c>
      <c r="F5118" s="7" t="s">
        <v>62</v>
      </c>
      <c r="G5118" s="146" t="s">
        <v>959</v>
      </c>
      <c r="H5118" s="147" t="s">
        <v>7387</v>
      </c>
      <c r="I5118" s="27">
        <v>0</v>
      </c>
      <c r="J5118" s="163">
        <v>52</v>
      </c>
      <c r="K5118" s="46">
        <v>0</v>
      </c>
      <c r="L5118" s="46">
        <v>0</v>
      </c>
      <c r="M5118" s="46">
        <v>0</v>
      </c>
      <c r="N5118" s="46">
        <v>0</v>
      </c>
      <c r="O5118" s="46">
        <v>0</v>
      </c>
      <c r="P5118" s="47">
        <v>0</v>
      </c>
      <c r="Q5118" s="149" t="s">
        <v>154</v>
      </c>
    </row>
    <row r="5119" spans="1:17" s="162" customFormat="1" ht="120" x14ac:dyDescent="0.25">
      <c r="A5119" s="17">
        <v>41321</v>
      </c>
      <c r="B5119" s="17">
        <v>41321</v>
      </c>
      <c r="C5119" s="43">
        <v>2013</v>
      </c>
      <c r="D5119" s="35" t="s">
        <v>28</v>
      </c>
      <c r="E5119" s="6" t="s">
        <v>149</v>
      </c>
      <c r="F5119" s="7" t="s">
        <v>58</v>
      </c>
      <c r="G5119" s="146" t="s">
        <v>5866</v>
      </c>
      <c r="H5119" s="147" t="s">
        <v>7388</v>
      </c>
      <c r="I5119" s="148">
        <v>0</v>
      </c>
      <c r="J5119" s="46">
        <v>35</v>
      </c>
      <c r="K5119" s="46">
        <v>7</v>
      </c>
      <c r="L5119" s="46">
        <v>0</v>
      </c>
      <c r="M5119" s="46">
        <v>0</v>
      </c>
      <c r="N5119" s="46">
        <v>0</v>
      </c>
      <c r="O5119" s="46">
        <v>0</v>
      </c>
      <c r="P5119" s="47">
        <v>0</v>
      </c>
      <c r="Q5119" s="149" t="s">
        <v>154</v>
      </c>
    </row>
    <row r="5120" spans="1:17" s="162" customFormat="1" ht="72" x14ac:dyDescent="0.25">
      <c r="A5120" s="17">
        <v>41321</v>
      </c>
      <c r="B5120" s="17">
        <v>41321</v>
      </c>
      <c r="C5120" s="43">
        <v>2013</v>
      </c>
      <c r="D5120" s="35" t="s">
        <v>28</v>
      </c>
      <c r="E5120" s="6" t="s">
        <v>149</v>
      </c>
      <c r="F5120" s="7" t="s">
        <v>68</v>
      </c>
      <c r="G5120" s="146" t="s">
        <v>4900</v>
      </c>
      <c r="H5120" s="147" t="s">
        <v>7389</v>
      </c>
      <c r="I5120" s="148">
        <v>0</v>
      </c>
      <c r="J5120" s="46">
        <v>120</v>
      </c>
      <c r="K5120" s="46">
        <v>0</v>
      </c>
      <c r="L5120" s="46">
        <v>0</v>
      </c>
      <c r="M5120" s="46">
        <v>1</v>
      </c>
      <c r="N5120" s="46">
        <v>0</v>
      </c>
      <c r="O5120" s="46">
        <v>0</v>
      </c>
      <c r="P5120" s="47">
        <v>0</v>
      </c>
      <c r="Q5120" s="149" t="s">
        <v>154</v>
      </c>
    </row>
    <row r="5121" spans="1:17" s="162" customFormat="1" ht="72" x14ac:dyDescent="0.25">
      <c r="A5121" s="17">
        <v>41321</v>
      </c>
      <c r="B5121" s="17">
        <v>41321</v>
      </c>
      <c r="C5121" s="43">
        <v>2013</v>
      </c>
      <c r="D5121" s="35" t="s">
        <v>28</v>
      </c>
      <c r="E5121" s="6" t="s">
        <v>149</v>
      </c>
      <c r="F5121" s="28" t="s">
        <v>157</v>
      </c>
      <c r="G5121" s="146" t="s">
        <v>5929</v>
      </c>
      <c r="H5121" s="147" t="s">
        <v>7390</v>
      </c>
      <c r="I5121" s="148">
        <v>0</v>
      </c>
      <c r="J5121" s="46">
        <v>120</v>
      </c>
      <c r="K5121" s="46">
        <v>1</v>
      </c>
      <c r="L5121" s="46">
        <v>0</v>
      </c>
      <c r="M5121" s="46">
        <v>0</v>
      </c>
      <c r="N5121" s="46">
        <v>0</v>
      </c>
      <c r="O5121" s="46">
        <v>0</v>
      </c>
      <c r="P5121" s="47">
        <v>0</v>
      </c>
      <c r="Q5121" s="149" t="s">
        <v>154</v>
      </c>
    </row>
    <row r="5122" spans="1:17" s="162" customFormat="1" ht="120" x14ac:dyDescent="0.25">
      <c r="A5122" s="17">
        <v>41323</v>
      </c>
      <c r="B5122" s="17">
        <v>41323</v>
      </c>
      <c r="C5122" s="43">
        <v>2013</v>
      </c>
      <c r="D5122" s="24" t="s">
        <v>141</v>
      </c>
      <c r="E5122" s="30" t="s">
        <v>142</v>
      </c>
      <c r="F5122" s="7" t="s">
        <v>58</v>
      </c>
      <c r="G5122" s="146" t="s">
        <v>168</v>
      </c>
      <c r="H5122" s="147" t="s">
        <v>7391</v>
      </c>
      <c r="I5122" s="172">
        <v>3</v>
      </c>
      <c r="J5122" s="46">
        <v>7</v>
      </c>
      <c r="K5122" s="46">
        <v>0</v>
      </c>
      <c r="L5122" s="46">
        <v>0</v>
      </c>
      <c r="M5122" s="46">
        <v>0</v>
      </c>
      <c r="N5122" s="46">
        <v>0</v>
      </c>
      <c r="O5122" s="46">
        <v>0</v>
      </c>
      <c r="P5122" s="47">
        <v>0.1</v>
      </c>
      <c r="Q5122" s="149" t="s">
        <v>154</v>
      </c>
    </row>
    <row r="5123" spans="1:17" s="162" customFormat="1" ht="60" x14ac:dyDescent="0.25">
      <c r="A5123" s="17">
        <v>41324</v>
      </c>
      <c r="B5123" s="17">
        <v>41324</v>
      </c>
      <c r="C5123" s="43">
        <v>2013</v>
      </c>
      <c r="D5123" s="24" t="s">
        <v>141</v>
      </c>
      <c r="E5123" s="30" t="s">
        <v>142</v>
      </c>
      <c r="F5123" s="28" t="s">
        <v>210</v>
      </c>
      <c r="G5123" s="146" t="s">
        <v>1935</v>
      </c>
      <c r="H5123" s="147" t="s">
        <v>7392</v>
      </c>
      <c r="I5123" s="27">
        <v>0</v>
      </c>
      <c r="J5123" s="46">
        <v>70</v>
      </c>
      <c r="K5123" s="46">
        <v>0</v>
      </c>
      <c r="L5123" s="46">
        <v>0</v>
      </c>
      <c r="M5123" s="46">
        <v>0</v>
      </c>
      <c r="N5123" s="46">
        <v>0</v>
      </c>
      <c r="O5123" s="46">
        <v>0</v>
      </c>
      <c r="P5123" s="47">
        <v>0.4</v>
      </c>
      <c r="Q5123" s="149" t="s">
        <v>154</v>
      </c>
    </row>
    <row r="5124" spans="1:17" s="162" customFormat="1" ht="60" x14ac:dyDescent="0.25">
      <c r="A5124" s="17">
        <v>41326</v>
      </c>
      <c r="B5124" s="17">
        <v>41326</v>
      </c>
      <c r="C5124" s="43">
        <v>2013</v>
      </c>
      <c r="D5124" s="35" t="s">
        <v>28</v>
      </c>
      <c r="E5124" s="30" t="s">
        <v>133</v>
      </c>
      <c r="F5124" s="7" t="s">
        <v>53</v>
      </c>
      <c r="G5124" s="146" t="s">
        <v>6092</v>
      </c>
      <c r="H5124" s="147" t="s">
        <v>7393</v>
      </c>
      <c r="I5124" s="27">
        <v>1</v>
      </c>
      <c r="J5124" s="46">
        <v>1</v>
      </c>
      <c r="K5124" s="46">
        <v>0</v>
      </c>
      <c r="L5124" s="46">
        <v>0</v>
      </c>
      <c r="M5124" s="46">
        <v>0</v>
      </c>
      <c r="N5124" s="46">
        <v>1</v>
      </c>
      <c r="O5124" s="46">
        <v>0</v>
      </c>
      <c r="P5124" s="47">
        <v>0</v>
      </c>
      <c r="Q5124" s="149" t="s">
        <v>154</v>
      </c>
    </row>
    <row r="5125" spans="1:17" s="162" customFormat="1" ht="108" x14ac:dyDescent="0.25">
      <c r="A5125" s="17">
        <v>41327</v>
      </c>
      <c r="B5125" s="17">
        <v>41327</v>
      </c>
      <c r="C5125" s="43">
        <v>2013</v>
      </c>
      <c r="D5125" s="24" t="s">
        <v>141</v>
      </c>
      <c r="E5125" s="30" t="s">
        <v>142</v>
      </c>
      <c r="F5125" s="7" t="s">
        <v>87</v>
      </c>
      <c r="G5125" s="146" t="s">
        <v>2141</v>
      </c>
      <c r="H5125" s="147" t="s">
        <v>7394</v>
      </c>
      <c r="I5125" s="148">
        <v>2</v>
      </c>
      <c r="J5125" s="46">
        <v>5</v>
      </c>
      <c r="K5125" s="46">
        <v>0</v>
      </c>
      <c r="L5125" s="46">
        <v>0</v>
      </c>
      <c r="M5125" s="46">
        <v>0</v>
      </c>
      <c r="N5125" s="46">
        <v>0</v>
      </c>
      <c r="O5125" s="46">
        <v>0</v>
      </c>
      <c r="P5125" s="47">
        <v>0</v>
      </c>
      <c r="Q5125" s="149" t="s">
        <v>154</v>
      </c>
    </row>
    <row r="5126" spans="1:17" s="162" customFormat="1" ht="96" x14ac:dyDescent="0.25">
      <c r="A5126" s="17">
        <v>41329</v>
      </c>
      <c r="B5126" s="17">
        <v>41329</v>
      </c>
      <c r="C5126" s="43">
        <v>2013</v>
      </c>
      <c r="D5126" s="24" t="s">
        <v>141</v>
      </c>
      <c r="E5126" s="30" t="s">
        <v>142</v>
      </c>
      <c r="F5126" s="7" t="s">
        <v>80</v>
      </c>
      <c r="G5126" s="146" t="s">
        <v>7366</v>
      </c>
      <c r="H5126" s="147" t="s">
        <v>7395</v>
      </c>
      <c r="I5126" s="148">
        <v>0</v>
      </c>
      <c r="J5126" s="46">
        <v>4</v>
      </c>
      <c r="K5126" s="46">
        <v>0</v>
      </c>
      <c r="L5126" s="46">
        <v>0</v>
      </c>
      <c r="M5126" s="46">
        <v>0</v>
      </c>
      <c r="N5126" s="46">
        <v>0</v>
      </c>
      <c r="O5126" s="46">
        <v>0</v>
      </c>
      <c r="P5126" s="47">
        <v>0.5</v>
      </c>
      <c r="Q5126" s="149" t="s">
        <v>154</v>
      </c>
    </row>
    <row r="5127" spans="1:17" s="162" customFormat="1" ht="108" x14ac:dyDescent="0.25">
      <c r="A5127" s="17">
        <v>41329</v>
      </c>
      <c r="B5127" s="17">
        <v>41329</v>
      </c>
      <c r="C5127" s="43">
        <v>2013</v>
      </c>
      <c r="D5127" s="24" t="s">
        <v>141</v>
      </c>
      <c r="E5127" s="30" t="s">
        <v>142</v>
      </c>
      <c r="F5127" s="7" t="s">
        <v>56</v>
      </c>
      <c r="G5127" s="146" t="s">
        <v>2792</v>
      </c>
      <c r="H5127" s="147" t="s">
        <v>7396</v>
      </c>
      <c r="I5127" s="148">
        <v>2</v>
      </c>
      <c r="J5127" s="46">
        <v>40</v>
      </c>
      <c r="K5127" s="46">
        <v>0</v>
      </c>
      <c r="L5127" s="46">
        <v>0</v>
      </c>
      <c r="M5127" s="46">
        <v>0</v>
      </c>
      <c r="N5127" s="46">
        <v>0</v>
      </c>
      <c r="O5127" s="46">
        <v>0</v>
      </c>
      <c r="P5127" s="47">
        <v>0.4</v>
      </c>
      <c r="Q5127" s="149" t="s">
        <v>154</v>
      </c>
    </row>
    <row r="5128" spans="1:17" s="162" customFormat="1" ht="132" x14ac:dyDescent="0.25">
      <c r="A5128" s="17">
        <v>41329</v>
      </c>
      <c r="B5128" s="17">
        <v>41329</v>
      </c>
      <c r="C5128" s="43">
        <v>2013</v>
      </c>
      <c r="D5128" s="24" t="s">
        <v>141</v>
      </c>
      <c r="E5128" s="30" t="s">
        <v>142</v>
      </c>
      <c r="F5128" s="28" t="s">
        <v>160</v>
      </c>
      <c r="G5128" s="146" t="s">
        <v>7397</v>
      </c>
      <c r="H5128" s="147" t="s">
        <v>7398</v>
      </c>
      <c r="I5128" s="148">
        <v>1</v>
      </c>
      <c r="J5128" s="46">
        <v>2</v>
      </c>
      <c r="K5128" s="46">
        <v>0</v>
      </c>
      <c r="L5128" s="46">
        <v>0</v>
      </c>
      <c r="M5128" s="46">
        <v>0</v>
      </c>
      <c r="N5128" s="46">
        <v>0</v>
      </c>
      <c r="O5128" s="46">
        <v>0</v>
      </c>
      <c r="P5128" s="47">
        <v>0</v>
      </c>
      <c r="Q5128" s="149" t="s">
        <v>154</v>
      </c>
    </row>
    <row r="5129" spans="1:17" s="162" customFormat="1" ht="36" x14ac:dyDescent="0.25">
      <c r="A5129" s="17">
        <v>41329</v>
      </c>
      <c r="B5129" s="17">
        <v>41329</v>
      </c>
      <c r="C5129" s="43">
        <v>2013</v>
      </c>
      <c r="D5129" s="35" t="s">
        <v>28</v>
      </c>
      <c r="E5129" s="6" t="s">
        <v>149</v>
      </c>
      <c r="F5129" s="7" t="s">
        <v>53</v>
      </c>
      <c r="G5129" s="146" t="s">
        <v>460</v>
      </c>
      <c r="H5129" s="147" t="s">
        <v>7399</v>
      </c>
      <c r="I5129" s="148">
        <v>0</v>
      </c>
      <c r="J5129" s="46">
        <v>0</v>
      </c>
      <c r="K5129" s="46">
        <v>0</v>
      </c>
      <c r="L5129" s="46">
        <v>0</v>
      </c>
      <c r="M5129" s="46">
        <v>0</v>
      </c>
      <c r="N5129" s="46">
        <v>1</v>
      </c>
      <c r="O5129" s="46">
        <v>0</v>
      </c>
      <c r="P5129" s="47">
        <v>0</v>
      </c>
      <c r="Q5129" s="149" t="s">
        <v>154</v>
      </c>
    </row>
    <row r="5130" spans="1:17" s="162" customFormat="1" ht="36" x14ac:dyDescent="0.25">
      <c r="A5130" s="17">
        <v>41330</v>
      </c>
      <c r="B5130" s="17">
        <v>41330</v>
      </c>
      <c r="C5130" s="43">
        <v>2013</v>
      </c>
      <c r="D5130" s="35" t="s">
        <v>28</v>
      </c>
      <c r="E5130" s="6" t="s">
        <v>149</v>
      </c>
      <c r="F5130" s="7" t="s">
        <v>56</v>
      </c>
      <c r="G5130" s="146" t="s">
        <v>646</v>
      </c>
      <c r="H5130" s="147" t="s">
        <v>7400</v>
      </c>
      <c r="I5130" s="148">
        <v>0</v>
      </c>
      <c r="J5130" s="46">
        <v>0</v>
      </c>
      <c r="K5130" s="46">
        <v>0</v>
      </c>
      <c r="L5130" s="46">
        <v>0</v>
      </c>
      <c r="M5130" s="46">
        <v>0</v>
      </c>
      <c r="N5130" s="46">
        <v>0</v>
      </c>
      <c r="O5130" s="46">
        <v>0</v>
      </c>
      <c r="P5130" s="47">
        <v>0</v>
      </c>
      <c r="Q5130" s="149" t="s">
        <v>154</v>
      </c>
    </row>
    <row r="5131" spans="1:17" s="162" customFormat="1" ht="144" x14ac:dyDescent="0.25">
      <c r="A5131" s="17">
        <v>41332</v>
      </c>
      <c r="B5131" s="17">
        <v>41332</v>
      </c>
      <c r="C5131" s="43">
        <v>2013</v>
      </c>
      <c r="D5131" s="35" t="s">
        <v>28</v>
      </c>
      <c r="E5131" s="6" t="s">
        <v>149</v>
      </c>
      <c r="F5131" s="28" t="s">
        <v>157</v>
      </c>
      <c r="G5131" s="146" t="s">
        <v>6056</v>
      </c>
      <c r="H5131" s="147" t="s">
        <v>7401</v>
      </c>
      <c r="I5131" s="148">
        <v>0</v>
      </c>
      <c r="J5131" s="46">
        <v>2</v>
      </c>
      <c r="K5131" s="46">
        <v>0</v>
      </c>
      <c r="L5131" s="46">
        <v>0</v>
      </c>
      <c r="M5131" s="46">
        <v>0</v>
      </c>
      <c r="N5131" s="46">
        <v>1</v>
      </c>
      <c r="O5131" s="46">
        <v>0</v>
      </c>
      <c r="P5131" s="47">
        <v>0</v>
      </c>
      <c r="Q5131" s="149" t="s">
        <v>154</v>
      </c>
    </row>
    <row r="5132" spans="1:17" s="162" customFormat="1" ht="72" x14ac:dyDescent="0.25">
      <c r="A5132" s="17">
        <v>41327</v>
      </c>
      <c r="B5132" s="17">
        <v>41327</v>
      </c>
      <c r="C5132" s="43">
        <v>2013</v>
      </c>
      <c r="D5132" s="24" t="s">
        <v>141</v>
      </c>
      <c r="E5132" s="30" t="s">
        <v>142</v>
      </c>
      <c r="F5132" s="7" t="s">
        <v>40</v>
      </c>
      <c r="G5132" s="146" t="s">
        <v>7402</v>
      </c>
      <c r="H5132" s="147" t="s">
        <v>7403</v>
      </c>
      <c r="I5132" s="148">
        <v>0</v>
      </c>
      <c r="J5132" s="46">
        <v>0</v>
      </c>
      <c r="K5132" s="46">
        <v>0</v>
      </c>
      <c r="L5132" s="46">
        <v>0</v>
      </c>
      <c r="M5132" s="46">
        <v>0</v>
      </c>
      <c r="N5132" s="46">
        <v>0</v>
      </c>
      <c r="O5132" s="46">
        <v>0</v>
      </c>
      <c r="P5132" s="47">
        <v>0.35</v>
      </c>
      <c r="Q5132" s="149" t="s">
        <v>154</v>
      </c>
    </row>
    <row r="5133" spans="1:17" s="162" customFormat="1" ht="168" x14ac:dyDescent="0.25">
      <c r="A5133" s="17">
        <v>41333</v>
      </c>
      <c r="B5133" s="17">
        <v>41334</v>
      </c>
      <c r="C5133" s="43">
        <v>2013</v>
      </c>
      <c r="D5133" s="24" t="s">
        <v>141</v>
      </c>
      <c r="E5133" s="30" t="s">
        <v>142</v>
      </c>
      <c r="F5133" s="7" t="s">
        <v>84</v>
      </c>
      <c r="G5133" s="146" t="s">
        <v>7404</v>
      </c>
      <c r="H5133" s="147" t="s">
        <v>7405</v>
      </c>
      <c r="I5133" s="148">
        <v>1</v>
      </c>
      <c r="J5133" s="46">
        <v>15</v>
      </c>
      <c r="K5133" s="46">
        <v>0</v>
      </c>
      <c r="L5133" s="46">
        <v>0</v>
      </c>
      <c r="M5133" s="46">
        <v>0</v>
      </c>
      <c r="N5133" s="46">
        <v>0</v>
      </c>
      <c r="O5133" s="46">
        <v>0</v>
      </c>
      <c r="P5133" s="47">
        <v>0.5</v>
      </c>
      <c r="Q5133" s="149" t="s">
        <v>154</v>
      </c>
    </row>
    <row r="5134" spans="1:17" s="162" customFormat="1" ht="108" x14ac:dyDescent="0.25">
      <c r="A5134" s="17">
        <v>41335</v>
      </c>
      <c r="B5134" s="17">
        <v>41335</v>
      </c>
      <c r="C5134" s="43">
        <v>2013</v>
      </c>
      <c r="D5134" s="35" t="s">
        <v>28</v>
      </c>
      <c r="E5134" s="6" t="s">
        <v>149</v>
      </c>
      <c r="F5134" s="28" t="s">
        <v>157</v>
      </c>
      <c r="G5134" s="146" t="s">
        <v>5929</v>
      </c>
      <c r="H5134" s="147" t="s">
        <v>7406</v>
      </c>
      <c r="I5134" s="148">
        <v>1</v>
      </c>
      <c r="J5134" s="46">
        <v>83</v>
      </c>
      <c r="K5134" s="46">
        <v>1</v>
      </c>
      <c r="L5134" s="46">
        <v>0</v>
      </c>
      <c r="M5134" s="46">
        <v>0</v>
      </c>
      <c r="N5134" s="46">
        <v>0</v>
      </c>
      <c r="O5134" s="46">
        <v>0</v>
      </c>
      <c r="P5134" s="47">
        <v>0</v>
      </c>
      <c r="Q5134" s="149" t="s">
        <v>154</v>
      </c>
    </row>
    <row r="5135" spans="1:17" s="162" customFormat="1" ht="84" x14ac:dyDescent="0.25">
      <c r="A5135" s="17">
        <v>41333</v>
      </c>
      <c r="B5135" s="17">
        <v>41333</v>
      </c>
      <c r="C5135" s="43">
        <v>2013</v>
      </c>
      <c r="D5135" s="35" t="s">
        <v>28</v>
      </c>
      <c r="E5135" s="6" t="s">
        <v>149</v>
      </c>
      <c r="F5135" s="7" t="s">
        <v>53</v>
      </c>
      <c r="G5135" s="146" t="s">
        <v>5121</v>
      </c>
      <c r="H5135" s="147" t="s">
        <v>7407</v>
      </c>
      <c r="I5135" s="148">
        <v>0</v>
      </c>
      <c r="J5135" s="46">
        <v>300</v>
      </c>
      <c r="K5135" s="46">
        <v>0</v>
      </c>
      <c r="L5135" s="46">
        <v>0</v>
      </c>
      <c r="M5135" s="46">
        <v>0</v>
      </c>
      <c r="N5135" s="46">
        <v>0</v>
      </c>
      <c r="O5135" s="46">
        <v>0</v>
      </c>
      <c r="P5135" s="47">
        <v>0</v>
      </c>
      <c r="Q5135" s="149" t="s">
        <v>154</v>
      </c>
    </row>
    <row r="5136" spans="1:17" s="162" customFormat="1" ht="48" x14ac:dyDescent="0.25">
      <c r="A5136" s="17">
        <v>41337</v>
      </c>
      <c r="B5136" s="17">
        <v>41337</v>
      </c>
      <c r="C5136" s="43">
        <v>2013</v>
      </c>
      <c r="D5136" s="35" t="s">
        <v>28</v>
      </c>
      <c r="E5136" s="6" t="s">
        <v>149</v>
      </c>
      <c r="F5136" s="7" t="s">
        <v>53</v>
      </c>
      <c r="G5136" s="146" t="s">
        <v>1236</v>
      </c>
      <c r="H5136" s="147" t="s">
        <v>7408</v>
      </c>
      <c r="I5136" s="148">
        <v>0</v>
      </c>
      <c r="J5136" s="46">
        <v>0</v>
      </c>
      <c r="K5136" s="46">
        <v>0</v>
      </c>
      <c r="L5136" s="46">
        <v>0</v>
      </c>
      <c r="M5136" s="46">
        <v>0</v>
      </c>
      <c r="N5136" s="46">
        <v>1</v>
      </c>
      <c r="O5136" s="46">
        <v>0</v>
      </c>
      <c r="P5136" s="47">
        <v>0</v>
      </c>
      <c r="Q5136" s="149" t="s">
        <v>154</v>
      </c>
    </row>
    <row r="5137" spans="1:17" s="162" customFormat="1" ht="72" x14ac:dyDescent="0.25">
      <c r="A5137" s="17">
        <v>41333</v>
      </c>
      <c r="B5137" s="17">
        <v>41333</v>
      </c>
      <c r="C5137" s="43">
        <v>2013</v>
      </c>
      <c r="D5137" s="35" t="s">
        <v>28</v>
      </c>
      <c r="E5137" s="6" t="s">
        <v>149</v>
      </c>
      <c r="F5137" s="7" t="s">
        <v>33</v>
      </c>
      <c r="G5137" s="146" t="s">
        <v>247</v>
      </c>
      <c r="H5137" s="147" t="s">
        <v>7409</v>
      </c>
      <c r="I5137" s="148">
        <v>0</v>
      </c>
      <c r="J5137" s="46">
        <v>336</v>
      </c>
      <c r="K5137" s="46">
        <v>0</v>
      </c>
      <c r="L5137" s="46">
        <v>0</v>
      </c>
      <c r="M5137" s="46">
        <v>0</v>
      </c>
      <c r="N5137" s="46">
        <v>0</v>
      </c>
      <c r="O5137" s="46">
        <v>0</v>
      </c>
      <c r="P5137" s="47">
        <v>0.3</v>
      </c>
      <c r="Q5137" s="149" t="s">
        <v>154</v>
      </c>
    </row>
    <row r="5138" spans="1:17" s="162" customFormat="1" ht="84" x14ac:dyDescent="0.25">
      <c r="A5138" s="17">
        <v>41338</v>
      </c>
      <c r="B5138" s="17">
        <v>41338</v>
      </c>
      <c r="C5138" s="43">
        <v>2013</v>
      </c>
      <c r="D5138" s="24" t="s">
        <v>141</v>
      </c>
      <c r="E5138" s="30" t="s">
        <v>142</v>
      </c>
      <c r="F5138" s="7" t="s">
        <v>58</v>
      </c>
      <c r="G5138" s="146" t="s">
        <v>5487</v>
      </c>
      <c r="H5138" s="147" t="s">
        <v>7410</v>
      </c>
      <c r="I5138" s="148">
        <v>0</v>
      </c>
      <c r="J5138" s="46">
        <v>0</v>
      </c>
      <c r="K5138" s="46">
        <v>0</v>
      </c>
      <c r="L5138" s="46">
        <v>0</v>
      </c>
      <c r="M5138" s="46">
        <v>0</v>
      </c>
      <c r="N5138" s="46">
        <v>0</v>
      </c>
      <c r="O5138" s="46">
        <v>0</v>
      </c>
      <c r="P5138" s="47">
        <v>0.4</v>
      </c>
      <c r="Q5138" s="149" t="s">
        <v>154</v>
      </c>
    </row>
    <row r="5139" spans="1:17" s="162" customFormat="1" ht="108" x14ac:dyDescent="0.25">
      <c r="A5139" s="17">
        <v>41338</v>
      </c>
      <c r="B5139" s="17">
        <v>41338</v>
      </c>
      <c r="C5139" s="43">
        <v>2013</v>
      </c>
      <c r="D5139" s="24" t="s">
        <v>141</v>
      </c>
      <c r="E5139" s="30" t="s">
        <v>142</v>
      </c>
      <c r="F5139" s="7" t="s">
        <v>58</v>
      </c>
      <c r="G5139" s="146" t="s">
        <v>2769</v>
      </c>
      <c r="H5139" s="147" t="s">
        <v>7411</v>
      </c>
      <c r="I5139" s="148">
        <v>0</v>
      </c>
      <c r="J5139" s="46">
        <v>2</v>
      </c>
      <c r="K5139" s="46">
        <v>0</v>
      </c>
      <c r="L5139" s="46">
        <v>0</v>
      </c>
      <c r="M5139" s="46">
        <v>0</v>
      </c>
      <c r="N5139" s="46">
        <v>0</v>
      </c>
      <c r="O5139" s="46">
        <v>0</v>
      </c>
      <c r="P5139" s="47">
        <v>0.25</v>
      </c>
      <c r="Q5139" s="149" t="s">
        <v>154</v>
      </c>
    </row>
    <row r="5140" spans="1:17" s="162" customFormat="1" ht="72" x14ac:dyDescent="0.25">
      <c r="A5140" s="17">
        <v>41338</v>
      </c>
      <c r="B5140" s="17">
        <v>41338</v>
      </c>
      <c r="C5140" s="43">
        <v>2013</v>
      </c>
      <c r="D5140" s="24" t="s">
        <v>141</v>
      </c>
      <c r="E5140" s="30" t="s">
        <v>142</v>
      </c>
      <c r="F5140" s="28" t="s">
        <v>210</v>
      </c>
      <c r="G5140" s="146" t="s">
        <v>6886</v>
      </c>
      <c r="H5140" s="147" t="s">
        <v>7412</v>
      </c>
      <c r="I5140" s="148">
        <v>0</v>
      </c>
      <c r="J5140" s="46">
        <v>1</v>
      </c>
      <c r="K5140" s="46">
        <v>0</v>
      </c>
      <c r="L5140" s="46">
        <v>0</v>
      </c>
      <c r="M5140" s="46">
        <v>0</v>
      </c>
      <c r="N5140" s="46">
        <v>0</v>
      </c>
      <c r="O5140" s="46">
        <v>0</v>
      </c>
      <c r="P5140" s="47">
        <v>0.2</v>
      </c>
      <c r="Q5140" s="149" t="s">
        <v>154</v>
      </c>
    </row>
    <row r="5141" spans="1:17" s="162" customFormat="1" ht="108" x14ac:dyDescent="0.25">
      <c r="A5141" s="17">
        <v>41340</v>
      </c>
      <c r="B5141" s="17">
        <v>41340</v>
      </c>
      <c r="C5141" s="43">
        <v>2013</v>
      </c>
      <c r="D5141" s="24" t="s">
        <v>141</v>
      </c>
      <c r="E5141" s="30" t="s">
        <v>142</v>
      </c>
      <c r="F5141" s="7" t="s">
        <v>87</v>
      </c>
      <c r="G5141" s="146" t="s">
        <v>936</v>
      </c>
      <c r="H5141" s="147" t="s">
        <v>7413</v>
      </c>
      <c r="I5141" s="148">
        <v>2</v>
      </c>
      <c r="J5141" s="46">
        <v>26</v>
      </c>
      <c r="K5141" s="46">
        <v>0</v>
      </c>
      <c r="L5141" s="46">
        <v>0</v>
      </c>
      <c r="M5141" s="46">
        <v>0</v>
      </c>
      <c r="N5141" s="46">
        <v>0</v>
      </c>
      <c r="O5141" s="46">
        <v>0</v>
      </c>
      <c r="P5141" s="47">
        <v>0</v>
      </c>
      <c r="Q5141" s="149" t="s">
        <v>154</v>
      </c>
    </row>
    <row r="5142" spans="1:17" s="162" customFormat="1" ht="96" x14ac:dyDescent="0.25">
      <c r="A5142" s="17">
        <v>41340</v>
      </c>
      <c r="B5142" s="17">
        <v>41340</v>
      </c>
      <c r="C5142" s="43">
        <v>2013</v>
      </c>
      <c r="D5142" s="24" t="s">
        <v>141</v>
      </c>
      <c r="E5142" s="41" t="s">
        <v>1965</v>
      </c>
      <c r="F5142" s="7" t="s">
        <v>45</v>
      </c>
      <c r="G5142" s="146" t="s">
        <v>1601</v>
      </c>
      <c r="H5142" s="147" t="s">
        <v>7414</v>
      </c>
      <c r="I5142" s="148">
        <v>1</v>
      </c>
      <c r="J5142" s="46">
        <v>3</v>
      </c>
      <c r="K5142" s="46">
        <v>0</v>
      </c>
      <c r="L5142" s="46">
        <v>0</v>
      </c>
      <c r="M5142" s="46">
        <v>0</v>
      </c>
      <c r="N5142" s="46">
        <v>0</v>
      </c>
      <c r="O5142" s="46">
        <v>0</v>
      </c>
      <c r="P5142" s="47">
        <v>0</v>
      </c>
      <c r="Q5142" s="149" t="s">
        <v>154</v>
      </c>
    </row>
    <row r="5143" spans="1:17" s="162" customFormat="1" ht="84" x14ac:dyDescent="0.25">
      <c r="A5143" s="17">
        <v>41341</v>
      </c>
      <c r="B5143" s="17">
        <v>41341</v>
      </c>
      <c r="C5143" s="43">
        <v>2013</v>
      </c>
      <c r="D5143" s="24" t="s">
        <v>141</v>
      </c>
      <c r="E5143" s="41" t="s">
        <v>1958</v>
      </c>
      <c r="F5143" s="7" t="s">
        <v>87</v>
      </c>
      <c r="G5143" s="146" t="s">
        <v>2608</v>
      </c>
      <c r="H5143" s="147" t="s">
        <v>7415</v>
      </c>
      <c r="I5143" s="148">
        <v>0</v>
      </c>
      <c r="J5143" s="46">
        <v>526</v>
      </c>
      <c r="K5143" s="46">
        <v>0</v>
      </c>
      <c r="L5143" s="46">
        <v>0</v>
      </c>
      <c r="M5143" s="46">
        <v>0</v>
      </c>
      <c r="N5143" s="46">
        <v>0</v>
      </c>
      <c r="O5143" s="46">
        <v>0</v>
      </c>
      <c r="P5143" s="47">
        <v>0</v>
      </c>
      <c r="Q5143" s="149" t="s">
        <v>154</v>
      </c>
    </row>
    <row r="5144" spans="1:17" s="162" customFormat="1" ht="96" x14ac:dyDescent="0.25">
      <c r="A5144" s="17">
        <v>41343</v>
      </c>
      <c r="B5144" s="17">
        <v>41343</v>
      </c>
      <c r="C5144" s="43">
        <v>2013</v>
      </c>
      <c r="D5144" s="24" t="s">
        <v>141</v>
      </c>
      <c r="E5144" s="30" t="s">
        <v>142</v>
      </c>
      <c r="F5144" s="7" t="s">
        <v>62</v>
      </c>
      <c r="G5144" s="146" t="s">
        <v>1011</v>
      </c>
      <c r="H5144" s="147" t="s">
        <v>7416</v>
      </c>
      <c r="I5144" s="148">
        <v>0</v>
      </c>
      <c r="J5144" s="46">
        <v>17</v>
      </c>
      <c r="K5144" s="46">
        <v>0</v>
      </c>
      <c r="L5144" s="46">
        <v>0</v>
      </c>
      <c r="M5144" s="46">
        <v>0</v>
      </c>
      <c r="N5144" s="46">
        <v>0</v>
      </c>
      <c r="O5144" s="46">
        <v>0</v>
      </c>
      <c r="P5144" s="47">
        <v>0</v>
      </c>
      <c r="Q5144" s="149" t="s">
        <v>154</v>
      </c>
    </row>
    <row r="5145" spans="1:17" s="162" customFormat="1" ht="72" x14ac:dyDescent="0.25">
      <c r="A5145" s="17">
        <v>41344</v>
      </c>
      <c r="B5145" s="17">
        <v>41344</v>
      </c>
      <c r="C5145" s="43">
        <v>2013</v>
      </c>
      <c r="D5145" s="24" t="s">
        <v>141</v>
      </c>
      <c r="E5145" s="30" t="s">
        <v>1600</v>
      </c>
      <c r="F5145" s="7" t="s">
        <v>84</v>
      </c>
      <c r="G5145" s="146" t="s">
        <v>7417</v>
      </c>
      <c r="H5145" s="147" t="s">
        <v>7418</v>
      </c>
      <c r="I5145" s="148">
        <v>1</v>
      </c>
      <c r="J5145" s="46">
        <v>2</v>
      </c>
      <c r="K5145" s="46">
        <v>0</v>
      </c>
      <c r="L5145" s="46">
        <v>0</v>
      </c>
      <c r="M5145" s="46">
        <v>0</v>
      </c>
      <c r="N5145" s="46">
        <v>0</v>
      </c>
      <c r="O5145" s="46">
        <v>0</v>
      </c>
      <c r="P5145" s="47">
        <v>0</v>
      </c>
      <c r="Q5145" s="149" t="s">
        <v>154</v>
      </c>
    </row>
    <row r="5146" spans="1:17" s="162" customFormat="1" ht="168" x14ac:dyDescent="0.25">
      <c r="A5146" s="17">
        <v>41345</v>
      </c>
      <c r="B5146" s="17">
        <v>41345</v>
      </c>
      <c r="C5146" s="43">
        <v>2013</v>
      </c>
      <c r="D5146" s="35" t="s">
        <v>28</v>
      </c>
      <c r="E5146" s="30" t="s">
        <v>125</v>
      </c>
      <c r="F5146" s="28" t="s">
        <v>210</v>
      </c>
      <c r="G5146" s="146" t="s">
        <v>3717</v>
      </c>
      <c r="H5146" s="147" t="s">
        <v>7419</v>
      </c>
      <c r="I5146" s="148">
        <v>0</v>
      </c>
      <c r="J5146" s="46">
        <v>516</v>
      </c>
      <c r="K5146" s="46">
        <v>0</v>
      </c>
      <c r="L5146" s="46">
        <v>0</v>
      </c>
      <c r="M5146" s="46">
        <v>0</v>
      </c>
      <c r="N5146" s="46">
        <v>0</v>
      </c>
      <c r="O5146" s="46">
        <v>0</v>
      </c>
      <c r="P5146" s="47">
        <v>0</v>
      </c>
      <c r="Q5146" s="149" t="s">
        <v>154</v>
      </c>
    </row>
    <row r="5147" spans="1:17" s="162" customFormat="1" ht="72" x14ac:dyDescent="0.25">
      <c r="A5147" s="17">
        <v>41347</v>
      </c>
      <c r="B5147" s="17">
        <v>41347</v>
      </c>
      <c r="C5147" s="43">
        <v>2013</v>
      </c>
      <c r="D5147" s="24" t="s">
        <v>141</v>
      </c>
      <c r="E5147" s="30" t="s">
        <v>1600</v>
      </c>
      <c r="F5147" s="7" t="s">
        <v>75</v>
      </c>
      <c r="G5147" s="146" t="s">
        <v>75</v>
      </c>
      <c r="H5147" s="147" t="s">
        <v>7420</v>
      </c>
      <c r="I5147" s="148">
        <v>0</v>
      </c>
      <c r="J5147" s="46">
        <v>4</v>
      </c>
      <c r="K5147" s="46">
        <v>0</v>
      </c>
      <c r="L5147" s="46">
        <v>0</v>
      </c>
      <c r="M5147" s="46">
        <v>0</v>
      </c>
      <c r="N5147" s="46">
        <v>0</v>
      </c>
      <c r="O5147" s="46">
        <v>0</v>
      </c>
      <c r="P5147" s="47">
        <v>0</v>
      </c>
      <c r="Q5147" s="149" t="s">
        <v>154</v>
      </c>
    </row>
    <row r="5148" spans="1:17" s="162" customFormat="1" ht="84" x14ac:dyDescent="0.25">
      <c r="A5148" s="23">
        <v>41347</v>
      </c>
      <c r="B5148" s="23">
        <v>41347</v>
      </c>
      <c r="C5148" s="43">
        <v>2013</v>
      </c>
      <c r="D5148" s="35" t="s">
        <v>28</v>
      </c>
      <c r="E5148" s="30" t="s">
        <v>133</v>
      </c>
      <c r="F5148" s="7" t="s">
        <v>91</v>
      </c>
      <c r="G5148" s="146" t="s">
        <v>2315</v>
      </c>
      <c r="H5148" s="147" t="s">
        <v>7421</v>
      </c>
      <c r="I5148" s="148">
        <v>0</v>
      </c>
      <c r="J5148" s="46">
        <v>62</v>
      </c>
      <c r="K5148" s="46">
        <v>0</v>
      </c>
      <c r="L5148" s="46">
        <v>1</v>
      </c>
      <c r="M5148" s="46">
        <v>0</v>
      </c>
      <c r="N5148" s="46">
        <v>0</v>
      </c>
      <c r="O5148" s="46">
        <v>0</v>
      </c>
      <c r="P5148" s="47">
        <v>0</v>
      </c>
      <c r="Q5148" s="149" t="s">
        <v>154</v>
      </c>
    </row>
    <row r="5149" spans="1:17" s="162" customFormat="1" ht="84" x14ac:dyDescent="0.25">
      <c r="A5149" s="17">
        <v>41351</v>
      </c>
      <c r="B5149" s="17">
        <v>41351</v>
      </c>
      <c r="C5149" s="43">
        <v>2013</v>
      </c>
      <c r="D5149" s="35" t="s">
        <v>28</v>
      </c>
      <c r="E5149" s="6" t="s">
        <v>149</v>
      </c>
      <c r="F5149" s="7" t="s">
        <v>53</v>
      </c>
      <c r="G5149" s="146" t="s">
        <v>2805</v>
      </c>
      <c r="H5149" s="147" t="s">
        <v>7422</v>
      </c>
      <c r="I5149" s="148">
        <v>0</v>
      </c>
      <c r="J5149" s="46">
        <v>4</v>
      </c>
      <c r="K5149" s="46">
        <v>0</v>
      </c>
      <c r="L5149" s="46">
        <v>0</v>
      </c>
      <c r="M5149" s="46">
        <v>0</v>
      </c>
      <c r="N5149" s="46">
        <v>1</v>
      </c>
      <c r="O5149" s="46">
        <v>0</v>
      </c>
      <c r="P5149" s="47">
        <v>0</v>
      </c>
      <c r="Q5149" s="149" t="s">
        <v>154</v>
      </c>
    </row>
    <row r="5150" spans="1:17" s="162" customFormat="1" ht="48" x14ac:dyDescent="0.25">
      <c r="A5150" s="17">
        <v>41346</v>
      </c>
      <c r="B5150" s="17">
        <v>41346</v>
      </c>
      <c r="C5150" s="43">
        <v>2013</v>
      </c>
      <c r="D5150" s="35" t="s">
        <v>28</v>
      </c>
      <c r="E5150" s="6" t="s">
        <v>149</v>
      </c>
      <c r="F5150" s="7" t="s">
        <v>30</v>
      </c>
      <c r="G5150" s="146" t="s">
        <v>1078</v>
      </c>
      <c r="H5150" s="147" t="s">
        <v>7423</v>
      </c>
      <c r="I5150" s="148">
        <v>0</v>
      </c>
      <c r="J5150" s="46">
        <v>8</v>
      </c>
      <c r="K5150" s="46">
        <v>0</v>
      </c>
      <c r="L5150" s="46">
        <v>0</v>
      </c>
      <c r="M5150" s="46">
        <v>0</v>
      </c>
      <c r="N5150" s="46">
        <v>1</v>
      </c>
      <c r="O5150" s="46">
        <v>0</v>
      </c>
      <c r="P5150" s="47">
        <v>0</v>
      </c>
      <c r="Q5150" s="149" t="s">
        <v>154</v>
      </c>
    </row>
    <row r="5151" spans="1:17" s="162" customFormat="1" ht="60" x14ac:dyDescent="0.25">
      <c r="A5151" s="17">
        <v>41363</v>
      </c>
      <c r="B5151" s="17">
        <v>41363</v>
      </c>
      <c r="C5151" s="43">
        <v>2013</v>
      </c>
      <c r="D5151" s="24" t="s">
        <v>141</v>
      </c>
      <c r="E5151" s="30" t="s">
        <v>142</v>
      </c>
      <c r="F5151" s="7" t="s">
        <v>36</v>
      </c>
      <c r="G5151" s="146" t="s">
        <v>2276</v>
      </c>
      <c r="H5151" s="147" t="s">
        <v>7424</v>
      </c>
      <c r="I5151" s="148">
        <v>0</v>
      </c>
      <c r="J5151" s="46">
        <v>8</v>
      </c>
      <c r="K5151" s="46">
        <v>0</v>
      </c>
      <c r="L5151" s="46">
        <v>0</v>
      </c>
      <c r="M5151" s="46">
        <v>0</v>
      </c>
      <c r="N5151" s="46">
        <v>0</v>
      </c>
      <c r="O5151" s="46">
        <v>0</v>
      </c>
      <c r="P5151" s="47">
        <v>0</v>
      </c>
      <c r="Q5151" s="149" t="s">
        <v>154</v>
      </c>
    </row>
    <row r="5152" spans="1:17" s="162" customFormat="1" ht="96" x14ac:dyDescent="0.25">
      <c r="A5152" s="17">
        <v>41359</v>
      </c>
      <c r="B5152" s="17">
        <v>41359</v>
      </c>
      <c r="C5152" s="43">
        <v>2013</v>
      </c>
      <c r="D5152" s="24" t="s">
        <v>141</v>
      </c>
      <c r="E5152" s="30" t="s">
        <v>142</v>
      </c>
      <c r="F5152" s="7" t="s">
        <v>40</v>
      </c>
      <c r="G5152" s="146" t="s">
        <v>40</v>
      </c>
      <c r="H5152" s="147" t="s">
        <v>7425</v>
      </c>
      <c r="I5152" s="148">
        <v>3</v>
      </c>
      <c r="J5152" s="46">
        <v>15</v>
      </c>
      <c r="K5152" s="46">
        <v>0</v>
      </c>
      <c r="L5152" s="46">
        <v>0</v>
      </c>
      <c r="M5152" s="46">
        <v>0</v>
      </c>
      <c r="N5152" s="46">
        <v>0</v>
      </c>
      <c r="O5152" s="46">
        <v>0</v>
      </c>
      <c r="P5152" s="47">
        <v>0.3</v>
      </c>
      <c r="Q5152" s="149" t="s">
        <v>154</v>
      </c>
    </row>
    <row r="5153" spans="1:17" s="162" customFormat="1" ht="73.5" x14ac:dyDescent="0.25">
      <c r="A5153" s="17">
        <v>41358</v>
      </c>
      <c r="B5153" s="17">
        <v>41358</v>
      </c>
      <c r="C5153" s="43">
        <v>2013</v>
      </c>
      <c r="D5153" s="35" t="s">
        <v>28</v>
      </c>
      <c r="E5153" s="6" t="s">
        <v>149</v>
      </c>
      <c r="F5153" s="28" t="s">
        <v>157</v>
      </c>
      <c r="G5153" s="146" t="s">
        <v>3664</v>
      </c>
      <c r="H5153" s="147" t="s">
        <v>7426</v>
      </c>
      <c r="I5153" s="148">
        <v>0</v>
      </c>
      <c r="J5153" s="46">
        <v>150</v>
      </c>
      <c r="K5153" s="46">
        <v>10</v>
      </c>
      <c r="L5153" s="46">
        <v>0</v>
      </c>
      <c r="M5153" s="46">
        <v>0</v>
      </c>
      <c r="N5153" s="46">
        <v>0</v>
      </c>
      <c r="O5153" s="46">
        <v>0</v>
      </c>
      <c r="P5153" s="47">
        <v>0</v>
      </c>
      <c r="Q5153" s="149" t="s">
        <v>154</v>
      </c>
    </row>
    <row r="5154" spans="1:17" s="162" customFormat="1" ht="61.5" x14ac:dyDescent="0.25">
      <c r="A5154" s="17">
        <v>41355</v>
      </c>
      <c r="B5154" s="17">
        <v>41355</v>
      </c>
      <c r="C5154" s="43">
        <v>2013</v>
      </c>
      <c r="D5154" s="35" t="s">
        <v>28</v>
      </c>
      <c r="E5154" s="6" t="s">
        <v>149</v>
      </c>
      <c r="F5154" s="7" t="s">
        <v>53</v>
      </c>
      <c r="G5154" s="146" t="s">
        <v>1304</v>
      </c>
      <c r="H5154" s="147" t="s">
        <v>7427</v>
      </c>
      <c r="I5154" s="148">
        <v>0</v>
      </c>
      <c r="J5154" s="46">
        <v>0</v>
      </c>
      <c r="K5154" s="46">
        <v>0</v>
      </c>
      <c r="L5154" s="46">
        <v>0</v>
      </c>
      <c r="M5154" s="46">
        <v>0</v>
      </c>
      <c r="N5154" s="46">
        <v>1</v>
      </c>
      <c r="O5154" s="46">
        <v>0</v>
      </c>
      <c r="P5154" s="47">
        <v>0</v>
      </c>
      <c r="Q5154" s="149" t="s">
        <v>154</v>
      </c>
    </row>
    <row r="5155" spans="1:17" s="162" customFormat="1" ht="108" x14ac:dyDescent="0.25">
      <c r="A5155" s="17">
        <v>41352</v>
      </c>
      <c r="B5155" s="17">
        <v>41352</v>
      </c>
      <c r="C5155" s="43">
        <v>2013</v>
      </c>
      <c r="D5155" s="35" t="s">
        <v>28</v>
      </c>
      <c r="E5155" s="6" t="s">
        <v>149</v>
      </c>
      <c r="F5155" s="7" t="s">
        <v>56</v>
      </c>
      <c r="G5155" s="146" t="s">
        <v>4907</v>
      </c>
      <c r="H5155" s="147" t="s">
        <v>7428</v>
      </c>
      <c r="I5155" s="148">
        <v>0</v>
      </c>
      <c r="J5155" s="46">
        <v>6</v>
      </c>
      <c r="K5155" s="46">
        <v>0</v>
      </c>
      <c r="L5155" s="46">
        <v>0</v>
      </c>
      <c r="M5155" s="46">
        <v>0</v>
      </c>
      <c r="N5155" s="46">
        <v>1</v>
      </c>
      <c r="O5155" s="46">
        <v>0</v>
      </c>
      <c r="P5155" s="47">
        <v>0</v>
      </c>
      <c r="Q5155" s="149" t="s">
        <v>154</v>
      </c>
    </row>
    <row r="5156" spans="1:17" s="162" customFormat="1" ht="72" x14ac:dyDescent="0.25">
      <c r="A5156" s="17">
        <v>41352</v>
      </c>
      <c r="B5156" s="17">
        <v>41352</v>
      </c>
      <c r="C5156" s="43">
        <v>2013</v>
      </c>
      <c r="D5156" s="35" t="s">
        <v>28</v>
      </c>
      <c r="E5156" s="6" t="s">
        <v>149</v>
      </c>
      <c r="F5156" s="7" t="s">
        <v>58</v>
      </c>
      <c r="G5156" s="146" t="s">
        <v>5572</v>
      </c>
      <c r="H5156" s="147" t="s">
        <v>7429</v>
      </c>
      <c r="I5156" s="148">
        <v>2</v>
      </c>
      <c r="J5156" s="46">
        <v>5</v>
      </c>
      <c r="K5156" s="46">
        <v>1</v>
      </c>
      <c r="L5156" s="46">
        <v>0</v>
      </c>
      <c r="M5156" s="46">
        <v>0</v>
      </c>
      <c r="N5156" s="46">
        <v>0</v>
      </c>
      <c r="O5156" s="46">
        <v>0</v>
      </c>
      <c r="P5156" s="47">
        <v>0</v>
      </c>
      <c r="Q5156" s="149" t="s">
        <v>154</v>
      </c>
    </row>
    <row r="5157" spans="1:17" s="162" customFormat="1" ht="60" x14ac:dyDescent="0.25">
      <c r="A5157" s="17">
        <v>41361</v>
      </c>
      <c r="B5157" s="17">
        <v>41361</v>
      </c>
      <c r="C5157" s="43">
        <v>2013</v>
      </c>
      <c r="D5157" s="24" t="s">
        <v>141</v>
      </c>
      <c r="E5157" s="30" t="s">
        <v>142</v>
      </c>
      <c r="F5157" s="7" t="s">
        <v>58</v>
      </c>
      <c r="G5157" s="146" t="s">
        <v>123</v>
      </c>
      <c r="H5157" s="147" t="s">
        <v>7430</v>
      </c>
      <c r="I5157" s="148">
        <v>0</v>
      </c>
      <c r="J5157" s="46">
        <v>11</v>
      </c>
      <c r="K5157" s="46">
        <v>0</v>
      </c>
      <c r="L5157" s="46">
        <v>0</v>
      </c>
      <c r="M5157" s="46">
        <v>0</v>
      </c>
      <c r="N5157" s="46">
        <v>0</v>
      </c>
      <c r="O5157" s="46">
        <v>0</v>
      </c>
      <c r="P5157" s="47">
        <v>0.3</v>
      </c>
      <c r="Q5157" s="149" t="s">
        <v>154</v>
      </c>
    </row>
    <row r="5158" spans="1:17" s="162" customFormat="1" ht="84" x14ac:dyDescent="0.25">
      <c r="A5158" s="17">
        <v>41363</v>
      </c>
      <c r="B5158" s="17">
        <v>41363</v>
      </c>
      <c r="C5158" s="43">
        <v>2013</v>
      </c>
      <c r="D5158" s="24" t="s">
        <v>141</v>
      </c>
      <c r="E5158" s="30" t="s">
        <v>142</v>
      </c>
      <c r="F5158" s="28" t="s">
        <v>160</v>
      </c>
      <c r="G5158" s="146" t="s">
        <v>7431</v>
      </c>
      <c r="H5158" s="147" t="s">
        <v>7432</v>
      </c>
      <c r="I5158" s="148">
        <v>2</v>
      </c>
      <c r="J5158" s="46">
        <v>10</v>
      </c>
      <c r="K5158" s="46">
        <v>0</v>
      </c>
      <c r="L5158" s="46">
        <v>0</v>
      </c>
      <c r="M5158" s="46">
        <v>0</v>
      </c>
      <c r="N5158" s="46">
        <v>0</v>
      </c>
      <c r="O5158" s="46">
        <v>0</v>
      </c>
      <c r="P5158" s="47">
        <v>0</v>
      </c>
      <c r="Q5158" s="149" t="s">
        <v>154</v>
      </c>
    </row>
    <row r="5159" spans="1:17" s="162" customFormat="1" ht="84" x14ac:dyDescent="0.25">
      <c r="A5159" s="17">
        <v>41355</v>
      </c>
      <c r="B5159" s="17">
        <v>41355</v>
      </c>
      <c r="C5159" s="43">
        <v>2013</v>
      </c>
      <c r="D5159" s="24" t="s">
        <v>141</v>
      </c>
      <c r="E5159" s="30" t="s">
        <v>142</v>
      </c>
      <c r="F5159" s="7" t="s">
        <v>60</v>
      </c>
      <c r="G5159" s="146" t="s">
        <v>924</v>
      </c>
      <c r="H5159" s="147" t="s">
        <v>7433</v>
      </c>
      <c r="I5159" s="148">
        <v>0</v>
      </c>
      <c r="J5159" s="46">
        <v>0</v>
      </c>
      <c r="K5159" s="46">
        <v>0</v>
      </c>
      <c r="L5159" s="46">
        <v>0</v>
      </c>
      <c r="M5159" s="46">
        <v>0</v>
      </c>
      <c r="N5159" s="46">
        <v>0</v>
      </c>
      <c r="O5159" s="46">
        <v>0</v>
      </c>
      <c r="P5159" s="47">
        <v>0.4</v>
      </c>
      <c r="Q5159" s="149" t="s">
        <v>154</v>
      </c>
    </row>
    <row r="5160" spans="1:17" s="162" customFormat="1" ht="60" x14ac:dyDescent="0.25">
      <c r="A5160" s="17">
        <v>41359</v>
      </c>
      <c r="B5160" s="17">
        <v>41359</v>
      </c>
      <c r="C5160" s="43">
        <v>2013</v>
      </c>
      <c r="D5160" s="35" t="s">
        <v>28</v>
      </c>
      <c r="E5160" s="30" t="s">
        <v>125</v>
      </c>
      <c r="F5160" s="7" t="s">
        <v>87</v>
      </c>
      <c r="G5160" s="146" t="s">
        <v>2671</v>
      </c>
      <c r="H5160" s="147" t="s">
        <v>7434</v>
      </c>
      <c r="I5160" s="148">
        <v>0</v>
      </c>
      <c r="J5160" s="46">
        <v>15</v>
      </c>
      <c r="K5160" s="46">
        <v>0</v>
      </c>
      <c r="L5160" s="46">
        <v>0</v>
      </c>
      <c r="M5160" s="46">
        <v>0</v>
      </c>
      <c r="N5160" s="46">
        <v>0</v>
      </c>
      <c r="O5160" s="46">
        <v>0</v>
      </c>
      <c r="P5160" s="47">
        <v>0</v>
      </c>
      <c r="Q5160" s="149" t="s">
        <v>154</v>
      </c>
    </row>
    <row r="5161" spans="1:17" s="162" customFormat="1" ht="96" x14ac:dyDescent="0.25">
      <c r="A5161" s="17">
        <v>41365</v>
      </c>
      <c r="B5161" s="17">
        <v>41365</v>
      </c>
      <c r="C5161" s="43">
        <v>2013</v>
      </c>
      <c r="D5161" s="24" t="s">
        <v>141</v>
      </c>
      <c r="E5161" s="30" t="s">
        <v>142</v>
      </c>
      <c r="F5161" s="7" t="s">
        <v>56</v>
      </c>
      <c r="G5161" s="146" t="s">
        <v>2281</v>
      </c>
      <c r="H5161" s="147" t="s">
        <v>7435</v>
      </c>
      <c r="I5161" s="148">
        <v>0</v>
      </c>
      <c r="J5161" s="46">
        <v>8</v>
      </c>
      <c r="K5161" s="46">
        <v>0</v>
      </c>
      <c r="L5161" s="46">
        <v>0</v>
      </c>
      <c r="M5161" s="46">
        <v>0</v>
      </c>
      <c r="N5161" s="46">
        <v>0</v>
      </c>
      <c r="O5161" s="46">
        <v>0</v>
      </c>
      <c r="P5161" s="47">
        <v>0</v>
      </c>
      <c r="Q5161" s="149" t="s">
        <v>154</v>
      </c>
    </row>
    <row r="5162" spans="1:17" s="162" customFormat="1" ht="60" x14ac:dyDescent="0.25">
      <c r="A5162" s="17">
        <v>41365</v>
      </c>
      <c r="B5162" s="17">
        <v>41365</v>
      </c>
      <c r="C5162" s="43">
        <v>2013</v>
      </c>
      <c r="D5162" s="35" t="s">
        <v>28</v>
      </c>
      <c r="E5162" s="6" t="s">
        <v>149</v>
      </c>
      <c r="F5162" s="7" t="s">
        <v>56</v>
      </c>
      <c r="G5162" s="146" t="s">
        <v>3722</v>
      </c>
      <c r="H5162" s="147" t="s">
        <v>7436</v>
      </c>
      <c r="I5162" s="148">
        <v>0</v>
      </c>
      <c r="J5162" s="46">
        <v>20</v>
      </c>
      <c r="K5162" s="46">
        <v>0</v>
      </c>
      <c r="L5162" s="46">
        <v>0</v>
      </c>
      <c r="M5162" s="46">
        <v>0</v>
      </c>
      <c r="N5162" s="46">
        <v>1</v>
      </c>
      <c r="O5162" s="46">
        <v>0</v>
      </c>
      <c r="P5162" s="47">
        <v>0</v>
      </c>
      <c r="Q5162" s="149" t="s">
        <v>154</v>
      </c>
    </row>
    <row r="5163" spans="1:17" s="162" customFormat="1" ht="108" x14ac:dyDescent="0.25">
      <c r="A5163" s="17">
        <v>41362</v>
      </c>
      <c r="B5163" s="17">
        <v>41362</v>
      </c>
      <c r="C5163" s="43">
        <v>2013</v>
      </c>
      <c r="D5163" s="24" t="s">
        <v>141</v>
      </c>
      <c r="E5163" s="30" t="s">
        <v>142</v>
      </c>
      <c r="F5163" s="7" t="s">
        <v>62</v>
      </c>
      <c r="G5163" s="146" t="s">
        <v>2562</v>
      </c>
      <c r="H5163" s="147" t="s">
        <v>7437</v>
      </c>
      <c r="I5163" s="148">
        <v>0</v>
      </c>
      <c r="J5163" s="46">
        <v>0</v>
      </c>
      <c r="K5163" s="46">
        <v>0</v>
      </c>
      <c r="L5163" s="46">
        <v>0</v>
      </c>
      <c r="M5163" s="46">
        <v>0</v>
      </c>
      <c r="N5163" s="46">
        <v>0</v>
      </c>
      <c r="O5163" s="46">
        <v>0</v>
      </c>
      <c r="P5163" s="47">
        <v>0.45</v>
      </c>
      <c r="Q5163" s="149" t="s">
        <v>154</v>
      </c>
    </row>
    <row r="5164" spans="1:17" s="162" customFormat="1" ht="108" x14ac:dyDescent="0.25">
      <c r="A5164" s="17">
        <v>41364</v>
      </c>
      <c r="B5164" s="17">
        <v>41364</v>
      </c>
      <c r="C5164" s="43">
        <v>2013</v>
      </c>
      <c r="D5164" s="24" t="s">
        <v>141</v>
      </c>
      <c r="E5164" s="30" t="s">
        <v>142</v>
      </c>
      <c r="F5164" s="7" t="s">
        <v>65</v>
      </c>
      <c r="G5164" s="146" t="s">
        <v>418</v>
      </c>
      <c r="H5164" s="147" t="s">
        <v>7438</v>
      </c>
      <c r="I5164" s="148">
        <v>0</v>
      </c>
      <c r="J5164" s="46">
        <v>40</v>
      </c>
      <c r="K5164" s="46">
        <v>0</v>
      </c>
      <c r="L5164" s="46">
        <v>0</v>
      </c>
      <c r="M5164" s="46">
        <v>0</v>
      </c>
      <c r="N5164" s="46">
        <v>0</v>
      </c>
      <c r="O5164" s="46">
        <v>0</v>
      </c>
      <c r="P5164" s="47">
        <v>0</v>
      </c>
      <c r="Q5164" s="149" t="s">
        <v>154</v>
      </c>
    </row>
    <row r="5165" spans="1:17" s="162" customFormat="1" ht="121.5" x14ac:dyDescent="0.25">
      <c r="A5165" s="17">
        <v>41362</v>
      </c>
      <c r="B5165" s="17">
        <v>41362</v>
      </c>
      <c r="C5165" s="43">
        <v>2013</v>
      </c>
      <c r="D5165" s="24" t="s">
        <v>141</v>
      </c>
      <c r="E5165" s="30" t="s">
        <v>142</v>
      </c>
      <c r="F5165" s="7" t="s">
        <v>72</v>
      </c>
      <c r="G5165" s="146" t="s">
        <v>3035</v>
      </c>
      <c r="H5165" s="147" t="s">
        <v>7439</v>
      </c>
      <c r="I5165" s="148">
        <v>0</v>
      </c>
      <c r="J5165" s="46">
        <v>0</v>
      </c>
      <c r="K5165" s="46">
        <v>0</v>
      </c>
      <c r="L5165" s="46">
        <v>0</v>
      </c>
      <c r="M5165" s="46">
        <v>0</v>
      </c>
      <c r="N5165" s="46">
        <v>0</v>
      </c>
      <c r="O5165" s="46">
        <v>0</v>
      </c>
      <c r="P5165" s="47">
        <v>0.4</v>
      </c>
      <c r="Q5165" s="149" t="s">
        <v>154</v>
      </c>
    </row>
    <row r="5166" spans="1:17" s="162" customFormat="1" ht="96" x14ac:dyDescent="0.25">
      <c r="A5166" s="17">
        <v>41358</v>
      </c>
      <c r="B5166" s="17">
        <v>41360</v>
      </c>
      <c r="C5166" s="43">
        <v>2013</v>
      </c>
      <c r="D5166" s="24" t="s">
        <v>141</v>
      </c>
      <c r="E5166" s="41" t="s">
        <v>1965</v>
      </c>
      <c r="F5166" s="7" t="s">
        <v>77</v>
      </c>
      <c r="G5166" s="146" t="s">
        <v>7440</v>
      </c>
      <c r="H5166" s="147" t="s">
        <v>7441</v>
      </c>
      <c r="I5166" s="148">
        <v>0</v>
      </c>
      <c r="J5166" s="46">
        <v>430</v>
      </c>
      <c r="K5166" s="46">
        <v>0</v>
      </c>
      <c r="L5166" s="46">
        <v>0</v>
      </c>
      <c r="M5166" s="46">
        <v>0</v>
      </c>
      <c r="N5166" s="46">
        <v>0</v>
      </c>
      <c r="O5166" s="46">
        <v>0</v>
      </c>
      <c r="P5166" s="47">
        <v>0</v>
      </c>
      <c r="Q5166" s="149" t="s">
        <v>154</v>
      </c>
    </row>
    <row r="5167" spans="1:17" s="162" customFormat="1" ht="96" x14ac:dyDescent="0.25">
      <c r="A5167" s="17">
        <v>41363</v>
      </c>
      <c r="B5167" s="17">
        <v>41363</v>
      </c>
      <c r="C5167" s="43">
        <v>2013</v>
      </c>
      <c r="D5167" s="24" t="s">
        <v>141</v>
      </c>
      <c r="E5167" s="30" t="s">
        <v>142</v>
      </c>
      <c r="F5167" s="28" t="s">
        <v>210</v>
      </c>
      <c r="G5167" s="146" t="s">
        <v>7442</v>
      </c>
      <c r="H5167" s="147" t="s">
        <v>7443</v>
      </c>
      <c r="I5167" s="148">
        <v>12</v>
      </c>
      <c r="J5167" s="46">
        <v>32</v>
      </c>
      <c r="K5167" s="46">
        <v>0</v>
      </c>
      <c r="L5167" s="46">
        <v>0</v>
      </c>
      <c r="M5167" s="46">
        <v>0</v>
      </c>
      <c r="N5167" s="46">
        <v>0</v>
      </c>
      <c r="O5167" s="46">
        <v>0</v>
      </c>
      <c r="P5167" s="47">
        <v>0.3</v>
      </c>
      <c r="Q5167" s="149" t="s">
        <v>154</v>
      </c>
    </row>
    <row r="5168" spans="1:17" s="162" customFormat="1" ht="84" x14ac:dyDescent="0.25">
      <c r="A5168" s="17">
        <v>41370</v>
      </c>
      <c r="B5168" s="17">
        <v>41370</v>
      </c>
      <c r="C5168" s="43">
        <v>2013</v>
      </c>
      <c r="D5168" s="24" t="s">
        <v>141</v>
      </c>
      <c r="E5168" s="30" t="s">
        <v>142</v>
      </c>
      <c r="F5168" s="7" t="s">
        <v>87</v>
      </c>
      <c r="G5168" s="146" t="s">
        <v>2608</v>
      </c>
      <c r="H5168" s="147" t="s">
        <v>7444</v>
      </c>
      <c r="I5168" s="46">
        <v>0</v>
      </c>
      <c r="J5168" s="46">
        <v>22</v>
      </c>
      <c r="K5168" s="46">
        <v>0</v>
      </c>
      <c r="L5168" s="46">
        <v>0</v>
      </c>
      <c r="M5168" s="46">
        <v>0</v>
      </c>
      <c r="N5168" s="46">
        <v>0</v>
      </c>
      <c r="O5168" s="46">
        <v>0</v>
      </c>
      <c r="P5168" s="47">
        <v>0</v>
      </c>
      <c r="Q5168" s="149" t="s">
        <v>154</v>
      </c>
    </row>
    <row r="5169" spans="1:17" s="162" customFormat="1" ht="84" x14ac:dyDescent="0.25">
      <c r="A5169" s="17">
        <v>41370</v>
      </c>
      <c r="B5169" s="17">
        <v>41370</v>
      </c>
      <c r="C5169" s="43">
        <v>2013</v>
      </c>
      <c r="D5169" s="24" t="s">
        <v>141</v>
      </c>
      <c r="E5169" s="30" t="s">
        <v>142</v>
      </c>
      <c r="F5169" s="7" t="s">
        <v>87</v>
      </c>
      <c r="G5169" s="146" t="s">
        <v>4751</v>
      </c>
      <c r="H5169" s="147" t="s">
        <v>7445</v>
      </c>
      <c r="I5169" s="46">
        <v>0</v>
      </c>
      <c r="J5169" s="46">
        <v>0</v>
      </c>
      <c r="K5169" s="46">
        <v>0</v>
      </c>
      <c r="L5169" s="46">
        <v>0</v>
      </c>
      <c r="M5169" s="46">
        <v>0</v>
      </c>
      <c r="N5169" s="46">
        <v>0</v>
      </c>
      <c r="O5169" s="46">
        <v>0</v>
      </c>
      <c r="P5169" s="47">
        <v>0.25</v>
      </c>
      <c r="Q5169" s="149" t="s">
        <v>154</v>
      </c>
    </row>
    <row r="5170" spans="1:17" s="162" customFormat="1" ht="133.5" x14ac:dyDescent="0.25">
      <c r="A5170" s="17">
        <v>41371</v>
      </c>
      <c r="B5170" s="17">
        <v>41371</v>
      </c>
      <c r="C5170" s="43">
        <v>2013</v>
      </c>
      <c r="D5170" s="35" t="s">
        <v>28</v>
      </c>
      <c r="E5170" s="30" t="s">
        <v>133</v>
      </c>
      <c r="F5170" s="25" t="s">
        <v>781</v>
      </c>
      <c r="G5170" s="146" t="s">
        <v>2337</v>
      </c>
      <c r="H5170" s="147" t="s">
        <v>7446</v>
      </c>
      <c r="I5170" s="46">
        <v>0</v>
      </c>
      <c r="J5170" s="46">
        <v>3</v>
      </c>
      <c r="K5170" s="46">
        <v>0</v>
      </c>
      <c r="L5170" s="46">
        <v>0</v>
      </c>
      <c r="M5170" s="46">
        <v>0</v>
      </c>
      <c r="N5170" s="46">
        <v>0</v>
      </c>
      <c r="O5170" s="46">
        <v>0</v>
      </c>
      <c r="P5170" s="47">
        <v>0</v>
      </c>
      <c r="Q5170" s="149" t="s">
        <v>154</v>
      </c>
    </row>
    <row r="5171" spans="1:17" s="162" customFormat="1" ht="108" x14ac:dyDescent="0.25">
      <c r="A5171" s="17">
        <v>41371</v>
      </c>
      <c r="B5171" s="17">
        <v>41371</v>
      </c>
      <c r="C5171" s="43">
        <v>2013</v>
      </c>
      <c r="D5171" s="35" t="s">
        <v>28</v>
      </c>
      <c r="E5171" s="6" t="s">
        <v>149</v>
      </c>
      <c r="F5171" s="28" t="s">
        <v>160</v>
      </c>
      <c r="G5171" s="146" t="s">
        <v>5780</v>
      </c>
      <c r="H5171" s="147" t="s">
        <v>7447</v>
      </c>
      <c r="I5171" s="148">
        <v>0</v>
      </c>
      <c r="J5171" s="46">
        <v>300</v>
      </c>
      <c r="K5171" s="46">
        <v>0</v>
      </c>
      <c r="L5171" s="46">
        <v>0</v>
      </c>
      <c r="M5171" s="46">
        <v>0</v>
      </c>
      <c r="N5171" s="46">
        <v>1</v>
      </c>
      <c r="O5171" s="46">
        <v>0</v>
      </c>
      <c r="P5171" s="47">
        <v>0</v>
      </c>
      <c r="Q5171" s="149" t="s">
        <v>154</v>
      </c>
    </row>
    <row r="5172" spans="1:17" s="162" customFormat="1" ht="84" x14ac:dyDescent="0.25">
      <c r="A5172" s="17">
        <v>41381</v>
      </c>
      <c r="B5172" s="17">
        <v>41381</v>
      </c>
      <c r="C5172" s="43">
        <v>2013</v>
      </c>
      <c r="D5172" s="24" t="s">
        <v>141</v>
      </c>
      <c r="E5172" s="6" t="s">
        <v>333</v>
      </c>
      <c r="F5172" s="28" t="s">
        <v>157</v>
      </c>
      <c r="G5172" s="146" t="s">
        <v>5923</v>
      </c>
      <c r="H5172" s="147" t="s">
        <v>7448</v>
      </c>
      <c r="I5172" s="148">
        <v>0</v>
      </c>
      <c r="J5172" s="46">
        <v>3</v>
      </c>
      <c r="K5172" s="46">
        <v>0</v>
      </c>
      <c r="L5172" s="46">
        <v>0</v>
      </c>
      <c r="M5172" s="46">
        <v>0</v>
      </c>
      <c r="N5172" s="46">
        <v>0</v>
      </c>
      <c r="O5172" s="46">
        <v>0</v>
      </c>
      <c r="P5172" s="47">
        <v>0</v>
      </c>
      <c r="Q5172" s="149" t="s">
        <v>154</v>
      </c>
    </row>
    <row r="5173" spans="1:17" s="162" customFormat="1" ht="157.5" x14ac:dyDescent="0.25">
      <c r="A5173" s="17">
        <v>41371</v>
      </c>
      <c r="B5173" s="17">
        <v>41371</v>
      </c>
      <c r="C5173" s="43">
        <v>2013</v>
      </c>
      <c r="D5173" s="35" t="s">
        <v>28</v>
      </c>
      <c r="E5173" s="6" t="s">
        <v>149</v>
      </c>
      <c r="F5173" s="28" t="s">
        <v>160</v>
      </c>
      <c r="G5173" s="146" t="s">
        <v>5780</v>
      </c>
      <c r="H5173" s="147" t="s">
        <v>7449</v>
      </c>
      <c r="I5173" s="148">
        <v>0</v>
      </c>
      <c r="J5173" s="46">
        <v>1359</v>
      </c>
      <c r="K5173" s="46">
        <v>0</v>
      </c>
      <c r="L5173" s="46">
        <v>0</v>
      </c>
      <c r="M5173" s="46">
        <v>0</v>
      </c>
      <c r="N5173" s="46">
        <v>1</v>
      </c>
      <c r="O5173" s="46">
        <v>0</v>
      </c>
      <c r="P5173" s="47">
        <v>0</v>
      </c>
      <c r="Q5173" s="149" t="s">
        <v>154</v>
      </c>
    </row>
    <row r="5174" spans="1:17" s="162" customFormat="1" ht="96" x14ac:dyDescent="0.25">
      <c r="A5174" s="17">
        <v>41380</v>
      </c>
      <c r="B5174" s="17">
        <v>41380</v>
      </c>
      <c r="C5174" s="43">
        <v>2013</v>
      </c>
      <c r="D5174" s="24" t="s">
        <v>130</v>
      </c>
      <c r="E5174" s="30" t="s">
        <v>139</v>
      </c>
      <c r="F5174" s="7" t="s">
        <v>67</v>
      </c>
      <c r="G5174" s="146" t="s">
        <v>2973</v>
      </c>
      <c r="H5174" s="147" t="s">
        <v>7450</v>
      </c>
      <c r="I5174" s="148">
        <v>0</v>
      </c>
      <c r="J5174" s="46">
        <v>13</v>
      </c>
      <c r="K5174" s="46">
        <v>0</v>
      </c>
      <c r="L5174" s="46">
        <v>0</v>
      </c>
      <c r="M5174" s="46">
        <v>0</v>
      </c>
      <c r="N5174" s="46">
        <v>0</v>
      </c>
      <c r="O5174" s="46">
        <v>0</v>
      </c>
      <c r="P5174" s="47">
        <v>0</v>
      </c>
      <c r="Q5174" s="149" t="s">
        <v>154</v>
      </c>
    </row>
    <row r="5175" spans="1:17" s="162" customFormat="1" ht="96" x14ac:dyDescent="0.25">
      <c r="A5175" s="17">
        <v>41376</v>
      </c>
      <c r="B5175" s="17">
        <v>41376</v>
      </c>
      <c r="C5175" s="43">
        <v>2013</v>
      </c>
      <c r="D5175" s="351" t="s">
        <v>23</v>
      </c>
      <c r="E5175" s="30" t="s">
        <v>323</v>
      </c>
      <c r="F5175" s="28" t="s">
        <v>157</v>
      </c>
      <c r="G5175" s="146" t="s">
        <v>5929</v>
      </c>
      <c r="H5175" s="147" t="s">
        <v>7451</v>
      </c>
      <c r="I5175" s="148">
        <v>0</v>
      </c>
      <c r="J5175" s="46">
        <v>5</v>
      </c>
      <c r="K5175" s="46">
        <v>0</v>
      </c>
      <c r="L5175" s="46">
        <v>0</v>
      </c>
      <c r="M5175" s="46">
        <v>0</v>
      </c>
      <c r="N5175" s="46">
        <v>0</v>
      </c>
      <c r="O5175" s="46">
        <v>0</v>
      </c>
      <c r="P5175" s="47">
        <v>0</v>
      </c>
      <c r="Q5175" s="149" t="s">
        <v>154</v>
      </c>
    </row>
    <row r="5176" spans="1:17" s="162" customFormat="1" ht="144" x14ac:dyDescent="0.25">
      <c r="A5176" s="17">
        <v>41382</v>
      </c>
      <c r="B5176" s="17">
        <v>41382</v>
      </c>
      <c r="C5176" s="43">
        <v>2013</v>
      </c>
      <c r="D5176" s="24" t="s">
        <v>141</v>
      </c>
      <c r="E5176" s="30" t="s">
        <v>142</v>
      </c>
      <c r="F5176" s="7" t="s">
        <v>56</v>
      </c>
      <c r="G5176" s="146" t="s">
        <v>711</v>
      </c>
      <c r="H5176" s="147" t="s">
        <v>7452</v>
      </c>
      <c r="I5176" s="148">
        <v>1</v>
      </c>
      <c r="J5176" s="46">
        <v>22</v>
      </c>
      <c r="K5176" s="46">
        <v>0</v>
      </c>
      <c r="L5176" s="46">
        <v>0</v>
      </c>
      <c r="M5176" s="46">
        <v>0</v>
      </c>
      <c r="N5176" s="46">
        <v>0</v>
      </c>
      <c r="O5176" s="46">
        <v>0</v>
      </c>
      <c r="P5176" s="47">
        <v>0</v>
      </c>
      <c r="Q5176" s="149" t="s">
        <v>154</v>
      </c>
    </row>
    <row r="5177" spans="1:17" s="162" customFormat="1" ht="96" x14ac:dyDescent="0.25">
      <c r="A5177" s="17">
        <v>41381</v>
      </c>
      <c r="B5177" s="17">
        <v>41381</v>
      </c>
      <c r="C5177" s="43">
        <v>2013</v>
      </c>
      <c r="D5177" s="35" t="s">
        <v>28</v>
      </c>
      <c r="E5177" s="30" t="s">
        <v>136</v>
      </c>
      <c r="F5177" s="7" t="s">
        <v>56</v>
      </c>
      <c r="G5177" s="146" t="s">
        <v>1160</v>
      </c>
      <c r="H5177" s="147" t="s">
        <v>7453</v>
      </c>
      <c r="I5177" s="148">
        <v>0</v>
      </c>
      <c r="J5177" s="46">
        <v>25</v>
      </c>
      <c r="K5177" s="46">
        <v>0</v>
      </c>
      <c r="L5177" s="46">
        <v>0</v>
      </c>
      <c r="M5177" s="46">
        <v>0</v>
      </c>
      <c r="N5177" s="46">
        <v>0</v>
      </c>
      <c r="O5177" s="46">
        <v>0</v>
      </c>
      <c r="P5177" s="47">
        <v>0</v>
      </c>
      <c r="Q5177" s="149" t="s">
        <v>154</v>
      </c>
    </row>
    <row r="5178" spans="1:17" s="162" customFormat="1" ht="60" x14ac:dyDescent="0.25">
      <c r="A5178" s="17">
        <v>41338</v>
      </c>
      <c r="B5178" s="17">
        <v>41338</v>
      </c>
      <c r="C5178" s="43">
        <v>2013</v>
      </c>
      <c r="D5178" s="35" t="s">
        <v>28</v>
      </c>
      <c r="E5178" s="30" t="s">
        <v>133</v>
      </c>
      <c r="F5178" s="7" t="s">
        <v>60</v>
      </c>
      <c r="G5178" s="146" t="s">
        <v>1993</v>
      </c>
      <c r="H5178" s="147" t="s">
        <v>7454</v>
      </c>
      <c r="I5178" s="148">
        <v>0</v>
      </c>
      <c r="J5178" s="46">
        <v>7</v>
      </c>
      <c r="K5178" s="46">
        <v>0</v>
      </c>
      <c r="L5178" s="46">
        <v>0</v>
      </c>
      <c r="M5178" s="46">
        <v>0</v>
      </c>
      <c r="N5178" s="46">
        <v>0</v>
      </c>
      <c r="O5178" s="46">
        <v>0</v>
      </c>
      <c r="P5178" s="47">
        <v>0</v>
      </c>
      <c r="Q5178" s="149" t="s">
        <v>154</v>
      </c>
    </row>
    <row r="5179" spans="1:17" s="162" customFormat="1" ht="60" x14ac:dyDescent="0.25">
      <c r="A5179" s="17">
        <v>41382</v>
      </c>
      <c r="B5179" s="17">
        <v>41382</v>
      </c>
      <c r="C5179" s="43">
        <v>2013</v>
      </c>
      <c r="D5179" s="24" t="s">
        <v>141</v>
      </c>
      <c r="E5179" s="30" t="s">
        <v>142</v>
      </c>
      <c r="F5179" s="7" t="s">
        <v>53</v>
      </c>
      <c r="G5179" s="146" t="s">
        <v>7455</v>
      </c>
      <c r="H5179" s="147" t="s">
        <v>7456</v>
      </c>
      <c r="I5179" s="148">
        <v>0</v>
      </c>
      <c r="J5179" s="46">
        <v>2</v>
      </c>
      <c r="K5179" s="46">
        <v>0</v>
      </c>
      <c r="L5179" s="46">
        <v>0</v>
      </c>
      <c r="M5179" s="46">
        <v>0</v>
      </c>
      <c r="N5179" s="46">
        <v>0</v>
      </c>
      <c r="O5179" s="46">
        <v>0</v>
      </c>
      <c r="P5179" s="47">
        <v>0</v>
      </c>
      <c r="Q5179" s="149" t="s">
        <v>154</v>
      </c>
    </row>
    <row r="5180" spans="1:17" s="162" customFormat="1" ht="84" x14ac:dyDescent="0.25">
      <c r="A5180" s="17">
        <v>41376</v>
      </c>
      <c r="B5180" s="17">
        <v>41376</v>
      </c>
      <c r="C5180" s="43">
        <v>2013</v>
      </c>
      <c r="D5180" s="24" t="s">
        <v>141</v>
      </c>
      <c r="E5180" s="30" t="s">
        <v>142</v>
      </c>
      <c r="F5180" s="7" t="s">
        <v>53</v>
      </c>
      <c r="G5180" s="146" t="s">
        <v>926</v>
      </c>
      <c r="H5180" s="147" t="s">
        <v>7457</v>
      </c>
      <c r="I5180" s="148">
        <v>0</v>
      </c>
      <c r="J5180" s="46">
        <v>1</v>
      </c>
      <c r="K5180" s="163">
        <v>0</v>
      </c>
      <c r="L5180" s="46">
        <v>0</v>
      </c>
      <c r="M5180" s="46">
        <v>0</v>
      </c>
      <c r="N5180" s="46">
        <v>0</v>
      </c>
      <c r="O5180" s="46">
        <v>0</v>
      </c>
      <c r="P5180" s="47">
        <v>0.4</v>
      </c>
      <c r="Q5180" s="149" t="s">
        <v>154</v>
      </c>
    </row>
    <row r="5181" spans="1:17" s="162" customFormat="1" ht="108" x14ac:dyDescent="0.25">
      <c r="A5181" s="17">
        <v>41370</v>
      </c>
      <c r="B5181" s="17">
        <v>41370</v>
      </c>
      <c r="C5181" s="43">
        <v>2013</v>
      </c>
      <c r="D5181" s="24" t="s">
        <v>141</v>
      </c>
      <c r="E5181" s="30" t="s">
        <v>142</v>
      </c>
      <c r="F5181" s="7" t="s">
        <v>62</v>
      </c>
      <c r="G5181" s="146" t="s">
        <v>3340</v>
      </c>
      <c r="H5181" s="147" t="s">
        <v>7458</v>
      </c>
      <c r="I5181" s="148">
        <v>0</v>
      </c>
      <c r="J5181" s="46">
        <v>6</v>
      </c>
      <c r="K5181" s="163">
        <v>0</v>
      </c>
      <c r="L5181" s="46">
        <v>0</v>
      </c>
      <c r="M5181" s="46">
        <v>0</v>
      </c>
      <c r="N5181" s="46">
        <v>0</v>
      </c>
      <c r="O5181" s="46">
        <v>0</v>
      </c>
      <c r="P5181" s="47">
        <v>0</v>
      </c>
      <c r="Q5181" s="149" t="s">
        <v>154</v>
      </c>
    </row>
    <row r="5182" spans="1:17" s="162" customFormat="1" ht="96" x14ac:dyDescent="0.25">
      <c r="A5182" s="17">
        <v>41376</v>
      </c>
      <c r="B5182" s="17">
        <v>41376</v>
      </c>
      <c r="C5182" s="43">
        <v>2013</v>
      </c>
      <c r="D5182" s="24" t="s">
        <v>141</v>
      </c>
      <c r="E5182" s="30" t="s">
        <v>142</v>
      </c>
      <c r="F5182" s="7" t="s">
        <v>65</v>
      </c>
      <c r="G5182" s="146" t="s">
        <v>4925</v>
      </c>
      <c r="H5182" s="147" t="s">
        <v>7459</v>
      </c>
      <c r="I5182" s="148">
        <v>1</v>
      </c>
      <c r="J5182" s="46">
        <v>1</v>
      </c>
      <c r="K5182" s="163">
        <v>0</v>
      </c>
      <c r="L5182" s="46">
        <v>0</v>
      </c>
      <c r="M5182" s="46">
        <v>0</v>
      </c>
      <c r="N5182" s="46">
        <v>0</v>
      </c>
      <c r="O5182" s="46">
        <v>0</v>
      </c>
      <c r="P5182" s="47">
        <v>1.08</v>
      </c>
      <c r="Q5182" s="149" t="s">
        <v>154</v>
      </c>
    </row>
    <row r="5183" spans="1:17" s="162" customFormat="1" ht="120" x14ac:dyDescent="0.25">
      <c r="A5183" s="17">
        <v>41385</v>
      </c>
      <c r="B5183" s="17">
        <v>41385</v>
      </c>
      <c r="C5183" s="43">
        <v>2013</v>
      </c>
      <c r="D5183" s="24" t="s">
        <v>141</v>
      </c>
      <c r="E5183" s="30" t="s">
        <v>142</v>
      </c>
      <c r="F5183" s="7" t="s">
        <v>72</v>
      </c>
      <c r="G5183" s="146" t="s">
        <v>3694</v>
      </c>
      <c r="H5183" s="147" t="s">
        <v>7460</v>
      </c>
      <c r="I5183" s="148">
        <v>0</v>
      </c>
      <c r="J5183" s="46">
        <v>40</v>
      </c>
      <c r="K5183" s="163">
        <v>0</v>
      </c>
      <c r="L5183" s="46">
        <v>0</v>
      </c>
      <c r="M5183" s="46">
        <v>0</v>
      </c>
      <c r="N5183" s="46">
        <v>0</v>
      </c>
      <c r="O5183" s="46">
        <v>0</v>
      </c>
      <c r="P5183" s="47">
        <v>0</v>
      </c>
      <c r="Q5183" s="149" t="s">
        <v>154</v>
      </c>
    </row>
    <row r="5184" spans="1:17" s="162" customFormat="1" ht="60" x14ac:dyDescent="0.25">
      <c r="A5184" s="17">
        <v>41374</v>
      </c>
      <c r="B5184" s="17">
        <v>41374</v>
      </c>
      <c r="C5184" s="43">
        <v>2013</v>
      </c>
      <c r="D5184" s="35" t="s">
        <v>28</v>
      </c>
      <c r="E5184" s="6" t="s">
        <v>149</v>
      </c>
      <c r="F5184" s="7" t="s">
        <v>75</v>
      </c>
      <c r="G5184" s="146" t="s">
        <v>75</v>
      </c>
      <c r="H5184" s="147" t="s">
        <v>7461</v>
      </c>
      <c r="I5184" s="148">
        <v>0</v>
      </c>
      <c r="J5184" s="46">
        <v>0</v>
      </c>
      <c r="K5184" s="163">
        <v>0</v>
      </c>
      <c r="L5184" s="46">
        <v>0</v>
      </c>
      <c r="M5184" s="46">
        <v>0</v>
      </c>
      <c r="N5184" s="46">
        <v>1</v>
      </c>
      <c r="O5184" s="46">
        <v>0</v>
      </c>
      <c r="P5184" s="47">
        <v>0</v>
      </c>
      <c r="Q5184" s="149" t="s">
        <v>154</v>
      </c>
    </row>
    <row r="5185" spans="1:17" s="162" customFormat="1" ht="84" x14ac:dyDescent="0.25">
      <c r="A5185" s="17">
        <v>41385</v>
      </c>
      <c r="B5185" s="17">
        <v>41385</v>
      </c>
      <c r="C5185" s="43">
        <v>2013</v>
      </c>
      <c r="D5185" s="24" t="s">
        <v>141</v>
      </c>
      <c r="E5185" s="30" t="s">
        <v>142</v>
      </c>
      <c r="F5185" s="28" t="s">
        <v>210</v>
      </c>
      <c r="G5185" s="146" t="s">
        <v>7462</v>
      </c>
      <c r="H5185" s="147" t="s">
        <v>7463</v>
      </c>
      <c r="I5185" s="148">
        <v>3</v>
      </c>
      <c r="J5185" s="46">
        <v>34</v>
      </c>
      <c r="K5185" s="46">
        <v>0</v>
      </c>
      <c r="L5185" s="46">
        <v>0</v>
      </c>
      <c r="M5185" s="46">
        <v>0</v>
      </c>
      <c r="N5185" s="46">
        <v>0</v>
      </c>
      <c r="O5185" s="46">
        <v>0</v>
      </c>
      <c r="P5185" s="47">
        <v>0</v>
      </c>
      <c r="Q5185" s="149" t="s">
        <v>154</v>
      </c>
    </row>
    <row r="5186" spans="1:17" s="162" customFormat="1" ht="72" x14ac:dyDescent="0.25">
      <c r="A5186" s="17">
        <v>41378</v>
      </c>
      <c r="B5186" s="17">
        <v>41378</v>
      </c>
      <c r="C5186" s="43">
        <v>2013</v>
      </c>
      <c r="D5186" s="35" t="s">
        <v>28</v>
      </c>
      <c r="E5186" s="30" t="s">
        <v>125</v>
      </c>
      <c r="F5186" s="7" t="s">
        <v>87</v>
      </c>
      <c r="G5186" s="146" t="s">
        <v>3647</v>
      </c>
      <c r="H5186" s="147" t="s">
        <v>7464</v>
      </c>
      <c r="I5186" s="27">
        <v>0</v>
      </c>
      <c r="J5186" s="20">
        <v>5</v>
      </c>
      <c r="K5186" s="46">
        <v>0</v>
      </c>
      <c r="L5186" s="46">
        <v>0</v>
      </c>
      <c r="M5186" s="46">
        <v>0</v>
      </c>
      <c r="N5186" s="46">
        <v>0</v>
      </c>
      <c r="O5186" s="46">
        <v>0</v>
      </c>
      <c r="P5186" s="47">
        <v>0</v>
      </c>
      <c r="Q5186" s="149" t="s">
        <v>154</v>
      </c>
    </row>
    <row r="5187" spans="1:17" s="162" customFormat="1" ht="96" x14ac:dyDescent="0.25">
      <c r="A5187" s="17">
        <v>41383</v>
      </c>
      <c r="B5187" s="17">
        <v>41383</v>
      </c>
      <c r="C5187" s="43">
        <v>2013</v>
      </c>
      <c r="D5187" s="35" t="s">
        <v>28</v>
      </c>
      <c r="E5187" s="6" t="s">
        <v>369</v>
      </c>
      <c r="F5187" s="7" t="s">
        <v>80</v>
      </c>
      <c r="G5187" s="146" t="s">
        <v>3294</v>
      </c>
      <c r="H5187" s="147" t="s">
        <v>7465</v>
      </c>
      <c r="I5187" s="148">
        <v>0</v>
      </c>
      <c r="J5187" s="46">
        <v>4500</v>
      </c>
      <c r="K5187" s="20">
        <v>0</v>
      </c>
      <c r="L5187" s="46">
        <v>0</v>
      </c>
      <c r="M5187" s="46">
        <v>0</v>
      </c>
      <c r="N5187" s="46">
        <v>0</v>
      </c>
      <c r="O5187" s="46">
        <v>0</v>
      </c>
      <c r="P5187" s="47">
        <v>0</v>
      </c>
      <c r="Q5187" s="149" t="s">
        <v>154</v>
      </c>
    </row>
    <row r="5188" spans="1:17" s="162" customFormat="1" ht="60" x14ac:dyDescent="0.25">
      <c r="A5188" s="17">
        <v>41386</v>
      </c>
      <c r="B5188" s="17">
        <v>41386</v>
      </c>
      <c r="C5188" s="43">
        <v>2013</v>
      </c>
      <c r="D5188" s="35" t="s">
        <v>28</v>
      </c>
      <c r="E5188" s="6" t="s">
        <v>149</v>
      </c>
      <c r="F5188" s="7" t="s">
        <v>91</v>
      </c>
      <c r="G5188" s="146" t="s">
        <v>2315</v>
      </c>
      <c r="H5188" s="147" t="s">
        <v>7466</v>
      </c>
      <c r="I5188" s="27">
        <v>0</v>
      </c>
      <c r="J5188" s="20">
        <v>70</v>
      </c>
      <c r="K5188" s="163">
        <v>0</v>
      </c>
      <c r="L5188" s="46">
        <v>0</v>
      </c>
      <c r="M5188" s="46">
        <v>0</v>
      </c>
      <c r="N5188" s="46">
        <v>0</v>
      </c>
      <c r="O5188" s="46">
        <v>0</v>
      </c>
      <c r="P5188" s="47">
        <v>0</v>
      </c>
      <c r="Q5188" s="149" t="s">
        <v>154</v>
      </c>
    </row>
    <row r="5189" spans="1:17" s="162" customFormat="1" ht="216" x14ac:dyDescent="0.25">
      <c r="A5189" s="17">
        <v>41387</v>
      </c>
      <c r="B5189" s="17">
        <v>41387</v>
      </c>
      <c r="C5189" s="43">
        <v>2013</v>
      </c>
      <c r="D5189" s="351" t="s">
        <v>23</v>
      </c>
      <c r="E5189" s="30" t="s">
        <v>2070</v>
      </c>
      <c r="F5189" s="7" t="s">
        <v>72</v>
      </c>
      <c r="G5189" s="146" t="s">
        <v>7467</v>
      </c>
      <c r="H5189" s="147" t="s">
        <v>7468</v>
      </c>
      <c r="I5189" s="27">
        <v>1</v>
      </c>
      <c r="J5189" s="20">
        <v>500</v>
      </c>
      <c r="K5189" s="46">
        <v>100</v>
      </c>
      <c r="L5189" s="46">
        <v>0</v>
      </c>
      <c r="M5189" s="46">
        <v>2</v>
      </c>
      <c r="N5189" s="46">
        <v>0</v>
      </c>
      <c r="O5189" s="46">
        <v>0</v>
      </c>
      <c r="P5189" s="47">
        <v>2.82</v>
      </c>
      <c r="Q5189" s="149" t="s">
        <v>154</v>
      </c>
    </row>
    <row r="5190" spans="1:17" s="162" customFormat="1" ht="72" x14ac:dyDescent="0.25">
      <c r="A5190" s="17">
        <v>41388</v>
      </c>
      <c r="B5190" s="17">
        <v>41388</v>
      </c>
      <c r="C5190" s="43">
        <v>2013</v>
      </c>
      <c r="D5190" s="24" t="s">
        <v>141</v>
      </c>
      <c r="E5190" s="30" t="s">
        <v>142</v>
      </c>
      <c r="F5190" s="7" t="s">
        <v>72</v>
      </c>
      <c r="G5190" s="146" t="s">
        <v>7469</v>
      </c>
      <c r="H5190" s="147" t="s">
        <v>7470</v>
      </c>
      <c r="I5190" s="27">
        <v>0</v>
      </c>
      <c r="J5190" s="20">
        <v>4</v>
      </c>
      <c r="K5190" s="46">
        <v>0</v>
      </c>
      <c r="L5190" s="46">
        <v>0</v>
      </c>
      <c r="M5190" s="46">
        <v>0</v>
      </c>
      <c r="N5190" s="46">
        <v>0</v>
      </c>
      <c r="O5190" s="46">
        <v>0</v>
      </c>
      <c r="P5190" s="47">
        <v>0.5</v>
      </c>
      <c r="Q5190" s="149" t="s">
        <v>154</v>
      </c>
    </row>
    <row r="5191" spans="1:17" s="162" customFormat="1" ht="60" x14ac:dyDescent="0.25">
      <c r="A5191" s="17">
        <v>41397</v>
      </c>
      <c r="B5191" s="17">
        <v>41397</v>
      </c>
      <c r="C5191" s="43">
        <v>2013</v>
      </c>
      <c r="D5191" s="351" t="s">
        <v>23</v>
      </c>
      <c r="E5191" s="30" t="s">
        <v>2070</v>
      </c>
      <c r="F5191" s="7" t="s">
        <v>72</v>
      </c>
      <c r="G5191" s="146" t="s">
        <v>6016</v>
      </c>
      <c r="H5191" s="147" t="s">
        <v>7471</v>
      </c>
      <c r="I5191" s="27">
        <v>0</v>
      </c>
      <c r="J5191" s="20">
        <v>2</v>
      </c>
      <c r="K5191" s="46">
        <v>0</v>
      </c>
      <c r="L5191" s="46">
        <v>0</v>
      </c>
      <c r="M5191" s="46">
        <v>0</v>
      </c>
      <c r="N5191" s="46">
        <v>0</v>
      </c>
      <c r="O5191" s="46">
        <v>0</v>
      </c>
      <c r="P5191" s="47">
        <v>0</v>
      </c>
      <c r="Q5191" s="149" t="s">
        <v>154</v>
      </c>
    </row>
    <row r="5192" spans="1:17" s="162" customFormat="1" ht="72" x14ac:dyDescent="0.25">
      <c r="A5192" s="17">
        <v>41400</v>
      </c>
      <c r="B5192" s="17">
        <v>41400</v>
      </c>
      <c r="C5192" s="43">
        <v>2013</v>
      </c>
      <c r="D5192" s="35" t="s">
        <v>28</v>
      </c>
      <c r="E5192" s="6" t="s">
        <v>369</v>
      </c>
      <c r="F5192" s="7" t="s">
        <v>45</v>
      </c>
      <c r="G5192" s="146" t="s">
        <v>577</v>
      </c>
      <c r="H5192" s="147" t="s">
        <v>7472</v>
      </c>
      <c r="I5192" s="27">
        <v>0</v>
      </c>
      <c r="J5192" s="20">
        <v>200</v>
      </c>
      <c r="K5192" s="46">
        <v>0</v>
      </c>
      <c r="L5192" s="46">
        <v>0</v>
      </c>
      <c r="M5192" s="46">
        <v>0</v>
      </c>
      <c r="N5192" s="46">
        <v>0</v>
      </c>
      <c r="O5192" s="46">
        <v>0</v>
      </c>
      <c r="P5192" s="47">
        <v>0</v>
      </c>
      <c r="Q5192" s="149" t="s">
        <v>154</v>
      </c>
    </row>
    <row r="5193" spans="1:17" s="162" customFormat="1" ht="168" x14ac:dyDescent="0.25">
      <c r="A5193" s="17">
        <v>41391</v>
      </c>
      <c r="B5193" s="17">
        <v>41391</v>
      </c>
      <c r="C5193" s="43">
        <v>2013</v>
      </c>
      <c r="D5193" s="35" t="s">
        <v>28</v>
      </c>
      <c r="E5193" s="6" t="s">
        <v>369</v>
      </c>
      <c r="F5193" s="7" t="s">
        <v>25</v>
      </c>
      <c r="G5193" s="146" t="s">
        <v>25</v>
      </c>
      <c r="H5193" s="147" t="s">
        <v>7473</v>
      </c>
      <c r="I5193" s="148">
        <v>0</v>
      </c>
      <c r="J5193" s="46">
        <v>500</v>
      </c>
      <c r="K5193" s="46">
        <v>0</v>
      </c>
      <c r="L5193" s="46">
        <v>0</v>
      </c>
      <c r="M5193" s="46">
        <v>0</v>
      </c>
      <c r="N5193" s="46">
        <v>0</v>
      </c>
      <c r="O5193" s="46">
        <v>0</v>
      </c>
      <c r="P5193" s="47">
        <v>0</v>
      </c>
      <c r="Q5193" s="149" t="s">
        <v>154</v>
      </c>
    </row>
    <row r="5194" spans="1:17" s="162" customFormat="1" ht="144" x14ac:dyDescent="0.25">
      <c r="A5194" s="17">
        <v>41399</v>
      </c>
      <c r="B5194" s="17">
        <v>41399</v>
      </c>
      <c r="C5194" s="43">
        <v>2013</v>
      </c>
      <c r="D5194" s="24" t="s">
        <v>141</v>
      </c>
      <c r="E5194" s="30" t="s">
        <v>142</v>
      </c>
      <c r="F5194" s="7" t="s">
        <v>56</v>
      </c>
      <c r="G5194" s="146" t="s">
        <v>711</v>
      </c>
      <c r="H5194" s="147" t="s">
        <v>7474</v>
      </c>
      <c r="I5194" s="148">
        <v>0</v>
      </c>
      <c r="J5194" s="46">
        <v>2</v>
      </c>
      <c r="K5194" s="46">
        <v>0</v>
      </c>
      <c r="L5194" s="46">
        <v>0</v>
      </c>
      <c r="M5194" s="46">
        <v>0</v>
      </c>
      <c r="N5194" s="46">
        <v>0</v>
      </c>
      <c r="O5194" s="46">
        <v>0</v>
      </c>
      <c r="P5194" s="47">
        <v>0</v>
      </c>
      <c r="Q5194" s="149" t="s">
        <v>154</v>
      </c>
    </row>
    <row r="5195" spans="1:17" s="162" customFormat="1" ht="120" x14ac:dyDescent="0.25">
      <c r="A5195" s="17">
        <v>41399</v>
      </c>
      <c r="B5195" s="17">
        <v>41399</v>
      </c>
      <c r="C5195" s="43">
        <v>2013</v>
      </c>
      <c r="D5195" s="24" t="s">
        <v>141</v>
      </c>
      <c r="E5195" s="30" t="s">
        <v>142</v>
      </c>
      <c r="F5195" s="7" t="s">
        <v>56</v>
      </c>
      <c r="G5195" s="146" t="s">
        <v>5085</v>
      </c>
      <c r="H5195" s="147" t="s">
        <v>7475</v>
      </c>
      <c r="I5195" s="148">
        <v>1</v>
      </c>
      <c r="J5195" s="46">
        <v>16</v>
      </c>
      <c r="K5195" s="46">
        <v>0</v>
      </c>
      <c r="L5195" s="46">
        <v>0</v>
      </c>
      <c r="M5195" s="46">
        <v>0</v>
      </c>
      <c r="N5195" s="46">
        <v>0</v>
      </c>
      <c r="O5195" s="46">
        <v>0</v>
      </c>
      <c r="P5195" s="47">
        <v>0</v>
      </c>
      <c r="Q5195" s="149" t="s">
        <v>154</v>
      </c>
    </row>
    <row r="5196" spans="1:17" s="162" customFormat="1" ht="96" x14ac:dyDescent="0.25">
      <c r="A5196" s="17">
        <v>41395</v>
      </c>
      <c r="B5196" s="17">
        <v>41395</v>
      </c>
      <c r="C5196" s="43">
        <v>2013</v>
      </c>
      <c r="D5196" s="24" t="s">
        <v>141</v>
      </c>
      <c r="E5196" s="30" t="s">
        <v>142</v>
      </c>
      <c r="F5196" s="28" t="s">
        <v>160</v>
      </c>
      <c r="G5196" s="146" t="s">
        <v>428</v>
      </c>
      <c r="H5196" s="147" t="s">
        <v>7476</v>
      </c>
      <c r="I5196" s="148">
        <v>0</v>
      </c>
      <c r="J5196" s="46">
        <v>1</v>
      </c>
      <c r="K5196" s="46">
        <v>0</v>
      </c>
      <c r="L5196" s="46">
        <v>0</v>
      </c>
      <c r="M5196" s="46">
        <v>0</v>
      </c>
      <c r="N5196" s="46">
        <v>0</v>
      </c>
      <c r="O5196" s="46">
        <v>0</v>
      </c>
      <c r="P5196" s="47">
        <v>0.4</v>
      </c>
      <c r="Q5196" s="149" t="s">
        <v>154</v>
      </c>
    </row>
    <row r="5197" spans="1:17" s="162" customFormat="1" ht="96" x14ac:dyDescent="0.25">
      <c r="A5197" s="17">
        <v>41391</v>
      </c>
      <c r="B5197" s="17">
        <v>41391</v>
      </c>
      <c r="C5197" s="43">
        <v>2013</v>
      </c>
      <c r="D5197" s="24" t="s">
        <v>141</v>
      </c>
      <c r="E5197" s="30" t="s">
        <v>142</v>
      </c>
      <c r="F5197" s="7" t="s">
        <v>68</v>
      </c>
      <c r="G5197" s="146" t="s">
        <v>5169</v>
      </c>
      <c r="H5197" s="147" t="s">
        <v>7477</v>
      </c>
      <c r="I5197" s="148">
        <v>10</v>
      </c>
      <c r="J5197" s="46">
        <v>15</v>
      </c>
      <c r="K5197" s="46">
        <v>0</v>
      </c>
      <c r="L5197" s="46">
        <v>0</v>
      </c>
      <c r="M5197" s="46">
        <v>0</v>
      </c>
      <c r="N5197" s="46">
        <v>0</v>
      </c>
      <c r="O5197" s="46">
        <v>0</v>
      </c>
      <c r="P5197" s="47">
        <v>0</v>
      </c>
      <c r="Q5197" s="149" t="s">
        <v>154</v>
      </c>
    </row>
    <row r="5198" spans="1:17" s="162" customFormat="1" ht="108" x14ac:dyDescent="0.25">
      <c r="A5198" s="17">
        <v>41406</v>
      </c>
      <c r="B5198" s="17">
        <v>41406</v>
      </c>
      <c r="C5198" s="43">
        <v>2013</v>
      </c>
      <c r="D5198" s="24" t="s">
        <v>141</v>
      </c>
      <c r="E5198" s="30" t="s">
        <v>142</v>
      </c>
      <c r="F5198" s="7" t="s">
        <v>82</v>
      </c>
      <c r="G5198" s="146" t="s">
        <v>7478</v>
      </c>
      <c r="H5198" s="147" t="s">
        <v>7479</v>
      </c>
      <c r="I5198" s="148">
        <v>10</v>
      </c>
      <c r="J5198" s="46">
        <v>19</v>
      </c>
      <c r="K5198" s="46">
        <v>0</v>
      </c>
      <c r="L5198" s="46">
        <v>0</v>
      </c>
      <c r="M5198" s="46">
        <v>0</v>
      </c>
      <c r="N5198" s="46">
        <v>0</v>
      </c>
      <c r="O5198" s="46">
        <v>0</v>
      </c>
      <c r="P5198" s="47">
        <v>0.3</v>
      </c>
      <c r="Q5198" s="149" t="s">
        <v>154</v>
      </c>
    </row>
    <row r="5199" spans="1:17" s="162" customFormat="1" ht="48" x14ac:dyDescent="0.25">
      <c r="A5199" s="17">
        <v>41394</v>
      </c>
      <c r="B5199" s="17">
        <v>41394</v>
      </c>
      <c r="C5199" s="43">
        <v>2013</v>
      </c>
      <c r="D5199" s="24" t="s">
        <v>141</v>
      </c>
      <c r="E5199" s="30" t="s">
        <v>142</v>
      </c>
      <c r="F5199" s="7" t="s">
        <v>101</v>
      </c>
      <c r="G5199" s="146" t="s">
        <v>65</v>
      </c>
      <c r="H5199" s="147" t="s">
        <v>7480</v>
      </c>
      <c r="I5199" s="148">
        <v>6</v>
      </c>
      <c r="J5199" s="46">
        <v>6</v>
      </c>
      <c r="K5199" s="46">
        <v>0</v>
      </c>
      <c r="L5199" s="46">
        <v>0</v>
      </c>
      <c r="M5199" s="46">
        <v>0</v>
      </c>
      <c r="N5199" s="46">
        <v>0</v>
      </c>
      <c r="O5199" s="46">
        <v>0</v>
      </c>
      <c r="P5199" s="47">
        <v>1</v>
      </c>
      <c r="Q5199" s="149" t="s">
        <v>154</v>
      </c>
    </row>
    <row r="5200" spans="1:17" s="162" customFormat="1" ht="108" x14ac:dyDescent="0.25">
      <c r="A5200" s="17">
        <v>41393</v>
      </c>
      <c r="B5200" s="17">
        <v>41393</v>
      </c>
      <c r="C5200" s="43">
        <v>2013</v>
      </c>
      <c r="D5200" s="24" t="s">
        <v>141</v>
      </c>
      <c r="E5200" s="30" t="s">
        <v>142</v>
      </c>
      <c r="F5200" s="7" t="s">
        <v>87</v>
      </c>
      <c r="G5200" s="146" t="s">
        <v>2259</v>
      </c>
      <c r="H5200" s="147" t="s">
        <v>7481</v>
      </c>
      <c r="I5200" s="148">
        <v>0</v>
      </c>
      <c r="J5200" s="46">
        <v>32</v>
      </c>
      <c r="K5200" s="46">
        <v>0</v>
      </c>
      <c r="L5200" s="46">
        <v>0</v>
      </c>
      <c r="M5200" s="46">
        <v>0</v>
      </c>
      <c r="N5200" s="46">
        <v>0</v>
      </c>
      <c r="O5200" s="46">
        <v>0</v>
      </c>
      <c r="P5200" s="47">
        <v>0</v>
      </c>
      <c r="Q5200" s="149" t="s">
        <v>154</v>
      </c>
    </row>
    <row r="5201" spans="1:17" s="162" customFormat="1" ht="168" x14ac:dyDescent="0.25">
      <c r="A5201" s="17">
        <v>41404</v>
      </c>
      <c r="B5201" s="17">
        <v>41404</v>
      </c>
      <c r="C5201" s="43">
        <v>2013</v>
      </c>
      <c r="D5201" s="351" t="s">
        <v>23</v>
      </c>
      <c r="E5201" s="22" t="s">
        <v>86</v>
      </c>
      <c r="F5201" s="7" t="s">
        <v>91</v>
      </c>
      <c r="G5201" s="146" t="s">
        <v>1682</v>
      </c>
      <c r="H5201" s="147" t="s">
        <v>7482</v>
      </c>
      <c r="I5201" s="148">
        <v>3</v>
      </c>
      <c r="J5201" s="46">
        <v>175</v>
      </c>
      <c r="K5201" s="46">
        <v>35</v>
      </c>
      <c r="L5201" s="46">
        <v>0</v>
      </c>
      <c r="M5201" s="46">
        <v>0</v>
      </c>
      <c r="N5201" s="46">
        <v>0</v>
      </c>
      <c r="O5201" s="46">
        <v>0</v>
      </c>
      <c r="P5201" s="47">
        <v>0</v>
      </c>
      <c r="Q5201" s="149" t="s">
        <v>154</v>
      </c>
    </row>
    <row r="5202" spans="1:17" s="162" customFormat="1" ht="192" x14ac:dyDescent="0.25">
      <c r="A5202" s="17">
        <v>41401</v>
      </c>
      <c r="B5202" s="17">
        <v>41401</v>
      </c>
      <c r="C5202" s="43">
        <v>2013</v>
      </c>
      <c r="D5202" s="24" t="s">
        <v>141</v>
      </c>
      <c r="E5202" s="30" t="s">
        <v>142</v>
      </c>
      <c r="F5202" s="7" t="s">
        <v>53</v>
      </c>
      <c r="G5202" s="146" t="s">
        <v>1304</v>
      </c>
      <c r="H5202" s="147" t="s">
        <v>7483</v>
      </c>
      <c r="I5202" s="148">
        <v>27</v>
      </c>
      <c r="J5202" s="46">
        <v>225</v>
      </c>
      <c r="K5202" s="46">
        <v>45</v>
      </c>
      <c r="L5202" s="46">
        <v>1</v>
      </c>
      <c r="M5202" s="46">
        <v>0</v>
      </c>
      <c r="N5202" s="46">
        <v>0</v>
      </c>
      <c r="O5202" s="46">
        <v>0</v>
      </c>
      <c r="P5202" s="47">
        <v>52.6</v>
      </c>
      <c r="Q5202" s="149" t="s">
        <v>22</v>
      </c>
    </row>
    <row r="5203" spans="1:17" s="162" customFormat="1" ht="96" x14ac:dyDescent="0.25">
      <c r="A5203" s="17">
        <v>41419</v>
      </c>
      <c r="B5203" s="17">
        <v>41419</v>
      </c>
      <c r="C5203" s="43">
        <v>2013</v>
      </c>
      <c r="D5203" s="24" t="s">
        <v>141</v>
      </c>
      <c r="E5203" s="30" t="s">
        <v>142</v>
      </c>
      <c r="F5203" s="28" t="s">
        <v>210</v>
      </c>
      <c r="G5203" s="146" t="s">
        <v>7484</v>
      </c>
      <c r="H5203" s="147" t="s">
        <v>7485</v>
      </c>
      <c r="I5203" s="148">
        <v>0</v>
      </c>
      <c r="J5203" s="20">
        <v>12</v>
      </c>
      <c r="K5203" s="46">
        <v>0</v>
      </c>
      <c r="L5203" s="46">
        <v>0</v>
      </c>
      <c r="M5203" s="46">
        <v>0</v>
      </c>
      <c r="N5203" s="46">
        <v>0</v>
      </c>
      <c r="O5203" s="46">
        <v>0</v>
      </c>
      <c r="P5203" s="47">
        <v>0</v>
      </c>
      <c r="Q5203" s="149" t="s">
        <v>154</v>
      </c>
    </row>
    <row r="5204" spans="1:17" s="162" customFormat="1" ht="84" x14ac:dyDescent="0.25">
      <c r="A5204" s="17">
        <v>41379</v>
      </c>
      <c r="B5204" s="17">
        <v>41379</v>
      </c>
      <c r="C5204" s="43">
        <v>2013</v>
      </c>
      <c r="D5204" s="24" t="s">
        <v>141</v>
      </c>
      <c r="E5204" s="30" t="s">
        <v>142</v>
      </c>
      <c r="F5204" s="7" t="s">
        <v>68</v>
      </c>
      <c r="G5204" s="146" t="s">
        <v>3128</v>
      </c>
      <c r="H5204" s="147" t="s">
        <v>7486</v>
      </c>
      <c r="I5204" s="148">
        <v>0</v>
      </c>
      <c r="J5204" s="46">
        <v>4</v>
      </c>
      <c r="K5204" s="46">
        <v>0</v>
      </c>
      <c r="L5204" s="46">
        <v>0</v>
      </c>
      <c r="M5204" s="46">
        <v>0</v>
      </c>
      <c r="N5204" s="46">
        <v>0</v>
      </c>
      <c r="O5204" s="46">
        <v>0</v>
      </c>
      <c r="P5204" s="47">
        <v>1</v>
      </c>
      <c r="Q5204" s="149" t="s">
        <v>154</v>
      </c>
    </row>
    <row r="5205" spans="1:17" s="162" customFormat="1" ht="96" x14ac:dyDescent="0.25">
      <c r="A5205" s="17">
        <v>41409</v>
      </c>
      <c r="B5205" s="17">
        <v>41409</v>
      </c>
      <c r="C5205" s="43">
        <v>2013</v>
      </c>
      <c r="D5205" s="24" t="s">
        <v>141</v>
      </c>
      <c r="E5205" s="41" t="s">
        <v>1965</v>
      </c>
      <c r="F5205" s="7" t="s">
        <v>56</v>
      </c>
      <c r="G5205" s="146" t="s">
        <v>646</v>
      </c>
      <c r="H5205" s="147" t="s">
        <v>7487</v>
      </c>
      <c r="I5205" s="148">
        <v>0</v>
      </c>
      <c r="J5205" s="46">
        <v>87</v>
      </c>
      <c r="K5205" s="46">
        <v>0</v>
      </c>
      <c r="L5205" s="46">
        <v>0</v>
      </c>
      <c r="M5205" s="46">
        <v>0</v>
      </c>
      <c r="N5205" s="46">
        <v>0</v>
      </c>
      <c r="O5205" s="46">
        <v>0</v>
      </c>
      <c r="P5205" s="47">
        <v>0</v>
      </c>
      <c r="Q5205" s="149" t="s">
        <v>154</v>
      </c>
    </row>
    <row r="5206" spans="1:17" s="162" customFormat="1" ht="96" x14ac:dyDescent="0.25">
      <c r="A5206" s="17">
        <v>41416</v>
      </c>
      <c r="B5206" s="17">
        <v>41416</v>
      </c>
      <c r="C5206" s="43">
        <v>2013</v>
      </c>
      <c r="D5206" s="35" t="s">
        <v>28</v>
      </c>
      <c r="E5206" s="6" t="s">
        <v>149</v>
      </c>
      <c r="F5206" s="28" t="s">
        <v>157</v>
      </c>
      <c r="G5206" s="146" t="s">
        <v>1029</v>
      </c>
      <c r="H5206" s="147" t="s">
        <v>7488</v>
      </c>
      <c r="I5206" s="148">
        <v>0</v>
      </c>
      <c r="J5206" s="46">
        <v>2</v>
      </c>
      <c r="K5206" s="46">
        <v>0</v>
      </c>
      <c r="L5206" s="46">
        <v>0</v>
      </c>
      <c r="M5206" s="46">
        <v>0</v>
      </c>
      <c r="N5206" s="46">
        <v>1</v>
      </c>
      <c r="O5206" s="46">
        <v>0</v>
      </c>
      <c r="P5206" s="47">
        <v>0</v>
      </c>
      <c r="Q5206" s="149" t="s">
        <v>154</v>
      </c>
    </row>
    <row r="5207" spans="1:17" s="162" customFormat="1" ht="120" x14ac:dyDescent="0.25">
      <c r="A5207" s="17">
        <v>41413</v>
      </c>
      <c r="B5207" s="17">
        <v>41413</v>
      </c>
      <c r="C5207" s="43">
        <v>2013</v>
      </c>
      <c r="D5207" s="35" t="s">
        <v>28</v>
      </c>
      <c r="E5207" s="6" t="s">
        <v>369</v>
      </c>
      <c r="F5207" s="7" t="s">
        <v>53</v>
      </c>
      <c r="G5207" s="146" t="s">
        <v>5069</v>
      </c>
      <c r="H5207" s="147" t="s">
        <v>7489</v>
      </c>
      <c r="I5207" s="148">
        <v>0</v>
      </c>
      <c r="J5207" s="46">
        <v>250</v>
      </c>
      <c r="K5207" s="46">
        <v>0</v>
      </c>
      <c r="L5207" s="46">
        <v>0</v>
      </c>
      <c r="M5207" s="46">
        <v>0</v>
      </c>
      <c r="N5207" s="46">
        <v>0</v>
      </c>
      <c r="O5207" s="46">
        <v>0</v>
      </c>
      <c r="P5207" s="47">
        <v>0</v>
      </c>
      <c r="Q5207" s="149" t="s">
        <v>154</v>
      </c>
    </row>
    <row r="5208" spans="1:17" s="162" customFormat="1" ht="156" x14ac:dyDescent="0.25">
      <c r="A5208" s="17">
        <v>41418</v>
      </c>
      <c r="B5208" s="17">
        <v>41418</v>
      </c>
      <c r="C5208" s="43">
        <v>2013</v>
      </c>
      <c r="D5208" s="351" t="s">
        <v>23</v>
      </c>
      <c r="E5208" s="22" t="s">
        <v>86</v>
      </c>
      <c r="F5208" s="7" t="s">
        <v>45</v>
      </c>
      <c r="G5208" s="146" t="s">
        <v>7490</v>
      </c>
      <c r="H5208" s="147" t="s">
        <v>7491</v>
      </c>
      <c r="I5208" s="148">
        <v>0</v>
      </c>
      <c r="J5208" s="46">
        <v>55</v>
      </c>
      <c r="K5208" s="46">
        <v>11</v>
      </c>
      <c r="L5208" s="46">
        <v>0</v>
      </c>
      <c r="M5208" s="46">
        <v>0</v>
      </c>
      <c r="N5208" s="46">
        <v>0</v>
      </c>
      <c r="O5208" s="46">
        <v>0</v>
      </c>
      <c r="P5208" s="47">
        <v>0.05</v>
      </c>
      <c r="Q5208" s="149" t="s">
        <v>154</v>
      </c>
    </row>
    <row r="5209" spans="1:17" s="162" customFormat="1" ht="72" x14ac:dyDescent="0.25">
      <c r="A5209" s="17">
        <v>41422</v>
      </c>
      <c r="B5209" s="17">
        <v>41422</v>
      </c>
      <c r="C5209" s="43">
        <v>2013</v>
      </c>
      <c r="D5209" s="35" t="s">
        <v>28</v>
      </c>
      <c r="E5209" s="6" t="s">
        <v>149</v>
      </c>
      <c r="F5209" s="7" t="s">
        <v>58</v>
      </c>
      <c r="G5209" s="146" t="s">
        <v>5823</v>
      </c>
      <c r="H5209" s="147" t="s">
        <v>7492</v>
      </c>
      <c r="I5209" s="148">
        <v>0</v>
      </c>
      <c r="J5209" s="46">
        <v>0</v>
      </c>
      <c r="K5209" s="46">
        <v>0</v>
      </c>
      <c r="L5209" s="46">
        <v>0</v>
      </c>
      <c r="M5209" s="46">
        <v>0</v>
      </c>
      <c r="N5209" s="46">
        <v>10</v>
      </c>
      <c r="O5209" s="46">
        <v>0</v>
      </c>
      <c r="P5209" s="47">
        <v>0</v>
      </c>
      <c r="Q5209" s="149" t="s">
        <v>154</v>
      </c>
    </row>
    <row r="5210" spans="1:17" s="162" customFormat="1" ht="96" x14ac:dyDescent="0.25">
      <c r="A5210" s="17">
        <v>41420</v>
      </c>
      <c r="B5210" s="17">
        <v>41420</v>
      </c>
      <c r="C5210" s="43">
        <v>2013</v>
      </c>
      <c r="D5210" s="351" t="s">
        <v>23</v>
      </c>
      <c r="E5210" s="30" t="s">
        <v>2070</v>
      </c>
      <c r="F5210" s="28" t="s">
        <v>160</v>
      </c>
      <c r="G5210" s="146" t="s">
        <v>7493</v>
      </c>
      <c r="H5210" s="147" t="s">
        <v>7494</v>
      </c>
      <c r="I5210" s="148">
        <v>0</v>
      </c>
      <c r="J5210" s="46">
        <v>1500</v>
      </c>
      <c r="K5210" s="46">
        <v>300</v>
      </c>
      <c r="L5210" s="46">
        <v>0</v>
      </c>
      <c r="M5210" s="46">
        <v>0</v>
      </c>
      <c r="N5210" s="46">
        <v>0</v>
      </c>
      <c r="O5210" s="46">
        <v>0</v>
      </c>
      <c r="P5210" s="47">
        <v>0.3</v>
      </c>
      <c r="Q5210" s="149" t="s">
        <v>154</v>
      </c>
    </row>
    <row r="5211" spans="1:17" s="162" customFormat="1" ht="144" x14ac:dyDescent="0.25">
      <c r="A5211" s="21">
        <v>41420</v>
      </c>
      <c r="B5211" s="21">
        <v>41420</v>
      </c>
      <c r="C5211" s="43">
        <v>2013</v>
      </c>
      <c r="D5211" s="35" t="s">
        <v>17</v>
      </c>
      <c r="E5211" s="30" t="s">
        <v>1597</v>
      </c>
      <c r="F5211" s="28" t="s">
        <v>160</v>
      </c>
      <c r="G5211" s="146" t="s">
        <v>7493</v>
      </c>
      <c r="H5211" s="147" t="s">
        <v>7495</v>
      </c>
      <c r="I5211" s="148">
        <v>7</v>
      </c>
      <c r="J5211" s="46">
        <v>11</v>
      </c>
      <c r="K5211" s="46">
        <v>0</v>
      </c>
      <c r="L5211" s="46">
        <v>0</v>
      </c>
      <c r="M5211" s="46">
        <v>0</v>
      </c>
      <c r="N5211" s="46">
        <v>0</v>
      </c>
      <c r="O5211" s="46">
        <v>0</v>
      </c>
      <c r="P5211" s="47">
        <v>0.2</v>
      </c>
      <c r="Q5211" s="149" t="s">
        <v>154</v>
      </c>
    </row>
    <row r="5212" spans="1:17" s="162" customFormat="1" ht="60" x14ac:dyDescent="0.25">
      <c r="A5212" s="17">
        <v>41420</v>
      </c>
      <c r="B5212" s="17">
        <v>41420</v>
      </c>
      <c r="C5212" s="43">
        <v>2013</v>
      </c>
      <c r="D5212" s="24" t="s">
        <v>141</v>
      </c>
      <c r="E5212" s="30" t="s">
        <v>142</v>
      </c>
      <c r="F5212" s="28" t="s">
        <v>160</v>
      </c>
      <c r="G5212" s="146" t="s">
        <v>1350</v>
      </c>
      <c r="H5212" s="147" t="s">
        <v>7496</v>
      </c>
      <c r="I5212" s="148">
        <v>16</v>
      </c>
      <c r="J5212" s="46">
        <v>28</v>
      </c>
      <c r="K5212" s="46">
        <v>0</v>
      </c>
      <c r="L5212" s="46">
        <v>0</v>
      </c>
      <c r="M5212" s="46">
        <v>0</v>
      </c>
      <c r="N5212" s="46">
        <v>0</v>
      </c>
      <c r="O5212" s="46">
        <v>0</v>
      </c>
      <c r="P5212" s="47">
        <v>0.3</v>
      </c>
      <c r="Q5212" s="149" t="s">
        <v>154</v>
      </c>
    </row>
    <row r="5213" spans="1:17" s="162" customFormat="1" ht="192" x14ac:dyDescent="0.25">
      <c r="A5213" s="17">
        <v>41421</v>
      </c>
      <c r="B5213" s="17">
        <v>41421</v>
      </c>
      <c r="C5213" s="43">
        <v>2013</v>
      </c>
      <c r="D5213" s="351" t="s">
        <v>23</v>
      </c>
      <c r="E5213" s="14" t="s">
        <v>32</v>
      </c>
      <c r="F5213" s="7" t="s">
        <v>72</v>
      </c>
      <c r="G5213" s="146" t="s">
        <v>7497</v>
      </c>
      <c r="H5213" s="147" t="s">
        <v>7498</v>
      </c>
      <c r="I5213" s="148">
        <v>3</v>
      </c>
      <c r="J5213" s="46">
        <v>0</v>
      </c>
      <c r="K5213" s="46">
        <v>200</v>
      </c>
      <c r="L5213" s="46">
        <v>0</v>
      </c>
      <c r="M5213" s="46">
        <v>0</v>
      </c>
      <c r="N5213" s="46">
        <v>0</v>
      </c>
      <c r="O5213" s="46">
        <v>0</v>
      </c>
      <c r="P5213" s="47">
        <f>20.9+6.77</f>
        <v>27.669999999999998</v>
      </c>
      <c r="Q5213" s="149" t="s">
        <v>186</v>
      </c>
    </row>
    <row r="5214" spans="1:17" s="162" customFormat="1" ht="144" x14ac:dyDescent="0.25">
      <c r="A5214" s="17">
        <v>41423</v>
      </c>
      <c r="B5214" s="17">
        <v>41424</v>
      </c>
      <c r="C5214" s="43">
        <v>2013</v>
      </c>
      <c r="D5214" s="351" t="s">
        <v>23</v>
      </c>
      <c r="E5214" s="14" t="s">
        <v>32</v>
      </c>
      <c r="F5214" s="7" t="s">
        <v>36</v>
      </c>
      <c r="G5214" s="146" t="s">
        <v>7499</v>
      </c>
      <c r="H5214" s="147" t="s">
        <v>7500</v>
      </c>
      <c r="I5214" s="148">
        <v>0</v>
      </c>
      <c r="J5214" s="46">
        <v>248428</v>
      </c>
      <c r="K5214" s="46">
        <v>10568</v>
      </c>
      <c r="L5214" s="46">
        <v>183</v>
      </c>
      <c r="M5214" s="46">
        <v>3</v>
      </c>
      <c r="N5214" s="46">
        <v>261</v>
      </c>
      <c r="O5214" s="46">
        <v>4014.75</v>
      </c>
      <c r="P5214" s="47">
        <v>1889.5</v>
      </c>
      <c r="Q5214" s="149" t="s">
        <v>22</v>
      </c>
    </row>
    <row r="5215" spans="1:17" s="162" customFormat="1" ht="96" x14ac:dyDescent="0.25">
      <c r="A5215" s="17">
        <v>41424</v>
      </c>
      <c r="B5215" s="17">
        <v>41424</v>
      </c>
      <c r="C5215" s="43">
        <v>2013</v>
      </c>
      <c r="D5215" s="35" t="s">
        <v>28</v>
      </c>
      <c r="E5215" s="30" t="s">
        <v>125</v>
      </c>
      <c r="F5215" s="7" t="s">
        <v>30</v>
      </c>
      <c r="G5215" s="146" t="s">
        <v>901</v>
      </c>
      <c r="H5215" s="147" t="s">
        <v>7501</v>
      </c>
      <c r="I5215" s="148">
        <v>0</v>
      </c>
      <c r="J5215" s="46">
        <v>239</v>
      </c>
      <c r="K5215" s="46">
        <v>0</v>
      </c>
      <c r="L5215" s="46">
        <v>0</v>
      </c>
      <c r="M5215" s="46">
        <v>0</v>
      </c>
      <c r="N5215" s="46">
        <v>0</v>
      </c>
      <c r="O5215" s="46">
        <v>0</v>
      </c>
      <c r="P5215" s="47">
        <v>0</v>
      </c>
      <c r="Q5215" s="149" t="s">
        <v>154</v>
      </c>
    </row>
    <row r="5216" spans="1:17" s="162" customFormat="1" ht="72" x14ac:dyDescent="0.25">
      <c r="A5216" s="17">
        <v>41432</v>
      </c>
      <c r="B5216" s="17">
        <v>41432</v>
      </c>
      <c r="C5216" s="43">
        <v>2013</v>
      </c>
      <c r="D5216" s="24" t="s">
        <v>141</v>
      </c>
      <c r="E5216" s="30" t="s">
        <v>142</v>
      </c>
      <c r="F5216" s="7" t="s">
        <v>40</v>
      </c>
      <c r="G5216" s="146" t="s">
        <v>6382</v>
      </c>
      <c r="H5216" s="147" t="s">
        <v>7502</v>
      </c>
      <c r="I5216" s="148">
        <v>0</v>
      </c>
      <c r="J5216" s="46">
        <v>1</v>
      </c>
      <c r="K5216" s="46">
        <v>0</v>
      </c>
      <c r="L5216" s="46">
        <v>0</v>
      </c>
      <c r="M5216" s="46">
        <v>0</v>
      </c>
      <c r="N5216" s="46">
        <v>0</v>
      </c>
      <c r="O5216" s="46">
        <v>0</v>
      </c>
      <c r="P5216" s="47">
        <v>0.25</v>
      </c>
      <c r="Q5216" s="149" t="s">
        <v>154</v>
      </c>
    </row>
    <row r="5217" spans="1:17" s="162" customFormat="1" ht="72" x14ac:dyDescent="0.25">
      <c r="A5217" s="17">
        <v>41432</v>
      </c>
      <c r="B5217" s="17">
        <v>41432</v>
      </c>
      <c r="C5217" s="43">
        <v>2013</v>
      </c>
      <c r="D5217" s="24" t="s">
        <v>141</v>
      </c>
      <c r="E5217" s="30" t="s">
        <v>142</v>
      </c>
      <c r="F5217" s="7" t="s">
        <v>82</v>
      </c>
      <c r="G5217" s="146" t="s">
        <v>7503</v>
      </c>
      <c r="H5217" s="147" t="s">
        <v>7504</v>
      </c>
      <c r="I5217" s="148">
        <v>4</v>
      </c>
      <c r="J5217" s="46">
        <v>5</v>
      </c>
      <c r="K5217" s="46">
        <v>0</v>
      </c>
      <c r="L5217" s="46">
        <v>0</v>
      </c>
      <c r="M5217" s="46">
        <v>0</v>
      </c>
      <c r="N5217" s="46">
        <v>0</v>
      </c>
      <c r="O5217" s="46">
        <v>0</v>
      </c>
      <c r="P5217" s="47">
        <v>0.5</v>
      </c>
      <c r="Q5217" s="149" t="s">
        <v>154</v>
      </c>
    </row>
    <row r="5218" spans="1:17" s="162" customFormat="1" ht="72" x14ac:dyDescent="0.25">
      <c r="A5218" s="17">
        <v>41432</v>
      </c>
      <c r="B5218" s="17">
        <v>41432</v>
      </c>
      <c r="C5218" s="43">
        <v>2013</v>
      </c>
      <c r="D5218" s="24" t="s">
        <v>141</v>
      </c>
      <c r="E5218" s="30" t="s">
        <v>142</v>
      </c>
      <c r="F5218" s="7" t="s">
        <v>84</v>
      </c>
      <c r="G5218" s="146" t="s">
        <v>2647</v>
      </c>
      <c r="H5218" s="147" t="s">
        <v>7505</v>
      </c>
      <c r="I5218" s="148">
        <v>5</v>
      </c>
      <c r="J5218" s="46">
        <v>5</v>
      </c>
      <c r="K5218" s="46">
        <v>0</v>
      </c>
      <c r="L5218" s="46">
        <v>0</v>
      </c>
      <c r="M5218" s="46">
        <v>0</v>
      </c>
      <c r="N5218" s="46">
        <v>0</v>
      </c>
      <c r="O5218" s="46">
        <v>0</v>
      </c>
      <c r="P5218" s="47">
        <v>1</v>
      </c>
      <c r="Q5218" s="149" t="s">
        <v>154</v>
      </c>
    </row>
    <row r="5219" spans="1:17" s="162" customFormat="1" ht="84" x14ac:dyDescent="0.25">
      <c r="A5219" s="17">
        <v>41456</v>
      </c>
      <c r="B5219" s="17">
        <v>41456</v>
      </c>
      <c r="C5219" s="43">
        <v>2013</v>
      </c>
      <c r="D5219" s="35" t="s">
        <v>28</v>
      </c>
      <c r="E5219" s="30" t="s">
        <v>133</v>
      </c>
      <c r="F5219" s="7" t="s">
        <v>87</v>
      </c>
      <c r="G5219" s="146" t="s">
        <v>7506</v>
      </c>
      <c r="H5219" s="147" t="s">
        <v>7507</v>
      </c>
      <c r="I5219" s="148">
        <v>0</v>
      </c>
      <c r="J5219" s="46">
        <v>8</v>
      </c>
      <c r="K5219" s="46">
        <v>0</v>
      </c>
      <c r="L5219" s="46">
        <v>0</v>
      </c>
      <c r="M5219" s="46">
        <v>0</v>
      </c>
      <c r="N5219" s="46">
        <v>1</v>
      </c>
      <c r="O5219" s="46">
        <v>0</v>
      </c>
      <c r="P5219" s="47">
        <v>0</v>
      </c>
      <c r="Q5219" s="149" t="s">
        <v>154</v>
      </c>
    </row>
    <row r="5220" spans="1:17" s="162" customFormat="1" ht="84" x14ac:dyDescent="0.25">
      <c r="A5220" s="17">
        <v>41432</v>
      </c>
      <c r="B5220" s="17">
        <v>41432</v>
      </c>
      <c r="C5220" s="43">
        <v>2013</v>
      </c>
      <c r="D5220" s="24" t="s">
        <v>141</v>
      </c>
      <c r="E5220" s="30" t="s">
        <v>142</v>
      </c>
      <c r="F5220" s="28" t="s">
        <v>210</v>
      </c>
      <c r="G5220" s="146" t="s">
        <v>7508</v>
      </c>
      <c r="H5220" s="147" t="s">
        <v>7509</v>
      </c>
      <c r="I5220" s="148">
        <v>2</v>
      </c>
      <c r="J5220" s="46">
        <v>1</v>
      </c>
      <c r="K5220" s="46">
        <v>0</v>
      </c>
      <c r="L5220" s="46">
        <v>0</v>
      </c>
      <c r="M5220" s="46">
        <v>0</v>
      </c>
      <c r="N5220" s="46">
        <v>0</v>
      </c>
      <c r="O5220" s="46">
        <v>0</v>
      </c>
      <c r="P5220" s="47">
        <v>1</v>
      </c>
      <c r="Q5220" s="149" t="s">
        <v>154</v>
      </c>
    </row>
    <row r="5221" spans="1:17" s="162" customFormat="1" ht="144" x14ac:dyDescent="0.25">
      <c r="A5221" s="17">
        <v>41432</v>
      </c>
      <c r="B5221" s="17">
        <v>41432</v>
      </c>
      <c r="C5221" s="43">
        <v>2013</v>
      </c>
      <c r="D5221" s="351" t="s">
        <v>23</v>
      </c>
      <c r="E5221" s="30" t="s">
        <v>2070</v>
      </c>
      <c r="F5221" s="7" t="s">
        <v>60</v>
      </c>
      <c r="G5221" s="146" t="s">
        <v>7510</v>
      </c>
      <c r="H5221" s="147" t="s">
        <v>7511</v>
      </c>
      <c r="I5221" s="148">
        <v>0</v>
      </c>
      <c r="J5221" s="46">
        <v>725</v>
      </c>
      <c r="K5221" s="46">
        <v>90</v>
      </c>
      <c r="L5221" s="46">
        <v>0</v>
      </c>
      <c r="M5221" s="46">
        <v>0</v>
      </c>
      <c r="N5221" s="46">
        <v>0</v>
      </c>
      <c r="O5221" s="46">
        <v>0</v>
      </c>
      <c r="P5221" s="47">
        <v>0.2</v>
      </c>
      <c r="Q5221" s="149" t="s">
        <v>154</v>
      </c>
    </row>
    <row r="5222" spans="1:17" s="162" customFormat="1" ht="84" x14ac:dyDescent="0.25">
      <c r="A5222" s="17">
        <v>41442</v>
      </c>
      <c r="B5222" s="17">
        <v>41442</v>
      </c>
      <c r="C5222" s="43">
        <v>2013</v>
      </c>
      <c r="D5222" s="24" t="s">
        <v>141</v>
      </c>
      <c r="E5222" s="30" t="s">
        <v>142</v>
      </c>
      <c r="F5222" s="28" t="s">
        <v>163</v>
      </c>
      <c r="G5222" s="146" t="s">
        <v>7512</v>
      </c>
      <c r="H5222" s="147" t="s">
        <v>7513</v>
      </c>
      <c r="I5222" s="148">
        <v>0</v>
      </c>
      <c r="J5222" s="46">
        <v>1</v>
      </c>
      <c r="K5222" s="46">
        <v>0</v>
      </c>
      <c r="L5222" s="46">
        <v>0</v>
      </c>
      <c r="M5222" s="46">
        <v>0</v>
      </c>
      <c r="N5222" s="46">
        <v>0</v>
      </c>
      <c r="O5222" s="46">
        <v>0</v>
      </c>
      <c r="P5222" s="47">
        <v>0.2</v>
      </c>
      <c r="Q5222" s="149" t="s">
        <v>154</v>
      </c>
    </row>
    <row r="5223" spans="1:17" s="162" customFormat="1" ht="72" x14ac:dyDescent="0.25">
      <c r="A5223" s="17">
        <v>41441</v>
      </c>
      <c r="B5223" s="17">
        <v>41441</v>
      </c>
      <c r="C5223" s="43">
        <v>2013</v>
      </c>
      <c r="D5223" s="35" t="s">
        <v>28</v>
      </c>
      <c r="E5223" s="6" t="s">
        <v>149</v>
      </c>
      <c r="F5223" s="7" t="s">
        <v>91</v>
      </c>
      <c r="G5223" s="146" t="s">
        <v>1874</v>
      </c>
      <c r="H5223" s="147" t="s">
        <v>7514</v>
      </c>
      <c r="I5223" s="148">
        <v>0</v>
      </c>
      <c r="J5223" s="46">
        <v>0</v>
      </c>
      <c r="K5223" s="46">
        <v>0</v>
      </c>
      <c r="L5223" s="46">
        <v>0</v>
      </c>
      <c r="M5223" s="46">
        <v>0</v>
      </c>
      <c r="N5223" s="46">
        <v>1</v>
      </c>
      <c r="O5223" s="46">
        <v>0</v>
      </c>
      <c r="P5223" s="47">
        <v>0</v>
      </c>
      <c r="Q5223" s="149" t="s">
        <v>154</v>
      </c>
    </row>
    <row r="5224" spans="1:17" s="162" customFormat="1" ht="96" x14ac:dyDescent="0.25">
      <c r="A5224" s="17">
        <v>41437</v>
      </c>
      <c r="B5224" s="17">
        <v>41437</v>
      </c>
      <c r="C5224" s="43">
        <v>2013</v>
      </c>
      <c r="D5224" s="24" t="s">
        <v>141</v>
      </c>
      <c r="E5224" s="30" t="s">
        <v>142</v>
      </c>
      <c r="F5224" s="7" t="s">
        <v>87</v>
      </c>
      <c r="G5224" s="146" t="s">
        <v>4751</v>
      </c>
      <c r="H5224" s="147" t="s">
        <v>7515</v>
      </c>
      <c r="I5224" s="148">
        <v>0</v>
      </c>
      <c r="J5224" s="46">
        <v>3</v>
      </c>
      <c r="K5224" s="46">
        <v>0</v>
      </c>
      <c r="L5224" s="46">
        <v>0</v>
      </c>
      <c r="M5224" s="46">
        <v>0</v>
      </c>
      <c r="N5224" s="46">
        <v>0</v>
      </c>
      <c r="O5224" s="46">
        <v>0</v>
      </c>
      <c r="P5224" s="47">
        <v>0</v>
      </c>
      <c r="Q5224" s="149" t="s">
        <v>154</v>
      </c>
    </row>
    <row r="5225" spans="1:17" s="162" customFormat="1" ht="132" x14ac:dyDescent="0.25">
      <c r="A5225" s="17">
        <v>41444</v>
      </c>
      <c r="B5225" s="17">
        <v>41444</v>
      </c>
      <c r="C5225" s="43">
        <v>2013</v>
      </c>
      <c r="D5225" s="35" t="s">
        <v>28</v>
      </c>
      <c r="E5225" s="30" t="s">
        <v>133</v>
      </c>
      <c r="F5225" s="7" t="s">
        <v>72</v>
      </c>
      <c r="G5225" s="146" t="s">
        <v>72</v>
      </c>
      <c r="H5225" s="147" t="s">
        <v>7516</v>
      </c>
      <c r="I5225" s="148">
        <v>1</v>
      </c>
      <c r="J5225" s="46">
        <v>102</v>
      </c>
      <c r="K5225" s="46">
        <v>0</v>
      </c>
      <c r="L5225" s="46">
        <v>0</v>
      </c>
      <c r="M5225" s="46">
        <v>0</v>
      </c>
      <c r="N5225" s="46">
        <v>0</v>
      </c>
      <c r="O5225" s="46">
        <v>0</v>
      </c>
      <c r="P5225" s="47">
        <v>0</v>
      </c>
      <c r="Q5225" s="149" t="s">
        <v>154</v>
      </c>
    </row>
    <row r="5226" spans="1:17" s="162" customFormat="1" ht="168" x14ac:dyDescent="0.25">
      <c r="A5226" s="21">
        <v>41438</v>
      </c>
      <c r="B5226" s="21">
        <v>41438</v>
      </c>
      <c r="C5226" s="43">
        <v>2013</v>
      </c>
      <c r="D5226" s="24" t="s">
        <v>141</v>
      </c>
      <c r="E5226" s="30" t="s">
        <v>142</v>
      </c>
      <c r="F5226" s="7" t="s">
        <v>62</v>
      </c>
      <c r="G5226" s="126" t="s">
        <v>1011</v>
      </c>
      <c r="H5226" s="147" t="s">
        <v>7517</v>
      </c>
      <c r="I5226" s="148">
        <v>7</v>
      </c>
      <c r="J5226" s="46">
        <v>13</v>
      </c>
      <c r="K5226" s="46">
        <v>0</v>
      </c>
      <c r="L5226" s="46">
        <v>0</v>
      </c>
      <c r="M5226" s="46">
        <v>0</v>
      </c>
      <c r="N5226" s="46">
        <v>0</v>
      </c>
      <c r="O5226" s="46">
        <v>0</v>
      </c>
      <c r="P5226" s="47">
        <v>0</v>
      </c>
      <c r="Q5226" s="149" t="s">
        <v>154</v>
      </c>
    </row>
    <row r="5227" spans="1:17" s="162" customFormat="1" ht="96" x14ac:dyDescent="0.25">
      <c r="A5227" s="17">
        <v>41446</v>
      </c>
      <c r="B5227" s="17">
        <v>41446</v>
      </c>
      <c r="C5227" s="43">
        <v>2013</v>
      </c>
      <c r="D5227" s="24" t="s">
        <v>141</v>
      </c>
      <c r="E5227" s="41" t="s">
        <v>1965</v>
      </c>
      <c r="F5227" s="28" t="s">
        <v>210</v>
      </c>
      <c r="G5227" s="146" t="s">
        <v>7518</v>
      </c>
      <c r="H5227" s="147" t="s">
        <v>7519</v>
      </c>
      <c r="I5227" s="148">
        <v>0</v>
      </c>
      <c r="J5227" s="46">
        <v>6</v>
      </c>
      <c r="K5227" s="46">
        <v>0</v>
      </c>
      <c r="L5227" s="46">
        <v>0</v>
      </c>
      <c r="M5227" s="46">
        <v>0</v>
      </c>
      <c r="N5227" s="46">
        <v>0</v>
      </c>
      <c r="O5227" s="46">
        <v>0</v>
      </c>
      <c r="P5227" s="47">
        <v>0</v>
      </c>
      <c r="Q5227" s="149" t="s">
        <v>154</v>
      </c>
    </row>
    <row r="5228" spans="1:17" s="162" customFormat="1" ht="84" x14ac:dyDescent="0.25">
      <c r="A5228" s="17">
        <v>41447</v>
      </c>
      <c r="B5228" s="17">
        <v>41447</v>
      </c>
      <c r="C5228" s="43">
        <v>2013</v>
      </c>
      <c r="D5228" s="24" t="s">
        <v>141</v>
      </c>
      <c r="E5228" s="30" t="s">
        <v>142</v>
      </c>
      <c r="F5228" s="7" t="s">
        <v>60</v>
      </c>
      <c r="G5228" s="146" t="s">
        <v>1605</v>
      </c>
      <c r="H5228" s="147" t="s">
        <v>7520</v>
      </c>
      <c r="I5228" s="148">
        <v>0</v>
      </c>
      <c r="J5228" s="46">
        <v>22</v>
      </c>
      <c r="K5228" s="46">
        <v>0</v>
      </c>
      <c r="L5228" s="46">
        <v>0</v>
      </c>
      <c r="M5228" s="46">
        <v>0</v>
      </c>
      <c r="N5228" s="46">
        <v>0</v>
      </c>
      <c r="O5228" s="46">
        <v>0</v>
      </c>
      <c r="P5228" s="47">
        <v>0.25</v>
      </c>
      <c r="Q5228" s="149" t="s">
        <v>154</v>
      </c>
    </row>
    <row r="5229" spans="1:17" s="162" customFormat="1" ht="96" x14ac:dyDescent="0.25">
      <c r="A5229" s="21">
        <v>41437</v>
      </c>
      <c r="B5229" s="21">
        <v>41437</v>
      </c>
      <c r="C5229" s="43">
        <v>2013</v>
      </c>
      <c r="D5229" s="351" t="s">
        <v>23</v>
      </c>
      <c r="E5229" s="22" t="s">
        <v>86</v>
      </c>
      <c r="F5229" s="7" t="s">
        <v>82</v>
      </c>
      <c r="G5229" s="146" t="s">
        <v>4878</v>
      </c>
      <c r="H5229" s="147" t="s">
        <v>7521</v>
      </c>
      <c r="I5229" s="148">
        <v>2</v>
      </c>
      <c r="J5229" s="46">
        <v>4</v>
      </c>
      <c r="K5229" s="46">
        <v>0</v>
      </c>
      <c r="L5229" s="46">
        <v>0</v>
      </c>
      <c r="M5229" s="46">
        <v>0</v>
      </c>
      <c r="N5229" s="46">
        <v>0</v>
      </c>
      <c r="O5229" s="46">
        <v>0</v>
      </c>
      <c r="P5229" s="47">
        <v>0</v>
      </c>
      <c r="Q5229" s="149" t="s">
        <v>154</v>
      </c>
    </row>
    <row r="5230" spans="1:17" s="162" customFormat="1" ht="48" x14ac:dyDescent="0.25">
      <c r="A5230" s="21">
        <v>41438</v>
      </c>
      <c r="B5230" s="21">
        <v>41438</v>
      </c>
      <c r="C5230" s="43">
        <v>2013</v>
      </c>
      <c r="D5230" s="351" t="s">
        <v>23</v>
      </c>
      <c r="E5230" s="30" t="s">
        <v>2070</v>
      </c>
      <c r="F5230" s="28" t="s">
        <v>151</v>
      </c>
      <c r="G5230" s="146" t="s">
        <v>2407</v>
      </c>
      <c r="H5230" s="147" t="s">
        <v>7522</v>
      </c>
      <c r="I5230" s="148">
        <v>1</v>
      </c>
      <c r="J5230" s="46">
        <v>1</v>
      </c>
      <c r="K5230" s="46">
        <v>0</v>
      </c>
      <c r="L5230" s="46">
        <v>0</v>
      </c>
      <c r="M5230" s="46">
        <v>0</v>
      </c>
      <c r="N5230" s="46">
        <v>0</v>
      </c>
      <c r="O5230" s="46">
        <v>0</v>
      </c>
      <c r="P5230" s="47">
        <v>0</v>
      </c>
      <c r="Q5230" s="149" t="s">
        <v>154</v>
      </c>
    </row>
    <row r="5231" spans="1:17" s="162" customFormat="1" ht="84" x14ac:dyDescent="0.25">
      <c r="A5231" s="21">
        <v>41446</v>
      </c>
      <c r="B5231" s="21">
        <v>41446</v>
      </c>
      <c r="C5231" s="43">
        <v>2013</v>
      </c>
      <c r="D5231" s="351" t="s">
        <v>23</v>
      </c>
      <c r="E5231" s="22" t="s">
        <v>86</v>
      </c>
      <c r="F5231" s="7" t="s">
        <v>72</v>
      </c>
      <c r="G5231" s="146" t="s">
        <v>3728</v>
      </c>
      <c r="H5231" s="147" t="s">
        <v>7523</v>
      </c>
      <c r="I5231" s="148">
        <v>2</v>
      </c>
      <c r="J5231" s="46">
        <v>2</v>
      </c>
      <c r="K5231" s="46">
        <v>0</v>
      </c>
      <c r="L5231" s="46">
        <v>0</v>
      </c>
      <c r="M5231" s="46">
        <v>0</v>
      </c>
      <c r="N5231" s="46">
        <v>0</v>
      </c>
      <c r="O5231" s="46">
        <v>0</v>
      </c>
      <c r="P5231" s="47">
        <v>0.05</v>
      </c>
      <c r="Q5231" s="149" t="s">
        <v>154</v>
      </c>
    </row>
    <row r="5232" spans="1:17" s="162" customFormat="1" ht="84" x14ac:dyDescent="0.25">
      <c r="A5232" s="17">
        <v>41443</v>
      </c>
      <c r="B5232" s="17">
        <v>41443</v>
      </c>
      <c r="C5232" s="43">
        <v>2013</v>
      </c>
      <c r="D5232" s="351" t="s">
        <v>23</v>
      </c>
      <c r="E5232" s="30" t="s">
        <v>2070</v>
      </c>
      <c r="F5232" s="7" t="s">
        <v>49</v>
      </c>
      <c r="G5232" s="146" t="s">
        <v>7524</v>
      </c>
      <c r="H5232" s="147" t="s">
        <v>7525</v>
      </c>
      <c r="I5232" s="148">
        <v>0</v>
      </c>
      <c r="J5232" s="46">
        <v>30</v>
      </c>
      <c r="K5232" s="46">
        <v>6</v>
      </c>
      <c r="L5232" s="46">
        <v>0</v>
      </c>
      <c r="M5232" s="46">
        <v>0</v>
      </c>
      <c r="N5232" s="46">
        <v>0</v>
      </c>
      <c r="O5232" s="46">
        <v>0</v>
      </c>
      <c r="P5232" s="47">
        <v>0</v>
      </c>
      <c r="Q5232" s="149" t="s">
        <v>154</v>
      </c>
    </row>
    <row r="5233" spans="1:17" s="162" customFormat="1" ht="96" x14ac:dyDescent="0.25">
      <c r="A5233" s="21">
        <v>41438</v>
      </c>
      <c r="B5233" s="21">
        <v>41438</v>
      </c>
      <c r="C5233" s="43">
        <v>2013</v>
      </c>
      <c r="D5233" s="351" t="s">
        <v>23</v>
      </c>
      <c r="E5233" s="22" t="s">
        <v>86</v>
      </c>
      <c r="F5233" s="7" t="s">
        <v>82</v>
      </c>
      <c r="G5233" s="146" t="s">
        <v>7526</v>
      </c>
      <c r="H5233" s="147" t="s">
        <v>7527</v>
      </c>
      <c r="I5233" s="148">
        <v>0</v>
      </c>
      <c r="J5233" s="46">
        <v>87</v>
      </c>
      <c r="K5233" s="46">
        <v>20</v>
      </c>
      <c r="L5233" s="46">
        <v>0</v>
      </c>
      <c r="M5233" s="46">
        <v>0</v>
      </c>
      <c r="N5233" s="46">
        <v>0</v>
      </c>
      <c r="O5233" s="46">
        <v>0</v>
      </c>
      <c r="P5233" s="47">
        <v>0.02</v>
      </c>
      <c r="Q5233" s="149" t="s">
        <v>154</v>
      </c>
    </row>
    <row r="5234" spans="1:17" s="162" customFormat="1" ht="204" x14ac:dyDescent="0.25">
      <c r="A5234" s="21">
        <v>41444</v>
      </c>
      <c r="B5234" s="21">
        <v>41447</v>
      </c>
      <c r="C5234" s="43">
        <v>2013</v>
      </c>
      <c r="D5234" s="351" t="s">
        <v>23</v>
      </c>
      <c r="E5234" s="14" t="s">
        <v>32</v>
      </c>
      <c r="F5234" s="28" t="s">
        <v>210</v>
      </c>
      <c r="G5234" s="146" t="s">
        <v>7528</v>
      </c>
      <c r="H5234" s="147" t="s">
        <v>7529</v>
      </c>
      <c r="I5234" s="148">
        <v>2</v>
      </c>
      <c r="J5234" s="46">
        <v>254893</v>
      </c>
      <c r="K5234" s="46">
        <v>382</v>
      </c>
      <c r="L5234" s="46">
        <v>19</v>
      </c>
      <c r="M5234" s="46">
        <v>4</v>
      </c>
      <c r="N5234" s="46">
        <v>289</v>
      </c>
      <c r="O5234" s="46">
        <v>10512</v>
      </c>
      <c r="P5234" s="47">
        <v>4530.6000000000004</v>
      </c>
      <c r="Q5234" s="149" t="s">
        <v>22</v>
      </c>
    </row>
    <row r="5235" spans="1:17" s="162" customFormat="1" ht="120" x14ac:dyDescent="0.25">
      <c r="A5235" s="21">
        <v>41443</v>
      </c>
      <c r="B5235" s="21">
        <v>41443</v>
      </c>
      <c r="C5235" s="43">
        <v>2013</v>
      </c>
      <c r="D5235" s="351" t="s">
        <v>23</v>
      </c>
      <c r="E5235" s="14" t="s">
        <v>32</v>
      </c>
      <c r="F5235" s="28" t="s">
        <v>151</v>
      </c>
      <c r="G5235" s="146" t="s">
        <v>2407</v>
      </c>
      <c r="H5235" s="147" t="s">
        <v>7530</v>
      </c>
      <c r="I5235" s="148">
        <v>0</v>
      </c>
      <c r="J5235" s="46">
        <v>425</v>
      </c>
      <c r="K5235" s="46">
        <v>85</v>
      </c>
      <c r="L5235" s="46">
        <v>0</v>
      </c>
      <c r="M5235" s="46">
        <v>0</v>
      </c>
      <c r="N5235" s="46">
        <v>0</v>
      </c>
      <c r="O5235" s="46">
        <v>0</v>
      </c>
      <c r="P5235" s="47">
        <v>0.1</v>
      </c>
      <c r="Q5235" s="149" t="s">
        <v>154</v>
      </c>
    </row>
    <row r="5236" spans="1:17" s="162" customFormat="1" ht="84" x14ac:dyDescent="0.25">
      <c r="A5236" s="21">
        <v>41439</v>
      </c>
      <c r="B5236" s="21">
        <v>41439</v>
      </c>
      <c r="C5236" s="43">
        <v>2013</v>
      </c>
      <c r="D5236" s="351" t="s">
        <v>23</v>
      </c>
      <c r="E5236" s="22" t="s">
        <v>86</v>
      </c>
      <c r="F5236" s="7" t="s">
        <v>25</v>
      </c>
      <c r="G5236" s="146" t="s">
        <v>7531</v>
      </c>
      <c r="H5236" s="147" t="s">
        <v>7532</v>
      </c>
      <c r="I5236" s="148">
        <v>0</v>
      </c>
      <c r="J5236" s="46">
        <v>489</v>
      </c>
      <c r="K5236" s="46">
        <v>0</v>
      </c>
      <c r="L5236" s="46">
        <v>0</v>
      </c>
      <c r="M5236" s="46">
        <v>0</v>
      </c>
      <c r="N5236" s="46">
        <v>0</v>
      </c>
      <c r="O5236" s="46">
        <v>0</v>
      </c>
      <c r="P5236" s="47">
        <v>0</v>
      </c>
      <c r="Q5236" s="149" t="s">
        <v>154</v>
      </c>
    </row>
    <row r="5237" spans="1:17" s="162" customFormat="1" ht="156" x14ac:dyDescent="0.25">
      <c r="A5237" s="21">
        <v>41435</v>
      </c>
      <c r="B5237" s="21">
        <v>41435</v>
      </c>
      <c r="C5237" s="43">
        <v>2013</v>
      </c>
      <c r="D5237" s="351" t="s">
        <v>23</v>
      </c>
      <c r="E5237" s="22" t="s">
        <v>86</v>
      </c>
      <c r="F5237" s="7" t="s">
        <v>77</v>
      </c>
      <c r="G5237" s="146" t="s">
        <v>7533</v>
      </c>
      <c r="H5237" s="147" t="s">
        <v>7534</v>
      </c>
      <c r="I5237" s="148">
        <v>0</v>
      </c>
      <c r="J5237" s="46">
        <v>800</v>
      </c>
      <c r="K5237" s="46">
        <v>160</v>
      </c>
      <c r="L5237" s="46">
        <v>1</v>
      </c>
      <c r="M5237" s="46">
        <v>0</v>
      </c>
      <c r="N5237" s="46">
        <v>0</v>
      </c>
      <c r="O5237" s="46">
        <v>0</v>
      </c>
      <c r="P5237" s="47">
        <v>0.16</v>
      </c>
      <c r="Q5237" s="149" t="s">
        <v>154</v>
      </c>
    </row>
    <row r="5238" spans="1:17" s="162" customFormat="1" ht="84" x14ac:dyDescent="0.25">
      <c r="A5238" s="21">
        <v>41453</v>
      </c>
      <c r="B5238" s="21">
        <v>41453</v>
      </c>
      <c r="C5238" s="43">
        <v>2013</v>
      </c>
      <c r="D5238" s="24" t="s">
        <v>141</v>
      </c>
      <c r="E5238" s="30" t="s">
        <v>142</v>
      </c>
      <c r="F5238" s="7" t="s">
        <v>58</v>
      </c>
      <c r="G5238" s="146" t="s">
        <v>168</v>
      </c>
      <c r="H5238" s="147" t="s">
        <v>7535</v>
      </c>
      <c r="I5238" s="148">
        <v>0</v>
      </c>
      <c r="J5238" s="46">
        <v>7</v>
      </c>
      <c r="K5238" s="46">
        <v>0</v>
      </c>
      <c r="L5238" s="46">
        <v>0</v>
      </c>
      <c r="M5238" s="46">
        <v>0</v>
      </c>
      <c r="N5238" s="46">
        <v>0</v>
      </c>
      <c r="O5238" s="46">
        <v>0</v>
      </c>
      <c r="P5238" s="47">
        <v>0</v>
      </c>
      <c r="Q5238" s="149" t="s">
        <v>154</v>
      </c>
    </row>
    <row r="5239" spans="1:17" s="162" customFormat="1" ht="396" x14ac:dyDescent="0.25">
      <c r="A5239" s="21">
        <v>41439</v>
      </c>
      <c r="B5239" s="21">
        <v>41441</v>
      </c>
      <c r="C5239" s="43">
        <v>2013</v>
      </c>
      <c r="D5239" s="351" t="s">
        <v>23</v>
      </c>
      <c r="E5239" s="22" t="s">
        <v>86</v>
      </c>
      <c r="F5239" s="7" t="s">
        <v>45</v>
      </c>
      <c r="G5239" s="146" t="s">
        <v>7536</v>
      </c>
      <c r="H5239" s="147" t="s">
        <v>7537</v>
      </c>
      <c r="I5239" s="148">
        <v>1</v>
      </c>
      <c r="J5239" s="46">
        <v>213000</v>
      </c>
      <c r="K5239" s="46">
        <v>161</v>
      </c>
      <c r="L5239" s="46">
        <v>67</v>
      </c>
      <c r="M5239" s="46">
        <v>11</v>
      </c>
      <c r="N5239" s="46">
        <v>767</v>
      </c>
      <c r="O5239" s="46">
        <v>0</v>
      </c>
      <c r="P5239" s="47">
        <v>255.4</v>
      </c>
      <c r="Q5239" s="149" t="s">
        <v>22</v>
      </c>
    </row>
    <row r="5240" spans="1:17" s="162" customFormat="1" ht="60" x14ac:dyDescent="0.25">
      <c r="A5240" s="21">
        <v>41441</v>
      </c>
      <c r="B5240" s="21">
        <v>41441</v>
      </c>
      <c r="C5240" s="43">
        <v>2013</v>
      </c>
      <c r="D5240" s="351" t="s">
        <v>23</v>
      </c>
      <c r="E5240" s="22" t="s">
        <v>86</v>
      </c>
      <c r="F5240" s="7" t="s">
        <v>72</v>
      </c>
      <c r="G5240" s="146" t="s">
        <v>7538</v>
      </c>
      <c r="H5240" s="147" t="s">
        <v>7539</v>
      </c>
      <c r="I5240" s="148">
        <v>2</v>
      </c>
      <c r="J5240" s="46">
        <v>2</v>
      </c>
      <c r="K5240" s="46">
        <v>0</v>
      </c>
      <c r="L5240" s="46">
        <v>0</v>
      </c>
      <c r="M5240" s="46">
        <v>0</v>
      </c>
      <c r="N5240" s="46">
        <v>0</v>
      </c>
      <c r="O5240" s="46">
        <v>0</v>
      </c>
      <c r="P5240" s="47">
        <v>0</v>
      </c>
      <c r="Q5240" s="149" t="s">
        <v>154</v>
      </c>
    </row>
    <row r="5241" spans="1:17" s="162" customFormat="1" ht="49.5" x14ac:dyDescent="0.25">
      <c r="A5241" s="17">
        <v>41443</v>
      </c>
      <c r="B5241" s="17">
        <v>41443</v>
      </c>
      <c r="C5241" s="43">
        <v>2013</v>
      </c>
      <c r="D5241" s="24" t="s">
        <v>141</v>
      </c>
      <c r="E5241" s="30" t="s">
        <v>142</v>
      </c>
      <c r="F5241" s="7" t="s">
        <v>40</v>
      </c>
      <c r="G5241" s="146" t="s">
        <v>7402</v>
      </c>
      <c r="H5241" s="147" t="s">
        <v>7540</v>
      </c>
      <c r="I5241" s="148">
        <v>0</v>
      </c>
      <c r="J5241" s="46">
        <v>0</v>
      </c>
      <c r="K5241" s="46">
        <v>0</v>
      </c>
      <c r="L5241" s="46">
        <v>0</v>
      </c>
      <c r="M5241" s="46">
        <v>0</v>
      </c>
      <c r="N5241" s="46">
        <v>0</v>
      </c>
      <c r="O5241" s="46">
        <v>0</v>
      </c>
      <c r="P5241" s="47">
        <v>0.5</v>
      </c>
      <c r="Q5241" s="149" t="s">
        <v>154</v>
      </c>
    </row>
    <row r="5242" spans="1:17" s="162" customFormat="1" ht="84" x14ac:dyDescent="0.25">
      <c r="A5242" s="17">
        <v>41450</v>
      </c>
      <c r="B5242" s="17">
        <v>41450</v>
      </c>
      <c r="C5242" s="43">
        <v>2013</v>
      </c>
      <c r="D5242" s="351" t="s">
        <v>23</v>
      </c>
      <c r="E5242" s="30" t="s">
        <v>2070</v>
      </c>
      <c r="F5242" s="7" t="s">
        <v>56</v>
      </c>
      <c r="G5242" s="146" t="s">
        <v>7541</v>
      </c>
      <c r="H5242" s="147" t="s">
        <v>7542</v>
      </c>
      <c r="I5242" s="148">
        <v>1</v>
      </c>
      <c r="J5242" s="46">
        <v>45</v>
      </c>
      <c r="K5242" s="46">
        <v>5</v>
      </c>
      <c r="L5242" s="46">
        <v>0</v>
      </c>
      <c r="M5242" s="46">
        <v>0</v>
      </c>
      <c r="N5242" s="46">
        <v>0</v>
      </c>
      <c r="O5242" s="46">
        <v>0</v>
      </c>
      <c r="P5242" s="47">
        <v>0</v>
      </c>
      <c r="Q5242" s="149" t="s">
        <v>154</v>
      </c>
    </row>
    <row r="5243" spans="1:17" s="162" customFormat="1" ht="216" x14ac:dyDescent="0.25">
      <c r="A5243" s="17">
        <v>41441</v>
      </c>
      <c r="B5243" s="17">
        <v>41441</v>
      </c>
      <c r="C5243" s="43">
        <v>2013</v>
      </c>
      <c r="D5243" s="35" t="s">
        <v>17</v>
      </c>
      <c r="E5243" s="30" t="s">
        <v>122</v>
      </c>
      <c r="F5243" s="7" t="s">
        <v>58</v>
      </c>
      <c r="G5243" s="146" t="s">
        <v>7543</v>
      </c>
      <c r="H5243" s="147" t="s">
        <v>7544</v>
      </c>
      <c r="I5243" s="27">
        <v>0</v>
      </c>
      <c r="J5243" s="20">
        <v>35</v>
      </c>
      <c r="K5243" s="46">
        <v>7</v>
      </c>
      <c r="L5243" s="46">
        <v>0</v>
      </c>
      <c r="M5243" s="46">
        <v>1</v>
      </c>
      <c r="N5243" s="46">
        <v>0</v>
      </c>
      <c r="O5243" s="46">
        <v>0</v>
      </c>
      <c r="P5243" s="47">
        <v>0</v>
      </c>
      <c r="Q5243" s="149" t="s">
        <v>154</v>
      </c>
    </row>
    <row r="5244" spans="1:17" s="162" customFormat="1" ht="192" x14ac:dyDescent="0.25">
      <c r="A5244" s="17">
        <v>41438</v>
      </c>
      <c r="B5244" s="17">
        <v>41438</v>
      </c>
      <c r="C5244" s="43">
        <v>2013</v>
      </c>
      <c r="D5244" s="24" t="s">
        <v>141</v>
      </c>
      <c r="E5244" s="30" t="s">
        <v>142</v>
      </c>
      <c r="F5244" s="7" t="s">
        <v>62</v>
      </c>
      <c r="G5244" s="146" t="s">
        <v>1011</v>
      </c>
      <c r="H5244" s="147" t="s">
        <v>7545</v>
      </c>
      <c r="I5244" s="172">
        <v>7</v>
      </c>
      <c r="J5244" s="20">
        <v>13</v>
      </c>
      <c r="K5244" s="46">
        <v>0</v>
      </c>
      <c r="L5244" s="46">
        <v>0</v>
      </c>
      <c r="M5244" s="46">
        <v>0</v>
      </c>
      <c r="N5244" s="46">
        <v>0</v>
      </c>
      <c r="O5244" s="46">
        <v>0</v>
      </c>
      <c r="P5244" s="47">
        <v>0.3</v>
      </c>
      <c r="Q5244" s="149" t="s">
        <v>154</v>
      </c>
    </row>
    <row r="5245" spans="1:17" s="162" customFormat="1" ht="132" x14ac:dyDescent="0.25">
      <c r="A5245" s="21">
        <v>41437</v>
      </c>
      <c r="B5245" s="21">
        <v>41437</v>
      </c>
      <c r="C5245" s="43">
        <v>2013</v>
      </c>
      <c r="D5245" s="351" t="s">
        <v>23</v>
      </c>
      <c r="E5245" s="22" t="s">
        <v>86</v>
      </c>
      <c r="F5245" s="7" t="s">
        <v>72</v>
      </c>
      <c r="G5245" s="146" t="s">
        <v>7546</v>
      </c>
      <c r="H5245" s="147" t="s">
        <v>7547</v>
      </c>
      <c r="I5245" s="27">
        <v>0</v>
      </c>
      <c r="J5245" s="20">
        <v>0</v>
      </c>
      <c r="K5245" s="46">
        <v>0</v>
      </c>
      <c r="L5245" s="46">
        <v>0</v>
      </c>
      <c r="M5245" s="46">
        <v>0</v>
      </c>
      <c r="N5245" s="46">
        <v>0</v>
      </c>
      <c r="O5245" s="46">
        <v>0</v>
      </c>
      <c r="P5245" s="47">
        <v>0</v>
      </c>
      <c r="Q5245" s="149" t="s">
        <v>154</v>
      </c>
    </row>
    <row r="5246" spans="1:17" s="162" customFormat="1" ht="72" x14ac:dyDescent="0.25">
      <c r="A5246" s="17">
        <v>41437</v>
      </c>
      <c r="B5246" s="17">
        <v>41437</v>
      </c>
      <c r="C5246" s="43">
        <v>2013</v>
      </c>
      <c r="D5246" s="351" t="s">
        <v>23</v>
      </c>
      <c r="E5246" s="22" t="s">
        <v>86</v>
      </c>
      <c r="F5246" s="7" t="s">
        <v>82</v>
      </c>
      <c r="G5246" s="146" t="s">
        <v>7548</v>
      </c>
      <c r="H5246" s="147" t="s">
        <v>7549</v>
      </c>
      <c r="I5246" s="27">
        <v>0</v>
      </c>
      <c r="J5246" s="20">
        <v>4</v>
      </c>
      <c r="K5246" s="46">
        <v>0</v>
      </c>
      <c r="L5246" s="46">
        <v>0</v>
      </c>
      <c r="M5246" s="46">
        <v>0</v>
      </c>
      <c r="N5246" s="46">
        <v>0</v>
      </c>
      <c r="O5246" s="46">
        <v>0</v>
      </c>
      <c r="P5246" s="47">
        <v>0</v>
      </c>
      <c r="Q5246" s="149" t="s">
        <v>154</v>
      </c>
    </row>
    <row r="5247" spans="1:17" s="162" customFormat="1" ht="120" x14ac:dyDescent="0.25">
      <c r="A5247" s="17">
        <v>41465</v>
      </c>
      <c r="B5247" s="17">
        <v>41465</v>
      </c>
      <c r="C5247" s="43">
        <v>2013</v>
      </c>
      <c r="D5247" s="351" t="s">
        <v>23</v>
      </c>
      <c r="E5247" s="22" t="s">
        <v>86</v>
      </c>
      <c r="F5247" s="28" t="s">
        <v>160</v>
      </c>
      <c r="G5247" s="146" t="s">
        <v>4410</v>
      </c>
      <c r="H5247" s="147" t="s">
        <v>7550</v>
      </c>
      <c r="I5247" s="148">
        <v>0</v>
      </c>
      <c r="J5247" s="46">
        <v>70</v>
      </c>
      <c r="K5247" s="46">
        <v>0</v>
      </c>
      <c r="L5247" s="46">
        <v>0</v>
      </c>
      <c r="M5247" s="46">
        <v>0</v>
      </c>
      <c r="N5247" s="46">
        <v>0</v>
      </c>
      <c r="O5247" s="46">
        <v>0</v>
      </c>
      <c r="P5247" s="47">
        <v>0.1</v>
      </c>
      <c r="Q5247" s="149" t="s">
        <v>154</v>
      </c>
    </row>
    <row r="5248" spans="1:17" s="162" customFormat="1" ht="96" x14ac:dyDescent="0.25">
      <c r="A5248" s="23">
        <v>41460</v>
      </c>
      <c r="B5248" s="23">
        <v>41461</v>
      </c>
      <c r="C5248" s="43">
        <v>2013</v>
      </c>
      <c r="D5248" s="351" t="s">
        <v>23</v>
      </c>
      <c r="E5248" s="14" t="s">
        <v>32</v>
      </c>
      <c r="F5248" s="7" t="s">
        <v>58</v>
      </c>
      <c r="G5248" s="146" t="s">
        <v>7551</v>
      </c>
      <c r="H5248" s="147" t="s">
        <v>7552</v>
      </c>
      <c r="I5248" s="148">
        <v>0</v>
      </c>
      <c r="J5248" s="46">
        <v>85</v>
      </c>
      <c r="K5248" s="46">
        <v>17</v>
      </c>
      <c r="L5248" s="46">
        <v>0</v>
      </c>
      <c r="M5248" s="46">
        <v>0</v>
      </c>
      <c r="N5248" s="46">
        <v>1</v>
      </c>
      <c r="O5248" s="46">
        <v>0</v>
      </c>
      <c r="P5248" s="47">
        <v>71.2</v>
      </c>
      <c r="Q5248" s="149" t="s">
        <v>186</v>
      </c>
    </row>
    <row r="5249" spans="1:17" s="162" customFormat="1" ht="156" x14ac:dyDescent="0.25">
      <c r="A5249" s="17">
        <v>41461</v>
      </c>
      <c r="B5249" s="17">
        <v>41461</v>
      </c>
      <c r="C5249" s="43">
        <v>2013</v>
      </c>
      <c r="D5249" s="351" t="s">
        <v>23</v>
      </c>
      <c r="E5249" s="22" t="s">
        <v>86</v>
      </c>
      <c r="F5249" s="7" t="s">
        <v>67</v>
      </c>
      <c r="G5249" s="146" t="s">
        <v>2417</v>
      </c>
      <c r="H5249" s="147" t="s">
        <v>7553</v>
      </c>
      <c r="I5249" s="148">
        <v>1</v>
      </c>
      <c r="J5249" s="46">
        <v>5003</v>
      </c>
      <c r="K5249" s="46">
        <v>1000</v>
      </c>
      <c r="L5249" s="46">
        <v>0</v>
      </c>
      <c r="M5249" s="46">
        <v>0</v>
      </c>
      <c r="N5249" s="46">
        <v>0</v>
      </c>
      <c r="O5249" s="46">
        <v>0</v>
      </c>
      <c r="P5249" s="47">
        <v>0.3</v>
      </c>
      <c r="Q5249" s="149" t="s">
        <v>154</v>
      </c>
    </row>
    <row r="5250" spans="1:17" s="162" customFormat="1" ht="36" x14ac:dyDescent="0.25">
      <c r="A5250" s="21">
        <v>41468</v>
      </c>
      <c r="B5250" s="21">
        <v>41468</v>
      </c>
      <c r="C5250" s="43">
        <v>2013</v>
      </c>
      <c r="D5250" s="351" t="s">
        <v>23</v>
      </c>
      <c r="E5250" s="22" t="s">
        <v>86</v>
      </c>
      <c r="F5250" s="7" t="s">
        <v>97</v>
      </c>
      <c r="G5250" s="146" t="s">
        <v>7554</v>
      </c>
      <c r="H5250" s="147" t="s">
        <v>7555</v>
      </c>
      <c r="I5250" s="148">
        <v>0</v>
      </c>
      <c r="J5250" s="46">
        <v>1</v>
      </c>
      <c r="K5250" s="46">
        <v>0</v>
      </c>
      <c r="L5250" s="46">
        <v>0</v>
      </c>
      <c r="M5250" s="46">
        <v>0</v>
      </c>
      <c r="N5250" s="46">
        <v>0</v>
      </c>
      <c r="O5250" s="46">
        <v>0</v>
      </c>
      <c r="P5250" s="47">
        <v>0</v>
      </c>
      <c r="Q5250" s="149" t="s">
        <v>154</v>
      </c>
    </row>
    <row r="5251" spans="1:17" s="162" customFormat="1" ht="84" x14ac:dyDescent="0.25">
      <c r="A5251" s="17">
        <v>41463</v>
      </c>
      <c r="B5251" s="17">
        <v>41463</v>
      </c>
      <c r="C5251" s="43">
        <v>2013</v>
      </c>
      <c r="D5251" s="351" t="s">
        <v>23</v>
      </c>
      <c r="E5251" s="22" t="s">
        <v>86</v>
      </c>
      <c r="F5251" s="7" t="s">
        <v>77</v>
      </c>
      <c r="G5251" s="146" t="s">
        <v>7177</v>
      </c>
      <c r="H5251" s="147" t="s">
        <v>7556</v>
      </c>
      <c r="I5251" s="148">
        <v>1</v>
      </c>
      <c r="J5251" s="46">
        <v>5</v>
      </c>
      <c r="K5251" s="46">
        <v>0</v>
      </c>
      <c r="L5251" s="46">
        <v>0</v>
      </c>
      <c r="M5251" s="46">
        <v>0</v>
      </c>
      <c r="N5251" s="46">
        <v>0</v>
      </c>
      <c r="O5251" s="46">
        <v>0</v>
      </c>
      <c r="P5251" s="47">
        <v>0</v>
      </c>
      <c r="Q5251" s="149" t="s">
        <v>154</v>
      </c>
    </row>
    <row r="5252" spans="1:17" s="162" customFormat="1" ht="120" x14ac:dyDescent="0.25">
      <c r="A5252" s="17">
        <v>41462</v>
      </c>
      <c r="B5252" s="17">
        <v>41462</v>
      </c>
      <c r="C5252" s="43">
        <v>2013</v>
      </c>
      <c r="D5252" s="351" t="s">
        <v>23</v>
      </c>
      <c r="E5252" s="22" t="s">
        <v>86</v>
      </c>
      <c r="F5252" s="7" t="s">
        <v>77</v>
      </c>
      <c r="G5252" s="146" t="s">
        <v>7557</v>
      </c>
      <c r="H5252" s="147" t="s">
        <v>7558</v>
      </c>
      <c r="I5252" s="148">
        <v>0</v>
      </c>
      <c r="J5252" s="46">
        <v>245</v>
      </c>
      <c r="K5252" s="46">
        <v>49</v>
      </c>
      <c r="L5252" s="46">
        <v>1</v>
      </c>
      <c r="M5252" s="46">
        <v>1</v>
      </c>
      <c r="N5252" s="46">
        <v>0</v>
      </c>
      <c r="O5252" s="46">
        <v>0</v>
      </c>
      <c r="P5252" s="47">
        <v>7.4999999999999997E-2</v>
      </c>
      <c r="Q5252" s="149" t="s">
        <v>154</v>
      </c>
    </row>
    <row r="5253" spans="1:17" s="162" customFormat="1" ht="84" x14ac:dyDescent="0.25">
      <c r="A5253" s="17">
        <v>41462</v>
      </c>
      <c r="B5253" s="17">
        <v>41462</v>
      </c>
      <c r="C5253" s="43">
        <v>2013</v>
      </c>
      <c r="D5253" s="351" t="s">
        <v>23</v>
      </c>
      <c r="E5253" s="22" t="s">
        <v>86</v>
      </c>
      <c r="F5253" s="7" t="s">
        <v>82</v>
      </c>
      <c r="G5253" s="146" t="s">
        <v>7559</v>
      </c>
      <c r="H5253" s="147" t="s">
        <v>7560</v>
      </c>
      <c r="I5253" s="148">
        <v>1</v>
      </c>
      <c r="J5253" s="46">
        <v>5</v>
      </c>
      <c r="K5253" s="46">
        <v>0</v>
      </c>
      <c r="L5253" s="46">
        <v>0</v>
      </c>
      <c r="M5253" s="46">
        <v>0</v>
      </c>
      <c r="N5253" s="46">
        <v>0</v>
      </c>
      <c r="O5253" s="46">
        <v>0</v>
      </c>
      <c r="P5253" s="47">
        <v>0</v>
      </c>
      <c r="Q5253" s="149" t="s">
        <v>154</v>
      </c>
    </row>
    <row r="5254" spans="1:17" s="162" customFormat="1" ht="84" x14ac:dyDescent="0.25">
      <c r="A5254" s="17">
        <v>41461</v>
      </c>
      <c r="B5254" s="17">
        <v>41461</v>
      </c>
      <c r="C5254" s="43">
        <v>2013</v>
      </c>
      <c r="D5254" s="24" t="s">
        <v>141</v>
      </c>
      <c r="E5254" s="30" t="s">
        <v>142</v>
      </c>
      <c r="F5254" s="7" t="s">
        <v>60</v>
      </c>
      <c r="G5254" s="146" t="s">
        <v>1605</v>
      </c>
      <c r="H5254" s="147" t="s">
        <v>7561</v>
      </c>
      <c r="I5254" s="148">
        <v>0</v>
      </c>
      <c r="J5254" s="46">
        <v>19</v>
      </c>
      <c r="K5254" s="46">
        <v>0</v>
      </c>
      <c r="L5254" s="46">
        <v>0</v>
      </c>
      <c r="M5254" s="46">
        <v>0</v>
      </c>
      <c r="N5254" s="46">
        <v>0</v>
      </c>
      <c r="O5254" s="46">
        <v>0</v>
      </c>
      <c r="P5254" s="47">
        <v>0</v>
      </c>
      <c r="Q5254" s="149" t="s">
        <v>154</v>
      </c>
    </row>
    <row r="5255" spans="1:17" s="162" customFormat="1" ht="144" x14ac:dyDescent="0.25">
      <c r="A5255" s="17">
        <v>41458</v>
      </c>
      <c r="B5255" s="17">
        <v>41458</v>
      </c>
      <c r="C5255" s="43">
        <v>2013</v>
      </c>
      <c r="D5255" s="351" t="s">
        <v>23</v>
      </c>
      <c r="E5255" s="22" t="s">
        <v>86</v>
      </c>
      <c r="F5255" s="28" t="s">
        <v>151</v>
      </c>
      <c r="G5255" s="146" t="s">
        <v>7562</v>
      </c>
      <c r="H5255" s="147" t="s">
        <v>7563</v>
      </c>
      <c r="I5255" s="148">
        <v>0</v>
      </c>
      <c r="J5255" s="46">
        <v>3000</v>
      </c>
      <c r="K5255" s="46">
        <v>0</v>
      </c>
      <c r="L5255" s="46">
        <v>4</v>
      </c>
      <c r="M5255" s="46">
        <v>0</v>
      </c>
      <c r="N5255" s="46">
        <v>0</v>
      </c>
      <c r="O5255" s="46">
        <v>0</v>
      </c>
      <c r="P5255" s="47">
        <v>0.1</v>
      </c>
      <c r="Q5255" s="149" t="s">
        <v>154</v>
      </c>
    </row>
    <row r="5256" spans="1:17" s="162" customFormat="1" ht="132" x14ac:dyDescent="0.25">
      <c r="A5256" s="17">
        <v>41453</v>
      </c>
      <c r="B5256" s="17">
        <v>41453</v>
      </c>
      <c r="C5256" s="43">
        <v>2013</v>
      </c>
      <c r="D5256" s="35" t="s">
        <v>28</v>
      </c>
      <c r="E5256" s="6" t="s">
        <v>369</v>
      </c>
      <c r="F5256" s="7" t="s">
        <v>30</v>
      </c>
      <c r="G5256" s="146" t="s">
        <v>901</v>
      </c>
      <c r="H5256" s="147" t="s">
        <v>7564</v>
      </c>
      <c r="I5256" s="148">
        <v>0</v>
      </c>
      <c r="J5256" s="46">
        <v>8</v>
      </c>
      <c r="K5256" s="46">
        <v>0</v>
      </c>
      <c r="L5256" s="46">
        <v>0</v>
      </c>
      <c r="M5256" s="46">
        <v>0</v>
      </c>
      <c r="N5256" s="46">
        <v>0</v>
      </c>
      <c r="O5256" s="46">
        <v>0</v>
      </c>
      <c r="P5256" s="47">
        <v>0</v>
      </c>
      <c r="Q5256" s="149" t="s">
        <v>154</v>
      </c>
    </row>
    <row r="5257" spans="1:17" s="162" customFormat="1" ht="108" x14ac:dyDescent="0.25">
      <c r="A5257" s="17">
        <v>41463</v>
      </c>
      <c r="B5257" s="17">
        <v>41463</v>
      </c>
      <c r="C5257" s="43">
        <v>2013</v>
      </c>
      <c r="D5257" s="351" t="s">
        <v>23</v>
      </c>
      <c r="E5257" s="22" t="s">
        <v>86</v>
      </c>
      <c r="F5257" s="7" t="s">
        <v>82</v>
      </c>
      <c r="G5257" s="146" t="s">
        <v>4878</v>
      </c>
      <c r="H5257" s="147" t="s">
        <v>7565</v>
      </c>
      <c r="I5257" s="148">
        <v>0</v>
      </c>
      <c r="J5257" s="46">
        <v>10</v>
      </c>
      <c r="K5257" s="46">
        <v>2</v>
      </c>
      <c r="L5257" s="46">
        <v>0</v>
      </c>
      <c r="M5257" s="46">
        <v>0</v>
      </c>
      <c r="N5257" s="46">
        <v>0</v>
      </c>
      <c r="O5257" s="46">
        <v>0</v>
      </c>
      <c r="P5257" s="47">
        <v>0</v>
      </c>
      <c r="Q5257" s="149" t="s">
        <v>154</v>
      </c>
    </row>
    <row r="5258" spans="1:17" s="162" customFormat="1" ht="96" x14ac:dyDescent="0.25">
      <c r="A5258" s="17">
        <v>41440</v>
      </c>
      <c r="B5258" s="17">
        <v>41440</v>
      </c>
      <c r="C5258" s="43">
        <v>2013</v>
      </c>
      <c r="D5258" s="24" t="s">
        <v>141</v>
      </c>
      <c r="E5258" s="30" t="s">
        <v>142</v>
      </c>
      <c r="F5258" s="7" t="s">
        <v>56</v>
      </c>
      <c r="G5258" s="146" t="s">
        <v>3722</v>
      </c>
      <c r="H5258" s="147" t="s">
        <v>7566</v>
      </c>
      <c r="I5258" s="148">
        <v>0</v>
      </c>
      <c r="J5258" s="46">
        <v>9</v>
      </c>
      <c r="K5258" s="46">
        <v>0</v>
      </c>
      <c r="L5258" s="46">
        <v>0</v>
      </c>
      <c r="M5258" s="46">
        <v>0</v>
      </c>
      <c r="N5258" s="46">
        <v>0</v>
      </c>
      <c r="O5258" s="46">
        <v>0</v>
      </c>
      <c r="P5258" s="47">
        <v>0</v>
      </c>
      <c r="Q5258" s="149" t="s">
        <v>154</v>
      </c>
    </row>
    <row r="5259" spans="1:17" s="162" customFormat="1" ht="84" x14ac:dyDescent="0.25">
      <c r="A5259" s="17">
        <v>41469</v>
      </c>
      <c r="B5259" s="17">
        <v>41469</v>
      </c>
      <c r="C5259" s="43">
        <v>2013</v>
      </c>
      <c r="D5259" s="24" t="s">
        <v>141</v>
      </c>
      <c r="E5259" s="30" t="s">
        <v>142</v>
      </c>
      <c r="F5259" s="7" t="s">
        <v>72</v>
      </c>
      <c r="G5259" s="146" t="s">
        <v>7567</v>
      </c>
      <c r="H5259" s="147" t="s">
        <v>7568</v>
      </c>
      <c r="I5259" s="148">
        <v>1</v>
      </c>
      <c r="J5259" s="46">
        <v>3</v>
      </c>
      <c r="K5259" s="46">
        <v>0</v>
      </c>
      <c r="L5259" s="46">
        <v>0</v>
      </c>
      <c r="M5259" s="46">
        <v>0</v>
      </c>
      <c r="N5259" s="46">
        <v>0</v>
      </c>
      <c r="O5259" s="46">
        <v>0</v>
      </c>
      <c r="P5259" s="47">
        <v>1</v>
      </c>
      <c r="Q5259" s="149" t="s">
        <v>154</v>
      </c>
    </row>
    <row r="5260" spans="1:17" s="162" customFormat="1" ht="144" x14ac:dyDescent="0.25">
      <c r="A5260" s="17">
        <v>41464</v>
      </c>
      <c r="B5260" s="17">
        <v>41464</v>
      </c>
      <c r="C5260" s="43">
        <v>2013</v>
      </c>
      <c r="D5260" s="351" t="s">
        <v>23</v>
      </c>
      <c r="E5260" s="22" t="s">
        <v>86</v>
      </c>
      <c r="F5260" s="7" t="s">
        <v>62</v>
      </c>
      <c r="G5260" s="146" t="s">
        <v>7569</v>
      </c>
      <c r="H5260" s="147" t="s">
        <v>7570</v>
      </c>
      <c r="I5260" s="148">
        <v>1</v>
      </c>
      <c r="J5260" s="46">
        <v>7</v>
      </c>
      <c r="K5260" s="46">
        <v>0</v>
      </c>
      <c r="L5260" s="46">
        <v>0</v>
      </c>
      <c r="M5260" s="46">
        <v>0</v>
      </c>
      <c r="N5260" s="46">
        <v>0</v>
      </c>
      <c r="O5260" s="46">
        <v>0</v>
      </c>
      <c r="P5260" s="47">
        <v>0</v>
      </c>
      <c r="Q5260" s="149" t="s">
        <v>154</v>
      </c>
    </row>
    <row r="5261" spans="1:17" s="162" customFormat="1" ht="72" x14ac:dyDescent="0.25">
      <c r="A5261" s="17">
        <v>41470</v>
      </c>
      <c r="B5261" s="17">
        <v>41470</v>
      </c>
      <c r="C5261" s="43">
        <v>2013</v>
      </c>
      <c r="D5261" s="35" t="s">
        <v>28</v>
      </c>
      <c r="E5261" s="30" t="s">
        <v>133</v>
      </c>
      <c r="F5261" s="7" t="s">
        <v>87</v>
      </c>
      <c r="G5261" s="146" t="s">
        <v>7571</v>
      </c>
      <c r="H5261" s="147" t="s">
        <v>7572</v>
      </c>
      <c r="I5261" s="27">
        <v>0</v>
      </c>
      <c r="J5261" s="20">
        <v>9</v>
      </c>
      <c r="K5261" s="46">
        <v>1</v>
      </c>
      <c r="L5261" s="46">
        <v>0</v>
      </c>
      <c r="M5261" s="46">
        <v>0</v>
      </c>
      <c r="N5261" s="46">
        <v>0</v>
      </c>
      <c r="O5261" s="46">
        <v>0</v>
      </c>
      <c r="P5261" s="47">
        <v>0</v>
      </c>
      <c r="Q5261" s="149" t="s">
        <v>154</v>
      </c>
    </row>
    <row r="5262" spans="1:17" s="162" customFormat="1" ht="108" x14ac:dyDescent="0.25">
      <c r="A5262" s="17">
        <v>41472</v>
      </c>
      <c r="B5262" s="17">
        <v>41472</v>
      </c>
      <c r="C5262" s="43">
        <v>2013</v>
      </c>
      <c r="D5262" s="24" t="s">
        <v>141</v>
      </c>
      <c r="E5262" s="30" t="s">
        <v>142</v>
      </c>
      <c r="F5262" s="7" t="s">
        <v>58</v>
      </c>
      <c r="G5262" s="146" t="s">
        <v>2718</v>
      </c>
      <c r="H5262" s="147" t="s">
        <v>7573</v>
      </c>
      <c r="I5262" s="148">
        <v>0</v>
      </c>
      <c r="J5262" s="46">
        <v>15</v>
      </c>
      <c r="K5262" s="46">
        <v>0</v>
      </c>
      <c r="L5262" s="46">
        <v>0</v>
      </c>
      <c r="M5262" s="46">
        <v>0</v>
      </c>
      <c r="N5262" s="46">
        <v>0</v>
      </c>
      <c r="O5262" s="46">
        <v>0</v>
      </c>
      <c r="P5262" s="47">
        <v>0</v>
      </c>
      <c r="Q5262" s="149" t="s">
        <v>154</v>
      </c>
    </row>
    <row r="5263" spans="1:17" s="162" customFormat="1" ht="192" x14ac:dyDescent="0.25">
      <c r="A5263" s="17">
        <v>41471</v>
      </c>
      <c r="B5263" s="17">
        <v>41476</v>
      </c>
      <c r="C5263" s="43">
        <v>2013</v>
      </c>
      <c r="D5263" s="351" t="s">
        <v>23</v>
      </c>
      <c r="E5263" s="22" t="s">
        <v>86</v>
      </c>
      <c r="F5263" s="7" t="s">
        <v>40</v>
      </c>
      <c r="G5263" s="146" t="s">
        <v>7574</v>
      </c>
      <c r="H5263" s="147" t="s">
        <v>7575</v>
      </c>
      <c r="I5263" s="148">
        <v>0</v>
      </c>
      <c r="J5263" s="46">
        <v>10375</v>
      </c>
      <c r="K5263" s="46">
        <v>2075</v>
      </c>
      <c r="L5263" s="46">
        <v>0</v>
      </c>
      <c r="M5263" s="46">
        <v>0</v>
      </c>
      <c r="N5263" s="46">
        <v>0</v>
      </c>
      <c r="O5263" s="46">
        <v>0</v>
      </c>
      <c r="P5263" s="47">
        <f>896.3+14.43</f>
        <v>910.7299999999999</v>
      </c>
      <c r="Q5263" s="149" t="s">
        <v>186</v>
      </c>
    </row>
    <row r="5264" spans="1:17" s="162" customFormat="1" ht="120" x14ac:dyDescent="0.25">
      <c r="A5264" s="17">
        <v>41475</v>
      </c>
      <c r="B5264" s="17">
        <v>41475</v>
      </c>
      <c r="C5264" s="43">
        <v>2013</v>
      </c>
      <c r="D5264" s="351" t="s">
        <v>23</v>
      </c>
      <c r="E5264" s="22" t="s">
        <v>86</v>
      </c>
      <c r="F5264" s="7" t="s">
        <v>56</v>
      </c>
      <c r="G5264" s="146" t="s">
        <v>1712</v>
      </c>
      <c r="H5264" s="147" t="s">
        <v>7576</v>
      </c>
      <c r="I5264" s="148">
        <v>1</v>
      </c>
      <c r="J5264" s="46">
        <v>8</v>
      </c>
      <c r="K5264" s="46">
        <v>0</v>
      </c>
      <c r="L5264" s="46">
        <v>0</v>
      </c>
      <c r="M5264" s="46">
        <v>0</v>
      </c>
      <c r="N5264" s="46">
        <v>0</v>
      </c>
      <c r="O5264" s="46">
        <v>0</v>
      </c>
      <c r="P5264" s="47">
        <v>0</v>
      </c>
      <c r="Q5264" s="149" t="s">
        <v>154</v>
      </c>
    </row>
    <row r="5265" spans="1:17" s="162" customFormat="1" ht="72" x14ac:dyDescent="0.25">
      <c r="A5265" s="17">
        <v>41473</v>
      </c>
      <c r="B5265" s="17">
        <v>41473</v>
      </c>
      <c r="C5265" s="43">
        <v>2013</v>
      </c>
      <c r="D5265" s="24" t="s">
        <v>141</v>
      </c>
      <c r="E5265" s="30" t="s">
        <v>142</v>
      </c>
      <c r="F5265" s="7" t="s">
        <v>49</v>
      </c>
      <c r="G5265" s="146" t="s">
        <v>7577</v>
      </c>
      <c r="H5265" s="147" t="s">
        <v>7578</v>
      </c>
      <c r="I5265" s="148">
        <v>2</v>
      </c>
      <c r="J5265" s="46">
        <v>17</v>
      </c>
      <c r="K5265" s="46">
        <v>0</v>
      </c>
      <c r="L5265" s="46">
        <v>0</v>
      </c>
      <c r="M5265" s="46">
        <v>0</v>
      </c>
      <c r="N5265" s="46">
        <v>0</v>
      </c>
      <c r="O5265" s="46">
        <v>0</v>
      </c>
      <c r="P5265" s="47">
        <v>0</v>
      </c>
      <c r="Q5265" s="149" t="s">
        <v>154</v>
      </c>
    </row>
    <row r="5266" spans="1:17" s="162" customFormat="1" ht="60" x14ac:dyDescent="0.25">
      <c r="A5266" s="17">
        <v>41381</v>
      </c>
      <c r="B5266" s="17">
        <v>41381</v>
      </c>
      <c r="C5266" s="43">
        <v>2013</v>
      </c>
      <c r="D5266" s="351" t="s">
        <v>23</v>
      </c>
      <c r="E5266" s="30" t="s">
        <v>2070</v>
      </c>
      <c r="F5266" s="7" t="s">
        <v>101</v>
      </c>
      <c r="G5266" s="146" t="s">
        <v>7579</v>
      </c>
      <c r="H5266" s="147" t="s">
        <v>7580</v>
      </c>
      <c r="I5266" s="148">
        <v>1</v>
      </c>
      <c r="J5266" s="46">
        <v>1</v>
      </c>
      <c r="K5266" s="46">
        <v>0</v>
      </c>
      <c r="L5266" s="46">
        <v>0</v>
      </c>
      <c r="M5266" s="46">
        <v>0</v>
      </c>
      <c r="N5266" s="46">
        <v>0</v>
      </c>
      <c r="O5266" s="46">
        <v>0</v>
      </c>
      <c r="P5266" s="47">
        <v>0</v>
      </c>
      <c r="Q5266" s="149" t="s">
        <v>154</v>
      </c>
    </row>
    <row r="5267" spans="1:17" s="162" customFormat="1" ht="96" x14ac:dyDescent="0.25">
      <c r="A5267" s="17">
        <v>41384</v>
      </c>
      <c r="B5267" s="17">
        <v>41384</v>
      </c>
      <c r="C5267" s="43">
        <v>2013</v>
      </c>
      <c r="D5267" s="351" t="s">
        <v>23</v>
      </c>
      <c r="E5267" s="22" t="s">
        <v>86</v>
      </c>
      <c r="F5267" s="7" t="s">
        <v>60</v>
      </c>
      <c r="G5267" s="146" t="s">
        <v>7581</v>
      </c>
      <c r="H5267" s="147" t="s">
        <v>7582</v>
      </c>
      <c r="I5267" s="148">
        <v>1</v>
      </c>
      <c r="J5267" s="46">
        <v>1</v>
      </c>
      <c r="K5267" s="46">
        <v>0</v>
      </c>
      <c r="L5267" s="46">
        <v>0</v>
      </c>
      <c r="M5267" s="46">
        <v>0</v>
      </c>
      <c r="N5267" s="46">
        <v>0</v>
      </c>
      <c r="O5267" s="46">
        <v>0</v>
      </c>
      <c r="P5267" s="47">
        <v>0</v>
      </c>
      <c r="Q5267" s="149" t="s">
        <v>154</v>
      </c>
    </row>
    <row r="5268" spans="1:17" s="162" customFormat="1" ht="108" x14ac:dyDescent="0.25">
      <c r="A5268" s="17">
        <v>41476</v>
      </c>
      <c r="B5268" s="17">
        <v>41476</v>
      </c>
      <c r="C5268" s="43">
        <v>2013</v>
      </c>
      <c r="D5268" s="35" t="s">
        <v>28</v>
      </c>
      <c r="E5268" s="30" t="s">
        <v>133</v>
      </c>
      <c r="F5268" s="7" t="s">
        <v>53</v>
      </c>
      <c r="G5268" s="146" t="s">
        <v>7583</v>
      </c>
      <c r="H5268" s="147" t="s">
        <v>7584</v>
      </c>
      <c r="I5268" s="148">
        <v>0</v>
      </c>
      <c r="J5268" s="46">
        <v>7</v>
      </c>
      <c r="K5268" s="46">
        <v>0</v>
      </c>
      <c r="L5268" s="46">
        <v>0</v>
      </c>
      <c r="M5268" s="46">
        <v>0</v>
      </c>
      <c r="N5268" s="46">
        <v>0</v>
      </c>
      <c r="O5268" s="46">
        <v>0</v>
      </c>
      <c r="P5268" s="47">
        <v>0.1</v>
      </c>
      <c r="Q5268" s="149" t="s">
        <v>154</v>
      </c>
    </row>
    <row r="5269" spans="1:17" s="162" customFormat="1" ht="72" x14ac:dyDescent="0.25">
      <c r="A5269" s="17">
        <v>41472</v>
      </c>
      <c r="B5269" s="17">
        <v>41472</v>
      </c>
      <c r="C5269" s="43">
        <v>2013</v>
      </c>
      <c r="D5269" s="351" t="s">
        <v>23</v>
      </c>
      <c r="E5269" s="30" t="s">
        <v>2070</v>
      </c>
      <c r="F5269" s="7" t="s">
        <v>53</v>
      </c>
      <c r="G5269" s="146" t="s">
        <v>7585</v>
      </c>
      <c r="H5269" s="147" t="s">
        <v>7586</v>
      </c>
      <c r="I5269" s="148">
        <v>2</v>
      </c>
      <c r="J5269" s="46">
        <v>7</v>
      </c>
      <c r="K5269" s="46">
        <v>0</v>
      </c>
      <c r="L5269" s="46">
        <v>0</v>
      </c>
      <c r="M5269" s="46">
        <v>0</v>
      </c>
      <c r="N5269" s="46">
        <v>0</v>
      </c>
      <c r="O5269" s="46">
        <v>0</v>
      </c>
      <c r="P5269" s="47">
        <v>0</v>
      </c>
      <c r="Q5269" s="149" t="s">
        <v>154</v>
      </c>
    </row>
    <row r="5270" spans="1:17" s="162" customFormat="1" ht="84" x14ac:dyDescent="0.25">
      <c r="A5270" s="17">
        <v>41476</v>
      </c>
      <c r="B5270" s="17">
        <v>41476</v>
      </c>
      <c r="C5270" s="43">
        <v>2013</v>
      </c>
      <c r="D5270" s="35" t="s">
        <v>28</v>
      </c>
      <c r="E5270" s="30" t="s">
        <v>133</v>
      </c>
      <c r="F5270" s="7" t="s">
        <v>56</v>
      </c>
      <c r="G5270" s="146" t="s">
        <v>56</v>
      </c>
      <c r="H5270" s="147" t="s">
        <v>7587</v>
      </c>
      <c r="I5270" s="148">
        <v>0</v>
      </c>
      <c r="J5270" s="46">
        <v>6</v>
      </c>
      <c r="K5270" s="46">
        <v>0</v>
      </c>
      <c r="L5270" s="46">
        <v>0</v>
      </c>
      <c r="M5270" s="46">
        <v>0</v>
      </c>
      <c r="N5270" s="46">
        <v>0</v>
      </c>
      <c r="O5270" s="46">
        <v>0</v>
      </c>
      <c r="P5270" s="47">
        <v>0</v>
      </c>
      <c r="Q5270" s="149" t="s">
        <v>154</v>
      </c>
    </row>
    <row r="5271" spans="1:17" s="162" customFormat="1" ht="84" x14ac:dyDescent="0.25">
      <c r="A5271" s="17">
        <v>41471</v>
      </c>
      <c r="B5271" s="17">
        <v>41471</v>
      </c>
      <c r="C5271" s="43">
        <v>2013</v>
      </c>
      <c r="D5271" s="351" t="s">
        <v>23</v>
      </c>
      <c r="E5271" s="22" t="s">
        <v>86</v>
      </c>
      <c r="F5271" s="7" t="s">
        <v>101</v>
      </c>
      <c r="G5271" s="146" t="s">
        <v>174</v>
      </c>
      <c r="H5271" s="147" t="s">
        <v>7588</v>
      </c>
      <c r="I5271" s="148">
        <v>0</v>
      </c>
      <c r="J5271" s="46">
        <v>120</v>
      </c>
      <c r="K5271" s="46">
        <v>24</v>
      </c>
      <c r="L5271" s="46">
        <v>0</v>
      </c>
      <c r="M5271" s="46">
        <v>0</v>
      </c>
      <c r="N5271" s="46">
        <v>0</v>
      </c>
      <c r="O5271" s="46">
        <v>0</v>
      </c>
      <c r="P5271" s="47">
        <v>0.13</v>
      </c>
      <c r="Q5271" s="149" t="s">
        <v>154</v>
      </c>
    </row>
    <row r="5272" spans="1:17" s="162" customFormat="1" ht="84" x14ac:dyDescent="0.25">
      <c r="A5272" s="17">
        <v>41477</v>
      </c>
      <c r="B5272" s="17">
        <v>41477</v>
      </c>
      <c r="C5272" s="43">
        <v>2013</v>
      </c>
      <c r="D5272" s="351" t="s">
        <v>23</v>
      </c>
      <c r="E5272" s="22" t="s">
        <v>86</v>
      </c>
      <c r="F5272" s="7" t="s">
        <v>25</v>
      </c>
      <c r="G5272" s="146" t="s">
        <v>7589</v>
      </c>
      <c r="H5272" s="147" t="s">
        <v>7590</v>
      </c>
      <c r="I5272" s="148">
        <v>0</v>
      </c>
      <c r="J5272" s="46">
        <v>250</v>
      </c>
      <c r="K5272" s="46">
        <v>50</v>
      </c>
      <c r="L5272" s="46">
        <v>0</v>
      </c>
      <c r="M5272" s="46">
        <v>0</v>
      </c>
      <c r="N5272" s="46">
        <v>0</v>
      </c>
      <c r="O5272" s="46">
        <v>0</v>
      </c>
      <c r="P5272" s="47">
        <v>0.05</v>
      </c>
      <c r="Q5272" s="149" t="s">
        <v>154</v>
      </c>
    </row>
    <row r="5273" spans="1:17" s="162" customFormat="1" ht="48" x14ac:dyDescent="0.25">
      <c r="A5273" s="17">
        <v>41478</v>
      </c>
      <c r="B5273" s="17">
        <v>41478</v>
      </c>
      <c r="C5273" s="43">
        <v>2013</v>
      </c>
      <c r="D5273" s="35" t="s">
        <v>28</v>
      </c>
      <c r="E5273" s="30" t="s">
        <v>133</v>
      </c>
      <c r="F5273" s="7" t="s">
        <v>82</v>
      </c>
      <c r="G5273" s="146" t="s">
        <v>3981</v>
      </c>
      <c r="H5273" s="147" t="s">
        <v>7591</v>
      </c>
      <c r="I5273" s="27">
        <v>0</v>
      </c>
      <c r="J5273" s="46">
        <v>4</v>
      </c>
      <c r="K5273" s="46">
        <v>0</v>
      </c>
      <c r="L5273" s="46">
        <v>0</v>
      </c>
      <c r="M5273" s="46">
        <v>0</v>
      </c>
      <c r="N5273" s="46">
        <v>0</v>
      </c>
      <c r="O5273" s="46">
        <v>0</v>
      </c>
      <c r="P5273" s="47">
        <v>0</v>
      </c>
      <c r="Q5273" s="149" t="s">
        <v>154</v>
      </c>
    </row>
    <row r="5274" spans="1:17" s="162" customFormat="1" ht="96" x14ac:dyDescent="0.25">
      <c r="A5274" s="23">
        <v>41473</v>
      </c>
      <c r="B5274" s="23">
        <v>41473</v>
      </c>
      <c r="C5274" s="43">
        <v>2013</v>
      </c>
      <c r="D5274" s="351" t="s">
        <v>23</v>
      </c>
      <c r="E5274" s="22" t="s">
        <v>86</v>
      </c>
      <c r="F5274" s="7" t="s">
        <v>49</v>
      </c>
      <c r="G5274" s="146" t="s">
        <v>7592</v>
      </c>
      <c r="H5274" s="147" t="s">
        <v>7593</v>
      </c>
      <c r="I5274" s="148">
        <v>0</v>
      </c>
      <c r="J5274" s="46">
        <v>4045</v>
      </c>
      <c r="K5274" s="46">
        <v>667</v>
      </c>
      <c r="L5274" s="46">
        <v>0</v>
      </c>
      <c r="M5274" s="46">
        <v>0</v>
      </c>
      <c r="N5274" s="46">
        <v>0</v>
      </c>
      <c r="O5274" s="46">
        <v>0</v>
      </c>
      <c r="P5274" s="47">
        <v>0.3</v>
      </c>
      <c r="Q5274" s="149" t="s">
        <v>154</v>
      </c>
    </row>
    <row r="5275" spans="1:17" s="162" customFormat="1" ht="60" x14ac:dyDescent="0.25">
      <c r="A5275" s="17">
        <v>41477</v>
      </c>
      <c r="B5275" s="17">
        <v>41477</v>
      </c>
      <c r="C5275" s="43">
        <v>2013</v>
      </c>
      <c r="D5275" s="24" t="s">
        <v>141</v>
      </c>
      <c r="E5275" s="30" t="s">
        <v>142</v>
      </c>
      <c r="F5275" s="7" t="s">
        <v>40</v>
      </c>
      <c r="G5275" s="146" t="s">
        <v>3608</v>
      </c>
      <c r="H5275" s="147" t="s">
        <v>7594</v>
      </c>
      <c r="I5275" s="148">
        <v>0</v>
      </c>
      <c r="J5275" s="46">
        <v>1</v>
      </c>
      <c r="K5275" s="46">
        <v>0</v>
      </c>
      <c r="L5275" s="46">
        <v>0</v>
      </c>
      <c r="M5275" s="46">
        <v>0</v>
      </c>
      <c r="N5275" s="46">
        <v>0</v>
      </c>
      <c r="O5275" s="46">
        <v>0</v>
      </c>
      <c r="P5275" s="47">
        <v>1</v>
      </c>
      <c r="Q5275" s="149" t="s">
        <v>154</v>
      </c>
    </row>
    <row r="5276" spans="1:17" s="162" customFormat="1" ht="108" x14ac:dyDescent="0.25">
      <c r="A5276" s="17">
        <v>41476</v>
      </c>
      <c r="B5276" s="17">
        <v>41476</v>
      </c>
      <c r="C5276" s="43">
        <v>2013</v>
      </c>
      <c r="D5276" s="351" t="s">
        <v>23</v>
      </c>
      <c r="E5276" s="22" t="s">
        <v>86</v>
      </c>
      <c r="F5276" s="7" t="s">
        <v>56</v>
      </c>
      <c r="G5276" s="146" t="s">
        <v>711</v>
      </c>
      <c r="H5276" s="147" t="s">
        <v>7595</v>
      </c>
      <c r="I5276" s="27">
        <v>0</v>
      </c>
      <c r="J5276" s="20">
        <v>540</v>
      </c>
      <c r="K5276" s="46">
        <v>108</v>
      </c>
      <c r="L5276" s="46">
        <v>0</v>
      </c>
      <c r="M5276" s="46">
        <v>0</v>
      </c>
      <c r="N5276" s="46">
        <v>0</v>
      </c>
      <c r="O5276" s="46">
        <v>0</v>
      </c>
      <c r="P5276" s="47">
        <v>0.15</v>
      </c>
      <c r="Q5276" s="149" t="s">
        <v>154</v>
      </c>
    </row>
    <row r="5277" spans="1:17" s="162" customFormat="1" ht="60" x14ac:dyDescent="0.25">
      <c r="A5277" s="17">
        <v>41477</v>
      </c>
      <c r="B5277" s="17">
        <v>41477</v>
      </c>
      <c r="C5277" s="43">
        <v>2013</v>
      </c>
      <c r="D5277" s="35" t="s">
        <v>28</v>
      </c>
      <c r="E5277" s="30" t="s">
        <v>133</v>
      </c>
      <c r="F5277" s="7" t="s">
        <v>68</v>
      </c>
      <c r="G5277" s="146" t="s">
        <v>7596</v>
      </c>
      <c r="H5277" s="147" t="s">
        <v>7597</v>
      </c>
      <c r="I5277" s="27">
        <v>2</v>
      </c>
      <c r="J5277" s="20">
        <v>11</v>
      </c>
      <c r="K5277" s="46">
        <v>0</v>
      </c>
      <c r="L5277" s="46">
        <v>0</v>
      </c>
      <c r="M5277" s="46">
        <v>0</v>
      </c>
      <c r="N5277" s="46">
        <v>0</v>
      </c>
      <c r="O5277" s="46">
        <v>0</v>
      </c>
      <c r="P5277" s="47">
        <v>0</v>
      </c>
      <c r="Q5277" s="149" t="s">
        <v>154</v>
      </c>
    </row>
    <row r="5278" spans="1:17" s="162" customFormat="1" ht="84" x14ac:dyDescent="0.25">
      <c r="A5278" s="17">
        <v>41477</v>
      </c>
      <c r="B5278" s="17">
        <v>41477</v>
      </c>
      <c r="C5278" s="43">
        <v>2013</v>
      </c>
      <c r="D5278" s="351" t="s">
        <v>23</v>
      </c>
      <c r="E5278" s="22" t="s">
        <v>86</v>
      </c>
      <c r="F5278" s="7" t="s">
        <v>60</v>
      </c>
      <c r="G5278" s="146" t="s">
        <v>1424</v>
      </c>
      <c r="H5278" s="147" t="s">
        <v>7598</v>
      </c>
      <c r="I5278" s="148">
        <v>0</v>
      </c>
      <c r="J5278" s="46">
        <v>820</v>
      </c>
      <c r="K5278" s="46">
        <v>164</v>
      </c>
      <c r="L5278" s="46">
        <v>0</v>
      </c>
      <c r="M5278" s="46">
        <v>0</v>
      </c>
      <c r="N5278" s="46">
        <v>47</v>
      </c>
      <c r="O5278" s="46">
        <v>0</v>
      </c>
      <c r="P5278" s="47">
        <v>0</v>
      </c>
      <c r="Q5278" s="149" t="s">
        <v>154</v>
      </c>
    </row>
    <row r="5279" spans="1:17" s="162" customFormat="1" ht="84" x14ac:dyDescent="0.25">
      <c r="A5279" s="17">
        <v>41475</v>
      </c>
      <c r="B5279" s="17">
        <v>41475</v>
      </c>
      <c r="C5279" s="43">
        <v>2013</v>
      </c>
      <c r="D5279" s="351" t="s">
        <v>23</v>
      </c>
      <c r="E5279" s="22" t="s">
        <v>86</v>
      </c>
      <c r="F5279" s="7" t="s">
        <v>77</v>
      </c>
      <c r="G5279" s="146" t="s">
        <v>7599</v>
      </c>
      <c r="H5279" s="147" t="s">
        <v>7600</v>
      </c>
      <c r="I5279" s="148">
        <v>0</v>
      </c>
      <c r="J5279" s="46">
        <v>165</v>
      </c>
      <c r="K5279" s="46">
        <v>33</v>
      </c>
      <c r="L5279" s="46">
        <v>0</v>
      </c>
      <c r="M5279" s="46">
        <v>0</v>
      </c>
      <c r="N5279" s="46">
        <v>2</v>
      </c>
      <c r="O5279" s="46">
        <v>0</v>
      </c>
      <c r="P5279" s="47">
        <v>0</v>
      </c>
      <c r="Q5279" s="149" t="s">
        <v>154</v>
      </c>
    </row>
    <row r="5280" spans="1:17" s="162" customFormat="1" ht="72" x14ac:dyDescent="0.25">
      <c r="A5280" s="17">
        <v>41490</v>
      </c>
      <c r="B5280" s="17">
        <v>41490</v>
      </c>
      <c r="C5280" s="43">
        <v>2013</v>
      </c>
      <c r="D5280" s="351" t="s">
        <v>23</v>
      </c>
      <c r="E5280" s="30" t="s">
        <v>2070</v>
      </c>
      <c r="F5280" s="7" t="s">
        <v>87</v>
      </c>
      <c r="G5280" s="146" t="s">
        <v>2758</v>
      </c>
      <c r="H5280" s="147" t="s">
        <v>7601</v>
      </c>
      <c r="I5280" s="148">
        <v>1</v>
      </c>
      <c r="J5280" s="46">
        <v>1</v>
      </c>
      <c r="K5280" s="46">
        <v>0</v>
      </c>
      <c r="L5280" s="46">
        <v>0</v>
      </c>
      <c r="M5280" s="46">
        <v>0</v>
      </c>
      <c r="N5280" s="46">
        <v>0</v>
      </c>
      <c r="O5280" s="46">
        <v>0</v>
      </c>
      <c r="P5280" s="47">
        <v>0</v>
      </c>
      <c r="Q5280" s="149" t="s">
        <v>154</v>
      </c>
    </row>
    <row r="5281" spans="1:17" s="162" customFormat="1" ht="144" x14ac:dyDescent="0.25">
      <c r="A5281" s="17">
        <v>41491</v>
      </c>
      <c r="B5281" s="17">
        <v>41491</v>
      </c>
      <c r="C5281" s="43">
        <v>2013</v>
      </c>
      <c r="D5281" s="24" t="s">
        <v>141</v>
      </c>
      <c r="E5281" s="30" t="s">
        <v>142</v>
      </c>
      <c r="F5281" s="7" t="s">
        <v>53</v>
      </c>
      <c r="G5281" s="146" t="s">
        <v>1991</v>
      </c>
      <c r="H5281" s="147" t="s">
        <v>7602</v>
      </c>
      <c r="I5281" s="27">
        <v>8</v>
      </c>
      <c r="J5281" s="20">
        <v>38</v>
      </c>
      <c r="K5281" s="46">
        <v>0</v>
      </c>
      <c r="L5281" s="46">
        <v>0</v>
      </c>
      <c r="M5281" s="46">
        <v>0</v>
      </c>
      <c r="N5281" s="46">
        <v>0</v>
      </c>
      <c r="O5281" s="46">
        <v>0</v>
      </c>
      <c r="P5281" s="47">
        <v>0.3</v>
      </c>
      <c r="Q5281" s="149" t="s">
        <v>154</v>
      </c>
    </row>
    <row r="5282" spans="1:17" s="162" customFormat="1" ht="72" x14ac:dyDescent="0.25">
      <c r="A5282" s="17">
        <v>41491</v>
      </c>
      <c r="B5282" s="17">
        <v>41491</v>
      </c>
      <c r="C5282" s="43">
        <v>2013</v>
      </c>
      <c r="D5282" s="24" t="s">
        <v>141</v>
      </c>
      <c r="E5282" s="30" t="s">
        <v>142</v>
      </c>
      <c r="F5282" s="7" t="s">
        <v>77</v>
      </c>
      <c r="G5282" s="146" t="s">
        <v>3679</v>
      </c>
      <c r="H5282" s="147" t="s">
        <v>7603</v>
      </c>
      <c r="I5282" s="148">
        <v>0</v>
      </c>
      <c r="J5282" s="46">
        <v>13</v>
      </c>
      <c r="K5282" s="46">
        <v>0</v>
      </c>
      <c r="L5282" s="46">
        <v>0</v>
      </c>
      <c r="M5282" s="46">
        <v>0</v>
      </c>
      <c r="N5282" s="46">
        <v>0</v>
      </c>
      <c r="O5282" s="46">
        <v>0</v>
      </c>
      <c r="P5282" s="47">
        <v>0</v>
      </c>
      <c r="Q5282" s="149" t="s">
        <v>154</v>
      </c>
    </row>
    <row r="5283" spans="1:17" s="162" customFormat="1" ht="60" x14ac:dyDescent="0.25">
      <c r="A5283" s="17">
        <v>41493</v>
      </c>
      <c r="B5283" s="17">
        <v>41493</v>
      </c>
      <c r="C5283" s="43">
        <v>2013</v>
      </c>
      <c r="D5283" s="35" t="s">
        <v>28</v>
      </c>
      <c r="E5283" s="30" t="s">
        <v>133</v>
      </c>
      <c r="F5283" s="7" t="s">
        <v>53</v>
      </c>
      <c r="G5283" s="146" t="s">
        <v>1236</v>
      </c>
      <c r="H5283" s="147" t="s">
        <v>7604</v>
      </c>
      <c r="I5283" s="148">
        <v>0</v>
      </c>
      <c r="J5283" s="46">
        <v>5</v>
      </c>
      <c r="K5283" s="46">
        <v>1</v>
      </c>
      <c r="L5283" s="46">
        <v>0</v>
      </c>
      <c r="M5283" s="46">
        <v>0</v>
      </c>
      <c r="N5283" s="46">
        <v>0</v>
      </c>
      <c r="O5283" s="46">
        <v>0</v>
      </c>
      <c r="P5283" s="47">
        <v>0</v>
      </c>
      <c r="Q5283" s="149" t="s">
        <v>154</v>
      </c>
    </row>
    <row r="5284" spans="1:17" s="162" customFormat="1" ht="60" x14ac:dyDescent="0.25">
      <c r="A5284" s="17">
        <v>41500</v>
      </c>
      <c r="B5284" s="17">
        <v>41500</v>
      </c>
      <c r="C5284" s="43">
        <v>2013</v>
      </c>
      <c r="D5284" s="24" t="s">
        <v>141</v>
      </c>
      <c r="E5284" s="30" t="s">
        <v>142</v>
      </c>
      <c r="F5284" s="28" t="s">
        <v>151</v>
      </c>
      <c r="G5284" s="146" t="s">
        <v>5506</v>
      </c>
      <c r="H5284" s="147" t="s">
        <v>7605</v>
      </c>
      <c r="I5284" s="148">
        <v>2</v>
      </c>
      <c r="J5284" s="46">
        <v>2</v>
      </c>
      <c r="K5284" s="46">
        <v>0</v>
      </c>
      <c r="L5284" s="46">
        <v>0</v>
      </c>
      <c r="M5284" s="46">
        <v>0</v>
      </c>
      <c r="N5284" s="46">
        <v>0</v>
      </c>
      <c r="O5284" s="46">
        <v>0</v>
      </c>
      <c r="P5284" s="47">
        <v>0.5</v>
      </c>
      <c r="Q5284" s="149" t="s">
        <v>154</v>
      </c>
    </row>
    <row r="5285" spans="1:17" s="162" customFormat="1" ht="60" x14ac:dyDescent="0.25">
      <c r="A5285" s="17">
        <v>41497</v>
      </c>
      <c r="B5285" s="17">
        <v>41497</v>
      </c>
      <c r="C5285" s="43">
        <v>2013</v>
      </c>
      <c r="D5285" s="351" t="s">
        <v>23</v>
      </c>
      <c r="E5285" s="22" t="s">
        <v>86</v>
      </c>
      <c r="F5285" s="7" t="s">
        <v>56</v>
      </c>
      <c r="G5285" s="146" t="s">
        <v>7606</v>
      </c>
      <c r="H5285" s="147" t="s">
        <v>7607</v>
      </c>
      <c r="I5285" s="148">
        <v>0</v>
      </c>
      <c r="J5285" s="46">
        <v>50</v>
      </c>
      <c r="K5285" s="46">
        <v>10</v>
      </c>
      <c r="L5285" s="46">
        <v>0</v>
      </c>
      <c r="M5285" s="46">
        <v>0</v>
      </c>
      <c r="N5285" s="46">
        <v>0</v>
      </c>
      <c r="O5285" s="46">
        <v>0</v>
      </c>
      <c r="P5285" s="47">
        <v>0</v>
      </c>
      <c r="Q5285" s="149" t="s">
        <v>154</v>
      </c>
    </row>
    <row r="5286" spans="1:17" s="162" customFormat="1" ht="108" x14ac:dyDescent="0.25">
      <c r="A5286" s="17">
        <v>41497</v>
      </c>
      <c r="B5286" s="17">
        <v>41497</v>
      </c>
      <c r="C5286" s="43">
        <v>2013</v>
      </c>
      <c r="D5286" s="351" t="s">
        <v>23</v>
      </c>
      <c r="E5286" s="22" t="s">
        <v>86</v>
      </c>
      <c r="F5286" s="7" t="s">
        <v>62</v>
      </c>
      <c r="G5286" s="146" t="s">
        <v>7608</v>
      </c>
      <c r="H5286" s="147" t="s">
        <v>7609</v>
      </c>
      <c r="I5286" s="148">
        <v>1</v>
      </c>
      <c r="J5286" s="46">
        <v>150</v>
      </c>
      <c r="K5286" s="46">
        <v>30</v>
      </c>
      <c r="L5286" s="46">
        <v>0</v>
      </c>
      <c r="M5286" s="46">
        <v>0</v>
      </c>
      <c r="N5286" s="46">
        <v>0</v>
      </c>
      <c r="O5286" s="46">
        <v>0</v>
      </c>
      <c r="P5286" s="47">
        <v>0.03</v>
      </c>
      <c r="Q5286" s="149" t="s">
        <v>154</v>
      </c>
    </row>
    <row r="5287" spans="1:17" s="162" customFormat="1" ht="96" x14ac:dyDescent="0.25">
      <c r="A5287" s="17">
        <v>41496</v>
      </c>
      <c r="B5287" s="17">
        <v>41496</v>
      </c>
      <c r="C5287" s="43">
        <v>2013</v>
      </c>
      <c r="D5287" s="351" t="s">
        <v>23</v>
      </c>
      <c r="E5287" s="22" t="s">
        <v>86</v>
      </c>
      <c r="F5287" s="7" t="s">
        <v>68</v>
      </c>
      <c r="G5287" s="146" t="s">
        <v>752</v>
      </c>
      <c r="H5287" s="147" t="s">
        <v>7610</v>
      </c>
      <c r="I5287" s="148">
        <v>1</v>
      </c>
      <c r="J5287" s="46">
        <v>1</v>
      </c>
      <c r="K5287" s="46">
        <v>0</v>
      </c>
      <c r="L5287" s="46">
        <v>0</v>
      </c>
      <c r="M5287" s="46">
        <v>0</v>
      </c>
      <c r="N5287" s="46">
        <v>0</v>
      </c>
      <c r="O5287" s="46">
        <v>0</v>
      </c>
      <c r="P5287" s="47">
        <v>0</v>
      </c>
      <c r="Q5287" s="149" t="s">
        <v>154</v>
      </c>
    </row>
    <row r="5288" spans="1:17" s="162" customFormat="1" ht="156" x14ac:dyDescent="0.25">
      <c r="A5288" s="17">
        <v>41497</v>
      </c>
      <c r="B5288" s="17">
        <v>41497</v>
      </c>
      <c r="C5288" s="43">
        <v>2013</v>
      </c>
      <c r="D5288" s="35" t="s">
        <v>28</v>
      </c>
      <c r="E5288" s="30" t="s">
        <v>133</v>
      </c>
      <c r="F5288" s="7" t="s">
        <v>84</v>
      </c>
      <c r="G5288" s="146" t="s">
        <v>3740</v>
      </c>
      <c r="H5288" s="147" t="s">
        <v>7611</v>
      </c>
      <c r="I5288" s="148">
        <v>3</v>
      </c>
      <c r="J5288" s="46">
        <v>79</v>
      </c>
      <c r="K5288" s="46">
        <v>13</v>
      </c>
      <c r="L5288" s="46">
        <v>0</v>
      </c>
      <c r="M5288" s="46">
        <v>0</v>
      </c>
      <c r="N5288" s="46">
        <v>0</v>
      </c>
      <c r="O5288" s="46">
        <v>0</v>
      </c>
      <c r="P5288" s="47">
        <v>0</v>
      </c>
      <c r="Q5288" s="149" t="s">
        <v>154</v>
      </c>
    </row>
    <row r="5289" spans="1:17" s="162" customFormat="1" ht="48" x14ac:dyDescent="0.25">
      <c r="A5289" s="17">
        <v>41496</v>
      </c>
      <c r="B5289" s="17">
        <v>41496</v>
      </c>
      <c r="C5289" s="43">
        <v>2013</v>
      </c>
      <c r="D5289" s="35" t="s">
        <v>28</v>
      </c>
      <c r="E5289" s="30" t="s">
        <v>133</v>
      </c>
      <c r="F5289" s="7" t="s">
        <v>53</v>
      </c>
      <c r="G5289" s="146" t="s">
        <v>3631</v>
      </c>
      <c r="H5289" s="147" t="s">
        <v>7612</v>
      </c>
      <c r="I5289" s="148">
        <v>0</v>
      </c>
      <c r="J5289" s="46">
        <v>0</v>
      </c>
      <c r="K5289" s="46">
        <v>0</v>
      </c>
      <c r="L5289" s="46">
        <v>0</v>
      </c>
      <c r="M5289" s="46">
        <v>0</v>
      </c>
      <c r="N5289" s="46">
        <v>4</v>
      </c>
      <c r="O5289" s="46">
        <v>0</v>
      </c>
      <c r="P5289" s="47">
        <v>0</v>
      </c>
      <c r="Q5289" s="149" t="s">
        <v>154</v>
      </c>
    </row>
    <row r="5290" spans="1:17" s="162" customFormat="1" ht="60" x14ac:dyDescent="0.25">
      <c r="A5290" s="17">
        <v>41486</v>
      </c>
      <c r="B5290" s="17">
        <v>41486</v>
      </c>
      <c r="C5290" s="43">
        <v>2013</v>
      </c>
      <c r="D5290" s="24" t="s">
        <v>141</v>
      </c>
      <c r="E5290" s="30" t="s">
        <v>142</v>
      </c>
      <c r="F5290" s="7" t="s">
        <v>45</v>
      </c>
      <c r="G5290" s="146" t="s">
        <v>7613</v>
      </c>
      <c r="H5290" s="147" t="s">
        <v>7614</v>
      </c>
      <c r="I5290" s="148">
        <v>0</v>
      </c>
      <c r="J5290" s="46">
        <v>61</v>
      </c>
      <c r="K5290" s="46">
        <v>0</v>
      </c>
      <c r="L5290" s="46">
        <v>0</v>
      </c>
      <c r="M5290" s="46">
        <v>0</v>
      </c>
      <c r="N5290" s="46">
        <v>0</v>
      </c>
      <c r="O5290" s="46">
        <v>0</v>
      </c>
      <c r="P5290" s="47">
        <v>0</v>
      </c>
      <c r="Q5290" s="149" t="s">
        <v>154</v>
      </c>
    </row>
    <row r="5291" spans="1:17" s="162" customFormat="1" ht="60" x14ac:dyDescent="0.25">
      <c r="A5291" s="17">
        <v>41489</v>
      </c>
      <c r="B5291" s="17">
        <v>41489</v>
      </c>
      <c r="C5291" s="43">
        <v>2013</v>
      </c>
      <c r="D5291" s="24" t="s">
        <v>141</v>
      </c>
      <c r="E5291" s="30" t="s">
        <v>142</v>
      </c>
      <c r="F5291" s="28" t="s">
        <v>210</v>
      </c>
      <c r="G5291" s="146" t="s">
        <v>4328</v>
      </c>
      <c r="H5291" s="147" t="s">
        <v>7615</v>
      </c>
      <c r="I5291" s="148">
        <v>5</v>
      </c>
      <c r="J5291" s="46">
        <v>18</v>
      </c>
      <c r="K5291" s="46">
        <v>0</v>
      </c>
      <c r="L5291" s="46">
        <v>0</v>
      </c>
      <c r="M5291" s="46">
        <v>0</v>
      </c>
      <c r="N5291" s="46">
        <v>0</v>
      </c>
      <c r="O5291" s="46">
        <v>0</v>
      </c>
      <c r="P5291" s="47">
        <v>0</v>
      </c>
      <c r="Q5291" s="149" t="s">
        <v>154</v>
      </c>
    </row>
    <row r="5292" spans="1:17" s="162" customFormat="1" ht="60" x14ac:dyDescent="0.25">
      <c r="A5292" s="17">
        <v>41487</v>
      </c>
      <c r="B5292" s="17">
        <v>41487</v>
      </c>
      <c r="C5292" s="43">
        <v>2013</v>
      </c>
      <c r="D5292" s="351" t="s">
        <v>23</v>
      </c>
      <c r="E5292" s="22" t="s">
        <v>86</v>
      </c>
      <c r="F5292" s="7" t="s">
        <v>56</v>
      </c>
      <c r="G5292" s="146" t="s">
        <v>2906</v>
      </c>
      <c r="H5292" s="147" t="s">
        <v>7616</v>
      </c>
      <c r="I5292" s="148">
        <v>1</v>
      </c>
      <c r="J5292" s="46">
        <v>1</v>
      </c>
      <c r="K5292" s="46">
        <v>0</v>
      </c>
      <c r="L5292" s="46">
        <v>0</v>
      </c>
      <c r="M5292" s="46">
        <v>0</v>
      </c>
      <c r="N5292" s="46">
        <v>1</v>
      </c>
      <c r="O5292" s="46">
        <v>0</v>
      </c>
      <c r="P5292" s="47">
        <v>0</v>
      </c>
      <c r="Q5292" s="149" t="s">
        <v>154</v>
      </c>
    </row>
    <row r="5293" spans="1:17" s="162" customFormat="1" ht="84" x14ac:dyDescent="0.25">
      <c r="A5293" s="17">
        <v>41488</v>
      </c>
      <c r="B5293" s="17">
        <v>41488</v>
      </c>
      <c r="C5293" s="43">
        <v>2013</v>
      </c>
      <c r="D5293" s="35" t="s">
        <v>28</v>
      </c>
      <c r="E5293" s="6" t="s">
        <v>149</v>
      </c>
      <c r="F5293" s="7" t="s">
        <v>45</v>
      </c>
      <c r="G5293" s="146" t="s">
        <v>3290</v>
      </c>
      <c r="H5293" s="147" t="s">
        <v>7617</v>
      </c>
      <c r="I5293" s="148">
        <v>0</v>
      </c>
      <c r="J5293" s="46">
        <v>8</v>
      </c>
      <c r="K5293" s="46">
        <v>0</v>
      </c>
      <c r="L5293" s="46">
        <v>0</v>
      </c>
      <c r="M5293" s="46">
        <v>0</v>
      </c>
      <c r="N5293" s="46">
        <v>1</v>
      </c>
      <c r="O5293" s="46">
        <v>0</v>
      </c>
      <c r="P5293" s="47">
        <v>0</v>
      </c>
      <c r="Q5293" s="149" t="s">
        <v>154</v>
      </c>
    </row>
    <row r="5294" spans="1:17" s="162" customFormat="1" ht="72" x14ac:dyDescent="0.25">
      <c r="A5294" s="17">
        <v>41479</v>
      </c>
      <c r="B5294" s="17">
        <v>41479</v>
      </c>
      <c r="C5294" s="43">
        <v>2013</v>
      </c>
      <c r="D5294" s="24" t="s">
        <v>141</v>
      </c>
      <c r="E5294" s="30" t="s">
        <v>142</v>
      </c>
      <c r="F5294" s="7" t="s">
        <v>56</v>
      </c>
      <c r="G5294" s="146" t="s">
        <v>3722</v>
      </c>
      <c r="H5294" s="147" t="s">
        <v>7618</v>
      </c>
      <c r="I5294" s="148">
        <v>0</v>
      </c>
      <c r="J5294" s="46">
        <v>10</v>
      </c>
      <c r="K5294" s="46">
        <v>0</v>
      </c>
      <c r="L5294" s="46">
        <v>0</v>
      </c>
      <c r="M5294" s="46">
        <v>0</v>
      </c>
      <c r="N5294" s="46">
        <v>0</v>
      </c>
      <c r="O5294" s="46">
        <v>0</v>
      </c>
      <c r="P5294" s="47">
        <v>0</v>
      </c>
      <c r="Q5294" s="149" t="s">
        <v>154</v>
      </c>
    </row>
    <row r="5295" spans="1:17" s="162" customFormat="1" ht="96" x14ac:dyDescent="0.25">
      <c r="A5295" s="17">
        <v>41481</v>
      </c>
      <c r="B5295" s="17">
        <v>41481</v>
      </c>
      <c r="C5295" s="43">
        <v>2013</v>
      </c>
      <c r="D5295" s="351" t="s">
        <v>23</v>
      </c>
      <c r="E5295" s="30" t="s">
        <v>2070</v>
      </c>
      <c r="F5295" s="7" t="s">
        <v>40</v>
      </c>
      <c r="G5295" s="146" t="s">
        <v>7619</v>
      </c>
      <c r="H5295" s="147" t="s">
        <v>7620</v>
      </c>
      <c r="I5295" s="148">
        <v>0</v>
      </c>
      <c r="J5295" s="46">
        <v>250</v>
      </c>
      <c r="K5295" s="46">
        <v>50</v>
      </c>
      <c r="L5295" s="46">
        <v>0</v>
      </c>
      <c r="M5295" s="46">
        <v>0</v>
      </c>
      <c r="N5295" s="46">
        <v>0</v>
      </c>
      <c r="O5295" s="46">
        <v>0</v>
      </c>
      <c r="P5295" s="47">
        <f>1.8+10.76</f>
        <v>12.56</v>
      </c>
      <c r="Q5295" s="149" t="s">
        <v>186</v>
      </c>
    </row>
    <row r="5296" spans="1:17" s="162" customFormat="1" ht="180" x14ac:dyDescent="0.25">
      <c r="A5296" s="17">
        <v>41483</v>
      </c>
      <c r="B5296" s="17">
        <v>41483</v>
      </c>
      <c r="C5296" s="43">
        <v>2013</v>
      </c>
      <c r="D5296" s="351" t="s">
        <v>23</v>
      </c>
      <c r="E5296" s="22" t="s">
        <v>86</v>
      </c>
      <c r="F5296" s="7" t="s">
        <v>56</v>
      </c>
      <c r="G5296" s="146" t="s">
        <v>7621</v>
      </c>
      <c r="H5296" s="147" t="s">
        <v>7622</v>
      </c>
      <c r="I5296" s="148">
        <v>1</v>
      </c>
      <c r="J5296" s="46">
        <v>400</v>
      </c>
      <c r="K5296" s="46">
        <v>80</v>
      </c>
      <c r="L5296" s="46">
        <v>0</v>
      </c>
      <c r="M5296" s="46">
        <v>0</v>
      </c>
      <c r="N5296" s="46">
        <v>0</v>
      </c>
      <c r="O5296" s="46">
        <v>0</v>
      </c>
      <c r="P5296" s="47">
        <v>0.1</v>
      </c>
      <c r="Q5296" s="149" t="s">
        <v>154</v>
      </c>
    </row>
    <row r="5297" spans="1:17" s="162" customFormat="1" ht="72" x14ac:dyDescent="0.25">
      <c r="A5297" s="17">
        <v>41484</v>
      </c>
      <c r="B5297" s="17">
        <v>41484</v>
      </c>
      <c r="C5297" s="43">
        <v>2013</v>
      </c>
      <c r="D5297" s="35" t="s">
        <v>28</v>
      </c>
      <c r="E5297" s="30" t="s">
        <v>133</v>
      </c>
      <c r="F5297" s="7" t="s">
        <v>53</v>
      </c>
      <c r="G5297" s="146" t="s">
        <v>847</v>
      </c>
      <c r="H5297" s="147" t="s">
        <v>7623</v>
      </c>
      <c r="I5297" s="148">
        <v>0</v>
      </c>
      <c r="J5297" s="46">
        <v>2</v>
      </c>
      <c r="K5297" s="46">
        <v>0</v>
      </c>
      <c r="L5297" s="46">
        <v>0</v>
      </c>
      <c r="M5297" s="46">
        <v>0</v>
      </c>
      <c r="N5297" s="46">
        <v>0</v>
      </c>
      <c r="O5297" s="46">
        <v>0</v>
      </c>
      <c r="P5297" s="47">
        <v>0</v>
      </c>
      <c r="Q5297" s="149" t="s">
        <v>154</v>
      </c>
    </row>
    <row r="5298" spans="1:17" s="162" customFormat="1" ht="84" x14ac:dyDescent="0.25">
      <c r="A5298" s="17">
        <v>41488</v>
      </c>
      <c r="B5298" s="17">
        <v>41488</v>
      </c>
      <c r="C5298" s="43">
        <v>2013</v>
      </c>
      <c r="D5298" s="24" t="s">
        <v>141</v>
      </c>
      <c r="E5298" s="30" t="s">
        <v>142</v>
      </c>
      <c r="F5298" s="7" t="s">
        <v>67</v>
      </c>
      <c r="G5298" s="146" t="s">
        <v>2973</v>
      </c>
      <c r="H5298" s="147" t="s">
        <v>7624</v>
      </c>
      <c r="I5298" s="148">
        <v>1</v>
      </c>
      <c r="J5298" s="46">
        <v>1</v>
      </c>
      <c r="K5298" s="46">
        <v>0</v>
      </c>
      <c r="L5298" s="46">
        <v>0</v>
      </c>
      <c r="M5298" s="46">
        <v>0</v>
      </c>
      <c r="N5298" s="46">
        <v>0</v>
      </c>
      <c r="O5298" s="46">
        <v>0</v>
      </c>
      <c r="P5298" s="47">
        <v>0</v>
      </c>
      <c r="Q5298" s="149" t="s">
        <v>154</v>
      </c>
    </row>
    <row r="5299" spans="1:17" s="162" customFormat="1" ht="132" x14ac:dyDescent="0.25">
      <c r="A5299" s="17">
        <v>41488</v>
      </c>
      <c r="B5299" s="17">
        <v>41488</v>
      </c>
      <c r="C5299" s="43">
        <v>2013</v>
      </c>
      <c r="D5299" s="24" t="s">
        <v>141</v>
      </c>
      <c r="E5299" s="30" t="s">
        <v>142</v>
      </c>
      <c r="F5299" s="7" t="s">
        <v>72</v>
      </c>
      <c r="G5299" s="146" t="s">
        <v>1946</v>
      </c>
      <c r="H5299" s="147" t="s">
        <v>7625</v>
      </c>
      <c r="I5299" s="172">
        <v>1</v>
      </c>
      <c r="J5299" s="20">
        <v>14</v>
      </c>
      <c r="K5299" s="46">
        <v>0</v>
      </c>
      <c r="L5299" s="46">
        <v>0</v>
      </c>
      <c r="M5299" s="46">
        <v>0</v>
      </c>
      <c r="N5299" s="46">
        <v>0</v>
      </c>
      <c r="O5299" s="46">
        <v>0</v>
      </c>
      <c r="P5299" s="47">
        <v>0.2</v>
      </c>
      <c r="Q5299" s="149" t="s">
        <v>154</v>
      </c>
    </row>
    <row r="5300" spans="1:17" s="162" customFormat="1" ht="96" x14ac:dyDescent="0.25">
      <c r="A5300" s="17">
        <v>41489</v>
      </c>
      <c r="B5300" s="17">
        <v>41489</v>
      </c>
      <c r="C5300" s="43">
        <v>2013</v>
      </c>
      <c r="D5300" s="24" t="s">
        <v>141</v>
      </c>
      <c r="E5300" s="30" t="s">
        <v>142</v>
      </c>
      <c r="F5300" s="7" t="s">
        <v>56</v>
      </c>
      <c r="G5300" s="146" t="s">
        <v>7626</v>
      </c>
      <c r="H5300" s="147" t="s">
        <v>7627</v>
      </c>
      <c r="I5300" s="172">
        <v>0</v>
      </c>
      <c r="J5300" s="20">
        <v>8</v>
      </c>
      <c r="K5300" s="46">
        <v>0</v>
      </c>
      <c r="L5300" s="46">
        <v>0</v>
      </c>
      <c r="M5300" s="46">
        <v>0</v>
      </c>
      <c r="N5300" s="46">
        <v>0</v>
      </c>
      <c r="O5300" s="46">
        <v>0</v>
      </c>
      <c r="P5300" s="47">
        <v>0</v>
      </c>
      <c r="Q5300" s="149" t="s">
        <v>154</v>
      </c>
    </row>
    <row r="5301" spans="1:17" s="162" customFormat="1" ht="96" x14ac:dyDescent="0.25">
      <c r="A5301" s="17">
        <v>41497</v>
      </c>
      <c r="B5301" s="17">
        <v>41497</v>
      </c>
      <c r="C5301" s="43">
        <v>2013</v>
      </c>
      <c r="D5301" s="351" t="s">
        <v>23</v>
      </c>
      <c r="E5301" s="30" t="s">
        <v>2070</v>
      </c>
      <c r="F5301" s="28" t="s">
        <v>160</v>
      </c>
      <c r="G5301" s="146" t="s">
        <v>7628</v>
      </c>
      <c r="H5301" s="147" t="s">
        <v>7629</v>
      </c>
      <c r="I5301" s="172">
        <v>0</v>
      </c>
      <c r="J5301" s="20">
        <v>6</v>
      </c>
      <c r="K5301" s="46">
        <v>0</v>
      </c>
      <c r="L5301" s="46">
        <v>0</v>
      </c>
      <c r="M5301" s="46">
        <v>0</v>
      </c>
      <c r="N5301" s="46">
        <v>0</v>
      </c>
      <c r="O5301" s="46">
        <v>0</v>
      </c>
      <c r="P5301" s="47">
        <v>0</v>
      </c>
      <c r="Q5301" s="149" t="s">
        <v>154</v>
      </c>
    </row>
    <row r="5302" spans="1:17" s="162" customFormat="1" ht="120" x14ac:dyDescent="0.25">
      <c r="A5302" s="17">
        <v>41497</v>
      </c>
      <c r="B5302" s="17">
        <v>41497</v>
      </c>
      <c r="C5302" s="43">
        <v>2013</v>
      </c>
      <c r="D5302" s="351" t="s">
        <v>23</v>
      </c>
      <c r="E5302" s="22" t="s">
        <v>86</v>
      </c>
      <c r="F5302" s="7" t="s">
        <v>60</v>
      </c>
      <c r="G5302" s="146" t="s">
        <v>7630</v>
      </c>
      <c r="H5302" s="147" t="s">
        <v>7631</v>
      </c>
      <c r="I5302" s="172">
        <v>0</v>
      </c>
      <c r="J5302" s="20">
        <v>10</v>
      </c>
      <c r="K5302" s="46">
        <v>2</v>
      </c>
      <c r="L5302" s="46">
        <v>0</v>
      </c>
      <c r="M5302" s="46">
        <v>0</v>
      </c>
      <c r="N5302" s="46">
        <v>0</v>
      </c>
      <c r="O5302" s="46">
        <v>0</v>
      </c>
      <c r="P5302" s="47">
        <v>0</v>
      </c>
      <c r="Q5302" s="149" t="s">
        <v>154</v>
      </c>
    </row>
    <row r="5303" spans="1:17" s="162" customFormat="1" ht="60" x14ac:dyDescent="0.25">
      <c r="A5303" s="17">
        <v>41512</v>
      </c>
      <c r="B5303" s="17">
        <v>41512</v>
      </c>
      <c r="C5303" s="43">
        <v>2013</v>
      </c>
      <c r="D5303" s="351" t="s">
        <v>23</v>
      </c>
      <c r="E5303" s="22" t="s">
        <v>86</v>
      </c>
      <c r="F5303" s="28" t="s">
        <v>160</v>
      </c>
      <c r="G5303" s="146" t="s">
        <v>2662</v>
      </c>
      <c r="H5303" s="147" t="s">
        <v>7632</v>
      </c>
      <c r="I5303" s="27">
        <v>1</v>
      </c>
      <c r="J5303" s="20">
        <v>1</v>
      </c>
      <c r="K5303" s="46">
        <v>0</v>
      </c>
      <c r="L5303" s="46">
        <v>0</v>
      </c>
      <c r="M5303" s="46">
        <v>0</v>
      </c>
      <c r="N5303" s="46">
        <v>0</v>
      </c>
      <c r="O5303" s="46">
        <v>0</v>
      </c>
      <c r="P5303" s="47">
        <v>0</v>
      </c>
      <c r="Q5303" s="149" t="s">
        <v>154</v>
      </c>
    </row>
    <row r="5304" spans="1:17" s="162" customFormat="1" ht="72" x14ac:dyDescent="0.25">
      <c r="A5304" s="17">
        <v>41538</v>
      </c>
      <c r="B5304" s="17">
        <v>41538</v>
      </c>
      <c r="C5304" s="43">
        <v>2013</v>
      </c>
      <c r="D5304" s="35" t="s">
        <v>17</v>
      </c>
      <c r="E5304" s="30" t="s">
        <v>1597</v>
      </c>
      <c r="F5304" s="28" t="s">
        <v>157</v>
      </c>
      <c r="G5304" s="146" t="s">
        <v>7633</v>
      </c>
      <c r="H5304" s="147" t="s">
        <v>7634</v>
      </c>
      <c r="I5304" s="148">
        <v>1</v>
      </c>
      <c r="J5304" s="46">
        <v>4</v>
      </c>
      <c r="K5304" s="46">
        <v>0</v>
      </c>
      <c r="L5304" s="46">
        <v>0</v>
      </c>
      <c r="M5304" s="46">
        <v>0</v>
      </c>
      <c r="N5304" s="46">
        <v>0</v>
      </c>
      <c r="O5304" s="46">
        <v>0</v>
      </c>
      <c r="P5304" s="47">
        <v>0</v>
      </c>
      <c r="Q5304" s="149" t="s">
        <v>154</v>
      </c>
    </row>
    <row r="5305" spans="1:17" s="162" customFormat="1" ht="72" x14ac:dyDescent="0.25">
      <c r="A5305" s="17">
        <v>41538</v>
      </c>
      <c r="B5305" s="17">
        <v>41538</v>
      </c>
      <c r="C5305" s="43">
        <v>2013</v>
      </c>
      <c r="D5305" s="35" t="s">
        <v>28</v>
      </c>
      <c r="E5305" s="30" t="s">
        <v>133</v>
      </c>
      <c r="F5305" s="7" t="s">
        <v>53</v>
      </c>
      <c r="G5305" s="146" t="s">
        <v>878</v>
      </c>
      <c r="H5305" s="147" t="s">
        <v>7635</v>
      </c>
      <c r="I5305" s="148">
        <v>2</v>
      </c>
      <c r="J5305" s="46">
        <v>10</v>
      </c>
      <c r="K5305" s="46">
        <v>1</v>
      </c>
      <c r="L5305" s="46">
        <v>0</v>
      </c>
      <c r="M5305" s="46">
        <v>0</v>
      </c>
      <c r="N5305" s="46">
        <v>0</v>
      </c>
      <c r="O5305" s="46">
        <v>0</v>
      </c>
      <c r="P5305" s="47">
        <v>0</v>
      </c>
      <c r="Q5305" s="149" t="s">
        <v>154</v>
      </c>
    </row>
    <row r="5306" spans="1:17" s="162" customFormat="1" ht="48" x14ac:dyDescent="0.25">
      <c r="A5306" s="17">
        <v>41502</v>
      </c>
      <c r="B5306" s="17">
        <v>41502</v>
      </c>
      <c r="C5306" s="43">
        <v>2013</v>
      </c>
      <c r="D5306" s="24" t="s">
        <v>141</v>
      </c>
      <c r="E5306" s="30" t="s">
        <v>142</v>
      </c>
      <c r="F5306" s="7" t="s">
        <v>91</v>
      </c>
      <c r="G5306" s="146" t="s">
        <v>1003</v>
      </c>
      <c r="H5306" s="147" t="s">
        <v>7636</v>
      </c>
      <c r="I5306" s="148">
        <v>0</v>
      </c>
      <c r="J5306" s="46">
        <v>1</v>
      </c>
      <c r="K5306" s="46">
        <v>0</v>
      </c>
      <c r="L5306" s="46">
        <v>0</v>
      </c>
      <c r="M5306" s="46">
        <v>0</v>
      </c>
      <c r="N5306" s="46">
        <v>0</v>
      </c>
      <c r="O5306" s="46">
        <v>0</v>
      </c>
      <c r="P5306" s="47">
        <v>0.25</v>
      </c>
      <c r="Q5306" s="149" t="s">
        <v>154</v>
      </c>
    </row>
    <row r="5307" spans="1:17" s="162" customFormat="1" ht="84" x14ac:dyDescent="0.25">
      <c r="A5307" s="17">
        <v>41502</v>
      </c>
      <c r="B5307" s="17">
        <v>41502</v>
      </c>
      <c r="C5307" s="43">
        <v>2013</v>
      </c>
      <c r="D5307" s="24" t="s">
        <v>141</v>
      </c>
      <c r="E5307" s="30" t="s">
        <v>1600</v>
      </c>
      <c r="F5307" s="7" t="s">
        <v>87</v>
      </c>
      <c r="G5307" s="146" t="s">
        <v>936</v>
      </c>
      <c r="H5307" s="147" t="s">
        <v>7637</v>
      </c>
      <c r="I5307" s="148">
        <v>2</v>
      </c>
      <c r="J5307" s="46">
        <v>7</v>
      </c>
      <c r="K5307" s="46">
        <v>0</v>
      </c>
      <c r="L5307" s="46">
        <v>0</v>
      </c>
      <c r="M5307" s="46">
        <v>0</v>
      </c>
      <c r="N5307" s="46">
        <v>0</v>
      </c>
      <c r="O5307" s="46">
        <v>0</v>
      </c>
      <c r="P5307" s="47">
        <v>0</v>
      </c>
      <c r="Q5307" s="149" t="s">
        <v>154</v>
      </c>
    </row>
    <row r="5308" spans="1:17" s="162" customFormat="1" ht="192" x14ac:dyDescent="0.25">
      <c r="A5308" s="17">
        <v>41506</v>
      </c>
      <c r="B5308" s="17">
        <v>41506</v>
      </c>
      <c r="C5308" s="43">
        <v>2013</v>
      </c>
      <c r="D5308" s="35" t="s">
        <v>28</v>
      </c>
      <c r="E5308" s="30" t="s">
        <v>125</v>
      </c>
      <c r="F5308" s="7" t="s">
        <v>72</v>
      </c>
      <c r="G5308" s="146" t="s">
        <v>3728</v>
      </c>
      <c r="H5308" s="147" t="s">
        <v>7638</v>
      </c>
      <c r="I5308" s="148">
        <v>9</v>
      </c>
      <c r="J5308" s="46">
        <v>1549</v>
      </c>
      <c r="K5308" s="46">
        <v>0</v>
      </c>
      <c r="L5308" s="46">
        <v>0</v>
      </c>
      <c r="M5308" s="46">
        <v>0</v>
      </c>
      <c r="N5308" s="46">
        <v>0</v>
      </c>
      <c r="O5308" s="46">
        <v>0</v>
      </c>
      <c r="P5308" s="47">
        <v>0</v>
      </c>
      <c r="Q5308" s="149" t="s">
        <v>154</v>
      </c>
    </row>
    <row r="5309" spans="1:17" s="162" customFormat="1" ht="252" x14ac:dyDescent="0.25">
      <c r="A5309" s="17">
        <v>41507</v>
      </c>
      <c r="B5309" s="17">
        <v>41507</v>
      </c>
      <c r="C5309" s="43">
        <v>2013</v>
      </c>
      <c r="D5309" s="35" t="s">
        <v>17</v>
      </c>
      <c r="E5309" s="30" t="s">
        <v>122</v>
      </c>
      <c r="F5309" s="7" t="s">
        <v>58</v>
      </c>
      <c r="G5309" s="146" t="s">
        <v>7639</v>
      </c>
      <c r="H5309" s="147" t="s">
        <v>7640</v>
      </c>
      <c r="I5309" s="148">
        <v>0</v>
      </c>
      <c r="J5309" s="46">
        <v>390</v>
      </c>
      <c r="K5309" s="46">
        <v>78</v>
      </c>
      <c r="L5309" s="46">
        <v>18</v>
      </c>
      <c r="M5309" s="46">
        <v>11</v>
      </c>
      <c r="N5309" s="46">
        <v>0</v>
      </c>
      <c r="O5309" s="46">
        <v>0</v>
      </c>
      <c r="P5309" s="47">
        <f>118.5 + 53.33</f>
        <v>171.82999999999998</v>
      </c>
      <c r="Q5309" s="149" t="s">
        <v>186</v>
      </c>
    </row>
    <row r="5310" spans="1:17" s="162" customFormat="1" ht="72" x14ac:dyDescent="0.25">
      <c r="A5310" s="17">
        <v>41508</v>
      </c>
      <c r="B5310" s="17">
        <v>41508</v>
      </c>
      <c r="C5310" s="43">
        <v>2013</v>
      </c>
      <c r="D5310" s="24" t="s">
        <v>141</v>
      </c>
      <c r="E5310" s="30" t="s">
        <v>142</v>
      </c>
      <c r="F5310" s="7" t="s">
        <v>45</v>
      </c>
      <c r="G5310" s="146" t="s">
        <v>1920</v>
      </c>
      <c r="H5310" s="147" t="s">
        <v>7641</v>
      </c>
      <c r="I5310" s="148">
        <v>0</v>
      </c>
      <c r="J5310" s="46">
        <v>1</v>
      </c>
      <c r="K5310" s="46">
        <v>0</v>
      </c>
      <c r="L5310" s="46">
        <v>0</v>
      </c>
      <c r="M5310" s="46">
        <v>0</v>
      </c>
      <c r="N5310" s="46">
        <v>0</v>
      </c>
      <c r="O5310" s="46">
        <v>0</v>
      </c>
      <c r="P5310" s="47">
        <v>0</v>
      </c>
      <c r="Q5310" s="149" t="s">
        <v>154</v>
      </c>
    </row>
    <row r="5311" spans="1:17" s="162" customFormat="1" ht="60" x14ac:dyDescent="0.25">
      <c r="A5311" s="17">
        <v>41517</v>
      </c>
      <c r="B5311" s="17">
        <v>41517</v>
      </c>
      <c r="C5311" s="43">
        <v>2013</v>
      </c>
      <c r="D5311" s="24" t="s">
        <v>141</v>
      </c>
      <c r="E5311" s="30" t="s">
        <v>142</v>
      </c>
      <c r="F5311" s="7" t="s">
        <v>84</v>
      </c>
      <c r="G5311" s="146" t="s">
        <v>2143</v>
      </c>
      <c r="H5311" s="147" t="s">
        <v>7642</v>
      </c>
      <c r="I5311" s="148">
        <v>1</v>
      </c>
      <c r="J5311" s="46">
        <v>2</v>
      </c>
      <c r="K5311" s="46">
        <v>0</v>
      </c>
      <c r="L5311" s="46">
        <v>0</v>
      </c>
      <c r="M5311" s="46">
        <v>0</v>
      </c>
      <c r="N5311" s="46">
        <v>0</v>
      </c>
      <c r="O5311" s="46">
        <v>0</v>
      </c>
      <c r="P5311" s="47">
        <v>0</v>
      </c>
      <c r="Q5311" s="149" t="s">
        <v>154</v>
      </c>
    </row>
    <row r="5312" spans="1:17" s="162" customFormat="1" ht="60" x14ac:dyDescent="0.25">
      <c r="A5312" s="17">
        <v>41519</v>
      </c>
      <c r="B5312" s="17">
        <v>41519</v>
      </c>
      <c r="C5312" s="43">
        <v>2013</v>
      </c>
      <c r="D5312" s="35" t="s">
        <v>17</v>
      </c>
      <c r="E5312" s="30" t="s">
        <v>1597</v>
      </c>
      <c r="F5312" s="7" t="s">
        <v>58</v>
      </c>
      <c r="G5312" s="146" t="s">
        <v>2718</v>
      </c>
      <c r="H5312" s="147" t="s">
        <v>7643</v>
      </c>
      <c r="I5312" s="148">
        <v>0</v>
      </c>
      <c r="J5312" s="46">
        <v>130</v>
      </c>
      <c r="K5312" s="46">
        <v>26</v>
      </c>
      <c r="L5312" s="46">
        <v>0</v>
      </c>
      <c r="M5312" s="46">
        <v>0</v>
      </c>
      <c r="N5312" s="46">
        <v>0</v>
      </c>
      <c r="O5312" s="46">
        <v>0</v>
      </c>
      <c r="P5312" s="47">
        <v>0</v>
      </c>
      <c r="Q5312" s="149" t="s">
        <v>154</v>
      </c>
    </row>
    <row r="5313" spans="1:17" s="162" customFormat="1" ht="108" x14ac:dyDescent="0.25">
      <c r="A5313" s="17">
        <v>41513</v>
      </c>
      <c r="B5313" s="17">
        <v>41513</v>
      </c>
      <c r="C5313" s="43">
        <v>2013</v>
      </c>
      <c r="D5313" s="24" t="s">
        <v>141</v>
      </c>
      <c r="E5313" s="30" t="s">
        <v>142</v>
      </c>
      <c r="F5313" s="7" t="s">
        <v>77</v>
      </c>
      <c r="G5313" s="146" t="s">
        <v>7644</v>
      </c>
      <c r="H5313" s="147" t="s">
        <v>7645</v>
      </c>
      <c r="I5313" s="148">
        <v>0</v>
      </c>
      <c r="J5313" s="46">
        <v>23</v>
      </c>
      <c r="K5313" s="46">
        <v>0</v>
      </c>
      <c r="L5313" s="46">
        <v>0</v>
      </c>
      <c r="M5313" s="46">
        <v>0</v>
      </c>
      <c r="N5313" s="46">
        <v>0</v>
      </c>
      <c r="O5313" s="46">
        <v>0</v>
      </c>
      <c r="P5313" s="47">
        <v>0</v>
      </c>
      <c r="Q5313" s="149" t="s">
        <v>154</v>
      </c>
    </row>
    <row r="5314" spans="1:17" s="162" customFormat="1" ht="120" x14ac:dyDescent="0.25">
      <c r="A5314" s="17">
        <v>41515</v>
      </c>
      <c r="B5314" s="17">
        <v>41515</v>
      </c>
      <c r="C5314" s="43">
        <v>2013</v>
      </c>
      <c r="D5314" s="24" t="s">
        <v>141</v>
      </c>
      <c r="E5314" s="30" t="s">
        <v>142</v>
      </c>
      <c r="F5314" s="28" t="s">
        <v>157</v>
      </c>
      <c r="G5314" s="146" t="s">
        <v>206</v>
      </c>
      <c r="H5314" s="147" t="s">
        <v>7646</v>
      </c>
      <c r="I5314" s="148">
        <v>1</v>
      </c>
      <c r="J5314" s="46">
        <v>26</v>
      </c>
      <c r="K5314" s="46">
        <v>0</v>
      </c>
      <c r="L5314" s="46">
        <v>0</v>
      </c>
      <c r="M5314" s="46">
        <v>0</v>
      </c>
      <c r="N5314" s="46">
        <v>0</v>
      </c>
      <c r="O5314" s="46">
        <v>0</v>
      </c>
      <c r="P5314" s="47">
        <v>0</v>
      </c>
      <c r="Q5314" s="149" t="s">
        <v>154</v>
      </c>
    </row>
    <row r="5315" spans="1:17" s="162" customFormat="1" ht="96" x14ac:dyDescent="0.25">
      <c r="A5315" s="17">
        <v>41508</v>
      </c>
      <c r="B5315" s="17">
        <v>41508</v>
      </c>
      <c r="C5315" s="43">
        <v>2013</v>
      </c>
      <c r="D5315" s="24" t="s">
        <v>141</v>
      </c>
      <c r="E5315" s="30" t="s">
        <v>142</v>
      </c>
      <c r="F5315" s="7" t="s">
        <v>87</v>
      </c>
      <c r="G5315" s="146" t="s">
        <v>7647</v>
      </c>
      <c r="H5315" s="147" t="s">
        <v>7648</v>
      </c>
      <c r="I5315" s="148">
        <v>1</v>
      </c>
      <c r="J5315" s="46">
        <v>2</v>
      </c>
      <c r="K5315" s="46">
        <v>0</v>
      </c>
      <c r="L5315" s="46">
        <v>0</v>
      </c>
      <c r="M5315" s="46">
        <v>0</v>
      </c>
      <c r="N5315" s="46">
        <v>0</v>
      </c>
      <c r="O5315" s="46">
        <v>0</v>
      </c>
      <c r="P5315" s="47">
        <v>0</v>
      </c>
      <c r="Q5315" s="149" t="s">
        <v>154</v>
      </c>
    </row>
    <row r="5316" spans="1:17" s="162" customFormat="1" ht="120" x14ac:dyDescent="0.25">
      <c r="A5316" s="17">
        <v>41508</v>
      </c>
      <c r="B5316" s="17">
        <v>41508</v>
      </c>
      <c r="C5316" s="43">
        <v>2013</v>
      </c>
      <c r="D5316" s="24" t="s">
        <v>141</v>
      </c>
      <c r="E5316" s="30" t="s">
        <v>142</v>
      </c>
      <c r="F5316" s="7" t="s">
        <v>101</v>
      </c>
      <c r="G5316" s="146" t="s">
        <v>174</v>
      </c>
      <c r="H5316" s="147" t="s">
        <v>7649</v>
      </c>
      <c r="I5316" s="148">
        <v>0</v>
      </c>
      <c r="J5316" s="46">
        <v>5</v>
      </c>
      <c r="K5316" s="46">
        <v>0</v>
      </c>
      <c r="L5316" s="46">
        <v>0</v>
      </c>
      <c r="M5316" s="46">
        <v>0</v>
      </c>
      <c r="N5316" s="46">
        <v>0</v>
      </c>
      <c r="O5316" s="46">
        <v>0</v>
      </c>
      <c r="P5316" s="47">
        <v>0</v>
      </c>
      <c r="Q5316" s="149" t="s">
        <v>154</v>
      </c>
    </row>
    <row r="5317" spans="1:17" s="162" customFormat="1" ht="36" x14ac:dyDescent="0.25">
      <c r="A5317" s="17">
        <v>41510</v>
      </c>
      <c r="B5317" s="17">
        <v>41510</v>
      </c>
      <c r="C5317" s="43">
        <v>2013</v>
      </c>
      <c r="D5317" s="24" t="s">
        <v>141</v>
      </c>
      <c r="E5317" s="30" t="s">
        <v>142</v>
      </c>
      <c r="F5317" s="7" t="s">
        <v>84</v>
      </c>
      <c r="G5317" s="146" t="s">
        <v>3740</v>
      </c>
      <c r="H5317" s="147" t="s">
        <v>7650</v>
      </c>
      <c r="I5317" s="148">
        <v>4</v>
      </c>
      <c r="J5317" s="46">
        <v>4</v>
      </c>
      <c r="K5317" s="46">
        <v>0</v>
      </c>
      <c r="L5317" s="46">
        <v>0</v>
      </c>
      <c r="M5317" s="46">
        <v>0</v>
      </c>
      <c r="N5317" s="46">
        <v>0</v>
      </c>
      <c r="O5317" s="46">
        <v>0</v>
      </c>
      <c r="P5317" s="47">
        <v>1</v>
      </c>
      <c r="Q5317" s="149" t="s">
        <v>154</v>
      </c>
    </row>
    <row r="5318" spans="1:17" s="162" customFormat="1" ht="72" x14ac:dyDescent="0.25">
      <c r="A5318" s="17">
        <v>41512</v>
      </c>
      <c r="B5318" s="17">
        <v>41512</v>
      </c>
      <c r="C5318" s="43">
        <v>2013</v>
      </c>
      <c r="D5318" s="351" t="s">
        <v>23</v>
      </c>
      <c r="E5318" s="22" t="s">
        <v>86</v>
      </c>
      <c r="F5318" s="7" t="s">
        <v>75</v>
      </c>
      <c r="G5318" s="146" t="s">
        <v>7651</v>
      </c>
      <c r="H5318" s="147" t="s">
        <v>7652</v>
      </c>
      <c r="I5318" s="148">
        <v>1</v>
      </c>
      <c r="J5318" s="46">
        <v>2</v>
      </c>
      <c r="K5318" s="46">
        <v>0</v>
      </c>
      <c r="L5318" s="46">
        <v>0</v>
      </c>
      <c r="M5318" s="46">
        <v>0</v>
      </c>
      <c r="N5318" s="46">
        <v>0</v>
      </c>
      <c r="O5318" s="46">
        <v>0</v>
      </c>
      <c r="P5318" s="47">
        <v>0</v>
      </c>
      <c r="Q5318" s="149" t="s">
        <v>154</v>
      </c>
    </row>
    <row r="5319" spans="1:17" s="162" customFormat="1" ht="60" x14ac:dyDescent="0.25">
      <c r="A5319" s="17">
        <v>41532</v>
      </c>
      <c r="B5319" s="17">
        <v>41532</v>
      </c>
      <c r="C5319" s="43">
        <v>2013</v>
      </c>
      <c r="D5319" s="351" t="s">
        <v>23</v>
      </c>
      <c r="E5319" s="30" t="s">
        <v>2070</v>
      </c>
      <c r="F5319" s="7" t="s">
        <v>62</v>
      </c>
      <c r="G5319" s="146" t="s">
        <v>3340</v>
      </c>
      <c r="H5319" s="147" t="s">
        <v>7653</v>
      </c>
      <c r="I5319" s="148">
        <v>1</v>
      </c>
      <c r="J5319" s="46">
        <v>1</v>
      </c>
      <c r="K5319" s="46">
        <v>0</v>
      </c>
      <c r="L5319" s="46">
        <v>0</v>
      </c>
      <c r="M5319" s="46">
        <v>0</v>
      </c>
      <c r="N5319" s="46">
        <v>0</v>
      </c>
      <c r="O5319" s="46">
        <v>0</v>
      </c>
      <c r="P5319" s="47">
        <v>0</v>
      </c>
      <c r="Q5319" s="149" t="s">
        <v>154</v>
      </c>
    </row>
    <row r="5320" spans="1:17" s="162" customFormat="1" ht="60" x14ac:dyDescent="0.25">
      <c r="A5320" s="17">
        <v>41518</v>
      </c>
      <c r="B5320" s="17">
        <v>41518</v>
      </c>
      <c r="C5320" s="43">
        <v>2013</v>
      </c>
      <c r="D5320" s="351" t="s">
        <v>23</v>
      </c>
      <c r="E5320" s="30" t="s">
        <v>2070</v>
      </c>
      <c r="F5320" s="7" t="s">
        <v>101</v>
      </c>
      <c r="G5320" s="146" t="s">
        <v>101</v>
      </c>
      <c r="H5320" s="147" t="s">
        <v>7654</v>
      </c>
      <c r="I5320" s="148">
        <v>1</v>
      </c>
      <c r="J5320" s="46">
        <v>1</v>
      </c>
      <c r="K5320" s="46">
        <v>0</v>
      </c>
      <c r="L5320" s="46">
        <v>0</v>
      </c>
      <c r="M5320" s="46">
        <v>0</v>
      </c>
      <c r="N5320" s="46">
        <v>0</v>
      </c>
      <c r="O5320" s="46">
        <v>0</v>
      </c>
      <c r="P5320" s="47">
        <v>0</v>
      </c>
      <c r="Q5320" s="149" t="s">
        <v>154</v>
      </c>
    </row>
    <row r="5321" spans="1:17" s="162" customFormat="1" ht="72" x14ac:dyDescent="0.25">
      <c r="A5321" s="17">
        <v>41489</v>
      </c>
      <c r="B5321" s="17">
        <v>41489</v>
      </c>
      <c r="C5321" s="43">
        <v>2013</v>
      </c>
      <c r="D5321" s="35" t="s">
        <v>17</v>
      </c>
      <c r="E5321" s="30" t="s">
        <v>1597</v>
      </c>
      <c r="F5321" s="7" t="s">
        <v>75</v>
      </c>
      <c r="G5321" s="146" t="s">
        <v>3537</v>
      </c>
      <c r="H5321" s="147" t="s">
        <v>7655</v>
      </c>
      <c r="I5321" s="148">
        <v>1</v>
      </c>
      <c r="J5321" s="46">
        <v>5</v>
      </c>
      <c r="K5321" s="46">
        <v>1</v>
      </c>
      <c r="L5321" s="46">
        <v>0</v>
      </c>
      <c r="M5321" s="46">
        <v>0</v>
      </c>
      <c r="N5321" s="46">
        <v>0</v>
      </c>
      <c r="O5321" s="46">
        <v>0</v>
      </c>
      <c r="P5321" s="47">
        <v>0</v>
      </c>
      <c r="Q5321" s="149" t="s">
        <v>154</v>
      </c>
    </row>
    <row r="5322" spans="1:17" s="162" customFormat="1" ht="72" x14ac:dyDescent="0.25">
      <c r="A5322" s="17">
        <v>41521</v>
      </c>
      <c r="B5322" s="17">
        <v>41521</v>
      </c>
      <c r="C5322" s="43">
        <v>2013</v>
      </c>
      <c r="D5322" s="24" t="s">
        <v>141</v>
      </c>
      <c r="E5322" s="30" t="s">
        <v>142</v>
      </c>
      <c r="F5322" s="7" t="s">
        <v>40</v>
      </c>
      <c r="G5322" s="146" t="s">
        <v>4134</v>
      </c>
      <c r="H5322" s="147" t="s">
        <v>7656</v>
      </c>
      <c r="I5322" s="148">
        <v>5</v>
      </c>
      <c r="J5322" s="46">
        <v>34</v>
      </c>
      <c r="K5322" s="46">
        <v>0</v>
      </c>
      <c r="L5322" s="46">
        <v>0</v>
      </c>
      <c r="M5322" s="46">
        <v>0</v>
      </c>
      <c r="N5322" s="46">
        <v>0</v>
      </c>
      <c r="O5322" s="46">
        <v>0</v>
      </c>
      <c r="P5322" s="47">
        <v>0</v>
      </c>
      <c r="Q5322" s="149" t="s">
        <v>154</v>
      </c>
    </row>
    <row r="5323" spans="1:17" s="162" customFormat="1" ht="108" x14ac:dyDescent="0.25">
      <c r="A5323" s="17">
        <v>41520</v>
      </c>
      <c r="B5323" s="17">
        <v>41520</v>
      </c>
      <c r="C5323" s="43">
        <v>2013</v>
      </c>
      <c r="D5323" s="24" t="s">
        <v>141</v>
      </c>
      <c r="E5323" s="30" t="s">
        <v>142</v>
      </c>
      <c r="F5323" s="28" t="s">
        <v>210</v>
      </c>
      <c r="G5323" s="146" t="s">
        <v>1140</v>
      </c>
      <c r="H5323" s="147" t="s">
        <v>7657</v>
      </c>
      <c r="I5323" s="148">
        <v>0</v>
      </c>
      <c r="J5323" s="46">
        <v>6</v>
      </c>
      <c r="K5323" s="46">
        <v>0</v>
      </c>
      <c r="L5323" s="46">
        <v>0</v>
      </c>
      <c r="M5323" s="46">
        <v>0</v>
      </c>
      <c r="N5323" s="46">
        <v>0</v>
      </c>
      <c r="O5323" s="46">
        <v>0</v>
      </c>
      <c r="P5323" s="47">
        <v>0</v>
      </c>
      <c r="Q5323" s="149" t="s">
        <v>154</v>
      </c>
    </row>
    <row r="5324" spans="1:17" s="162" customFormat="1" ht="156" x14ac:dyDescent="0.25">
      <c r="A5324" s="17">
        <v>41511</v>
      </c>
      <c r="B5324" s="17">
        <v>41513</v>
      </c>
      <c r="C5324" s="43">
        <v>2013</v>
      </c>
      <c r="D5324" s="351" t="s">
        <v>23</v>
      </c>
      <c r="E5324" s="14" t="s">
        <v>32</v>
      </c>
      <c r="F5324" s="28" t="s">
        <v>210</v>
      </c>
      <c r="G5324" s="146" t="s">
        <v>7658</v>
      </c>
      <c r="H5324" s="147" t="s">
        <v>7659</v>
      </c>
      <c r="I5324" s="148">
        <v>13</v>
      </c>
      <c r="J5324" s="46">
        <v>68310</v>
      </c>
      <c r="K5324" s="46">
        <v>109</v>
      </c>
      <c r="L5324" s="46">
        <v>3</v>
      </c>
      <c r="M5324" s="46">
        <v>0</v>
      </c>
      <c r="N5324" s="46">
        <v>0</v>
      </c>
      <c r="O5324" s="46">
        <v>0</v>
      </c>
      <c r="P5324" s="47">
        <f>461.5+66.5</f>
        <v>528</v>
      </c>
      <c r="Q5324" s="149" t="s">
        <v>186</v>
      </c>
    </row>
    <row r="5325" spans="1:17" s="162" customFormat="1" ht="144" x14ac:dyDescent="0.25">
      <c r="A5325" s="17">
        <v>41527</v>
      </c>
      <c r="B5325" s="17">
        <v>41527</v>
      </c>
      <c r="C5325" s="43">
        <v>2013</v>
      </c>
      <c r="D5325" s="351" t="s">
        <v>23</v>
      </c>
      <c r="E5325" s="22" t="s">
        <v>86</v>
      </c>
      <c r="F5325" s="7" t="s">
        <v>77</v>
      </c>
      <c r="G5325" s="146" t="s">
        <v>4341</v>
      </c>
      <c r="H5325" s="147" t="s">
        <v>7660</v>
      </c>
      <c r="I5325" s="148">
        <v>3</v>
      </c>
      <c r="J5325" s="46">
        <v>10</v>
      </c>
      <c r="K5325" s="46">
        <v>1</v>
      </c>
      <c r="L5325" s="46">
        <v>0</v>
      </c>
      <c r="M5325" s="46">
        <v>0</v>
      </c>
      <c r="N5325" s="46">
        <v>0</v>
      </c>
      <c r="O5325" s="46">
        <v>0</v>
      </c>
      <c r="P5325" s="47">
        <v>0</v>
      </c>
      <c r="Q5325" s="149" t="s">
        <v>154</v>
      </c>
    </row>
    <row r="5326" spans="1:17" s="162" customFormat="1" ht="144" x14ac:dyDescent="0.25">
      <c r="A5326" s="17">
        <v>41511</v>
      </c>
      <c r="B5326" s="17">
        <v>41511</v>
      </c>
      <c r="C5326" s="43">
        <v>2013</v>
      </c>
      <c r="D5326" s="24" t="s">
        <v>141</v>
      </c>
      <c r="E5326" s="30" t="s">
        <v>142</v>
      </c>
      <c r="F5326" s="25" t="s">
        <v>781</v>
      </c>
      <c r="G5326" s="146" t="s">
        <v>7661</v>
      </c>
      <c r="H5326" s="147" t="s">
        <v>7662</v>
      </c>
      <c r="I5326" s="148">
        <v>11</v>
      </c>
      <c r="J5326" s="46">
        <v>26</v>
      </c>
      <c r="K5326" s="46">
        <v>0</v>
      </c>
      <c r="L5326" s="46">
        <v>0</v>
      </c>
      <c r="M5326" s="46">
        <v>0</v>
      </c>
      <c r="N5326" s="46">
        <v>0</v>
      </c>
      <c r="O5326" s="46">
        <v>0</v>
      </c>
      <c r="P5326" s="47">
        <v>0</v>
      </c>
      <c r="Q5326" s="149" t="s">
        <v>154</v>
      </c>
    </row>
    <row r="5327" spans="1:17" s="162" customFormat="1" ht="168" x14ac:dyDescent="0.25">
      <c r="A5327" s="17">
        <v>41510</v>
      </c>
      <c r="B5327" s="17">
        <v>41514</v>
      </c>
      <c r="C5327" s="43">
        <v>2013</v>
      </c>
      <c r="D5327" s="351" t="s">
        <v>23</v>
      </c>
      <c r="E5327" s="14" t="s">
        <v>32</v>
      </c>
      <c r="F5327" s="7" t="s">
        <v>33</v>
      </c>
      <c r="G5327" s="146" t="s">
        <v>7663</v>
      </c>
      <c r="H5327" s="147" t="s">
        <v>7664</v>
      </c>
      <c r="I5327" s="148">
        <v>5</v>
      </c>
      <c r="J5327" s="46">
        <v>42500</v>
      </c>
      <c r="K5327" s="46">
        <v>8500</v>
      </c>
      <c r="L5327" s="46">
        <v>0</v>
      </c>
      <c r="M5327" s="46">
        <v>0</v>
      </c>
      <c r="N5327" s="46">
        <v>0</v>
      </c>
      <c r="O5327" s="46">
        <v>0</v>
      </c>
      <c r="P5327" s="47">
        <v>25.91</v>
      </c>
      <c r="Q5327" s="149" t="s">
        <v>154</v>
      </c>
    </row>
    <row r="5328" spans="1:17" s="162" customFormat="1" ht="180" x14ac:dyDescent="0.25">
      <c r="A5328" s="17">
        <v>41526</v>
      </c>
      <c r="B5328" s="17">
        <v>41539</v>
      </c>
      <c r="C5328" s="43">
        <v>2013</v>
      </c>
      <c r="D5328" s="351" t="s">
        <v>23</v>
      </c>
      <c r="E5328" s="14" t="s">
        <v>32</v>
      </c>
      <c r="F5328" s="28" t="s">
        <v>210</v>
      </c>
      <c r="G5328" s="146" t="s">
        <v>7665</v>
      </c>
      <c r="H5328" s="147" t="s">
        <v>7666</v>
      </c>
      <c r="I5328" s="148">
        <v>14</v>
      </c>
      <c r="J5328" s="46">
        <v>133155</v>
      </c>
      <c r="K5328" s="46">
        <v>50</v>
      </c>
      <c r="L5328" s="46">
        <v>8</v>
      </c>
      <c r="M5328" s="46">
        <v>0</v>
      </c>
      <c r="N5328" s="46" t="s">
        <v>110</v>
      </c>
      <c r="O5328" s="46" t="s">
        <v>110</v>
      </c>
      <c r="P5328" s="47">
        <f>266.3+24.1</f>
        <v>290.40000000000003</v>
      </c>
      <c r="Q5328" s="149" t="s">
        <v>186</v>
      </c>
    </row>
    <row r="5329" spans="1:17" s="162" customFormat="1" ht="102" x14ac:dyDescent="0.25">
      <c r="A5329" s="119">
        <v>40359</v>
      </c>
      <c r="B5329" s="119">
        <v>40359</v>
      </c>
      <c r="C5329" s="122">
        <v>2010</v>
      </c>
      <c r="D5329" s="351" t="s">
        <v>23</v>
      </c>
      <c r="E5329" s="14" t="s">
        <v>32</v>
      </c>
      <c r="F5329" s="7" t="s">
        <v>68</v>
      </c>
      <c r="G5329" s="120" t="s">
        <v>7667</v>
      </c>
      <c r="H5329" s="120" t="s">
        <v>7668</v>
      </c>
      <c r="I5329" s="121">
        <v>9</v>
      </c>
      <c r="J5329" s="121">
        <v>97304</v>
      </c>
      <c r="K5329" s="121">
        <v>11936</v>
      </c>
      <c r="L5329" s="121">
        <v>1502</v>
      </c>
      <c r="M5329" s="121">
        <v>224</v>
      </c>
      <c r="N5329" s="121">
        <v>1406</v>
      </c>
      <c r="O5329" s="121">
        <v>10012</v>
      </c>
      <c r="P5329" s="76">
        <v>21500.857</v>
      </c>
      <c r="Q5329" s="122" t="s">
        <v>22</v>
      </c>
    </row>
    <row r="5330" spans="1:17" s="162" customFormat="1" ht="60" x14ac:dyDescent="0.25">
      <c r="A5330" s="17">
        <v>41518</v>
      </c>
      <c r="B5330" s="17">
        <v>41519</v>
      </c>
      <c r="C5330" s="43">
        <v>2013</v>
      </c>
      <c r="D5330" s="35" t="s">
        <v>17</v>
      </c>
      <c r="E5330" s="30" t="s">
        <v>1597</v>
      </c>
      <c r="F5330" s="7" t="s">
        <v>72</v>
      </c>
      <c r="G5330" s="146" t="s">
        <v>7669</v>
      </c>
      <c r="H5330" s="147" t="s">
        <v>7670</v>
      </c>
      <c r="I5330" s="148">
        <v>0</v>
      </c>
      <c r="J5330" s="46">
        <v>150</v>
      </c>
      <c r="K5330" s="46">
        <v>30</v>
      </c>
      <c r="L5330" s="46">
        <v>0</v>
      </c>
      <c r="M5330" s="46">
        <v>0</v>
      </c>
      <c r="N5330" s="46" t="s">
        <v>110</v>
      </c>
      <c r="O5330" s="46" t="s">
        <v>110</v>
      </c>
      <c r="P5330" s="47">
        <v>9.9</v>
      </c>
      <c r="Q5330" s="149" t="s">
        <v>186</v>
      </c>
    </row>
    <row r="5331" spans="1:17" s="162" customFormat="1" ht="60" x14ac:dyDescent="0.25">
      <c r="A5331" s="17">
        <v>41526</v>
      </c>
      <c r="B5331" s="17">
        <v>41526</v>
      </c>
      <c r="C5331" s="43">
        <v>2013</v>
      </c>
      <c r="D5331" s="35" t="s">
        <v>17</v>
      </c>
      <c r="E5331" s="30" t="s">
        <v>1597</v>
      </c>
      <c r="F5331" s="7" t="s">
        <v>72</v>
      </c>
      <c r="G5331" s="146" t="s">
        <v>7671</v>
      </c>
      <c r="H5331" s="147" t="s">
        <v>7672</v>
      </c>
      <c r="I5331" s="148" t="s">
        <v>110</v>
      </c>
      <c r="J5331" s="163" t="s">
        <v>110</v>
      </c>
      <c r="K5331" s="163" t="s">
        <v>110</v>
      </c>
      <c r="L5331" s="163" t="s">
        <v>110</v>
      </c>
      <c r="M5331" s="163" t="s">
        <v>110</v>
      </c>
      <c r="N5331" s="46" t="s">
        <v>110</v>
      </c>
      <c r="O5331" s="163" t="s">
        <v>110</v>
      </c>
      <c r="P5331" s="47">
        <v>36.200000000000003</v>
      </c>
      <c r="Q5331" s="149" t="s">
        <v>186</v>
      </c>
    </row>
    <row r="5332" spans="1:17" s="162" customFormat="1" ht="216" x14ac:dyDescent="0.25">
      <c r="A5332" s="17">
        <v>41536</v>
      </c>
      <c r="B5332" s="17">
        <v>41540</v>
      </c>
      <c r="C5332" s="43">
        <v>2013</v>
      </c>
      <c r="D5332" s="35" t="s">
        <v>17</v>
      </c>
      <c r="E5332" s="30" t="s">
        <v>1597</v>
      </c>
      <c r="F5332" s="7" t="s">
        <v>72</v>
      </c>
      <c r="G5332" s="146" t="s">
        <v>7673</v>
      </c>
      <c r="H5332" s="147" t="s">
        <v>7674</v>
      </c>
      <c r="I5332" s="148">
        <v>0</v>
      </c>
      <c r="J5332" s="46">
        <v>1940</v>
      </c>
      <c r="K5332" s="46">
        <v>388</v>
      </c>
      <c r="L5332" s="46">
        <v>10</v>
      </c>
      <c r="M5332" s="46">
        <v>0</v>
      </c>
      <c r="N5332" s="46" t="s">
        <v>110</v>
      </c>
      <c r="O5332" s="46" t="s">
        <v>110</v>
      </c>
      <c r="P5332" s="47">
        <v>187.5</v>
      </c>
      <c r="Q5332" s="149" t="s">
        <v>186</v>
      </c>
    </row>
    <row r="5333" spans="1:17" s="162" customFormat="1" ht="72" x14ac:dyDescent="0.25">
      <c r="A5333" s="17">
        <v>41526</v>
      </c>
      <c r="B5333" s="17">
        <v>41540</v>
      </c>
      <c r="C5333" s="43">
        <v>2013</v>
      </c>
      <c r="D5333" s="351" t="s">
        <v>23</v>
      </c>
      <c r="E5333" s="14" t="s">
        <v>32</v>
      </c>
      <c r="F5333" s="7" t="s">
        <v>72</v>
      </c>
      <c r="G5333" s="146" t="s">
        <v>7675</v>
      </c>
      <c r="H5333" s="147" t="s">
        <v>7676</v>
      </c>
      <c r="I5333" s="148">
        <v>10</v>
      </c>
      <c r="J5333" s="46">
        <v>78928</v>
      </c>
      <c r="K5333" s="46">
        <v>262</v>
      </c>
      <c r="L5333" s="46">
        <v>10</v>
      </c>
      <c r="M5333" s="46">
        <v>0</v>
      </c>
      <c r="N5333" s="46" t="s">
        <v>110</v>
      </c>
      <c r="O5333" s="46" t="s">
        <v>110</v>
      </c>
      <c r="P5333" s="47">
        <f>759.1+50.31</f>
        <v>809.41000000000008</v>
      </c>
      <c r="Q5333" s="149" t="s">
        <v>186</v>
      </c>
    </row>
    <row r="5334" spans="1:17" s="162" customFormat="1" ht="192" x14ac:dyDescent="0.25">
      <c r="A5334" s="17">
        <v>41526</v>
      </c>
      <c r="B5334" s="17">
        <v>41530</v>
      </c>
      <c r="C5334" s="43">
        <v>2013</v>
      </c>
      <c r="D5334" s="351" t="s">
        <v>23</v>
      </c>
      <c r="E5334" s="14" t="s">
        <v>32</v>
      </c>
      <c r="F5334" s="7" t="s">
        <v>40</v>
      </c>
      <c r="G5334" s="146" t="s">
        <v>7677</v>
      </c>
      <c r="H5334" s="147" t="s">
        <v>7678</v>
      </c>
      <c r="I5334" s="148">
        <v>1</v>
      </c>
      <c r="J5334" s="46">
        <v>61077</v>
      </c>
      <c r="K5334" s="46">
        <v>116</v>
      </c>
      <c r="L5334" s="46">
        <v>0</v>
      </c>
      <c r="M5334" s="46">
        <v>0</v>
      </c>
      <c r="N5334" s="46" t="s">
        <v>110</v>
      </c>
      <c r="O5334" s="46" t="s">
        <v>110</v>
      </c>
      <c r="P5334" s="47">
        <f>438.04+20.23</f>
        <v>458.27000000000004</v>
      </c>
      <c r="Q5334" s="149" t="s">
        <v>186</v>
      </c>
    </row>
    <row r="5335" spans="1:17" s="162" customFormat="1" ht="204" x14ac:dyDescent="0.25">
      <c r="A5335" s="17">
        <v>41530</v>
      </c>
      <c r="B5335" s="17">
        <v>41535</v>
      </c>
      <c r="C5335" s="43">
        <v>2013</v>
      </c>
      <c r="D5335" s="351" t="s">
        <v>23</v>
      </c>
      <c r="E5335" s="14" t="s">
        <v>32</v>
      </c>
      <c r="F5335" s="28" t="s">
        <v>160</v>
      </c>
      <c r="G5335" s="146" t="s">
        <v>7679</v>
      </c>
      <c r="H5335" s="146" t="s">
        <v>7680</v>
      </c>
      <c r="I5335" s="148">
        <v>4</v>
      </c>
      <c r="J5335" s="46" t="s">
        <v>110</v>
      </c>
      <c r="K5335" s="46">
        <v>154</v>
      </c>
      <c r="L5335" s="46">
        <v>62</v>
      </c>
      <c r="M5335" s="46">
        <v>9</v>
      </c>
      <c r="N5335" s="46" t="s">
        <v>110</v>
      </c>
      <c r="O5335" s="46" t="s">
        <v>110</v>
      </c>
      <c r="P5335" s="47">
        <v>1357.5</v>
      </c>
      <c r="Q5335" s="149" t="s">
        <v>186</v>
      </c>
    </row>
    <row r="5336" spans="1:17" s="162" customFormat="1" ht="168" x14ac:dyDescent="0.25">
      <c r="A5336" s="17">
        <v>41531</v>
      </c>
      <c r="B5336" s="17">
        <v>41535</v>
      </c>
      <c r="C5336" s="43">
        <v>2013</v>
      </c>
      <c r="D5336" s="351" t="s">
        <v>23</v>
      </c>
      <c r="E5336" s="14" t="s">
        <v>32</v>
      </c>
      <c r="F5336" s="7" t="s">
        <v>60</v>
      </c>
      <c r="G5336" s="146" t="s">
        <v>7681</v>
      </c>
      <c r="H5336" s="147" t="s">
        <v>7682</v>
      </c>
      <c r="I5336" s="148">
        <v>2</v>
      </c>
      <c r="J5336" s="46">
        <v>31598</v>
      </c>
      <c r="K5336" s="46">
        <v>37</v>
      </c>
      <c r="L5336" s="46">
        <v>15</v>
      </c>
      <c r="M5336" s="46">
        <v>0</v>
      </c>
      <c r="N5336" s="46" t="s">
        <v>110</v>
      </c>
      <c r="O5336" s="46" t="s">
        <v>110</v>
      </c>
      <c r="P5336" s="47">
        <f>467.9+5.36</f>
        <v>473.26</v>
      </c>
      <c r="Q5336" s="149" t="s">
        <v>186</v>
      </c>
    </row>
    <row r="5337" spans="1:17" s="162" customFormat="1" ht="60" x14ac:dyDescent="0.25">
      <c r="A5337" s="17">
        <v>41530</v>
      </c>
      <c r="B5337" s="17">
        <v>41533</v>
      </c>
      <c r="C5337" s="43">
        <v>2013</v>
      </c>
      <c r="D5337" s="351" t="s">
        <v>23</v>
      </c>
      <c r="E5337" s="14" t="s">
        <v>32</v>
      </c>
      <c r="F5337" s="7" t="s">
        <v>65</v>
      </c>
      <c r="G5337" s="146" t="s">
        <v>7683</v>
      </c>
      <c r="H5337" s="147" t="s">
        <v>7684</v>
      </c>
      <c r="I5337" s="148">
        <v>2</v>
      </c>
      <c r="J5337" s="46">
        <v>4014</v>
      </c>
      <c r="K5337" s="46">
        <v>0</v>
      </c>
      <c r="L5337" s="46">
        <v>15</v>
      </c>
      <c r="M5337" s="46">
        <v>0</v>
      </c>
      <c r="N5337" s="46" t="s">
        <v>110</v>
      </c>
      <c r="O5337" s="46" t="s">
        <v>110</v>
      </c>
      <c r="P5337" s="47">
        <f>132.6+1.87</f>
        <v>134.47</v>
      </c>
      <c r="Q5337" s="149" t="s">
        <v>186</v>
      </c>
    </row>
    <row r="5338" spans="1:17" s="162" customFormat="1" ht="132" x14ac:dyDescent="0.25">
      <c r="A5338" s="17">
        <v>41531</v>
      </c>
      <c r="B5338" s="17">
        <v>41534</v>
      </c>
      <c r="C5338" s="43">
        <v>2013</v>
      </c>
      <c r="D5338" s="351" t="s">
        <v>23</v>
      </c>
      <c r="E5338" s="14" t="s">
        <v>32</v>
      </c>
      <c r="F5338" s="7" t="s">
        <v>68</v>
      </c>
      <c r="G5338" s="146" t="s">
        <v>7685</v>
      </c>
      <c r="H5338" s="147" t="s">
        <v>7686</v>
      </c>
      <c r="I5338" s="148">
        <v>1</v>
      </c>
      <c r="J5338" s="46">
        <v>55532</v>
      </c>
      <c r="K5338" s="46">
        <v>575</v>
      </c>
      <c r="L5338" s="46">
        <v>196</v>
      </c>
      <c r="M5338" s="46">
        <v>0</v>
      </c>
      <c r="N5338" s="46">
        <v>229</v>
      </c>
      <c r="O5338" s="46">
        <v>3617</v>
      </c>
      <c r="P5338" s="47">
        <v>2445.9</v>
      </c>
      <c r="Q5338" s="149" t="s">
        <v>22</v>
      </c>
    </row>
    <row r="5339" spans="1:17" s="162" customFormat="1" ht="120" x14ac:dyDescent="0.25">
      <c r="A5339" s="17">
        <v>41532</v>
      </c>
      <c r="B5339" s="17">
        <v>41536</v>
      </c>
      <c r="C5339" s="43">
        <v>2013</v>
      </c>
      <c r="D5339" s="351" t="s">
        <v>23</v>
      </c>
      <c r="E5339" s="14" t="s">
        <v>32</v>
      </c>
      <c r="F5339" s="7" t="s">
        <v>62</v>
      </c>
      <c r="G5339" s="146" t="s">
        <v>7687</v>
      </c>
      <c r="H5339" s="147" t="s">
        <v>7688</v>
      </c>
      <c r="I5339" s="148">
        <v>3</v>
      </c>
      <c r="J5339" s="46">
        <v>52598</v>
      </c>
      <c r="K5339" s="46">
        <v>749</v>
      </c>
      <c r="L5339" s="46">
        <v>39</v>
      </c>
      <c r="M5339" s="46">
        <v>0</v>
      </c>
      <c r="N5339" s="46" t="s">
        <v>110</v>
      </c>
      <c r="O5339" s="46" t="s">
        <v>110</v>
      </c>
      <c r="P5339" s="47">
        <f>1031.5+16.47</f>
        <v>1047.97</v>
      </c>
      <c r="Q5339" s="149" t="s">
        <v>186</v>
      </c>
    </row>
    <row r="5340" spans="1:17" s="162" customFormat="1" ht="168" x14ac:dyDescent="0.25">
      <c r="A5340" s="17">
        <v>41529</v>
      </c>
      <c r="B5340" s="17">
        <v>41533</v>
      </c>
      <c r="C5340" s="43">
        <v>2013</v>
      </c>
      <c r="D5340" s="351" t="s">
        <v>23</v>
      </c>
      <c r="E5340" s="14" t="s">
        <v>32</v>
      </c>
      <c r="F5340" s="7" t="s">
        <v>75</v>
      </c>
      <c r="G5340" s="146" t="s">
        <v>7689</v>
      </c>
      <c r="H5340" s="147" t="s">
        <v>7690</v>
      </c>
      <c r="I5340" s="148">
        <v>3</v>
      </c>
      <c r="J5340" s="46" t="s">
        <v>110</v>
      </c>
      <c r="K5340" s="46">
        <v>563</v>
      </c>
      <c r="L5340" s="46">
        <v>2</v>
      </c>
      <c r="M5340" s="46">
        <v>0</v>
      </c>
      <c r="N5340" s="46" t="s">
        <v>110</v>
      </c>
      <c r="O5340" s="46" t="s">
        <v>110</v>
      </c>
      <c r="P5340" s="47">
        <v>728.8</v>
      </c>
      <c r="Q5340" s="149" t="s">
        <v>186</v>
      </c>
    </row>
    <row r="5341" spans="1:17" s="162" customFormat="1" ht="84" x14ac:dyDescent="0.25">
      <c r="A5341" s="17">
        <v>41535</v>
      </c>
      <c r="B5341" s="17">
        <v>41536</v>
      </c>
      <c r="C5341" s="43">
        <v>2013</v>
      </c>
      <c r="D5341" s="351" t="s">
        <v>23</v>
      </c>
      <c r="E5341" s="14" t="s">
        <v>32</v>
      </c>
      <c r="F5341" s="7" t="s">
        <v>84</v>
      </c>
      <c r="G5341" s="146" t="s">
        <v>7691</v>
      </c>
      <c r="H5341" s="147" t="s">
        <v>7692</v>
      </c>
      <c r="I5341" s="148">
        <v>3</v>
      </c>
      <c r="J5341" s="46">
        <v>435290</v>
      </c>
      <c r="K5341" s="46">
        <v>404</v>
      </c>
      <c r="L5341" s="46">
        <v>1027</v>
      </c>
      <c r="M5341" s="46">
        <v>8</v>
      </c>
      <c r="N5341" s="46">
        <v>3945</v>
      </c>
      <c r="O5341" s="46">
        <v>6895.2</v>
      </c>
      <c r="P5341" s="47">
        <v>3039.6</v>
      </c>
      <c r="Q5341" s="149" t="s">
        <v>22</v>
      </c>
    </row>
    <row r="5342" spans="1:17" s="162" customFormat="1" ht="156" x14ac:dyDescent="0.25">
      <c r="A5342" s="17">
        <v>41533</v>
      </c>
      <c r="B5342" s="17">
        <v>41533</v>
      </c>
      <c r="C5342" s="43">
        <v>2013</v>
      </c>
      <c r="D5342" s="351" t="s">
        <v>23</v>
      </c>
      <c r="E5342" s="14" t="s">
        <v>32</v>
      </c>
      <c r="F5342" s="7" t="s">
        <v>91</v>
      </c>
      <c r="G5342" s="146" t="s">
        <v>7693</v>
      </c>
      <c r="H5342" s="147" t="s">
        <v>7694</v>
      </c>
      <c r="I5342" s="148">
        <v>3</v>
      </c>
      <c r="J5342" s="46">
        <v>29958</v>
      </c>
      <c r="K5342" s="46">
        <v>346</v>
      </c>
      <c r="L5342" s="46">
        <v>36</v>
      </c>
      <c r="M5342" s="46">
        <v>1</v>
      </c>
      <c r="N5342" s="46" t="s">
        <v>110</v>
      </c>
      <c r="O5342" s="46" t="s">
        <v>110</v>
      </c>
      <c r="P5342" s="47">
        <f>1047.1+12.18</f>
        <v>1059.28</v>
      </c>
      <c r="Q5342" s="149" t="s">
        <v>186</v>
      </c>
    </row>
    <row r="5343" spans="1:17" s="162" customFormat="1" ht="144" x14ac:dyDescent="0.25">
      <c r="A5343" s="17">
        <v>41529</v>
      </c>
      <c r="B5343" s="17">
        <v>41535</v>
      </c>
      <c r="C5343" s="43">
        <v>2013</v>
      </c>
      <c r="D5343" s="351" t="s">
        <v>23</v>
      </c>
      <c r="E5343" s="14" t="s">
        <v>32</v>
      </c>
      <c r="F5343" s="7" t="s">
        <v>82</v>
      </c>
      <c r="G5343" s="146" t="s">
        <v>7695</v>
      </c>
      <c r="H5343" s="147" t="s">
        <v>7696</v>
      </c>
      <c r="I5343" s="148">
        <v>1</v>
      </c>
      <c r="J5343" s="46">
        <v>47332</v>
      </c>
      <c r="K5343" s="46">
        <v>506</v>
      </c>
      <c r="L5343" s="46">
        <v>4</v>
      </c>
      <c r="M5343" s="46">
        <v>0</v>
      </c>
      <c r="N5343" s="46" t="s">
        <v>110</v>
      </c>
      <c r="O5343" s="46" t="s">
        <v>110</v>
      </c>
      <c r="P5343" s="47">
        <f>402.1+4.95</f>
        <v>407.05</v>
      </c>
      <c r="Q5343" s="149" t="s">
        <v>186</v>
      </c>
    </row>
    <row r="5344" spans="1:17" s="162" customFormat="1" ht="60" x14ac:dyDescent="0.25">
      <c r="A5344" s="17">
        <v>41534</v>
      </c>
      <c r="B5344" s="17">
        <v>41535</v>
      </c>
      <c r="C5344" s="43">
        <v>2013</v>
      </c>
      <c r="D5344" s="351" t="s">
        <v>23</v>
      </c>
      <c r="E5344" s="14" t="s">
        <v>32</v>
      </c>
      <c r="F5344" s="7" t="s">
        <v>67</v>
      </c>
      <c r="G5344" s="146" t="s">
        <v>7697</v>
      </c>
      <c r="H5344" s="147" t="s">
        <v>7698</v>
      </c>
      <c r="I5344" s="148">
        <v>2</v>
      </c>
      <c r="J5344" s="46">
        <v>9762</v>
      </c>
      <c r="K5344" s="46">
        <v>208</v>
      </c>
      <c r="L5344" s="46">
        <v>18</v>
      </c>
      <c r="M5344" s="46">
        <v>0</v>
      </c>
      <c r="N5344" s="46" t="s">
        <v>110</v>
      </c>
      <c r="O5344" s="46" t="s">
        <v>110</v>
      </c>
      <c r="P5344" s="47">
        <f>385.6+0.82</f>
        <v>386.42</v>
      </c>
      <c r="Q5344" s="149" t="s">
        <v>186</v>
      </c>
    </row>
    <row r="5345" spans="1:17" s="162" customFormat="1" ht="84" x14ac:dyDescent="0.25">
      <c r="A5345" s="17">
        <v>41533</v>
      </c>
      <c r="B5345" s="17">
        <v>41534</v>
      </c>
      <c r="C5345" s="43">
        <v>2013</v>
      </c>
      <c r="D5345" s="351" t="s">
        <v>23</v>
      </c>
      <c r="E5345" s="14" t="s">
        <v>32</v>
      </c>
      <c r="F5345" s="7" t="s">
        <v>47</v>
      </c>
      <c r="G5345" s="147" t="s">
        <v>7699</v>
      </c>
      <c r="H5345" s="147" t="s">
        <v>7700</v>
      </c>
      <c r="I5345" s="148">
        <v>0</v>
      </c>
      <c r="J5345" s="46">
        <v>15523</v>
      </c>
      <c r="K5345" s="46">
        <v>30</v>
      </c>
      <c r="L5345" s="46">
        <v>15</v>
      </c>
      <c r="M5345" s="46">
        <v>34</v>
      </c>
      <c r="N5345" s="46" t="s">
        <v>110</v>
      </c>
      <c r="O5345" s="46" t="s">
        <v>110</v>
      </c>
      <c r="P5345" s="47">
        <f>190.3+1.93</f>
        <v>192.23000000000002</v>
      </c>
      <c r="Q5345" s="149" t="s">
        <v>186</v>
      </c>
    </row>
    <row r="5346" spans="1:17" s="162" customFormat="1" ht="132" x14ac:dyDescent="0.25">
      <c r="A5346" s="17">
        <v>41529</v>
      </c>
      <c r="B5346" s="17">
        <v>41532</v>
      </c>
      <c r="C5346" s="43">
        <v>2013</v>
      </c>
      <c r="D5346" s="351" t="s">
        <v>23</v>
      </c>
      <c r="E5346" s="14" t="s">
        <v>32</v>
      </c>
      <c r="F5346" s="7" t="s">
        <v>36</v>
      </c>
      <c r="G5346" s="146" t="s">
        <v>7701</v>
      </c>
      <c r="H5346" s="147" t="s">
        <v>7702</v>
      </c>
      <c r="I5346" s="148">
        <v>0</v>
      </c>
      <c r="J5346" s="46">
        <v>33959</v>
      </c>
      <c r="K5346" s="46">
        <v>12</v>
      </c>
      <c r="L5346" s="46">
        <v>19</v>
      </c>
      <c r="M5346" s="46">
        <v>0</v>
      </c>
      <c r="N5346" s="46" t="s">
        <v>110</v>
      </c>
      <c r="O5346" s="46" t="s">
        <v>110</v>
      </c>
      <c r="P5346" s="47">
        <f>334.6+24.28</f>
        <v>358.88</v>
      </c>
      <c r="Q5346" s="149" t="s">
        <v>186</v>
      </c>
    </row>
    <row r="5347" spans="1:17" s="162" customFormat="1" ht="84" x14ac:dyDescent="0.25">
      <c r="A5347" s="17">
        <v>41532</v>
      </c>
      <c r="B5347" s="17">
        <v>41533</v>
      </c>
      <c r="C5347" s="43">
        <v>2013</v>
      </c>
      <c r="D5347" s="351" t="s">
        <v>23</v>
      </c>
      <c r="E5347" s="14" t="s">
        <v>32</v>
      </c>
      <c r="F5347" s="7" t="s">
        <v>49</v>
      </c>
      <c r="G5347" s="146" t="s">
        <v>7703</v>
      </c>
      <c r="H5347" s="146" t="s">
        <v>7704</v>
      </c>
      <c r="I5347" s="148">
        <v>0</v>
      </c>
      <c r="J5347" s="46">
        <v>396646</v>
      </c>
      <c r="K5347" s="46">
        <v>62</v>
      </c>
      <c r="L5347" s="46">
        <v>35</v>
      </c>
      <c r="M5347" s="46">
        <v>0</v>
      </c>
      <c r="N5347" s="46">
        <v>3000</v>
      </c>
      <c r="O5347" s="46">
        <v>0</v>
      </c>
      <c r="P5347" s="47">
        <v>2437.9</v>
      </c>
      <c r="Q5347" s="149" t="s">
        <v>209</v>
      </c>
    </row>
    <row r="5348" spans="1:17" s="162" customFormat="1" ht="60" x14ac:dyDescent="0.25">
      <c r="A5348" s="17">
        <v>41538</v>
      </c>
      <c r="B5348" s="17">
        <v>41538</v>
      </c>
      <c r="C5348" s="43">
        <v>2013</v>
      </c>
      <c r="D5348" s="351" t="s">
        <v>23</v>
      </c>
      <c r="E5348" s="14" t="s">
        <v>32</v>
      </c>
      <c r="F5348" s="7" t="s">
        <v>56</v>
      </c>
      <c r="G5348" s="146" t="s">
        <v>1426</v>
      </c>
      <c r="H5348" s="147" t="s">
        <v>7705</v>
      </c>
      <c r="I5348" s="148">
        <v>0</v>
      </c>
      <c r="J5348" s="46" t="s">
        <v>110</v>
      </c>
      <c r="K5348" s="46">
        <v>0</v>
      </c>
      <c r="L5348" s="46">
        <v>6</v>
      </c>
      <c r="M5348" s="46">
        <v>0</v>
      </c>
      <c r="N5348" s="46" t="s">
        <v>110</v>
      </c>
      <c r="O5348" s="46" t="s">
        <v>110</v>
      </c>
      <c r="P5348" s="47">
        <v>91.7</v>
      </c>
      <c r="Q5348" s="149" t="s">
        <v>186</v>
      </c>
    </row>
    <row r="5349" spans="1:17" s="162" customFormat="1" ht="48" x14ac:dyDescent="0.25">
      <c r="A5349" s="17">
        <v>41426</v>
      </c>
      <c r="B5349" s="17">
        <v>41430</v>
      </c>
      <c r="C5349" s="43">
        <v>2013</v>
      </c>
      <c r="D5349" s="351" t="s">
        <v>23</v>
      </c>
      <c r="E5349" s="22" t="s">
        <v>86</v>
      </c>
      <c r="F5349" s="7" t="s">
        <v>80</v>
      </c>
      <c r="G5349" s="147" t="s">
        <v>7706</v>
      </c>
      <c r="H5349" s="147" t="s">
        <v>7707</v>
      </c>
      <c r="I5349" s="148" t="s">
        <v>110</v>
      </c>
      <c r="J5349" s="163" t="s">
        <v>110</v>
      </c>
      <c r="K5349" s="163" t="s">
        <v>110</v>
      </c>
      <c r="L5349" s="163" t="s">
        <v>110</v>
      </c>
      <c r="M5349" s="163" t="s">
        <v>110</v>
      </c>
      <c r="N5349" s="46" t="s">
        <v>110</v>
      </c>
      <c r="O5349" s="163" t="s">
        <v>110</v>
      </c>
      <c r="P5349" s="47">
        <f>62.4 +45.75</f>
        <v>108.15</v>
      </c>
      <c r="Q5349" s="149" t="s">
        <v>186</v>
      </c>
    </row>
    <row r="5350" spans="1:17" s="162" customFormat="1" ht="36" x14ac:dyDescent="0.25">
      <c r="A5350" s="17">
        <v>41536</v>
      </c>
      <c r="B5350" s="17">
        <v>41540</v>
      </c>
      <c r="C5350" s="43">
        <v>2013</v>
      </c>
      <c r="D5350" s="351" t="s">
        <v>23</v>
      </c>
      <c r="E5350" s="14" t="s">
        <v>32</v>
      </c>
      <c r="F5350" s="7" t="s">
        <v>80</v>
      </c>
      <c r="G5350" s="147" t="s">
        <v>7706</v>
      </c>
      <c r="H5350" s="147" t="s">
        <v>7708</v>
      </c>
      <c r="I5350" s="148">
        <v>1</v>
      </c>
      <c r="J5350" s="163" t="s">
        <v>110</v>
      </c>
      <c r="K5350" s="163" t="s">
        <v>110</v>
      </c>
      <c r="L5350" s="163" t="s">
        <v>110</v>
      </c>
      <c r="M5350" s="163" t="s">
        <v>110</v>
      </c>
      <c r="N5350" s="46" t="s">
        <v>110</v>
      </c>
      <c r="O5350" s="163" t="s">
        <v>110</v>
      </c>
      <c r="P5350" s="47">
        <f>6.5+5.82</f>
        <v>12.32</v>
      </c>
      <c r="Q5350" s="149" t="s">
        <v>186</v>
      </c>
    </row>
    <row r="5351" spans="1:17" s="162" customFormat="1" ht="84" x14ac:dyDescent="0.25">
      <c r="A5351" s="17">
        <v>41532</v>
      </c>
      <c r="B5351" s="17">
        <v>41533</v>
      </c>
      <c r="C5351" s="43">
        <v>2013</v>
      </c>
      <c r="D5351" s="351" t="s">
        <v>23</v>
      </c>
      <c r="E5351" s="14" t="s">
        <v>32</v>
      </c>
      <c r="F5351" s="7" t="s">
        <v>101</v>
      </c>
      <c r="G5351" s="146" t="s">
        <v>7709</v>
      </c>
      <c r="H5351" s="147" t="s">
        <v>7710</v>
      </c>
      <c r="I5351" s="148">
        <v>1</v>
      </c>
      <c r="J5351" s="46">
        <v>11001</v>
      </c>
      <c r="K5351" s="46">
        <v>273</v>
      </c>
      <c r="L5351" s="46">
        <v>31</v>
      </c>
      <c r="M5351" s="46">
        <v>0</v>
      </c>
      <c r="N5351" s="46" t="s">
        <v>110</v>
      </c>
      <c r="O5351" s="46" t="s">
        <v>110</v>
      </c>
      <c r="P5351" s="47">
        <f>46.1+4.45</f>
        <v>50.550000000000004</v>
      </c>
      <c r="Q5351" s="149" t="s">
        <v>186</v>
      </c>
    </row>
    <row r="5352" spans="1:17" s="162" customFormat="1" ht="48" x14ac:dyDescent="0.25">
      <c r="A5352" s="17">
        <v>41538</v>
      </c>
      <c r="B5352" s="17">
        <v>41538</v>
      </c>
      <c r="C5352" s="43">
        <v>2013</v>
      </c>
      <c r="D5352" s="351" t="s">
        <v>23</v>
      </c>
      <c r="E5352" s="22" t="s">
        <v>86</v>
      </c>
      <c r="F5352" s="7" t="s">
        <v>25</v>
      </c>
      <c r="G5352" s="146" t="s">
        <v>7711</v>
      </c>
      <c r="H5352" s="147" t="s">
        <v>7712</v>
      </c>
      <c r="I5352" s="148">
        <v>0</v>
      </c>
      <c r="J5352" s="46">
        <v>43</v>
      </c>
      <c r="K5352" s="46">
        <v>12</v>
      </c>
      <c r="L5352" s="46">
        <v>0</v>
      </c>
      <c r="M5352" s="46">
        <v>0</v>
      </c>
      <c r="N5352" s="46">
        <v>0</v>
      </c>
      <c r="O5352" s="46">
        <v>0</v>
      </c>
      <c r="P5352" s="47">
        <v>0</v>
      </c>
      <c r="Q5352" s="149" t="s">
        <v>154</v>
      </c>
    </row>
    <row r="5353" spans="1:17" s="162" customFormat="1" ht="108" x14ac:dyDescent="0.25">
      <c r="A5353" s="17">
        <v>41519</v>
      </c>
      <c r="B5353" s="17">
        <v>41519</v>
      </c>
      <c r="C5353" s="43">
        <v>2013</v>
      </c>
      <c r="D5353" s="24" t="s">
        <v>141</v>
      </c>
      <c r="E5353" s="30" t="s">
        <v>142</v>
      </c>
      <c r="F5353" s="28" t="s">
        <v>157</v>
      </c>
      <c r="G5353" s="146" t="s">
        <v>5927</v>
      </c>
      <c r="H5353" s="147" t="s">
        <v>7713</v>
      </c>
      <c r="I5353" s="148">
        <v>0</v>
      </c>
      <c r="J5353" s="46">
        <v>2</v>
      </c>
      <c r="K5353" s="46">
        <v>1</v>
      </c>
      <c r="L5353" s="46">
        <v>0</v>
      </c>
      <c r="M5353" s="46">
        <v>0</v>
      </c>
      <c r="N5353" s="46">
        <v>0</v>
      </c>
      <c r="O5353" s="46">
        <v>0</v>
      </c>
      <c r="P5353" s="47">
        <v>0</v>
      </c>
      <c r="Q5353" s="149" t="s">
        <v>154</v>
      </c>
    </row>
    <row r="5354" spans="1:17" s="162" customFormat="1" ht="132" x14ac:dyDescent="0.25">
      <c r="A5354" s="17">
        <v>41501</v>
      </c>
      <c r="B5354" s="17">
        <v>41501</v>
      </c>
      <c r="C5354" s="43">
        <v>2013</v>
      </c>
      <c r="D5354" s="351" t="s">
        <v>23</v>
      </c>
      <c r="E5354" s="30" t="s">
        <v>2070</v>
      </c>
      <c r="F5354" s="7" t="s">
        <v>67</v>
      </c>
      <c r="G5354" s="146" t="s">
        <v>2973</v>
      </c>
      <c r="H5354" s="147" t="s">
        <v>7714</v>
      </c>
      <c r="I5354" s="148">
        <v>1</v>
      </c>
      <c r="J5354" s="46">
        <v>1002</v>
      </c>
      <c r="K5354" s="46">
        <v>200</v>
      </c>
      <c r="L5354" s="46">
        <v>0</v>
      </c>
      <c r="M5354" s="46">
        <v>0</v>
      </c>
      <c r="N5354" s="46">
        <v>0</v>
      </c>
      <c r="O5354" s="46">
        <v>0</v>
      </c>
      <c r="P5354" s="47">
        <v>0.2</v>
      </c>
      <c r="Q5354" s="149" t="s">
        <v>154</v>
      </c>
    </row>
    <row r="5355" spans="1:17" s="162" customFormat="1" ht="252" x14ac:dyDescent="0.25">
      <c r="A5355" s="17">
        <v>41504</v>
      </c>
      <c r="B5355" s="17">
        <v>41504</v>
      </c>
      <c r="C5355" s="43">
        <v>2013</v>
      </c>
      <c r="D5355" s="351" t="s">
        <v>23</v>
      </c>
      <c r="E5355" s="22" t="s">
        <v>86</v>
      </c>
      <c r="F5355" s="7" t="s">
        <v>58</v>
      </c>
      <c r="G5355" s="146" t="s">
        <v>2238</v>
      </c>
      <c r="H5355" s="147" t="s">
        <v>7715</v>
      </c>
      <c r="I5355" s="148">
        <v>1</v>
      </c>
      <c r="J5355" s="46">
        <v>189</v>
      </c>
      <c r="K5355" s="46">
        <v>37</v>
      </c>
      <c r="L5355" s="46">
        <v>0</v>
      </c>
      <c r="M5355" s="46">
        <v>0</v>
      </c>
      <c r="N5355" s="46">
        <v>0</v>
      </c>
      <c r="O5355" s="46">
        <v>1500</v>
      </c>
      <c r="P5355" s="47">
        <v>12.6</v>
      </c>
      <c r="Q5355" s="149" t="s">
        <v>154</v>
      </c>
    </row>
    <row r="5356" spans="1:17" s="162" customFormat="1" ht="204" x14ac:dyDescent="0.25">
      <c r="A5356" s="17">
        <v>41523</v>
      </c>
      <c r="B5356" s="17">
        <v>41523</v>
      </c>
      <c r="C5356" s="43">
        <v>2013</v>
      </c>
      <c r="D5356" s="351" t="s">
        <v>23</v>
      </c>
      <c r="E5356" s="22" t="s">
        <v>86</v>
      </c>
      <c r="F5356" s="28" t="s">
        <v>157</v>
      </c>
      <c r="G5356" s="146" t="s">
        <v>3606</v>
      </c>
      <c r="H5356" s="147" t="s">
        <v>7716</v>
      </c>
      <c r="I5356" s="148">
        <v>0</v>
      </c>
      <c r="J5356" s="46">
        <v>101</v>
      </c>
      <c r="K5356" s="46">
        <v>0</v>
      </c>
      <c r="L5356" s="46">
        <v>0</v>
      </c>
      <c r="M5356" s="46">
        <v>0</v>
      </c>
      <c r="N5356" s="46">
        <v>0</v>
      </c>
      <c r="O5356" s="46">
        <v>0</v>
      </c>
      <c r="P5356" s="47">
        <v>0.1</v>
      </c>
      <c r="Q5356" s="149" t="s">
        <v>154</v>
      </c>
    </row>
    <row r="5357" spans="1:17" s="162" customFormat="1" ht="96" x14ac:dyDescent="0.25">
      <c r="A5357" s="17">
        <v>41551</v>
      </c>
      <c r="B5357" s="17">
        <v>41551</v>
      </c>
      <c r="C5357" s="43">
        <v>2013</v>
      </c>
      <c r="D5357" s="24" t="s">
        <v>141</v>
      </c>
      <c r="E5357" s="30" t="s">
        <v>142</v>
      </c>
      <c r="F5357" s="7" t="s">
        <v>53</v>
      </c>
      <c r="G5357" s="146" t="s">
        <v>847</v>
      </c>
      <c r="H5357" s="147" t="s">
        <v>7717</v>
      </c>
      <c r="I5357" s="148">
        <v>12</v>
      </c>
      <c r="J5357" s="46">
        <v>28</v>
      </c>
      <c r="K5357" s="46">
        <v>0</v>
      </c>
      <c r="L5357" s="46">
        <v>0</v>
      </c>
      <c r="M5357" s="46">
        <v>0</v>
      </c>
      <c r="N5357" s="46">
        <v>0</v>
      </c>
      <c r="O5357" s="46">
        <v>0</v>
      </c>
      <c r="P5357" s="47">
        <v>0.3</v>
      </c>
      <c r="Q5357" s="149" t="s">
        <v>154</v>
      </c>
    </row>
    <row r="5358" spans="1:17" s="162" customFormat="1" ht="96" x14ac:dyDescent="0.25">
      <c r="A5358" s="17">
        <v>41560</v>
      </c>
      <c r="B5358" s="17">
        <v>41560</v>
      </c>
      <c r="C5358" s="43">
        <v>2013</v>
      </c>
      <c r="D5358" s="24" t="s">
        <v>141</v>
      </c>
      <c r="E5358" s="30" t="s">
        <v>142</v>
      </c>
      <c r="F5358" s="7" t="s">
        <v>56</v>
      </c>
      <c r="G5358" s="146" t="s">
        <v>2731</v>
      </c>
      <c r="H5358" s="147" t="s">
        <v>7718</v>
      </c>
      <c r="I5358" s="148">
        <v>4</v>
      </c>
      <c r="J5358" s="46">
        <v>14</v>
      </c>
      <c r="K5358" s="46">
        <v>0</v>
      </c>
      <c r="L5358" s="46">
        <v>0</v>
      </c>
      <c r="M5358" s="46">
        <v>0</v>
      </c>
      <c r="N5358" s="46">
        <v>0</v>
      </c>
      <c r="O5358" s="46">
        <v>0</v>
      </c>
      <c r="P5358" s="47">
        <v>0</v>
      </c>
      <c r="Q5358" s="149" t="s">
        <v>154</v>
      </c>
    </row>
    <row r="5359" spans="1:17" s="162" customFormat="1" ht="60" x14ac:dyDescent="0.25">
      <c r="A5359" s="17">
        <v>41559</v>
      </c>
      <c r="B5359" s="17">
        <v>41559</v>
      </c>
      <c r="C5359" s="43">
        <v>2013</v>
      </c>
      <c r="D5359" s="35" t="s">
        <v>28</v>
      </c>
      <c r="E5359" s="30" t="s">
        <v>133</v>
      </c>
      <c r="F5359" s="28" t="s">
        <v>210</v>
      </c>
      <c r="G5359" s="146" t="s">
        <v>5888</v>
      </c>
      <c r="H5359" s="147" t="s">
        <v>7719</v>
      </c>
      <c r="I5359" s="148">
        <v>1</v>
      </c>
      <c r="J5359" s="46">
        <v>1</v>
      </c>
      <c r="K5359" s="46">
        <v>0</v>
      </c>
      <c r="L5359" s="46">
        <v>0</v>
      </c>
      <c r="M5359" s="46">
        <v>0</v>
      </c>
      <c r="N5359" s="46">
        <v>0</v>
      </c>
      <c r="O5359" s="46">
        <v>0</v>
      </c>
      <c r="P5359" s="47">
        <v>0</v>
      </c>
      <c r="Q5359" s="149" t="s">
        <v>154</v>
      </c>
    </row>
    <row r="5360" spans="1:17" s="162" customFormat="1" ht="60" x14ac:dyDescent="0.25">
      <c r="A5360" s="17">
        <v>41569</v>
      </c>
      <c r="B5360" s="17">
        <v>41569</v>
      </c>
      <c r="C5360" s="43">
        <v>2013</v>
      </c>
      <c r="D5360" s="35" t="s">
        <v>28</v>
      </c>
      <c r="E5360" s="30" t="s">
        <v>125</v>
      </c>
      <c r="F5360" s="7" t="s">
        <v>87</v>
      </c>
      <c r="G5360" s="146" t="s">
        <v>2131</v>
      </c>
      <c r="H5360" s="126" t="s">
        <v>7720</v>
      </c>
      <c r="I5360" s="148">
        <v>0</v>
      </c>
      <c r="J5360" s="46">
        <v>7</v>
      </c>
      <c r="K5360" s="46">
        <v>0</v>
      </c>
      <c r="L5360" s="46">
        <v>0</v>
      </c>
      <c r="M5360" s="46">
        <v>0</v>
      </c>
      <c r="N5360" s="46">
        <v>0</v>
      </c>
      <c r="O5360" s="46">
        <v>0</v>
      </c>
      <c r="P5360" s="47">
        <v>0</v>
      </c>
      <c r="Q5360" s="149" t="s">
        <v>154</v>
      </c>
    </row>
    <row r="5361" spans="1:17" s="162" customFormat="1" ht="60" x14ac:dyDescent="0.25">
      <c r="A5361" s="21">
        <v>41552</v>
      </c>
      <c r="B5361" s="21">
        <v>41552</v>
      </c>
      <c r="C5361" s="43">
        <v>2013</v>
      </c>
      <c r="D5361" s="24" t="s">
        <v>141</v>
      </c>
      <c r="E5361" s="42" t="s">
        <v>447</v>
      </c>
      <c r="F5361" s="7" t="s">
        <v>40</v>
      </c>
      <c r="G5361" s="146" t="s">
        <v>40</v>
      </c>
      <c r="H5361" s="147" t="s">
        <v>7721</v>
      </c>
      <c r="I5361" s="148">
        <v>6</v>
      </c>
      <c r="J5361" s="46">
        <v>100</v>
      </c>
      <c r="K5361" s="46">
        <v>0</v>
      </c>
      <c r="L5361" s="46">
        <v>0</v>
      </c>
      <c r="M5361" s="46">
        <v>0</v>
      </c>
      <c r="N5361" s="46">
        <v>0</v>
      </c>
      <c r="O5361" s="46">
        <v>0</v>
      </c>
      <c r="P5361" s="47">
        <v>0</v>
      </c>
      <c r="Q5361" s="149" t="s">
        <v>154</v>
      </c>
    </row>
    <row r="5362" spans="1:17" s="162" customFormat="1" ht="84" x14ac:dyDescent="0.25">
      <c r="A5362" s="21">
        <v>41553</v>
      </c>
      <c r="B5362" s="21">
        <v>41553</v>
      </c>
      <c r="C5362" s="43">
        <v>2013</v>
      </c>
      <c r="D5362" s="24" t="s">
        <v>141</v>
      </c>
      <c r="E5362" s="30" t="s">
        <v>142</v>
      </c>
      <c r="F5362" s="28" t="s">
        <v>210</v>
      </c>
      <c r="G5362" s="146" t="s">
        <v>5050</v>
      </c>
      <c r="H5362" s="147" t="s">
        <v>7722</v>
      </c>
      <c r="I5362" s="148">
        <v>0</v>
      </c>
      <c r="J5362" s="46">
        <v>13</v>
      </c>
      <c r="K5362" s="46">
        <v>0</v>
      </c>
      <c r="L5362" s="46">
        <v>0</v>
      </c>
      <c r="M5362" s="46">
        <v>0</v>
      </c>
      <c r="N5362" s="46">
        <v>0</v>
      </c>
      <c r="O5362" s="46">
        <v>0</v>
      </c>
      <c r="P5362" s="47">
        <v>0</v>
      </c>
      <c r="Q5362" s="149" t="s">
        <v>154</v>
      </c>
    </row>
    <row r="5363" spans="1:17" s="162" customFormat="1" ht="96" x14ac:dyDescent="0.25">
      <c r="A5363" s="21">
        <v>41562</v>
      </c>
      <c r="B5363" s="21">
        <v>41562</v>
      </c>
      <c r="C5363" s="43">
        <v>2013</v>
      </c>
      <c r="D5363" s="35" t="s">
        <v>28</v>
      </c>
      <c r="E5363" s="30" t="s">
        <v>133</v>
      </c>
      <c r="F5363" s="7" t="s">
        <v>75</v>
      </c>
      <c r="G5363" s="146" t="s">
        <v>5046</v>
      </c>
      <c r="H5363" s="147" t="s">
        <v>7723</v>
      </c>
      <c r="I5363" s="172">
        <v>6</v>
      </c>
      <c r="J5363" s="20">
        <v>9</v>
      </c>
      <c r="K5363" s="46">
        <v>0</v>
      </c>
      <c r="L5363" s="46">
        <v>0</v>
      </c>
      <c r="M5363" s="46">
        <v>0</v>
      </c>
      <c r="N5363" s="46">
        <v>0</v>
      </c>
      <c r="O5363" s="46">
        <v>0</v>
      </c>
      <c r="P5363" s="47">
        <v>0</v>
      </c>
      <c r="Q5363" s="149" t="s">
        <v>154</v>
      </c>
    </row>
    <row r="5364" spans="1:17" s="162" customFormat="1" ht="48" x14ac:dyDescent="0.25">
      <c r="A5364" s="21">
        <v>41552</v>
      </c>
      <c r="B5364" s="21">
        <v>41552</v>
      </c>
      <c r="C5364" s="43">
        <v>2013</v>
      </c>
      <c r="D5364" s="35" t="s">
        <v>28</v>
      </c>
      <c r="E5364" s="30" t="s">
        <v>133</v>
      </c>
      <c r="F5364" s="7" t="s">
        <v>60</v>
      </c>
      <c r="G5364" s="146" t="s">
        <v>1605</v>
      </c>
      <c r="H5364" s="147" t="s">
        <v>7724</v>
      </c>
      <c r="I5364" s="172">
        <v>0</v>
      </c>
      <c r="J5364" s="20">
        <v>15</v>
      </c>
      <c r="K5364" s="46">
        <v>0</v>
      </c>
      <c r="L5364" s="46">
        <v>0</v>
      </c>
      <c r="M5364" s="46">
        <v>0</v>
      </c>
      <c r="N5364" s="46">
        <v>0</v>
      </c>
      <c r="O5364" s="46">
        <v>0</v>
      </c>
      <c r="P5364" s="47">
        <v>0</v>
      </c>
      <c r="Q5364" s="149" t="s">
        <v>154</v>
      </c>
    </row>
    <row r="5365" spans="1:17" s="162" customFormat="1" ht="132" x14ac:dyDescent="0.25">
      <c r="A5365" s="21">
        <v>41563</v>
      </c>
      <c r="B5365" s="21">
        <v>41563</v>
      </c>
      <c r="C5365" s="43">
        <v>2013</v>
      </c>
      <c r="D5365" s="35" t="s">
        <v>28</v>
      </c>
      <c r="E5365" s="30" t="s">
        <v>125</v>
      </c>
      <c r="F5365" s="7" t="s">
        <v>60</v>
      </c>
      <c r="G5365" s="146" t="s">
        <v>1605</v>
      </c>
      <c r="H5365" s="147" t="s">
        <v>7725</v>
      </c>
      <c r="I5365" s="172">
        <v>0</v>
      </c>
      <c r="J5365" s="20">
        <v>1200</v>
      </c>
      <c r="K5365" s="46">
        <v>0</v>
      </c>
      <c r="L5365" s="46">
        <v>0</v>
      </c>
      <c r="M5365" s="46">
        <v>0</v>
      </c>
      <c r="N5365" s="46">
        <v>0</v>
      </c>
      <c r="O5365" s="46">
        <v>0</v>
      </c>
      <c r="P5365" s="47">
        <v>0</v>
      </c>
      <c r="Q5365" s="149" t="s">
        <v>154</v>
      </c>
    </row>
    <row r="5366" spans="1:17" s="162" customFormat="1" ht="60" x14ac:dyDescent="0.25">
      <c r="A5366" s="21">
        <v>41529</v>
      </c>
      <c r="B5366" s="21">
        <v>41531</v>
      </c>
      <c r="C5366" s="43">
        <v>2013</v>
      </c>
      <c r="D5366" s="35" t="s">
        <v>17</v>
      </c>
      <c r="E5366" s="30" t="s">
        <v>1597</v>
      </c>
      <c r="F5366" s="7" t="s">
        <v>36</v>
      </c>
      <c r="G5366" s="146" t="s">
        <v>3747</v>
      </c>
      <c r="H5366" s="147" t="s">
        <v>7726</v>
      </c>
      <c r="I5366" s="172" t="s">
        <v>110</v>
      </c>
      <c r="J5366" s="20" t="s">
        <v>110</v>
      </c>
      <c r="K5366" s="46">
        <v>379</v>
      </c>
      <c r="L5366" s="46">
        <v>0</v>
      </c>
      <c r="M5366" s="46">
        <v>0</v>
      </c>
      <c r="N5366" s="46" t="s">
        <v>110</v>
      </c>
      <c r="O5366" s="46">
        <v>0</v>
      </c>
      <c r="P5366" s="47">
        <v>111.7</v>
      </c>
      <c r="Q5366" s="149" t="s">
        <v>186</v>
      </c>
    </row>
    <row r="5367" spans="1:17" s="162" customFormat="1" ht="96" x14ac:dyDescent="0.25">
      <c r="A5367" s="21">
        <v>41525</v>
      </c>
      <c r="B5367" s="21">
        <v>41525</v>
      </c>
      <c r="C5367" s="43">
        <v>2013</v>
      </c>
      <c r="D5367" s="35" t="s">
        <v>17</v>
      </c>
      <c r="E5367" s="30" t="s">
        <v>1597</v>
      </c>
      <c r="F5367" s="7" t="s">
        <v>36</v>
      </c>
      <c r="G5367" s="146" t="s">
        <v>7727</v>
      </c>
      <c r="H5367" s="147" t="s">
        <v>7728</v>
      </c>
      <c r="I5367" s="172">
        <v>0</v>
      </c>
      <c r="J5367" s="20">
        <v>40</v>
      </c>
      <c r="K5367" s="46">
        <v>1</v>
      </c>
      <c r="L5367" s="46">
        <v>0</v>
      </c>
      <c r="M5367" s="46">
        <v>0</v>
      </c>
      <c r="N5367" s="46">
        <v>0</v>
      </c>
      <c r="O5367" s="46">
        <v>0</v>
      </c>
      <c r="P5367" s="47">
        <v>0</v>
      </c>
      <c r="Q5367" s="149" t="s">
        <v>154</v>
      </c>
    </row>
    <row r="5368" spans="1:17" s="162" customFormat="1" ht="60" x14ac:dyDescent="0.25">
      <c r="A5368" s="21">
        <v>41525</v>
      </c>
      <c r="B5368" s="21">
        <v>41525</v>
      </c>
      <c r="C5368" s="43">
        <v>2013</v>
      </c>
      <c r="D5368" s="35" t="s">
        <v>17</v>
      </c>
      <c r="E5368" s="30" t="s">
        <v>1600</v>
      </c>
      <c r="F5368" s="7" t="s">
        <v>62</v>
      </c>
      <c r="G5368" s="146" t="s">
        <v>7729</v>
      </c>
      <c r="H5368" s="147" t="s">
        <v>7730</v>
      </c>
      <c r="I5368" s="148">
        <v>0</v>
      </c>
      <c r="J5368" s="163">
        <v>30</v>
      </c>
      <c r="K5368" s="46">
        <v>5</v>
      </c>
      <c r="L5368" s="46">
        <v>0</v>
      </c>
      <c r="M5368" s="46">
        <v>0</v>
      </c>
      <c r="N5368" s="46">
        <v>0</v>
      </c>
      <c r="O5368" s="46">
        <v>0</v>
      </c>
      <c r="P5368" s="47">
        <v>0</v>
      </c>
      <c r="Q5368" s="149" t="s">
        <v>154</v>
      </c>
    </row>
    <row r="5369" spans="1:17" s="162" customFormat="1" ht="60" x14ac:dyDescent="0.25">
      <c r="A5369" s="21">
        <v>41582</v>
      </c>
      <c r="B5369" s="21">
        <v>41582</v>
      </c>
      <c r="C5369" s="43">
        <v>2013</v>
      </c>
      <c r="D5369" s="351" t="s">
        <v>23</v>
      </c>
      <c r="E5369" s="30" t="s">
        <v>2070</v>
      </c>
      <c r="F5369" s="7" t="s">
        <v>56</v>
      </c>
      <c r="G5369" s="146" t="s">
        <v>2731</v>
      </c>
      <c r="H5369" s="147" t="s">
        <v>7731</v>
      </c>
      <c r="I5369" s="148">
        <v>1</v>
      </c>
      <c r="J5369" s="163">
        <v>1</v>
      </c>
      <c r="K5369" s="46">
        <v>0</v>
      </c>
      <c r="L5369" s="46">
        <v>0</v>
      </c>
      <c r="M5369" s="46">
        <v>0</v>
      </c>
      <c r="N5369" s="46">
        <v>0</v>
      </c>
      <c r="O5369" s="46">
        <v>0</v>
      </c>
      <c r="P5369" s="47">
        <v>0</v>
      </c>
      <c r="Q5369" s="149" t="s">
        <v>154</v>
      </c>
    </row>
    <row r="5370" spans="1:17" s="162" customFormat="1" ht="108" x14ac:dyDescent="0.25">
      <c r="A5370" s="21">
        <v>41582</v>
      </c>
      <c r="B5370" s="21">
        <v>41582</v>
      </c>
      <c r="C5370" s="43">
        <v>2013</v>
      </c>
      <c r="D5370" s="351" t="s">
        <v>23</v>
      </c>
      <c r="E5370" s="22" t="s">
        <v>86</v>
      </c>
      <c r="F5370" s="7" t="s">
        <v>67</v>
      </c>
      <c r="G5370" s="146" t="s">
        <v>7732</v>
      </c>
      <c r="H5370" s="147" t="s">
        <v>7733</v>
      </c>
      <c r="I5370" s="148">
        <v>1</v>
      </c>
      <c r="J5370" s="163">
        <v>1700</v>
      </c>
      <c r="K5370" s="46">
        <v>340</v>
      </c>
      <c r="L5370" s="46">
        <v>0</v>
      </c>
      <c r="M5370" s="46">
        <v>0</v>
      </c>
      <c r="N5370" s="46">
        <v>0</v>
      </c>
      <c r="O5370" s="46">
        <v>0</v>
      </c>
      <c r="P5370" s="47">
        <v>0.25</v>
      </c>
      <c r="Q5370" s="149" t="s">
        <v>154</v>
      </c>
    </row>
    <row r="5371" spans="1:17" s="162" customFormat="1" ht="84" x14ac:dyDescent="0.25">
      <c r="A5371" s="21">
        <v>41576</v>
      </c>
      <c r="B5371" s="21">
        <v>41576</v>
      </c>
      <c r="C5371" s="43">
        <v>2013</v>
      </c>
      <c r="D5371" s="24" t="s">
        <v>141</v>
      </c>
      <c r="E5371" s="30" t="s">
        <v>142</v>
      </c>
      <c r="F5371" s="28" t="s">
        <v>157</v>
      </c>
      <c r="G5371" s="146" t="s">
        <v>158</v>
      </c>
      <c r="H5371" s="147" t="s">
        <v>7734</v>
      </c>
      <c r="I5371" s="148">
        <v>0</v>
      </c>
      <c r="J5371" s="163">
        <v>27</v>
      </c>
      <c r="K5371" s="46">
        <v>0</v>
      </c>
      <c r="L5371" s="46">
        <v>0</v>
      </c>
      <c r="M5371" s="46">
        <v>0</v>
      </c>
      <c r="N5371" s="46">
        <v>0</v>
      </c>
      <c r="O5371" s="46">
        <v>0</v>
      </c>
      <c r="P5371" s="47">
        <v>0</v>
      </c>
      <c r="Q5371" s="149" t="s">
        <v>154</v>
      </c>
    </row>
    <row r="5372" spans="1:17" s="162" customFormat="1" ht="108" x14ac:dyDescent="0.25">
      <c r="A5372" s="21">
        <v>41551</v>
      </c>
      <c r="B5372" s="21">
        <v>41551</v>
      </c>
      <c r="C5372" s="43">
        <v>2013</v>
      </c>
      <c r="D5372" s="35" t="s">
        <v>28</v>
      </c>
      <c r="E5372" s="6" t="s">
        <v>369</v>
      </c>
      <c r="F5372" s="7" t="s">
        <v>40</v>
      </c>
      <c r="G5372" s="146" t="s">
        <v>3351</v>
      </c>
      <c r="H5372" s="147" t="s">
        <v>7735</v>
      </c>
      <c r="I5372" s="148">
        <v>0</v>
      </c>
      <c r="J5372" s="163">
        <v>1</v>
      </c>
      <c r="K5372" s="46">
        <v>0</v>
      </c>
      <c r="L5372" s="46">
        <v>0</v>
      </c>
      <c r="M5372" s="46">
        <v>0</v>
      </c>
      <c r="N5372" s="46">
        <v>0</v>
      </c>
      <c r="O5372" s="46">
        <v>0</v>
      </c>
      <c r="P5372" s="47">
        <v>0</v>
      </c>
      <c r="Q5372" s="149" t="s">
        <v>154</v>
      </c>
    </row>
    <row r="5373" spans="1:17" s="162" customFormat="1" ht="72" x14ac:dyDescent="0.25">
      <c r="A5373" s="21">
        <v>41511</v>
      </c>
      <c r="B5373" s="21">
        <v>41511</v>
      </c>
      <c r="C5373" s="43">
        <v>2013</v>
      </c>
      <c r="D5373" s="351" t="s">
        <v>23</v>
      </c>
      <c r="E5373" s="22" t="s">
        <v>86</v>
      </c>
      <c r="F5373" s="7" t="s">
        <v>72</v>
      </c>
      <c r="G5373" s="146" t="s">
        <v>7736</v>
      </c>
      <c r="H5373" s="147" t="s">
        <v>7737</v>
      </c>
      <c r="I5373" s="148">
        <v>1</v>
      </c>
      <c r="J5373" s="163">
        <v>1</v>
      </c>
      <c r="K5373" s="46">
        <v>0</v>
      </c>
      <c r="L5373" s="46">
        <v>0</v>
      </c>
      <c r="M5373" s="46">
        <v>0</v>
      </c>
      <c r="N5373" s="46">
        <v>0</v>
      </c>
      <c r="O5373" s="46">
        <v>0</v>
      </c>
      <c r="P5373" s="47">
        <v>0</v>
      </c>
      <c r="Q5373" s="149" t="s">
        <v>154</v>
      </c>
    </row>
    <row r="5374" spans="1:17" s="162" customFormat="1" ht="72" x14ac:dyDescent="0.25">
      <c r="A5374" s="21">
        <v>41577</v>
      </c>
      <c r="B5374" s="21">
        <v>41577</v>
      </c>
      <c r="C5374" s="43">
        <v>2013</v>
      </c>
      <c r="D5374" s="35" t="s">
        <v>28</v>
      </c>
      <c r="E5374" s="6" t="s">
        <v>149</v>
      </c>
      <c r="F5374" s="7" t="s">
        <v>30</v>
      </c>
      <c r="G5374" s="146" t="s">
        <v>901</v>
      </c>
      <c r="H5374" s="147" t="s">
        <v>7738</v>
      </c>
      <c r="I5374" s="148">
        <v>0</v>
      </c>
      <c r="J5374" s="163">
        <v>20</v>
      </c>
      <c r="K5374" s="46">
        <v>0</v>
      </c>
      <c r="L5374" s="46">
        <v>0</v>
      </c>
      <c r="M5374" s="46">
        <v>0</v>
      </c>
      <c r="N5374" s="46">
        <v>0</v>
      </c>
      <c r="O5374" s="46">
        <v>0</v>
      </c>
      <c r="P5374" s="47">
        <v>0</v>
      </c>
      <c r="Q5374" s="149" t="s">
        <v>154</v>
      </c>
    </row>
    <row r="5375" spans="1:17" s="162" customFormat="1" ht="108" x14ac:dyDescent="0.25">
      <c r="A5375" s="21">
        <v>41550</v>
      </c>
      <c r="B5375" s="21">
        <v>41550</v>
      </c>
      <c r="C5375" s="43">
        <v>2013</v>
      </c>
      <c r="D5375" s="35" t="s">
        <v>28</v>
      </c>
      <c r="E5375" s="30" t="s">
        <v>133</v>
      </c>
      <c r="F5375" s="28" t="s">
        <v>157</v>
      </c>
      <c r="G5375" s="146" t="s">
        <v>3606</v>
      </c>
      <c r="H5375" s="147" t="s">
        <v>7739</v>
      </c>
      <c r="I5375" s="172">
        <v>0</v>
      </c>
      <c r="J5375" s="20">
        <v>7</v>
      </c>
      <c r="K5375" s="46">
        <v>1</v>
      </c>
      <c r="L5375" s="46">
        <v>0</v>
      </c>
      <c r="M5375" s="46">
        <v>0</v>
      </c>
      <c r="N5375" s="46">
        <v>0</v>
      </c>
      <c r="O5375" s="46">
        <v>0</v>
      </c>
      <c r="P5375" s="47">
        <v>0</v>
      </c>
      <c r="Q5375" s="149" t="s">
        <v>154</v>
      </c>
    </row>
    <row r="5376" spans="1:17" s="162" customFormat="1" ht="108" x14ac:dyDescent="0.25">
      <c r="A5376" s="21">
        <v>41556</v>
      </c>
      <c r="B5376" s="21">
        <v>41556</v>
      </c>
      <c r="C5376" s="43">
        <v>2013</v>
      </c>
      <c r="D5376" s="35" t="s">
        <v>28</v>
      </c>
      <c r="E5376" s="30" t="s">
        <v>125</v>
      </c>
      <c r="F5376" s="7" t="s">
        <v>60</v>
      </c>
      <c r="G5376" s="146" t="s">
        <v>1256</v>
      </c>
      <c r="H5376" s="147" t="s">
        <v>7740</v>
      </c>
      <c r="I5376" s="172">
        <v>0</v>
      </c>
      <c r="J5376" s="20">
        <v>200</v>
      </c>
      <c r="K5376" s="46">
        <v>0</v>
      </c>
      <c r="L5376" s="46">
        <v>0</v>
      </c>
      <c r="M5376" s="46">
        <v>0</v>
      </c>
      <c r="N5376" s="46">
        <v>0</v>
      </c>
      <c r="O5376" s="46">
        <v>0</v>
      </c>
      <c r="P5376" s="47">
        <v>0</v>
      </c>
      <c r="Q5376" s="149" t="s">
        <v>154</v>
      </c>
    </row>
    <row r="5377" spans="1:17" s="162" customFormat="1" ht="60" x14ac:dyDescent="0.25">
      <c r="A5377" s="21">
        <v>41590</v>
      </c>
      <c r="B5377" s="21">
        <v>41590</v>
      </c>
      <c r="C5377" s="43">
        <v>2013</v>
      </c>
      <c r="D5377" s="35" t="s">
        <v>17</v>
      </c>
      <c r="E5377" s="30" t="s">
        <v>1597</v>
      </c>
      <c r="F5377" s="7" t="s">
        <v>36</v>
      </c>
      <c r="G5377" s="146" t="s">
        <v>7741</v>
      </c>
      <c r="H5377" s="147" t="s">
        <v>7742</v>
      </c>
      <c r="I5377" s="172">
        <v>0</v>
      </c>
      <c r="J5377" s="20">
        <v>195</v>
      </c>
      <c r="K5377" s="46">
        <v>5</v>
      </c>
      <c r="L5377" s="46">
        <v>0</v>
      </c>
      <c r="M5377" s="46">
        <v>0</v>
      </c>
      <c r="N5377" s="46">
        <v>0</v>
      </c>
      <c r="O5377" s="46">
        <v>0</v>
      </c>
      <c r="P5377" s="47">
        <v>0</v>
      </c>
      <c r="Q5377" s="149" t="s">
        <v>154</v>
      </c>
    </row>
    <row r="5378" spans="1:17" s="162" customFormat="1" ht="60" x14ac:dyDescent="0.25">
      <c r="A5378" s="21">
        <v>41593</v>
      </c>
      <c r="B5378" s="21">
        <v>41593</v>
      </c>
      <c r="C5378" s="43">
        <v>2013</v>
      </c>
      <c r="D5378" s="24" t="s">
        <v>141</v>
      </c>
      <c r="E5378" s="30" t="s">
        <v>142</v>
      </c>
      <c r="F5378" s="7" t="s">
        <v>62</v>
      </c>
      <c r="G5378" s="146" t="s">
        <v>1011</v>
      </c>
      <c r="H5378" s="147" t="s">
        <v>7743</v>
      </c>
      <c r="I5378" s="172">
        <v>0</v>
      </c>
      <c r="J5378" s="20">
        <v>0</v>
      </c>
      <c r="K5378" s="46">
        <v>0</v>
      </c>
      <c r="L5378" s="46">
        <v>0</v>
      </c>
      <c r="M5378" s="46">
        <v>0</v>
      </c>
      <c r="N5378" s="46">
        <v>0</v>
      </c>
      <c r="O5378" s="46">
        <v>0</v>
      </c>
      <c r="P5378" s="47">
        <v>0</v>
      </c>
      <c r="Q5378" s="149" t="s">
        <v>154</v>
      </c>
    </row>
    <row r="5379" spans="1:17" s="162" customFormat="1" ht="144" x14ac:dyDescent="0.25">
      <c r="A5379" s="21">
        <v>41592</v>
      </c>
      <c r="B5379" s="21">
        <v>41592</v>
      </c>
      <c r="C5379" s="43">
        <v>2013</v>
      </c>
      <c r="D5379" s="35" t="s">
        <v>28</v>
      </c>
      <c r="E5379" s="30" t="s">
        <v>136</v>
      </c>
      <c r="F5379" s="7" t="s">
        <v>87</v>
      </c>
      <c r="G5379" s="146" t="s">
        <v>4751</v>
      </c>
      <c r="H5379" s="147" t="s">
        <v>7744</v>
      </c>
      <c r="I5379" s="148">
        <v>2</v>
      </c>
      <c r="J5379" s="20">
        <v>211</v>
      </c>
      <c r="K5379" s="46">
        <v>0</v>
      </c>
      <c r="L5379" s="46">
        <v>0</v>
      </c>
      <c r="M5379" s="46">
        <v>0</v>
      </c>
      <c r="N5379" s="46">
        <v>0</v>
      </c>
      <c r="O5379" s="46">
        <v>0</v>
      </c>
      <c r="P5379" s="47">
        <v>0</v>
      </c>
      <c r="Q5379" s="149" t="s">
        <v>154</v>
      </c>
    </row>
    <row r="5380" spans="1:17" s="162" customFormat="1" ht="108" x14ac:dyDescent="0.25">
      <c r="A5380" s="21">
        <v>41571</v>
      </c>
      <c r="B5380" s="21">
        <v>41571</v>
      </c>
      <c r="C5380" s="43">
        <v>2013</v>
      </c>
      <c r="D5380" s="35" t="s">
        <v>28</v>
      </c>
      <c r="E5380" s="30" t="s">
        <v>133</v>
      </c>
      <c r="F5380" s="7" t="s">
        <v>40</v>
      </c>
      <c r="G5380" s="146" t="s">
        <v>6382</v>
      </c>
      <c r="H5380" s="126" t="s">
        <v>7745</v>
      </c>
      <c r="I5380" s="172">
        <v>1</v>
      </c>
      <c r="J5380" s="46">
        <v>1380</v>
      </c>
      <c r="K5380" s="46">
        <v>0</v>
      </c>
      <c r="L5380" s="46">
        <v>0</v>
      </c>
      <c r="M5380" s="46">
        <v>0</v>
      </c>
      <c r="N5380" s="46">
        <v>0</v>
      </c>
      <c r="O5380" s="46">
        <v>0</v>
      </c>
      <c r="P5380" s="47">
        <v>0</v>
      </c>
      <c r="Q5380" s="149" t="s">
        <v>154</v>
      </c>
    </row>
    <row r="5381" spans="1:17" s="162" customFormat="1" ht="144" x14ac:dyDescent="0.25">
      <c r="A5381" s="21">
        <v>41570</v>
      </c>
      <c r="B5381" s="21">
        <v>41570</v>
      </c>
      <c r="C5381" s="43">
        <v>2013</v>
      </c>
      <c r="D5381" s="35" t="s">
        <v>28</v>
      </c>
      <c r="E5381" s="30" t="s">
        <v>6779</v>
      </c>
      <c r="F5381" s="28" t="s">
        <v>163</v>
      </c>
      <c r="G5381" s="146" t="s">
        <v>4202</v>
      </c>
      <c r="H5381" s="126" t="s">
        <v>7746</v>
      </c>
      <c r="I5381" s="172">
        <v>0</v>
      </c>
      <c r="J5381" s="46">
        <v>235</v>
      </c>
      <c r="K5381" s="46">
        <v>0</v>
      </c>
      <c r="L5381" s="46">
        <v>0</v>
      </c>
      <c r="M5381" s="46">
        <v>0</v>
      </c>
      <c r="N5381" s="46">
        <v>0</v>
      </c>
      <c r="O5381" s="46">
        <v>0</v>
      </c>
      <c r="P5381" s="47">
        <v>0</v>
      </c>
      <c r="Q5381" s="149" t="s">
        <v>154</v>
      </c>
    </row>
    <row r="5382" spans="1:17" s="162" customFormat="1" ht="84" x14ac:dyDescent="0.25">
      <c r="A5382" s="21">
        <v>41560</v>
      </c>
      <c r="B5382" s="21">
        <v>41560</v>
      </c>
      <c r="C5382" s="43">
        <v>2013</v>
      </c>
      <c r="D5382" s="24" t="s">
        <v>141</v>
      </c>
      <c r="E5382" s="30" t="s">
        <v>142</v>
      </c>
      <c r="F5382" s="28" t="s">
        <v>210</v>
      </c>
      <c r="G5382" s="146" t="s">
        <v>7747</v>
      </c>
      <c r="H5382" s="147" t="s">
        <v>7748</v>
      </c>
      <c r="I5382" s="148">
        <v>1</v>
      </c>
      <c r="J5382" s="46">
        <v>5</v>
      </c>
      <c r="K5382" s="46">
        <v>1</v>
      </c>
      <c r="L5382" s="46">
        <v>0</v>
      </c>
      <c r="M5382" s="46">
        <v>0</v>
      </c>
      <c r="N5382" s="46">
        <v>0</v>
      </c>
      <c r="O5382" s="46">
        <v>0</v>
      </c>
      <c r="P5382" s="47">
        <v>0</v>
      </c>
      <c r="Q5382" s="149" t="s">
        <v>154</v>
      </c>
    </row>
    <row r="5383" spans="1:17" s="162" customFormat="1" ht="96" x14ac:dyDescent="0.25">
      <c r="A5383" s="21">
        <v>41578</v>
      </c>
      <c r="B5383" s="21">
        <v>41578</v>
      </c>
      <c r="C5383" s="43">
        <v>2013</v>
      </c>
      <c r="D5383" s="24" t="s">
        <v>141</v>
      </c>
      <c r="E5383" s="41" t="s">
        <v>1965</v>
      </c>
      <c r="F5383" s="7" t="s">
        <v>56</v>
      </c>
      <c r="G5383" s="146" t="s">
        <v>711</v>
      </c>
      <c r="H5383" s="147" t="s">
        <v>7749</v>
      </c>
      <c r="I5383" s="148">
        <v>0</v>
      </c>
      <c r="J5383" s="46">
        <v>169</v>
      </c>
      <c r="K5383" s="46">
        <v>0</v>
      </c>
      <c r="L5383" s="46">
        <v>0</v>
      </c>
      <c r="M5383" s="46">
        <v>0</v>
      </c>
      <c r="N5383" s="46">
        <v>0</v>
      </c>
      <c r="O5383" s="46">
        <v>0</v>
      </c>
      <c r="P5383" s="47">
        <v>0</v>
      </c>
      <c r="Q5383" s="149" t="s">
        <v>154</v>
      </c>
    </row>
    <row r="5384" spans="1:17" s="162" customFormat="1" ht="84" x14ac:dyDescent="0.25">
      <c r="A5384" s="21">
        <v>41578</v>
      </c>
      <c r="B5384" s="21">
        <v>41578</v>
      </c>
      <c r="C5384" s="43">
        <v>2013</v>
      </c>
      <c r="D5384" s="351" t="s">
        <v>23</v>
      </c>
      <c r="E5384" s="22" t="s">
        <v>86</v>
      </c>
      <c r="F5384" s="25" t="s">
        <v>781</v>
      </c>
      <c r="G5384" s="146" t="s">
        <v>5841</v>
      </c>
      <c r="H5384" s="147" t="s">
        <v>7750</v>
      </c>
      <c r="I5384" s="172">
        <v>0</v>
      </c>
      <c r="J5384" s="46">
        <v>120408</v>
      </c>
      <c r="K5384" s="46">
        <v>1289</v>
      </c>
      <c r="L5384" s="46">
        <v>0</v>
      </c>
      <c r="M5384" s="46">
        <v>0</v>
      </c>
      <c r="N5384" s="46">
        <v>0</v>
      </c>
      <c r="O5384" s="46">
        <v>0</v>
      </c>
      <c r="P5384" s="47">
        <v>6.47</v>
      </c>
      <c r="Q5384" s="149" t="s">
        <v>186</v>
      </c>
    </row>
    <row r="5385" spans="1:17" s="162" customFormat="1" ht="96" x14ac:dyDescent="0.25">
      <c r="A5385" s="21">
        <v>41568</v>
      </c>
      <c r="B5385" s="21">
        <v>41568</v>
      </c>
      <c r="C5385" s="43">
        <v>2013</v>
      </c>
      <c r="D5385" s="35" t="s">
        <v>28</v>
      </c>
      <c r="E5385" s="30" t="s">
        <v>133</v>
      </c>
      <c r="F5385" s="7" t="s">
        <v>53</v>
      </c>
      <c r="G5385" s="146" t="s">
        <v>7751</v>
      </c>
      <c r="H5385" s="147" t="s">
        <v>7752</v>
      </c>
      <c r="I5385" s="148">
        <v>3</v>
      </c>
      <c r="J5385" s="46">
        <v>23</v>
      </c>
      <c r="K5385" s="46">
        <v>0</v>
      </c>
      <c r="L5385" s="46">
        <v>0</v>
      </c>
      <c r="M5385" s="46">
        <v>0</v>
      </c>
      <c r="N5385" s="46">
        <v>0</v>
      </c>
      <c r="O5385" s="46">
        <v>0</v>
      </c>
      <c r="P5385" s="47">
        <v>0</v>
      </c>
      <c r="Q5385" s="149" t="s">
        <v>154</v>
      </c>
    </row>
    <row r="5386" spans="1:17" s="162" customFormat="1" ht="60" x14ac:dyDescent="0.25">
      <c r="A5386" s="21">
        <v>41577</v>
      </c>
      <c r="B5386" s="21">
        <v>41577</v>
      </c>
      <c r="C5386" s="43">
        <v>2013</v>
      </c>
      <c r="D5386" s="35" t="s">
        <v>28</v>
      </c>
      <c r="E5386" s="6" t="s">
        <v>149</v>
      </c>
      <c r="F5386" s="7" t="s">
        <v>60</v>
      </c>
      <c r="G5386" s="146" t="s">
        <v>1256</v>
      </c>
      <c r="H5386" s="147" t="s">
        <v>7753</v>
      </c>
      <c r="I5386" s="148">
        <v>0</v>
      </c>
      <c r="J5386" s="46">
        <v>1</v>
      </c>
      <c r="K5386" s="46">
        <v>0</v>
      </c>
      <c r="L5386" s="46">
        <v>0</v>
      </c>
      <c r="M5386" s="46">
        <v>0</v>
      </c>
      <c r="N5386" s="46">
        <v>1</v>
      </c>
      <c r="O5386" s="46">
        <v>0</v>
      </c>
      <c r="P5386" s="47">
        <v>0</v>
      </c>
      <c r="Q5386" s="149" t="s">
        <v>154</v>
      </c>
    </row>
    <row r="5387" spans="1:17" s="162" customFormat="1" ht="72" x14ac:dyDescent="0.25">
      <c r="A5387" s="21">
        <v>41548</v>
      </c>
      <c r="B5387" s="21">
        <v>41548</v>
      </c>
      <c r="C5387" s="43">
        <v>2013</v>
      </c>
      <c r="D5387" s="35" t="s">
        <v>28</v>
      </c>
      <c r="E5387" s="6" t="s">
        <v>369</v>
      </c>
      <c r="F5387" s="7" t="s">
        <v>68</v>
      </c>
      <c r="G5387" s="146" t="s">
        <v>752</v>
      </c>
      <c r="H5387" s="147" t="s">
        <v>7754</v>
      </c>
      <c r="I5387" s="148">
        <v>0</v>
      </c>
      <c r="J5387" s="46">
        <v>5</v>
      </c>
      <c r="K5387" s="46">
        <v>0</v>
      </c>
      <c r="L5387" s="46">
        <v>0</v>
      </c>
      <c r="M5387" s="46">
        <v>0</v>
      </c>
      <c r="N5387" s="46">
        <v>0</v>
      </c>
      <c r="O5387" s="46">
        <v>0</v>
      </c>
      <c r="P5387" s="47">
        <v>0</v>
      </c>
      <c r="Q5387" s="149" t="s">
        <v>154</v>
      </c>
    </row>
    <row r="5388" spans="1:17" s="162" customFormat="1" ht="60" x14ac:dyDescent="0.25">
      <c r="A5388" s="21">
        <v>41595</v>
      </c>
      <c r="B5388" s="21">
        <v>41595</v>
      </c>
      <c r="C5388" s="43">
        <v>2013</v>
      </c>
      <c r="D5388" s="24" t="s">
        <v>141</v>
      </c>
      <c r="E5388" s="30" t="s">
        <v>142</v>
      </c>
      <c r="F5388" s="7" t="s">
        <v>84</v>
      </c>
      <c r="G5388" s="146" t="s">
        <v>2846</v>
      </c>
      <c r="H5388" s="147" t="s">
        <v>7755</v>
      </c>
      <c r="I5388" s="148">
        <v>0</v>
      </c>
      <c r="J5388" s="46">
        <v>2</v>
      </c>
      <c r="K5388" s="46">
        <v>0</v>
      </c>
      <c r="L5388" s="46">
        <v>0</v>
      </c>
      <c r="M5388" s="46">
        <v>0</v>
      </c>
      <c r="N5388" s="46">
        <v>0</v>
      </c>
      <c r="O5388" s="46">
        <v>0</v>
      </c>
      <c r="P5388" s="47">
        <v>0</v>
      </c>
      <c r="Q5388" s="149" t="s">
        <v>154</v>
      </c>
    </row>
    <row r="5389" spans="1:17" s="162" customFormat="1" ht="108" x14ac:dyDescent="0.25">
      <c r="A5389" s="21">
        <v>41589</v>
      </c>
      <c r="B5389" s="21">
        <v>41589</v>
      </c>
      <c r="C5389" s="43">
        <v>2013</v>
      </c>
      <c r="D5389" s="351" t="s">
        <v>23</v>
      </c>
      <c r="E5389" s="22" t="s">
        <v>86</v>
      </c>
      <c r="F5389" s="7" t="s">
        <v>36</v>
      </c>
      <c r="G5389" s="146" t="s">
        <v>3351</v>
      </c>
      <c r="H5389" s="147" t="s">
        <v>7756</v>
      </c>
      <c r="I5389" s="148">
        <v>0</v>
      </c>
      <c r="J5389" s="46">
        <f>K5389*5</f>
        <v>515</v>
      </c>
      <c r="K5389" s="46">
        <v>103</v>
      </c>
      <c r="L5389" s="46">
        <v>0</v>
      </c>
      <c r="M5389" s="46">
        <v>0</v>
      </c>
      <c r="N5389" s="46">
        <v>0</v>
      </c>
      <c r="O5389" s="46">
        <v>0</v>
      </c>
      <c r="P5389" s="47">
        <v>0.15</v>
      </c>
      <c r="Q5389" s="149" t="s">
        <v>154</v>
      </c>
    </row>
    <row r="5390" spans="1:17" s="162" customFormat="1" ht="48" x14ac:dyDescent="0.25">
      <c r="A5390" s="21">
        <v>41596</v>
      </c>
      <c r="B5390" s="21">
        <v>41596</v>
      </c>
      <c r="C5390" s="43">
        <v>2013</v>
      </c>
      <c r="D5390" s="24" t="s">
        <v>141</v>
      </c>
      <c r="E5390" s="30" t="s">
        <v>142</v>
      </c>
      <c r="F5390" s="28" t="s">
        <v>210</v>
      </c>
      <c r="G5390" s="146" t="s">
        <v>7757</v>
      </c>
      <c r="H5390" s="147" t="s">
        <v>7758</v>
      </c>
      <c r="I5390" s="148">
        <v>3</v>
      </c>
      <c r="J5390" s="46">
        <v>3</v>
      </c>
      <c r="K5390" s="46">
        <v>0</v>
      </c>
      <c r="L5390" s="46">
        <v>0</v>
      </c>
      <c r="M5390" s="46">
        <v>0</v>
      </c>
      <c r="N5390" s="46">
        <v>0</v>
      </c>
      <c r="O5390" s="46">
        <v>0</v>
      </c>
      <c r="P5390" s="47">
        <v>1</v>
      </c>
      <c r="Q5390" s="149" t="s">
        <v>154</v>
      </c>
    </row>
    <row r="5391" spans="1:17" s="162" customFormat="1" ht="108" x14ac:dyDescent="0.25">
      <c r="A5391" s="21">
        <v>41548</v>
      </c>
      <c r="B5391" s="21">
        <v>41548</v>
      </c>
      <c r="C5391" s="43">
        <v>2013</v>
      </c>
      <c r="D5391" s="35" t="s">
        <v>28</v>
      </c>
      <c r="E5391" s="30" t="s">
        <v>133</v>
      </c>
      <c r="F5391" s="28" t="s">
        <v>160</v>
      </c>
      <c r="G5391" s="146" t="s">
        <v>4798</v>
      </c>
      <c r="H5391" s="147" t="s">
        <v>7759</v>
      </c>
      <c r="I5391" s="148">
        <v>1</v>
      </c>
      <c r="J5391" s="46">
        <v>17</v>
      </c>
      <c r="K5391" s="46">
        <v>0</v>
      </c>
      <c r="L5391" s="46">
        <v>0</v>
      </c>
      <c r="M5391" s="46">
        <v>0</v>
      </c>
      <c r="N5391" s="46">
        <v>0</v>
      </c>
      <c r="O5391" s="46">
        <v>0</v>
      </c>
      <c r="P5391" s="47">
        <v>0</v>
      </c>
      <c r="Q5391" s="149" t="s">
        <v>154</v>
      </c>
    </row>
    <row r="5392" spans="1:17" s="162" customFormat="1" ht="84" x14ac:dyDescent="0.25">
      <c r="A5392" s="21">
        <v>41547</v>
      </c>
      <c r="B5392" s="21">
        <v>41549</v>
      </c>
      <c r="C5392" s="43">
        <v>2013</v>
      </c>
      <c r="D5392" s="35" t="s">
        <v>17</v>
      </c>
      <c r="E5392" s="30" t="s">
        <v>1597</v>
      </c>
      <c r="F5392" s="28" t="s">
        <v>210</v>
      </c>
      <c r="G5392" s="146" t="s">
        <v>7760</v>
      </c>
      <c r="H5392" s="147" t="s">
        <v>7761</v>
      </c>
      <c r="I5392" s="148" t="s">
        <v>110</v>
      </c>
      <c r="J5392" s="46" t="s">
        <v>110</v>
      </c>
      <c r="K5392" s="46">
        <v>89</v>
      </c>
      <c r="L5392" s="46">
        <v>2</v>
      </c>
      <c r="M5392" s="46">
        <v>0</v>
      </c>
      <c r="N5392" s="46" t="s">
        <v>110</v>
      </c>
      <c r="O5392" s="46">
        <v>0</v>
      </c>
      <c r="P5392" s="47">
        <v>308.8</v>
      </c>
      <c r="Q5392" s="149" t="s">
        <v>186</v>
      </c>
    </row>
    <row r="5393" spans="1:17" s="162" customFormat="1" ht="72" x14ac:dyDescent="0.25">
      <c r="A5393" s="17">
        <v>41589</v>
      </c>
      <c r="B5393" s="17">
        <v>41591</v>
      </c>
      <c r="C5393" s="43">
        <v>2013</v>
      </c>
      <c r="D5393" s="351" t="s">
        <v>23</v>
      </c>
      <c r="E5393" s="22" t="s">
        <v>86</v>
      </c>
      <c r="F5393" s="28" t="s">
        <v>210</v>
      </c>
      <c r="G5393" s="146" t="s">
        <v>7762</v>
      </c>
      <c r="H5393" s="147" t="s">
        <v>7763</v>
      </c>
      <c r="I5393" s="148">
        <v>0</v>
      </c>
      <c r="J5393" s="46">
        <v>62141</v>
      </c>
      <c r="K5393" s="46">
        <v>16702</v>
      </c>
      <c r="L5393" s="46">
        <v>2</v>
      </c>
      <c r="M5393" s="46">
        <v>0</v>
      </c>
      <c r="N5393" s="46">
        <v>0</v>
      </c>
      <c r="O5393" s="46">
        <v>0</v>
      </c>
      <c r="P5393" s="47">
        <v>0</v>
      </c>
      <c r="Q5393" s="149" t="s">
        <v>154</v>
      </c>
    </row>
    <row r="5394" spans="1:17" s="162" customFormat="1" ht="60" x14ac:dyDescent="0.25">
      <c r="A5394" s="17">
        <v>41579</v>
      </c>
      <c r="B5394" s="17">
        <v>41579</v>
      </c>
      <c r="C5394" s="43">
        <v>2013</v>
      </c>
      <c r="D5394" s="24" t="s">
        <v>141</v>
      </c>
      <c r="E5394" s="30" t="s">
        <v>142</v>
      </c>
      <c r="F5394" s="28" t="s">
        <v>163</v>
      </c>
      <c r="G5394" s="146" t="s">
        <v>7222</v>
      </c>
      <c r="H5394" s="176" t="s">
        <v>7764</v>
      </c>
      <c r="I5394" s="148">
        <v>1</v>
      </c>
      <c r="J5394" s="46">
        <v>13</v>
      </c>
      <c r="K5394" s="46">
        <v>0</v>
      </c>
      <c r="L5394" s="46">
        <v>0</v>
      </c>
      <c r="M5394" s="46">
        <v>0</v>
      </c>
      <c r="N5394" s="46">
        <v>0</v>
      </c>
      <c r="O5394" s="46">
        <v>0</v>
      </c>
      <c r="P5394" s="47">
        <v>0.2</v>
      </c>
      <c r="Q5394" s="149" t="s">
        <v>154</v>
      </c>
    </row>
    <row r="5395" spans="1:17" s="162" customFormat="1" ht="84" x14ac:dyDescent="0.25">
      <c r="A5395" s="17">
        <v>41565</v>
      </c>
      <c r="B5395" s="17">
        <v>41565</v>
      </c>
      <c r="C5395" s="43">
        <v>2013</v>
      </c>
      <c r="D5395" s="24" t="s">
        <v>141</v>
      </c>
      <c r="E5395" s="30" t="s">
        <v>142</v>
      </c>
      <c r="F5395" s="7" t="s">
        <v>87</v>
      </c>
      <c r="G5395" s="146" t="s">
        <v>3420</v>
      </c>
      <c r="H5395" s="176" t="s">
        <v>7765</v>
      </c>
      <c r="I5395" s="148">
        <v>2</v>
      </c>
      <c r="J5395" s="46">
        <v>2</v>
      </c>
      <c r="K5395" s="46">
        <v>0</v>
      </c>
      <c r="L5395" s="46">
        <v>0</v>
      </c>
      <c r="M5395" s="46">
        <v>0</v>
      </c>
      <c r="N5395" s="46">
        <v>0</v>
      </c>
      <c r="O5395" s="46">
        <v>0</v>
      </c>
      <c r="P5395" s="47">
        <v>0.4</v>
      </c>
      <c r="Q5395" s="149" t="s">
        <v>154</v>
      </c>
    </row>
    <row r="5396" spans="1:17" s="162" customFormat="1" ht="72" x14ac:dyDescent="0.25">
      <c r="A5396" s="17">
        <v>41580</v>
      </c>
      <c r="B5396" s="17">
        <v>41580</v>
      </c>
      <c r="C5396" s="43">
        <v>2013</v>
      </c>
      <c r="D5396" s="24" t="s">
        <v>141</v>
      </c>
      <c r="E5396" s="30" t="s">
        <v>142</v>
      </c>
      <c r="F5396" s="7" t="s">
        <v>87</v>
      </c>
      <c r="G5396" s="146" t="s">
        <v>936</v>
      </c>
      <c r="H5396" s="176" t="s">
        <v>7766</v>
      </c>
      <c r="I5396" s="148">
        <v>0</v>
      </c>
      <c r="J5396" s="46">
        <v>17</v>
      </c>
      <c r="K5396" s="46">
        <v>0</v>
      </c>
      <c r="L5396" s="46">
        <v>0</v>
      </c>
      <c r="M5396" s="46">
        <v>0</v>
      </c>
      <c r="N5396" s="46">
        <v>0</v>
      </c>
      <c r="O5396" s="46">
        <v>0</v>
      </c>
      <c r="P5396" s="47">
        <v>0.3</v>
      </c>
      <c r="Q5396" s="149" t="s">
        <v>154</v>
      </c>
    </row>
    <row r="5397" spans="1:17" s="162" customFormat="1" ht="72" x14ac:dyDescent="0.25">
      <c r="A5397" s="17">
        <v>41562</v>
      </c>
      <c r="B5397" s="17">
        <v>41562</v>
      </c>
      <c r="C5397" s="43">
        <v>2013</v>
      </c>
      <c r="D5397" s="24" t="s">
        <v>141</v>
      </c>
      <c r="E5397" s="30" t="s">
        <v>142</v>
      </c>
      <c r="F5397" s="7" t="s">
        <v>33</v>
      </c>
      <c r="G5397" s="146" t="s">
        <v>7767</v>
      </c>
      <c r="H5397" s="147" t="s">
        <v>7768</v>
      </c>
      <c r="I5397" s="148">
        <v>15</v>
      </c>
      <c r="J5397" s="46">
        <v>15</v>
      </c>
      <c r="K5397" s="46">
        <v>0</v>
      </c>
      <c r="L5397" s="46">
        <v>0</v>
      </c>
      <c r="M5397" s="46">
        <v>0</v>
      </c>
      <c r="N5397" s="46">
        <v>0</v>
      </c>
      <c r="O5397" s="46">
        <v>0</v>
      </c>
      <c r="P5397" s="47">
        <v>1</v>
      </c>
      <c r="Q5397" s="149" t="s">
        <v>154</v>
      </c>
    </row>
    <row r="5398" spans="1:17" s="162" customFormat="1" ht="72" x14ac:dyDescent="0.25">
      <c r="A5398" s="17">
        <v>41598</v>
      </c>
      <c r="B5398" s="17">
        <v>41598</v>
      </c>
      <c r="C5398" s="43">
        <v>2013</v>
      </c>
      <c r="D5398" s="35" t="s">
        <v>28</v>
      </c>
      <c r="E5398" s="30" t="s">
        <v>125</v>
      </c>
      <c r="F5398" s="28" t="s">
        <v>157</v>
      </c>
      <c r="G5398" s="146" t="s">
        <v>5512</v>
      </c>
      <c r="H5398" s="147" t="s">
        <v>7769</v>
      </c>
      <c r="I5398" s="148">
        <v>2</v>
      </c>
      <c r="J5398" s="46">
        <v>7</v>
      </c>
      <c r="K5398" s="46">
        <v>0</v>
      </c>
      <c r="L5398" s="46">
        <v>0</v>
      </c>
      <c r="M5398" s="46">
        <v>0</v>
      </c>
      <c r="N5398" s="46">
        <v>0</v>
      </c>
      <c r="O5398" s="46">
        <v>0</v>
      </c>
      <c r="P5398" s="47">
        <v>0</v>
      </c>
      <c r="Q5398" s="149" t="s">
        <v>154</v>
      </c>
    </row>
    <row r="5399" spans="1:17" s="162" customFormat="1" ht="108" x14ac:dyDescent="0.25">
      <c r="A5399" s="17">
        <v>41570</v>
      </c>
      <c r="B5399" s="17">
        <v>41570</v>
      </c>
      <c r="C5399" s="43">
        <v>2013</v>
      </c>
      <c r="D5399" s="24" t="s">
        <v>141</v>
      </c>
      <c r="E5399" s="30" t="s">
        <v>142</v>
      </c>
      <c r="F5399" s="7" t="s">
        <v>91</v>
      </c>
      <c r="G5399" s="146" t="s">
        <v>2315</v>
      </c>
      <c r="H5399" s="147" t="s">
        <v>7770</v>
      </c>
      <c r="I5399" s="148">
        <v>0</v>
      </c>
      <c r="J5399" s="46">
        <v>2</v>
      </c>
      <c r="K5399" s="46">
        <v>0</v>
      </c>
      <c r="L5399" s="46">
        <v>0</v>
      </c>
      <c r="M5399" s="46">
        <v>0</v>
      </c>
      <c r="N5399" s="46">
        <v>0</v>
      </c>
      <c r="O5399" s="46">
        <v>0</v>
      </c>
      <c r="P5399" s="47">
        <v>0</v>
      </c>
      <c r="Q5399" s="149" t="s">
        <v>154</v>
      </c>
    </row>
    <row r="5400" spans="1:17" s="162" customFormat="1" ht="96" x14ac:dyDescent="0.25">
      <c r="A5400" s="17">
        <v>41581</v>
      </c>
      <c r="B5400" s="17">
        <v>41581</v>
      </c>
      <c r="C5400" s="43">
        <v>2013</v>
      </c>
      <c r="D5400" s="351" t="s">
        <v>23</v>
      </c>
      <c r="E5400" s="14" t="s">
        <v>32</v>
      </c>
      <c r="F5400" s="7" t="s">
        <v>84</v>
      </c>
      <c r="G5400" s="146" t="s">
        <v>7771</v>
      </c>
      <c r="H5400" s="147" t="s">
        <v>7772</v>
      </c>
      <c r="I5400" s="46">
        <v>0</v>
      </c>
      <c r="J5400" s="46">
        <v>9000</v>
      </c>
      <c r="K5400" s="46">
        <v>180</v>
      </c>
      <c r="L5400" s="46">
        <v>0</v>
      </c>
      <c r="M5400" s="46">
        <v>0</v>
      </c>
      <c r="N5400" s="46">
        <v>0</v>
      </c>
      <c r="O5400" s="46">
        <v>0</v>
      </c>
      <c r="P5400" s="47">
        <v>8.8000000000000007</v>
      </c>
      <c r="Q5400" s="149" t="s">
        <v>186</v>
      </c>
    </row>
    <row r="5401" spans="1:17" s="162" customFormat="1" ht="84" x14ac:dyDescent="0.25">
      <c r="A5401" s="17">
        <v>41565</v>
      </c>
      <c r="B5401" s="17">
        <v>41565</v>
      </c>
      <c r="C5401" s="43">
        <v>2013</v>
      </c>
      <c r="D5401" s="35" t="s">
        <v>28</v>
      </c>
      <c r="E5401" s="30" t="s">
        <v>133</v>
      </c>
      <c r="F5401" s="28" t="s">
        <v>157</v>
      </c>
      <c r="G5401" s="146" t="s">
        <v>3606</v>
      </c>
      <c r="H5401" s="147" t="s">
        <v>7773</v>
      </c>
      <c r="I5401" s="148">
        <v>0</v>
      </c>
      <c r="J5401" s="46">
        <v>15</v>
      </c>
      <c r="K5401" s="46">
        <v>0</v>
      </c>
      <c r="L5401" s="46">
        <v>0</v>
      </c>
      <c r="M5401" s="46">
        <v>0</v>
      </c>
      <c r="N5401" s="46">
        <v>1</v>
      </c>
      <c r="O5401" s="46">
        <v>0</v>
      </c>
      <c r="P5401" s="47">
        <v>0</v>
      </c>
      <c r="Q5401" s="149" t="s">
        <v>154</v>
      </c>
    </row>
    <row r="5402" spans="1:17" s="162" customFormat="1" ht="84" x14ac:dyDescent="0.25">
      <c r="A5402" s="17">
        <v>41554</v>
      </c>
      <c r="B5402" s="17">
        <v>41554</v>
      </c>
      <c r="C5402" s="43">
        <v>2013</v>
      </c>
      <c r="D5402" s="351" t="s">
        <v>23</v>
      </c>
      <c r="E5402" s="22" t="s">
        <v>86</v>
      </c>
      <c r="F5402" s="28" t="s">
        <v>160</v>
      </c>
      <c r="G5402" s="146" t="s">
        <v>4787</v>
      </c>
      <c r="H5402" s="147" t="s">
        <v>7774</v>
      </c>
      <c r="I5402" s="148">
        <v>2</v>
      </c>
      <c r="J5402" s="46">
        <v>2</v>
      </c>
      <c r="K5402" s="46">
        <v>0</v>
      </c>
      <c r="L5402" s="46">
        <v>0</v>
      </c>
      <c r="M5402" s="46">
        <v>0</v>
      </c>
      <c r="N5402" s="46">
        <v>0</v>
      </c>
      <c r="O5402" s="46">
        <v>0</v>
      </c>
      <c r="P5402" s="47">
        <v>0</v>
      </c>
      <c r="Q5402" s="149" t="s">
        <v>154</v>
      </c>
    </row>
    <row r="5403" spans="1:17" s="162" customFormat="1" ht="132" x14ac:dyDescent="0.25">
      <c r="A5403" s="17">
        <v>41510</v>
      </c>
      <c r="B5403" s="17">
        <v>41511</v>
      </c>
      <c r="C5403" s="43">
        <v>2013</v>
      </c>
      <c r="D5403" s="351" t="s">
        <v>23</v>
      </c>
      <c r="E5403" s="14" t="s">
        <v>32</v>
      </c>
      <c r="F5403" s="7" t="s">
        <v>30</v>
      </c>
      <c r="G5403" s="146" t="s">
        <v>7775</v>
      </c>
      <c r="H5403" s="147" t="s">
        <v>7776</v>
      </c>
      <c r="I5403" s="148">
        <v>0</v>
      </c>
      <c r="J5403" s="46" t="s">
        <v>110</v>
      </c>
      <c r="K5403" s="46" t="s">
        <v>110</v>
      </c>
      <c r="L5403" s="46" t="s">
        <v>110</v>
      </c>
      <c r="M5403" s="46" t="s">
        <v>110</v>
      </c>
      <c r="N5403" s="46" t="s">
        <v>110</v>
      </c>
      <c r="O5403" s="46" t="s">
        <v>110</v>
      </c>
      <c r="P5403" s="47">
        <v>1126.1300000000001</v>
      </c>
      <c r="Q5403" s="149" t="s">
        <v>186</v>
      </c>
    </row>
    <row r="5404" spans="1:17" s="162" customFormat="1" ht="72" x14ac:dyDescent="0.25">
      <c r="A5404" s="17">
        <v>41600</v>
      </c>
      <c r="B5404" s="17">
        <v>41600</v>
      </c>
      <c r="C5404" s="43">
        <v>2013</v>
      </c>
      <c r="D5404" s="351" t="s">
        <v>23</v>
      </c>
      <c r="E5404" s="30" t="s">
        <v>2070</v>
      </c>
      <c r="F5404" s="7" t="s">
        <v>30</v>
      </c>
      <c r="G5404" s="146" t="s">
        <v>1078</v>
      </c>
      <c r="H5404" s="147" t="s">
        <v>7777</v>
      </c>
      <c r="I5404" s="148">
        <v>0</v>
      </c>
      <c r="J5404" s="46">
        <v>185</v>
      </c>
      <c r="K5404" s="46">
        <v>37</v>
      </c>
      <c r="L5404" s="46">
        <v>0</v>
      </c>
      <c r="M5404" s="46">
        <v>0</v>
      </c>
      <c r="N5404" s="46">
        <v>0</v>
      </c>
      <c r="O5404" s="46">
        <v>0</v>
      </c>
      <c r="P5404" s="47">
        <v>0</v>
      </c>
      <c r="Q5404" s="149" t="s">
        <v>154</v>
      </c>
    </row>
    <row r="5405" spans="1:17" s="162" customFormat="1" ht="60" x14ac:dyDescent="0.25">
      <c r="A5405" s="17">
        <v>41580</v>
      </c>
      <c r="B5405" s="17">
        <v>41580</v>
      </c>
      <c r="C5405" s="43">
        <v>2013</v>
      </c>
      <c r="D5405" s="351" t="s">
        <v>23</v>
      </c>
      <c r="E5405" s="22" t="s">
        <v>86</v>
      </c>
      <c r="F5405" s="7" t="s">
        <v>58</v>
      </c>
      <c r="G5405" s="146" t="s">
        <v>7778</v>
      </c>
      <c r="H5405" s="147" t="s">
        <v>7779</v>
      </c>
      <c r="I5405" s="148">
        <v>0</v>
      </c>
      <c r="J5405" s="46">
        <v>25</v>
      </c>
      <c r="K5405" s="46">
        <v>0</v>
      </c>
      <c r="L5405" s="46">
        <v>0</v>
      </c>
      <c r="M5405" s="46">
        <v>0</v>
      </c>
      <c r="N5405" s="46">
        <v>0</v>
      </c>
      <c r="O5405" s="46">
        <v>0</v>
      </c>
      <c r="P5405" s="47">
        <v>0</v>
      </c>
      <c r="Q5405" s="149" t="s">
        <v>154</v>
      </c>
    </row>
    <row r="5406" spans="1:17" s="162" customFormat="1" ht="72" x14ac:dyDescent="0.25">
      <c r="A5406" s="17">
        <v>41512</v>
      </c>
      <c r="B5406" s="17">
        <v>41512</v>
      </c>
      <c r="C5406" s="43">
        <v>2013</v>
      </c>
      <c r="D5406" s="351" t="s">
        <v>23</v>
      </c>
      <c r="E5406" s="22" t="s">
        <v>86</v>
      </c>
      <c r="F5406" s="7" t="s">
        <v>58</v>
      </c>
      <c r="G5406" s="146" t="s">
        <v>7780</v>
      </c>
      <c r="H5406" s="147" t="s">
        <v>7781</v>
      </c>
      <c r="I5406" s="27">
        <v>0</v>
      </c>
      <c r="J5406" s="46">
        <v>20</v>
      </c>
      <c r="K5406" s="46">
        <v>4</v>
      </c>
      <c r="L5406" s="46">
        <v>0</v>
      </c>
      <c r="M5406" s="46">
        <v>0</v>
      </c>
      <c r="N5406" s="46">
        <v>0</v>
      </c>
      <c r="O5406" s="46">
        <v>0</v>
      </c>
      <c r="P5406" s="47">
        <v>0</v>
      </c>
      <c r="Q5406" s="149" t="s">
        <v>154</v>
      </c>
    </row>
    <row r="5407" spans="1:17" s="162" customFormat="1" ht="60" x14ac:dyDescent="0.25">
      <c r="A5407" s="17">
        <v>41572</v>
      </c>
      <c r="B5407" s="17">
        <v>41572</v>
      </c>
      <c r="C5407" s="43">
        <v>2013</v>
      </c>
      <c r="D5407" s="24" t="s">
        <v>141</v>
      </c>
      <c r="E5407" s="30" t="s">
        <v>142</v>
      </c>
      <c r="F5407" s="7" t="s">
        <v>75</v>
      </c>
      <c r="G5407" s="146" t="s">
        <v>75</v>
      </c>
      <c r="H5407" s="147" t="s">
        <v>7782</v>
      </c>
      <c r="I5407" s="148">
        <v>0</v>
      </c>
      <c r="J5407" s="20">
        <v>19</v>
      </c>
      <c r="K5407" s="46">
        <v>0</v>
      </c>
      <c r="L5407" s="46">
        <v>0</v>
      </c>
      <c r="M5407" s="46">
        <v>0</v>
      </c>
      <c r="N5407" s="46">
        <v>0</v>
      </c>
      <c r="O5407" s="46">
        <v>0</v>
      </c>
      <c r="P5407" s="47">
        <v>0</v>
      </c>
      <c r="Q5407" s="149" t="s">
        <v>154</v>
      </c>
    </row>
    <row r="5408" spans="1:17" s="162" customFormat="1" ht="72" x14ac:dyDescent="0.25">
      <c r="A5408" s="17">
        <v>41603</v>
      </c>
      <c r="B5408" s="17">
        <v>41603</v>
      </c>
      <c r="C5408" s="43">
        <v>2013</v>
      </c>
      <c r="D5408" s="24" t="s">
        <v>141</v>
      </c>
      <c r="E5408" s="30" t="s">
        <v>142</v>
      </c>
      <c r="F5408" s="7" t="s">
        <v>80</v>
      </c>
      <c r="G5408" s="146" t="s">
        <v>7783</v>
      </c>
      <c r="H5408" s="147" t="s">
        <v>7784</v>
      </c>
      <c r="I5408" s="27">
        <v>3</v>
      </c>
      <c r="J5408" s="46">
        <v>21</v>
      </c>
      <c r="K5408" s="46">
        <v>0</v>
      </c>
      <c r="L5408" s="46">
        <v>0</v>
      </c>
      <c r="M5408" s="46">
        <v>0</v>
      </c>
      <c r="N5408" s="46">
        <v>0</v>
      </c>
      <c r="O5408" s="46">
        <v>0</v>
      </c>
      <c r="P5408" s="47">
        <v>0</v>
      </c>
      <c r="Q5408" s="149" t="s">
        <v>154</v>
      </c>
    </row>
    <row r="5409" spans="1:17" s="162" customFormat="1" ht="132" x14ac:dyDescent="0.25">
      <c r="A5409" s="17">
        <v>41604</v>
      </c>
      <c r="B5409" s="17">
        <v>41604</v>
      </c>
      <c r="C5409" s="43">
        <v>2013</v>
      </c>
      <c r="D5409" s="35" t="s">
        <v>28</v>
      </c>
      <c r="E5409" s="30" t="s">
        <v>133</v>
      </c>
      <c r="F5409" s="25" t="s">
        <v>781</v>
      </c>
      <c r="G5409" s="146" t="s">
        <v>1116</v>
      </c>
      <c r="H5409" s="147" t="s">
        <v>7785</v>
      </c>
      <c r="I5409" s="148">
        <v>0</v>
      </c>
      <c r="J5409" s="20">
        <v>385</v>
      </c>
      <c r="K5409" s="46">
        <v>0</v>
      </c>
      <c r="L5409" s="46">
        <v>0</v>
      </c>
      <c r="M5409" s="46">
        <v>0</v>
      </c>
      <c r="N5409" s="46">
        <v>0</v>
      </c>
      <c r="O5409" s="46">
        <v>0</v>
      </c>
      <c r="P5409" s="47">
        <v>0</v>
      </c>
      <c r="Q5409" s="149" t="s">
        <v>154</v>
      </c>
    </row>
    <row r="5410" spans="1:17" s="162" customFormat="1" ht="72" x14ac:dyDescent="0.25">
      <c r="A5410" s="17">
        <v>41571</v>
      </c>
      <c r="B5410" s="17">
        <v>41571</v>
      </c>
      <c r="C5410" s="43">
        <v>2013</v>
      </c>
      <c r="D5410" s="351" t="s">
        <v>23</v>
      </c>
      <c r="E5410" s="22" t="s">
        <v>86</v>
      </c>
      <c r="F5410" s="28" t="s">
        <v>210</v>
      </c>
      <c r="G5410" s="146" t="s">
        <v>2076</v>
      </c>
      <c r="H5410" s="126" t="s">
        <v>7786</v>
      </c>
      <c r="I5410" s="148">
        <v>0</v>
      </c>
      <c r="J5410" s="46">
        <v>204</v>
      </c>
      <c r="K5410" s="46">
        <v>0</v>
      </c>
      <c r="L5410" s="46">
        <v>0</v>
      </c>
      <c r="M5410" s="46">
        <v>0</v>
      </c>
      <c r="N5410" s="46">
        <v>0</v>
      </c>
      <c r="O5410" s="46">
        <v>0</v>
      </c>
      <c r="P5410" s="47">
        <v>0</v>
      </c>
      <c r="Q5410" s="149" t="s">
        <v>154</v>
      </c>
    </row>
    <row r="5411" spans="1:17" s="162" customFormat="1" ht="60" x14ac:dyDescent="0.25">
      <c r="A5411" s="17">
        <v>41605</v>
      </c>
      <c r="B5411" s="17">
        <v>41605</v>
      </c>
      <c r="C5411" s="43">
        <v>2013</v>
      </c>
      <c r="D5411" s="351" t="s">
        <v>23</v>
      </c>
      <c r="E5411" s="22" t="s">
        <v>42</v>
      </c>
      <c r="F5411" s="7" t="s">
        <v>91</v>
      </c>
      <c r="G5411" s="146" t="s">
        <v>2109</v>
      </c>
      <c r="H5411" s="147" t="s">
        <v>7787</v>
      </c>
      <c r="I5411" s="148">
        <v>0</v>
      </c>
      <c r="J5411" s="46">
        <v>152</v>
      </c>
      <c r="K5411" s="46">
        <v>0</v>
      </c>
      <c r="L5411" s="46">
        <v>0</v>
      </c>
      <c r="M5411" s="46">
        <v>0</v>
      </c>
      <c r="N5411" s="46">
        <v>0</v>
      </c>
      <c r="O5411" s="46">
        <v>0</v>
      </c>
      <c r="P5411" s="47">
        <v>0</v>
      </c>
      <c r="Q5411" s="149" t="s">
        <v>154</v>
      </c>
    </row>
    <row r="5412" spans="1:17" s="162" customFormat="1" ht="84" x14ac:dyDescent="0.25">
      <c r="A5412" s="17">
        <v>41554</v>
      </c>
      <c r="B5412" s="17">
        <v>41554</v>
      </c>
      <c r="C5412" s="43">
        <v>2013</v>
      </c>
      <c r="D5412" s="351" t="s">
        <v>23</v>
      </c>
      <c r="E5412" s="22" t="s">
        <v>86</v>
      </c>
      <c r="F5412" s="28" t="s">
        <v>210</v>
      </c>
      <c r="G5412" s="146" t="s">
        <v>7788</v>
      </c>
      <c r="H5412" s="147" t="s">
        <v>7789</v>
      </c>
      <c r="I5412" s="148">
        <v>2</v>
      </c>
      <c r="J5412" s="46">
        <v>1542</v>
      </c>
      <c r="K5412" s="46">
        <v>386</v>
      </c>
      <c r="L5412" s="46">
        <v>0</v>
      </c>
      <c r="M5412" s="46">
        <v>0</v>
      </c>
      <c r="N5412" s="46">
        <v>0</v>
      </c>
      <c r="O5412" s="46">
        <v>0</v>
      </c>
      <c r="P5412" s="47">
        <v>2.1800000000000002</v>
      </c>
      <c r="Q5412" s="149" t="s">
        <v>186</v>
      </c>
    </row>
    <row r="5413" spans="1:17" s="162" customFormat="1" ht="96" x14ac:dyDescent="0.25">
      <c r="A5413" s="17">
        <v>41565</v>
      </c>
      <c r="B5413" s="17">
        <v>41565</v>
      </c>
      <c r="C5413" s="43">
        <v>2013</v>
      </c>
      <c r="D5413" s="24" t="s">
        <v>141</v>
      </c>
      <c r="E5413" s="30" t="s">
        <v>142</v>
      </c>
      <c r="F5413" s="7" t="s">
        <v>87</v>
      </c>
      <c r="G5413" s="146" t="s">
        <v>4751</v>
      </c>
      <c r="H5413" s="147" t="s">
        <v>7790</v>
      </c>
      <c r="I5413" s="148">
        <v>3</v>
      </c>
      <c r="J5413" s="46">
        <v>35</v>
      </c>
      <c r="K5413" s="46">
        <v>0</v>
      </c>
      <c r="L5413" s="46">
        <v>0</v>
      </c>
      <c r="M5413" s="46">
        <v>0</v>
      </c>
      <c r="N5413" s="46">
        <v>0</v>
      </c>
      <c r="O5413" s="46">
        <v>0</v>
      </c>
      <c r="P5413" s="47">
        <v>0.3</v>
      </c>
      <c r="Q5413" s="149" t="s">
        <v>154</v>
      </c>
    </row>
    <row r="5414" spans="1:17" s="162" customFormat="1" ht="120" x14ac:dyDescent="0.25">
      <c r="A5414" s="17">
        <v>41522</v>
      </c>
      <c r="B5414" s="17">
        <v>41522</v>
      </c>
      <c r="C5414" s="43">
        <v>2013</v>
      </c>
      <c r="D5414" s="351" t="s">
        <v>23</v>
      </c>
      <c r="E5414" s="14" t="s">
        <v>32</v>
      </c>
      <c r="F5414" s="7" t="s">
        <v>33</v>
      </c>
      <c r="G5414" s="146" t="s">
        <v>7791</v>
      </c>
      <c r="H5414" s="147" t="s">
        <v>7792</v>
      </c>
      <c r="I5414" s="148">
        <v>0</v>
      </c>
      <c r="J5414" s="46">
        <v>63</v>
      </c>
      <c r="K5414" s="46">
        <v>0</v>
      </c>
      <c r="L5414" s="46">
        <v>0</v>
      </c>
      <c r="M5414" s="46">
        <v>0</v>
      </c>
      <c r="N5414" s="46">
        <v>0</v>
      </c>
      <c r="O5414" s="46">
        <v>0</v>
      </c>
      <c r="P5414" s="47">
        <v>18.899999999999999</v>
      </c>
      <c r="Q5414" s="149" t="s">
        <v>154</v>
      </c>
    </row>
    <row r="5415" spans="1:17" s="162" customFormat="1" ht="120" x14ac:dyDescent="0.25">
      <c r="A5415" s="17">
        <v>41523</v>
      </c>
      <c r="B5415" s="17">
        <v>41523</v>
      </c>
      <c r="C5415" s="43">
        <v>2013</v>
      </c>
      <c r="D5415" s="351" t="s">
        <v>23</v>
      </c>
      <c r="E5415" s="22" t="s">
        <v>86</v>
      </c>
      <c r="F5415" s="7" t="s">
        <v>62</v>
      </c>
      <c r="G5415" s="146" t="s">
        <v>7793</v>
      </c>
      <c r="H5415" s="147" t="s">
        <v>7794</v>
      </c>
      <c r="I5415" s="148">
        <v>1</v>
      </c>
      <c r="J5415" s="46">
        <v>521</v>
      </c>
      <c r="K5415" s="46">
        <v>130</v>
      </c>
      <c r="L5415" s="46">
        <v>0</v>
      </c>
      <c r="M5415" s="46">
        <v>0</v>
      </c>
      <c r="N5415" s="46">
        <v>0</v>
      </c>
      <c r="O5415" s="46">
        <v>0</v>
      </c>
      <c r="P5415" s="47">
        <v>0</v>
      </c>
      <c r="Q5415" s="149" t="s">
        <v>154</v>
      </c>
    </row>
    <row r="5416" spans="1:17" s="162" customFormat="1" ht="48" x14ac:dyDescent="0.25">
      <c r="A5416" s="17">
        <v>41566</v>
      </c>
      <c r="B5416" s="17">
        <v>41566</v>
      </c>
      <c r="C5416" s="43">
        <v>2013</v>
      </c>
      <c r="D5416" s="351" t="s">
        <v>23</v>
      </c>
      <c r="E5416" s="22" t="s">
        <v>86</v>
      </c>
      <c r="F5416" s="7" t="s">
        <v>36</v>
      </c>
      <c r="G5416" s="146" t="s">
        <v>1887</v>
      </c>
      <c r="H5416" s="147" t="s">
        <v>7795</v>
      </c>
      <c r="I5416" s="148">
        <v>0</v>
      </c>
      <c r="J5416" s="46">
        <v>1145</v>
      </c>
      <c r="K5416" s="46">
        <v>229</v>
      </c>
      <c r="L5416" s="46">
        <v>0</v>
      </c>
      <c r="M5416" s="46">
        <v>0</v>
      </c>
      <c r="N5416" s="46">
        <v>0</v>
      </c>
      <c r="O5416" s="46">
        <v>0</v>
      </c>
      <c r="P5416" s="47">
        <v>0.2</v>
      </c>
      <c r="Q5416" s="149" t="s">
        <v>154</v>
      </c>
    </row>
    <row r="5417" spans="1:17" s="162" customFormat="1" ht="84" x14ac:dyDescent="0.25">
      <c r="A5417" s="17">
        <v>41577</v>
      </c>
      <c r="B5417" s="17">
        <v>41577</v>
      </c>
      <c r="C5417" s="43">
        <v>2013</v>
      </c>
      <c r="D5417" s="35" t="s">
        <v>28</v>
      </c>
      <c r="E5417" s="30" t="s">
        <v>125</v>
      </c>
      <c r="F5417" s="7" t="s">
        <v>60</v>
      </c>
      <c r="G5417" s="146" t="s">
        <v>4208</v>
      </c>
      <c r="H5417" s="147" t="s">
        <v>7796</v>
      </c>
      <c r="I5417" s="148">
        <v>0</v>
      </c>
      <c r="J5417" s="46">
        <v>6000</v>
      </c>
      <c r="K5417" s="46">
        <v>0</v>
      </c>
      <c r="L5417" s="46">
        <v>0</v>
      </c>
      <c r="M5417" s="46">
        <v>0</v>
      </c>
      <c r="N5417" s="46">
        <v>0</v>
      </c>
      <c r="O5417" s="46">
        <v>0</v>
      </c>
      <c r="P5417" s="47">
        <v>0</v>
      </c>
      <c r="Q5417" s="149" t="s">
        <v>154</v>
      </c>
    </row>
    <row r="5418" spans="1:17" s="162" customFormat="1" ht="84" x14ac:dyDescent="0.25">
      <c r="A5418" s="17">
        <v>41611</v>
      </c>
      <c r="B5418" s="17">
        <v>41611</v>
      </c>
      <c r="C5418" s="43">
        <v>2013</v>
      </c>
      <c r="D5418" s="24" t="s">
        <v>141</v>
      </c>
      <c r="E5418" s="30" t="s">
        <v>142</v>
      </c>
      <c r="F5418" s="7" t="s">
        <v>53</v>
      </c>
      <c r="G5418" s="146" t="s">
        <v>7797</v>
      </c>
      <c r="H5418" s="147" t="s">
        <v>7798</v>
      </c>
      <c r="I5418" s="148">
        <v>1</v>
      </c>
      <c r="J5418" s="46">
        <v>33</v>
      </c>
      <c r="K5418" s="46">
        <v>0</v>
      </c>
      <c r="L5418" s="46">
        <v>0</v>
      </c>
      <c r="M5418" s="46">
        <v>0</v>
      </c>
      <c r="N5418" s="46">
        <v>0</v>
      </c>
      <c r="O5418" s="46">
        <v>0</v>
      </c>
      <c r="P5418" s="47">
        <v>0</v>
      </c>
      <c r="Q5418" s="149" t="s">
        <v>154</v>
      </c>
    </row>
    <row r="5419" spans="1:17" s="162" customFormat="1" ht="84" x14ac:dyDescent="0.25">
      <c r="A5419" s="17">
        <v>41570</v>
      </c>
      <c r="B5419" s="17">
        <v>41570</v>
      </c>
      <c r="C5419" s="43">
        <v>2013</v>
      </c>
      <c r="D5419" s="24" t="s">
        <v>141</v>
      </c>
      <c r="E5419" s="30" t="s">
        <v>142</v>
      </c>
      <c r="F5419" s="7" t="s">
        <v>60</v>
      </c>
      <c r="G5419" s="146" t="s">
        <v>2026</v>
      </c>
      <c r="H5419" s="147" t="s">
        <v>7799</v>
      </c>
      <c r="I5419" s="148">
        <v>0</v>
      </c>
      <c r="J5419" s="46">
        <v>19</v>
      </c>
      <c r="K5419" s="46">
        <v>0</v>
      </c>
      <c r="L5419" s="46">
        <v>0</v>
      </c>
      <c r="M5419" s="46">
        <v>0</v>
      </c>
      <c r="N5419" s="46">
        <v>0</v>
      </c>
      <c r="O5419" s="46">
        <v>0</v>
      </c>
      <c r="P5419" s="47">
        <v>0</v>
      </c>
      <c r="Q5419" s="149" t="s">
        <v>154</v>
      </c>
    </row>
    <row r="5420" spans="1:17" s="162" customFormat="1" ht="84" x14ac:dyDescent="0.25">
      <c r="A5420" s="17">
        <v>41570</v>
      </c>
      <c r="B5420" s="17">
        <v>41570</v>
      </c>
      <c r="C5420" s="43">
        <v>2013</v>
      </c>
      <c r="D5420" s="351" t="s">
        <v>23</v>
      </c>
      <c r="E5420" s="22" t="s">
        <v>86</v>
      </c>
      <c r="F5420" s="7" t="s">
        <v>58</v>
      </c>
      <c r="G5420" s="146" t="s">
        <v>4880</v>
      </c>
      <c r="H5420" s="126" t="s">
        <v>7800</v>
      </c>
      <c r="I5420" s="172">
        <v>0</v>
      </c>
      <c r="J5420" s="20">
        <v>700</v>
      </c>
      <c r="K5420" s="46">
        <v>173</v>
      </c>
      <c r="L5420" s="46">
        <v>0</v>
      </c>
      <c r="M5420" s="46">
        <v>0</v>
      </c>
      <c r="N5420" s="46">
        <v>0</v>
      </c>
      <c r="O5420" s="46">
        <v>0</v>
      </c>
      <c r="P5420" s="47">
        <v>22.89</v>
      </c>
      <c r="Q5420" s="149" t="s">
        <v>154</v>
      </c>
    </row>
    <row r="5421" spans="1:17" s="162" customFormat="1" ht="120" x14ac:dyDescent="0.25">
      <c r="A5421" s="17">
        <v>41621</v>
      </c>
      <c r="B5421" s="17">
        <v>41621</v>
      </c>
      <c r="C5421" s="43">
        <v>2013</v>
      </c>
      <c r="D5421" s="24" t="s">
        <v>141</v>
      </c>
      <c r="E5421" s="30" t="s">
        <v>142</v>
      </c>
      <c r="F5421" s="7" t="s">
        <v>60</v>
      </c>
      <c r="G5421" s="146" t="s">
        <v>1993</v>
      </c>
      <c r="H5421" s="126" t="s">
        <v>7801</v>
      </c>
      <c r="I5421" s="172">
        <v>2</v>
      </c>
      <c r="J5421" s="20">
        <v>3</v>
      </c>
      <c r="K5421" s="46">
        <v>0</v>
      </c>
      <c r="L5421" s="46">
        <v>0</v>
      </c>
      <c r="M5421" s="46">
        <v>0</v>
      </c>
      <c r="N5421" s="46">
        <v>0</v>
      </c>
      <c r="O5421" s="46">
        <v>0</v>
      </c>
      <c r="P5421" s="47">
        <v>0</v>
      </c>
      <c r="Q5421" s="149" t="s">
        <v>154</v>
      </c>
    </row>
    <row r="5422" spans="1:17" s="162" customFormat="1" ht="72" x14ac:dyDescent="0.25">
      <c r="A5422" s="17">
        <v>41613</v>
      </c>
      <c r="B5422" s="17">
        <v>41613</v>
      </c>
      <c r="C5422" s="43">
        <v>2013</v>
      </c>
      <c r="D5422" s="24" t="s">
        <v>141</v>
      </c>
      <c r="E5422" s="30" t="s">
        <v>142</v>
      </c>
      <c r="F5422" s="28" t="s">
        <v>210</v>
      </c>
      <c r="G5422" s="146" t="s">
        <v>7802</v>
      </c>
      <c r="H5422" s="147" t="s">
        <v>7803</v>
      </c>
      <c r="I5422" s="172">
        <v>1</v>
      </c>
      <c r="J5422" s="20">
        <v>22</v>
      </c>
      <c r="K5422" s="46">
        <v>0</v>
      </c>
      <c r="L5422" s="46">
        <v>0</v>
      </c>
      <c r="M5422" s="46">
        <v>0</v>
      </c>
      <c r="N5422" s="46">
        <v>0</v>
      </c>
      <c r="O5422" s="46">
        <v>0</v>
      </c>
      <c r="P5422" s="47">
        <v>0</v>
      </c>
      <c r="Q5422" s="149" t="s">
        <v>154</v>
      </c>
    </row>
    <row r="5423" spans="1:17" s="162" customFormat="1" ht="72" x14ac:dyDescent="0.25">
      <c r="A5423" s="17">
        <v>41613</v>
      </c>
      <c r="B5423" s="17">
        <v>41613</v>
      </c>
      <c r="C5423" s="43">
        <v>2013</v>
      </c>
      <c r="D5423" s="35" t="s">
        <v>28</v>
      </c>
      <c r="E5423" s="30" t="s">
        <v>133</v>
      </c>
      <c r="F5423" s="7" t="s">
        <v>49</v>
      </c>
      <c r="G5423" s="146" t="s">
        <v>49</v>
      </c>
      <c r="H5423" s="147" t="s">
        <v>7804</v>
      </c>
      <c r="I5423" s="172">
        <v>4</v>
      </c>
      <c r="J5423" s="20">
        <v>6</v>
      </c>
      <c r="K5423" s="46">
        <v>0</v>
      </c>
      <c r="L5423" s="46">
        <v>0</v>
      </c>
      <c r="M5423" s="46">
        <v>0</v>
      </c>
      <c r="N5423" s="46">
        <v>1</v>
      </c>
      <c r="O5423" s="46">
        <v>0</v>
      </c>
      <c r="P5423" s="47">
        <v>0</v>
      </c>
      <c r="Q5423" s="149" t="s">
        <v>154</v>
      </c>
    </row>
    <row r="5424" spans="1:17" s="162" customFormat="1" ht="84" x14ac:dyDescent="0.25">
      <c r="A5424" s="17">
        <v>41624</v>
      </c>
      <c r="B5424" s="17">
        <v>41624</v>
      </c>
      <c r="C5424" s="43">
        <v>2013</v>
      </c>
      <c r="D5424" s="35" t="s">
        <v>28</v>
      </c>
      <c r="E5424" s="6" t="s">
        <v>149</v>
      </c>
      <c r="F5424" s="7" t="s">
        <v>53</v>
      </c>
      <c r="G5424" s="146" t="s">
        <v>7805</v>
      </c>
      <c r="H5424" s="147" t="s">
        <v>7806</v>
      </c>
      <c r="I5424" s="172">
        <v>0</v>
      </c>
      <c r="J5424" s="20">
        <v>700</v>
      </c>
      <c r="K5424" s="46">
        <v>0</v>
      </c>
      <c r="L5424" s="46">
        <v>0</v>
      </c>
      <c r="M5424" s="46">
        <v>0</v>
      </c>
      <c r="N5424" s="46">
        <v>0</v>
      </c>
      <c r="O5424" s="46">
        <v>0</v>
      </c>
      <c r="P5424" s="47">
        <v>0</v>
      </c>
      <c r="Q5424" s="149" t="s">
        <v>154</v>
      </c>
    </row>
    <row r="5425" spans="1:17" s="162" customFormat="1" ht="72" x14ac:dyDescent="0.25">
      <c r="A5425" s="17">
        <v>41556</v>
      </c>
      <c r="B5425" s="17">
        <v>41556</v>
      </c>
      <c r="C5425" s="43">
        <v>2013</v>
      </c>
      <c r="D5425" s="24" t="s">
        <v>141</v>
      </c>
      <c r="E5425" s="30" t="s">
        <v>142</v>
      </c>
      <c r="F5425" s="28" t="s">
        <v>151</v>
      </c>
      <c r="G5425" s="146" t="s">
        <v>1477</v>
      </c>
      <c r="H5425" s="147" t="s">
        <v>7807</v>
      </c>
      <c r="I5425" s="172">
        <v>0</v>
      </c>
      <c r="J5425" s="20">
        <v>16</v>
      </c>
      <c r="K5425" s="46">
        <v>0</v>
      </c>
      <c r="L5425" s="46">
        <v>0</v>
      </c>
      <c r="M5425" s="46">
        <v>0</v>
      </c>
      <c r="N5425" s="46">
        <v>0</v>
      </c>
      <c r="O5425" s="46">
        <v>0</v>
      </c>
      <c r="P5425" s="47">
        <v>0</v>
      </c>
      <c r="Q5425" s="149" t="s">
        <v>154</v>
      </c>
    </row>
    <row r="5426" spans="1:17" s="162" customFormat="1" ht="72" x14ac:dyDescent="0.25">
      <c r="A5426" s="17">
        <v>41618</v>
      </c>
      <c r="B5426" s="17">
        <v>41618</v>
      </c>
      <c r="C5426" s="43">
        <v>2013</v>
      </c>
      <c r="D5426" s="35" t="s">
        <v>28</v>
      </c>
      <c r="E5426" s="6" t="s">
        <v>149</v>
      </c>
      <c r="F5426" s="7" t="s">
        <v>60</v>
      </c>
      <c r="G5426" s="146" t="s">
        <v>7808</v>
      </c>
      <c r="H5426" s="147" t="s">
        <v>7809</v>
      </c>
      <c r="I5426" s="148">
        <v>0</v>
      </c>
      <c r="J5426" s="46">
        <v>400</v>
      </c>
      <c r="K5426" s="46">
        <v>0</v>
      </c>
      <c r="L5426" s="46">
        <v>0</v>
      </c>
      <c r="M5426" s="46">
        <v>0</v>
      </c>
      <c r="N5426" s="46">
        <v>0</v>
      </c>
      <c r="O5426" s="46">
        <v>0</v>
      </c>
      <c r="P5426" s="47">
        <v>0</v>
      </c>
      <c r="Q5426" s="149" t="s">
        <v>154</v>
      </c>
    </row>
    <row r="5427" spans="1:17" s="162" customFormat="1" ht="72" x14ac:dyDescent="0.25">
      <c r="A5427" s="17">
        <v>41626</v>
      </c>
      <c r="B5427" s="17">
        <v>41626</v>
      </c>
      <c r="C5427" s="43">
        <v>2013</v>
      </c>
      <c r="D5427" s="24" t="s">
        <v>141</v>
      </c>
      <c r="E5427" s="30" t="s">
        <v>142</v>
      </c>
      <c r="F5427" s="7" t="s">
        <v>62</v>
      </c>
      <c r="G5427" s="146" t="s">
        <v>3384</v>
      </c>
      <c r="H5427" s="147" t="s">
        <v>7810</v>
      </c>
      <c r="I5427" s="148">
        <v>6</v>
      </c>
      <c r="J5427" s="46">
        <v>17</v>
      </c>
      <c r="K5427" s="46">
        <v>0</v>
      </c>
      <c r="L5427" s="46">
        <v>0</v>
      </c>
      <c r="M5427" s="46">
        <v>0</v>
      </c>
      <c r="N5427" s="46">
        <v>0</v>
      </c>
      <c r="O5427" s="46">
        <v>0</v>
      </c>
      <c r="P5427" s="47">
        <v>0</v>
      </c>
      <c r="Q5427" s="149" t="s">
        <v>154</v>
      </c>
    </row>
    <row r="5428" spans="1:17" s="162" customFormat="1" ht="60" x14ac:dyDescent="0.25">
      <c r="A5428" s="17">
        <v>41567</v>
      </c>
      <c r="B5428" s="17">
        <v>41567</v>
      </c>
      <c r="C5428" s="43">
        <v>2013</v>
      </c>
      <c r="D5428" s="351" t="s">
        <v>23</v>
      </c>
      <c r="E5428" s="14" t="s">
        <v>32</v>
      </c>
      <c r="F5428" s="7" t="s">
        <v>58</v>
      </c>
      <c r="G5428" s="146" t="s">
        <v>6602</v>
      </c>
      <c r="H5428" s="147" t="s">
        <v>7811</v>
      </c>
      <c r="I5428" s="148">
        <v>0</v>
      </c>
      <c r="J5428" s="20">
        <v>1585</v>
      </c>
      <c r="K5428" s="46">
        <v>30</v>
      </c>
      <c r="L5428" s="46">
        <v>0</v>
      </c>
      <c r="M5428" s="46">
        <v>0</v>
      </c>
      <c r="N5428" s="46">
        <v>0</v>
      </c>
      <c r="O5428" s="46">
        <v>0</v>
      </c>
      <c r="P5428" s="47">
        <v>7.36</v>
      </c>
      <c r="Q5428" s="149" t="s">
        <v>154</v>
      </c>
    </row>
    <row r="5429" spans="1:17" s="162" customFormat="1" ht="72" x14ac:dyDescent="0.25">
      <c r="A5429" s="17">
        <v>41629</v>
      </c>
      <c r="B5429" s="17">
        <v>41629</v>
      </c>
      <c r="C5429" s="43">
        <v>2013</v>
      </c>
      <c r="D5429" s="24" t="s">
        <v>141</v>
      </c>
      <c r="E5429" s="30" t="s">
        <v>142</v>
      </c>
      <c r="F5429" s="7" t="s">
        <v>77</v>
      </c>
      <c r="G5429" s="146" t="s">
        <v>7177</v>
      </c>
      <c r="H5429" s="147" t="s">
        <v>7812</v>
      </c>
      <c r="I5429" s="148">
        <v>3</v>
      </c>
      <c r="J5429" s="46">
        <v>28</v>
      </c>
      <c r="K5429" s="46">
        <v>0</v>
      </c>
      <c r="L5429" s="46">
        <v>0</v>
      </c>
      <c r="M5429" s="46">
        <v>0</v>
      </c>
      <c r="N5429" s="46">
        <v>0</v>
      </c>
      <c r="O5429" s="46">
        <v>0</v>
      </c>
      <c r="P5429" s="47">
        <v>0</v>
      </c>
      <c r="Q5429" s="149" t="s">
        <v>154</v>
      </c>
    </row>
    <row r="5430" spans="1:17" s="162" customFormat="1" ht="84" x14ac:dyDescent="0.25">
      <c r="A5430" s="17">
        <v>41630</v>
      </c>
      <c r="B5430" s="17">
        <v>41630</v>
      </c>
      <c r="C5430" s="43">
        <v>2013</v>
      </c>
      <c r="D5430" s="24" t="s">
        <v>141</v>
      </c>
      <c r="E5430" s="30" t="s">
        <v>142</v>
      </c>
      <c r="F5430" s="7" t="s">
        <v>82</v>
      </c>
      <c r="G5430" s="146" t="s">
        <v>4878</v>
      </c>
      <c r="H5430" s="147" t="s">
        <v>7813</v>
      </c>
      <c r="I5430" s="172">
        <v>1</v>
      </c>
      <c r="J5430" s="20">
        <v>31</v>
      </c>
      <c r="K5430" s="46">
        <v>0</v>
      </c>
      <c r="L5430" s="46">
        <v>0</v>
      </c>
      <c r="M5430" s="46">
        <v>0</v>
      </c>
      <c r="N5430" s="46">
        <v>0</v>
      </c>
      <c r="O5430" s="46">
        <v>0</v>
      </c>
      <c r="P5430" s="47">
        <v>0</v>
      </c>
      <c r="Q5430" s="149" t="s">
        <v>154</v>
      </c>
    </row>
    <row r="5431" spans="1:17" s="162" customFormat="1" ht="60" x14ac:dyDescent="0.25">
      <c r="A5431" s="17">
        <v>41630</v>
      </c>
      <c r="B5431" s="17">
        <v>41630</v>
      </c>
      <c r="C5431" s="43">
        <v>2013</v>
      </c>
      <c r="D5431" s="24" t="s">
        <v>141</v>
      </c>
      <c r="E5431" s="30" t="s">
        <v>142</v>
      </c>
      <c r="F5431" s="7" t="s">
        <v>60</v>
      </c>
      <c r="G5431" s="146" t="s">
        <v>4950</v>
      </c>
      <c r="H5431" s="147" t="s">
        <v>7814</v>
      </c>
      <c r="I5431" s="172">
        <v>1</v>
      </c>
      <c r="J5431" s="20">
        <v>10</v>
      </c>
      <c r="K5431" s="46">
        <v>0</v>
      </c>
      <c r="L5431" s="46">
        <v>0</v>
      </c>
      <c r="M5431" s="46">
        <v>0</v>
      </c>
      <c r="N5431" s="46">
        <v>0</v>
      </c>
      <c r="O5431" s="46">
        <v>0</v>
      </c>
      <c r="P5431" s="47">
        <v>0</v>
      </c>
      <c r="Q5431" s="149" t="s">
        <v>154</v>
      </c>
    </row>
    <row r="5432" spans="1:17" s="162" customFormat="1" ht="60" x14ac:dyDescent="0.25">
      <c r="A5432" s="17">
        <v>41636</v>
      </c>
      <c r="B5432" s="17">
        <v>41636</v>
      </c>
      <c r="C5432" s="43">
        <v>2013</v>
      </c>
      <c r="D5432" s="24" t="s">
        <v>141</v>
      </c>
      <c r="E5432" s="30" t="s">
        <v>142</v>
      </c>
      <c r="F5432" s="7" t="s">
        <v>56</v>
      </c>
      <c r="G5432" s="146" t="s">
        <v>3592</v>
      </c>
      <c r="H5432" s="147" t="s">
        <v>7815</v>
      </c>
      <c r="I5432" s="172">
        <v>1</v>
      </c>
      <c r="J5432" s="20">
        <v>30</v>
      </c>
      <c r="K5432" s="46">
        <v>0</v>
      </c>
      <c r="L5432" s="46">
        <v>0</v>
      </c>
      <c r="M5432" s="46">
        <v>0</v>
      </c>
      <c r="N5432" s="46">
        <v>0</v>
      </c>
      <c r="O5432" s="46">
        <v>0</v>
      </c>
      <c r="P5432" s="47">
        <v>0.3</v>
      </c>
      <c r="Q5432" s="149" t="s">
        <v>154</v>
      </c>
    </row>
    <row r="5433" spans="1:17" s="162" customFormat="1" ht="72" x14ac:dyDescent="0.25">
      <c r="A5433" s="17">
        <v>41637</v>
      </c>
      <c r="B5433" s="17">
        <v>41637</v>
      </c>
      <c r="C5433" s="43">
        <v>2013</v>
      </c>
      <c r="D5433" s="24" t="s">
        <v>141</v>
      </c>
      <c r="E5433" s="41" t="s">
        <v>1965</v>
      </c>
      <c r="F5433" s="7" t="s">
        <v>82</v>
      </c>
      <c r="G5433" s="146" t="s">
        <v>7548</v>
      </c>
      <c r="H5433" s="147" t="s">
        <v>7816</v>
      </c>
      <c r="I5433" s="148">
        <v>1</v>
      </c>
      <c r="J5433" s="46">
        <v>11</v>
      </c>
      <c r="K5433" s="46">
        <v>0</v>
      </c>
      <c r="L5433" s="46">
        <v>0</v>
      </c>
      <c r="M5433" s="46">
        <v>0</v>
      </c>
      <c r="N5433" s="46">
        <v>0</v>
      </c>
      <c r="O5433" s="46">
        <v>0</v>
      </c>
      <c r="P5433" s="47">
        <v>0</v>
      </c>
      <c r="Q5433" s="149" t="s">
        <v>154</v>
      </c>
    </row>
    <row r="5434" spans="1:17" s="162" customFormat="1" ht="72" x14ac:dyDescent="0.25">
      <c r="A5434" s="17">
        <v>41634</v>
      </c>
      <c r="B5434" s="17">
        <v>41634</v>
      </c>
      <c r="C5434" s="43">
        <v>2013</v>
      </c>
      <c r="D5434" s="35" t="s">
        <v>28</v>
      </c>
      <c r="E5434" s="6" t="s">
        <v>149</v>
      </c>
      <c r="F5434" s="7" t="s">
        <v>58</v>
      </c>
      <c r="G5434" s="146" t="s">
        <v>6757</v>
      </c>
      <c r="H5434" s="147" t="s">
        <v>7817</v>
      </c>
      <c r="I5434" s="148">
        <v>0</v>
      </c>
      <c r="J5434" s="46">
        <v>2</v>
      </c>
      <c r="K5434" s="46">
        <v>1</v>
      </c>
      <c r="L5434" s="46">
        <v>0</v>
      </c>
      <c r="M5434" s="46">
        <v>0</v>
      </c>
      <c r="N5434" s="46">
        <v>0</v>
      </c>
      <c r="O5434" s="46">
        <v>0</v>
      </c>
      <c r="P5434" s="47">
        <v>0.1</v>
      </c>
      <c r="Q5434" s="149" t="s">
        <v>154</v>
      </c>
    </row>
    <row r="5435" spans="1:17" s="162" customFormat="1" ht="204" x14ac:dyDescent="0.25">
      <c r="A5435" s="17">
        <v>41536</v>
      </c>
      <c r="B5435" s="17">
        <v>41538</v>
      </c>
      <c r="C5435" s="43">
        <v>2013</v>
      </c>
      <c r="D5435" s="351" t="s">
        <v>23</v>
      </c>
      <c r="E5435" s="14" t="s">
        <v>32</v>
      </c>
      <c r="F5435" s="7" t="s">
        <v>40</v>
      </c>
      <c r="G5435" s="146" t="s">
        <v>7818</v>
      </c>
      <c r="H5435" s="147" t="s">
        <v>7819</v>
      </c>
      <c r="I5435" s="148">
        <v>1</v>
      </c>
      <c r="J5435" s="46" t="s">
        <v>110</v>
      </c>
      <c r="K5435" s="46">
        <v>45</v>
      </c>
      <c r="L5435" s="46">
        <v>0</v>
      </c>
      <c r="M5435" s="46">
        <v>0</v>
      </c>
      <c r="N5435" s="46" t="s">
        <v>110</v>
      </c>
      <c r="O5435" s="46" t="s">
        <v>110</v>
      </c>
      <c r="P5435" s="47">
        <f>79.2+1.14</f>
        <v>80.34</v>
      </c>
      <c r="Q5435" s="149" t="s">
        <v>186</v>
      </c>
    </row>
    <row r="5436" spans="1:17" s="162" customFormat="1" ht="108" x14ac:dyDescent="0.25">
      <c r="A5436" s="17">
        <v>41628</v>
      </c>
      <c r="B5436" s="17">
        <v>41629</v>
      </c>
      <c r="C5436" s="43">
        <v>2013</v>
      </c>
      <c r="D5436" s="351" t="s">
        <v>23</v>
      </c>
      <c r="E5436" s="22" t="s">
        <v>86</v>
      </c>
      <c r="F5436" s="7" t="s">
        <v>40</v>
      </c>
      <c r="G5436" s="146" t="s">
        <v>7820</v>
      </c>
      <c r="H5436" s="147" t="s">
        <v>7821</v>
      </c>
      <c r="I5436" s="148">
        <v>4</v>
      </c>
      <c r="J5436" s="20">
        <v>10</v>
      </c>
      <c r="K5436" s="46">
        <v>1</v>
      </c>
      <c r="L5436" s="46">
        <v>0</v>
      </c>
      <c r="M5436" s="46">
        <v>0</v>
      </c>
      <c r="N5436" s="46">
        <v>0</v>
      </c>
      <c r="O5436" s="46">
        <v>0</v>
      </c>
      <c r="P5436" s="47">
        <v>2.15</v>
      </c>
      <c r="Q5436" s="149" t="s">
        <v>154</v>
      </c>
    </row>
    <row r="5437" spans="1:17" s="162" customFormat="1" ht="96" x14ac:dyDescent="0.25">
      <c r="A5437" s="17">
        <v>41634</v>
      </c>
      <c r="B5437" s="17">
        <v>41634</v>
      </c>
      <c r="C5437" s="43">
        <v>2013</v>
      </c>
      <c r="D5437" s="24" t="s">
        <v>141</v>
      </c>
      <c r="E5437" s="30" t="s">
        <v>142</v>
      </c>
      <c r="F5437" s="7" t="s">
        <v>82</v>
      </c>
      <c r="G5437" s="146" t="s">
        <v>7822</v>
      </c>
      <c r="H5437" s="147" t="s">
        <v>7823</v>
      </c>
      <c r="I5437" s="148">
        <v>2</v>
      </c>
      <c r="J5437" s="46">
        <v>19</v>
      </c>
      <c r="K5437" s="46">
        <v>0</v>
      </c>
      <c r="L5437" s="46">
        <v>0</v>
      </c>
      <c r="M5437" s="46">
        <v>0</v>
      </c>
      <c r="N5437" s="46">
        <v>0</v>
      </c>
      <c r="O5437" s="46">
        <v>0</v>
      </c>
      <c r="P5437" s="47">
        <v>0</v>
      </c>
      <c r="Q5437" s="149" t="s">
        <v>154</v>
      </c>
    </row>
    <row r="5438" spans="1:17" s="162" customFormat="1" ht="48" x14ac:dyDescent="0.25">
      <c r="A5438" s="17">
        <v>41633</v>
      </c>
      <c r="B5438" s="17">
        <v>41633</v>
      </c>
      <c r="C5438" s="43">
        <v>2013</v>
      </c>
      <c r="D5438" s="35" t="s">
        <v>28</v>
      </c>
      <c r="E5438" s="6" t="s">
        <v>149</v>
      </c>
      <c r="F5438" s="7" t="s">
        <v>84</v>
      </c>
      <c r="G5438" s="146" t="s">
        <v>2143</v>
      </c>
      <c r="H5438" s="147" t="s">
        <v>7824</v>
      </c>
      <c r="I5438" s="148">
        <v>0</v>
      </c>
      <c r="J5438" s="46">
        <v>3</v>
      </c>
      <c r="K5438" s="46">
        <v>0</v>
      </c>
      <c r="L5438" s="46">
        <v>0</v>
      </c>
      <c r="M5438" s="46">
        <v>0</v>
      </c>
      <c r="N5438" s="46">
        <v>0</v>
      </c>
      <c r="O5438" s="46">
        <v>0</v>
      </c>
      <c r="P5438" s="47">
        <v>0</v>
      </c>
      <c r="Q5438" s="149" t="s">
        <v>154</v>
      </c>
    </row>
    <row r="5439" spans="1:17" s="162" customFormat="1" ht="84" x14ac:dyDescent="0.25">
      <c r="A5439" s="17">
        <v>41631</v>
      </c>
      <c r="B5439" s="17">
        <v>41631</v>
      </c>
      <c r="C5439" s="43">
        <v>2013</v>
      </c>
      <c r="D5439" s="24" t="s">
        <v>141</v>
      </c>
      <c r="E5439" s="30" t="s">
        <v>142</v>
      </c>
      <c r="F5439" s="7" t="s">
        <v>45</v>
      </c>
      <c r="G5439" s="146" t="s">
        <v>2890</v>
      </c>
      <c r="H5439" s="147" t="s">
        <v>7825</v>
      </c>
      <c r="I5439" s="148">
        <v>7</v>
      </c>
      <c r="J5439" s="46">
        <v>30</v>
      </c>
      <c r="K5439" s="46">
        <v>0</v>
      </c>
      <c r="L5439" s="46">
        <v>0</v>
      </c>
      <c r="M5439" s="46">
        <v>0</v>
      </c>
      <c r="N5439" s="46">
        <v>0</v>
      </c>
      <c r="O5439" s="46">
        <v>0</v>
      </c>
      <c r="P5439" s="47">
        <v>0.3</v>
      </c>
      <c r="Q5439" s="149" t="s">
        <v>154</v>
      </c>
    </row>
    <row r="5440" spans="1:17" s="162" customFormat="1" ht="240" x14ac:dyDescent="0.25">
      <c r="A5440" s="17">
        <v>41631</v>
      </c>
      <c r="B5440" s="17">
        <v>41631</v>
      </c>
      <c r="C5440" s="43">
        <v>2013</v>
      </c>
      <c r="D5440" s="351" t="s">
        <v>23</v>
      </c>
      <c r="E5440" s="22" t="s">
        <v>86</v>
      </c>
      <c r="F5440" s="7" t="s">
        <v>36</v>
      </c>
      <c r="G5440" s="147" t="s">
        <v>7826</v>
      </c>
      <c r="H5440" s="147" t="s">
        <v>7827</v>
      </c>
      <c r="I5440" s="172">
        <v>0</v>
      </c>
      <c r="J5440" s="46">
        <v>3315</v>
      </c>
      <c r="K5440" s="46">
        <v>663</v>
      </c>
      <c r="L5440" s="46">
        <v>0</v>
      </c>
      <c r="M5440" s="46">
        <v>0</v>
      </c>
      <c r="N5440" s="46">
        <v>0</v>
      </c>
      <c r="O5440" s="46">
        <v>0</v>
      </c>
      <c r="P5440" s="47">
        <v>1</v>
      </c>
      <c r="Q5440" s="149" t="s">
        <v>154</v>
      </c>
    </row>
    <row r="5441" spans="1:17" s="162" customFormat="1" ht="84" x14ac:dyDescent="0.25">
      <c r="A5441" s="17">
        <v>41631</v>
      </c>
      <c r="B5441" s="17">
        <v>41631</v>
      </c>
      <c r="C5441" s="43">
        <v>2013</v>
      </c>
      <c r="D5441" s="35" t="s">
        <v>28</v>
      </c>
      <c r="E5441" s="6" t="s">
        <v>369</v>
      </c>
      <c r="F5441" s="28" t="s">
        <v>151</v>
      </c>
      <c r="G5441" s="146" t="s">
        <v>1477</v>
      </c>
      <c r="H5441" s="147" t="s">
        <v>7828</v>
      </c>
      <c r="I5441" s="172">
        <v>0</v>
      </c>
      <c r="J5441" s="46">
        <v>51</v>
      </c>
      <c r="K5441" s="46">
        <v>0</v>
      </c>
      <c r="L5441" s="46">
        <v>0</v>
      </c>
      <c r="M5441" s="46">
        <v>0</v>
      </c>
      <c r="N5441" s="46">
        <v>0</v>
      </c>
      <c r="O5441" s="46">
        <v>0</v>
      </c>
      <c r="P5441" s="47">
        <v>0</v>
      </c>
      <c r="Q5441" s="149" t="s">
        <v>154</v>
      </c>
    </row>
    <row r="5442" spans="1:17" s="162" customFormat="1" ht="60" x14ac:dyDescent="0.25">
      <c r="A5442" s="17">
        <v>41631</v>
      </c>
      <c r="B5442" s="17">
        <v>41631</v>
      </c>
      <c r="C5442" s="43">
        <v>2013</v>
      </c>
      <c r="D5442" s="351" t="s">
        <v>23</v>
      </c>
      <c r="E5442" s="22" t="s">
        <v>86</v>
      </c>
      <c r="F5442" s="25" t="s">
        <v>781</v>
      </c>
      <c r="G5442" s="146" t="s">
        <v>5841</v>
      </c>
      <c r="H5442" s="147" t="s">
        <v>7829</v>
      </c>
      <c r="I5442" s="148">
        <v>0</v>
      </c>
      <c r="J5442" s="46">
        <v>234971</v>
      </c>
      <c r="K5442" s="46">
        <v>0</v>
      </c>
      <c r="L5442" s="46">
        <v>0</v>
      </c>
      <c r="M5442" s="46">
        <v>0</v>
      </c>
      <c r="N5442" s="46">
        <v>0</v>
      </c>
      <c r="O5442" s="46">
        <v>0</v>
      </c>
      <c r="P5442" s="47">
        <v>8.48</v>
      </c>
      <c r="Q5442" s="149" t="s">
        <v>186</v>
      </c>
    </row>
    <row r="5443" spans="1:17" s="162" customFormat="1" ht="72" x14ac:dyDescent="0.25">
      <c r="A5443" s="23">
        <v>41275</v>
      </c>
      <c r="B5443" s="23">
        <v>41639</v>
      </c>
      <c r="C5443" s="43">
        <v>2013</v>
      </c>
      <c r="D5443" s="351" t="s">
        <v>23</v>
      </c>
      <c r="E5443" s="22" t="s">
        <v>42</v>
      </c>
      <c r="F5443" s="7" t="s">
        <v>45</v>
      </c>
      <c r="G5443" s="44" t="s">
        <v>2109</v>
      </c>
      <c r="H5443" s="44" t="s">
        <v>7830</v>
      </c>
      <c r="I5443" s="27">
        <v>6</v>
      </c>
      <c r="J5443" s="20">
        <v>0</v>
      </c>
      <c r="K5443" s="20">
        <v>0</v>
      </c>
      <c r="L5443" s="20">
        <v>0</v>
      </c>
      <c r="M5443" s="20">
        <v>0</v>
      </c>
      <c r="N5443" s="20">
        <v>0</v>
      </c>
      <c r="O5443" s="20">
        <v>0</v>
      </c>
      <c r="P5443" s="26">
        <v>0</v>
      </c>
      <c r="Q5443" s="45" t="s">
        <v>2218</v>
      </c>
    </row>
    <row r="5444" spans="1:17" s="162" customFormat="1" ht="60" x14ac:dyDescent="0.25">
      <c r="A5444" s="23">
        <v>41276</v>
      </c>
      <c r="B5444" s="23">
        <v>41275</v>
      </c>
      <c r="C5444" s="43">
        <v>2013</v>
      </c>
      <c r="D5444" s="351" t="s">
        <v>23</v>
      </c>
      <c r="E5444" s="22" t="s">
        <v>42</v>
      </c>
      <c r="F5444" s="7" t="s">
        <v>40</v>
      </c>
      <c r="G5444" s="44" t="s">
        <v>2109</v>
      </c>
      <c r="H5444" s="44" t="s">
        <v>7831</v>
      </c>
      <c r="I5444" s="27">
        <v>29</v>
      </c>
      <c r="J5444" s="20">
        <v>0</v>
      </c>
      <c r="K5444" s="20">
        <v>0</v>
      </c>
      <c r="L5444" s="20">
        <v>0</v>
      </c>
      <c r="M5444" s="20">
        <v>0</v>
      </c>
      <c r="N5444" s="20">
        <v>0</v>
      </c>
      <c r="O5444" s="20">
        <v>0</v>
      </c>
      <c r="P5444" s="26">
        <v>0</v>
      </c>
      <c r="Q5444" s="45" t="s">
        <v>2218</v>
      </c>
    </row>
    <row r="5445" spans="1:17" s="162" customFormat="1" ht="24" x14ac:dyDescent="0.25">
      <c r="A5445" s="23">
        <v>41277</v>
      </c>
      <c r="B5445" s="23">
        <v>41276</v>
      </c>
      <c r="C5445" s="43">
        <v>2013</v>
      </c>
      <c r="D5445" s="351" t="s">
        <v>23</v>
      </c>
      <c r="E5445" s="22" t="s">
        <v>42</v>
      </c>
      <c r="F5445" s="7" t="s">
        <v>91</v>
      </c>
      <c r="G5445" s="44" t="s">
        <v>2109</v>
      </c>
      <c r="H5445" s="44" t="s">
        <v>7832</v>
      </c>
      <c r="I5445" s="27">
        <v>1</v>
      </c>
      <c r="J5445" s="20">
        <v>0</v>
      </c>
      <c r="K5445" s="20">
        <v>0</v>
      </c>
      <c r="L5445" s="20">
        <v>0</v>
      </c>
      <c r="M5445" s="20">
        <v>0</v>
      </c>
      <c r="N5445" s="20">
        <v>0</v>
      </c>
      <c r="O5445" s="20">
        <v>0</v>
      </c>
      <c r="P5445" s="26">
        <v>0</v>
      </c>
      <c r="Q5445" s="45" t="s">
        <v>2218</v>
      </c>
    </row>
    <row r="5446" spans="1:17" s="162" customFormat="1" ht="48" x14ac:dyDescent="0.25">
      <c r="A5446" s="23">
        <v>41278</v>
      </c>
      <c r="B5446" s="23">
        <v>41277</v>
      </c>
      <c r="C5446" s="43">
        <v>2013</v>
      </c>
      <c r="D5446" s="351" t="s">
        <v>23</v>
      </c>
      <c r="E5446" s="22" t="s">
        <v>42</v>
      </c>
      <c r="F5446" s="7" t="s">
        <v>30</v>
      </c>
      <c r="G5446" s="44" t="s">
        <v>2109</v>
      </c>
      <c r="H5446" s="44" t="s">
        <v>7833</v>
      </c>
      <c r="I5446" s="27">
        <v>2</v>
      </c>
      <c r="J5446" s="20">
        <v>0</v>
      </c>
      <c r="K5446" s="20">
        <v>0</v>
      </c>
      <c r="L5446" s="20">
        <v>0</v>
      </c>
      <c r="M5446" s="20">
        <v>0</v>
      </c>
      <c r="N5446" s="20">
        <v>0</v>
      </c>
      <c r="O5446" s="20">
        <v>0</v>
      </c>
      <c r="P5446" s="26">
        <v>0</v>
      </c>
      <c r="Q5446" s="45" t="s">
        <v>2218</v>
      </c>
    </row>
    <row r="5447" spans="1:17" s="162" customFormat="1" ht="36" x14ac:dyDescent="0.25">
      <c r="A5447" s="23">
        <v>41280</v>
      </c>
      <c r="B5447" s="23">
        <v>41279</v>
      </c>
      <c r="C5447" s="43">
        <v>2013</v>
      </c>
      <c r="D5447" s="351" t="s">
        <v>23</v>
      </c>
      <c r="E5447" s="22" t="s">
        <v>42</v>
      </c>
      <c r="F5447" s="7" t="s">
        <v>49</v>
      </c>
      <c r="G5447" s="44" t="s">
        <v>2109</v>
      </c>
      <c r="H5447" s="44" t="s">
        <v>7834</v>
      </c>
      <c r="I5447" s="27">
        <v>1</v>
      </c>
      <c r="J5447" s="20">
        <v>0</v>
      </c>
      <c r="K5447" s="20">
        <v>0</v>
      </c>
      <c r="L5447" s="20">
        <v>0</v>
      </c>
      <c r="M5447" s="20">
        <v>0</v>
      </c>
      <c r="N5447" s="20">
        <v>0</v>
      </c>
      <c r="O5447" s="20">
        <v>0</v>
      </c>
      <c r="P5447" s="26">
        <v>0</v>
      </c>
      <c r="Q5447" s="45" t="s">
        <v>2218</v>
      </c>
    </row>
    <row r="5448" spans="1:17" s="162" customFormat="1" ht="36" x14ac:dyDescent="0.25">
      <c r="A5448" s="23">
        <v>41281</v>
      </c>
      <c r="B5448" s="23">
        <v>41280</v>
      </c>
      <c r="C5448" s="43">
        <v>2013</v>
      </c>
      <c r="D5448" s="351" t="s">
        <v>23</v>
      </c>
      <c r="E5448" s="22" t="s">
        <v>42</v>
      </c>
      <c r="F5448" s="7" t="s">
        <v>87</v>
      </c>
      <c r="G5448" s="44" t="s">
        <v>2109</v>
      </c>
      <c r="H5448" s="44" t="s">
        <v>7835</v>
      </c>
      <c r="I5448" s="27">
        <v>15</v>
      </c>
      <c r="J5448" s="20">
        <v>0</v>
      </c>
      <c r="K5448" s="20">
        <v>0</v>
      </c>
      <c r="L5448" s="20">
        <v>0</v>
      </c>
      <c r="M5448" s="20">
        <v>0</v>
      </c>
      <c r="N5448" s="20">
        <v>0</v>
      </c>
      <c r="O5448" s="20">
        <v>0</v>
      </c>
      <c r="P5448" s="26">
        <v>6.78</v>
      </c>
      <c r="Q5448" s="45" t="s">
        <v>2218</v>
      </c>
    </row>
    <row r="5449" spans="1:17" s="162" customFormat="1" ht="36" x14ac:dyDescent="0.25">
      <c r="A5449" s="23">
        <v>41282</v>
      </c>
      <c r="B5449" s="23">
        <v>41281</v>
      </c>
      <c r="C5449" s="43">
        <v>2013</v>
      </c>
      <c r="D5449" s="351" t="s">
        <v>23</v>
      </c>
      <c r="E5449" s="22" t="s">
        <v>42</v>
      </c>
      <c r="F5449" s="7" t="s">
        <v>101</v>
      </c>
      <c r="G5449" s="44" t="s">
        <v>2109</v>
      </c>
      <c r="H5449" s="44" t="s">
        <v>7836</v>
      </c>
      <c r="I5449" s="27">
        <v>6</v>
      </c>
      <c r="J5449" s="20">
        <v>0</v>
      </c>
      <c r="K5449" s="20">
        <v>0</v>
      </c>
      <c r="L5449" s="20">
        <v>0</v>
      </c>
      <c r="M5449" s="20">
        <v>0</v>
      </c>
      <c r="N5449" s="20">
        <v>0</v>
      </c>
      <c r="O5449" s="20">
        <v>0</v>
      </c>
      <c r="P5449" s="26">
        <v>0</v>
      </c>
      <c r="Q5449" s="45" t="s">
        <v>2218</v>
      </c>
    </row>
    <row r="5450" spans="1:17" s="162" customFormat="1" ht="24" x14ac:dyDescent="0.25">
      <c r="A5450" s="23">
        <v>41289</v>
      </c>
      <c r="B5450" s="23">
        <v>41288</v>
      </c>
      <c r="C5450" s="43">
        <v>2013</v>
      </c>
      <c r="D5450" s="351" t="s">
        <v>23</v>
      </c>
      <c r="E5450" s="22" t="s">
        <v>42</v>
      </c>
      <c r="F5450" s="7" t="s">
        <v>75</v>
      </c>
      <c r="G5450" s="44" t="s">
        <v>2109</v>
      </c>
      <c r="H5450" s="44" t="s">
        <v>7837</v>
      </c>
      <c r="I5450" s="27">
        <v>2</v>
      </c>
      <c r="J5450" s="20">
        <v>0</v>
      </c>
      <c r="K5450" s="20">
        <v>0</v>
      </c>
      <c r="L5450" s="20">
        <v>0</v>
      </c>
      <c r="M5450" s="20">
        <v>0</v>
      </c>
      <c r="N5450" s="20">
        <v>0</v>
      </c>
      <c r="O5450" s="20">
        <v>0</v>
      </c>
      <c r="P5450" s="26">
        <v>0</v>
      </c>
      <c r="Q5450" s="45" t="s">
        <v>2218</v>
      </c>
    </row>
    <row r="5451" spans="1:17" s="162" customFormat="1" ht="24" x14ac:dyDescent="0.25">
      <c r="A5451" s="23">
        <v>41292</v>
      </c>
      <c r="B5451" s="23">
        <v>41291</v>
      </c>
      <c r="C5451" s="43">
        <v>2013</v>
      </c>
      <c r="D5451" s="351" t="s">
        <v>23</v>
      </c>
      <c r="E5451" s="22" t="s">
        <v>42</v>
      </c>
      <c r="F5451" s="7" t="s">
        <v>68</v>
      </c>
      <c r="G5451" s="44" t="s">
        <v>2109</v>
      </c>
      <c r="H5451" s="44" t="s">
        <v>7838</v>
      </c>
      <c r="I5451" s="27">
        <v>1</v>
      </c>
      <c r="J5451" s="20">
        <v>0</v>
      </c>
      <c r="K5451" s="20">
        <v>0</v>
      </c>
      <c r="L5451" s="20">
        <v>0</v>
      </c>
      <c r="M5451" s="20">
        <v>0</v>
      </c>
      <c r="N5451" s="20">
        <v>0</v>
      </c>
      <c r="O5451" s="20">
        <v>0</v>
      </c>
      <c r="P5451" s="26">
        <v>0</v>
      </c>
      <c r="Q5451" s="45" t="s">
        <v>2218</v>
      </c>
    </row>
    <row r="5452" spans="1:17" s="162" customFormat="1" ht="24" x14ac:dyDescent="0.25">
      <c r="A5452" s="23">
        <v>41299</v>
      </c>
      <c r="B5452" s="23">
        <v>41298</v>
      </c>
      <c r="C5452" s="43">
        <v>2013</v>
      </c>
      <c r="D5452" s="351" t="s">
        <v>23</v>
      </c>
      <c r="E5452" s="22" t="s">
        <v>42</v>
      </c>
      <c r="F5452" s="28" t="s">
        <v>160</v>
      </c>
      <c r="G5452" s="44" t="s">
        <v>2109</v>
      </c>
      <c r="H5452" s="44" t="s">
        <v>7839</v>
      </c>
      <c r="I5452" s="27">
        <v>1</v>
      </c>
      <c r="J5452" s="20">
        <v>0</v>
      </c>
      <c r="K5452" s="20">
        <v>0</v>
      </c>
      <c r="L5452" s="20">
        <v>0</v>
      </c>
      <c r="M5452" s="20">
        <v>0</v>
      </c>
      <c r="N5452" s="20">
        <v>0</v>
      </c>
      <c r="O5452" s="20">
        <v>0</v>
      </c>
      <c r="P5452" s="26">
        <v>0</v>
      </c>
      <c r="Q5452" s="45" t="s">
        <v>2218</v>
      </c>
    </row>
    <row r="5453" spans="1:17" s="162" customFormat="1" ht="24" x14ac:dyDescent="0.25">
      <c r="A5453" s="23">
        <v>41275</v>
      </c>
      <c r="B5453" s="23">
        <v>41639</v>
      </c>
      <c r="C5453" s="43">
        <v>2013</v>
      </c>
      <c r="D5453" s="351" t="s">
        <v>23</v>
      </c>
      <c r="E5453" s="28" t="s">
        <v>327</v>
      </c>
      <c r="F5453" s="7" t="s">
        <v>82</v>
      </c>
      <c r="G5453" s="44" t="s">
        <v>2109</v>
      </c>
      <c r="H5453" s="44" t="s">
        <v>7840</v>
      </c>
      <c r="I5453" s="50">
        <v>1</v>
      </c>
      <c r="J5453" s="31">
        <v>0</v>
      </c>
      <c r="K5453" s="31">
        <v>0</v>
      </c>
      <c r="L5453" s="31">
        <v>0</v>
      </c>
      <c r="M5453" s="31">
        <v>0</v>
      </c>
      <c r="N5453" s="31">
        <v>0</v>
      </c>
      <c r="O5453" s="31">
        <v>0</v>
      </c>
      <c r="P5453" s="32">
        <v>0</v>
      </c>
      <c r="Q5453" s="45" t="s">
        <v>2218</v>
      </c>
    </row>
    <row r="5454" spans="1:17" s="162" customFormat="1" ht="24" x14ac:dyDescent="0.25">
      <c r="A5454" s="23">
        <v>41276</v>
      </c>
      <c r="B5454" s="23">
        <v>41275</v>
      </c>
      <c r="C5454" s="43">
        <v>2013</v>
      </c>
      <c r="D5454" s="351" t="s">
        <v>23</v>
      </c>
      <c r="E5454" s="28" t="s">
        <v>327</v>
      </c>
      <c r="F5454" s="7" t="s">
        <v>91</v>
      </c>
      <c r="G5454" s="44" t="s">
        <v>2109</v>
      </c>
      <c r="H5454" s="44" t="s">
        <v>7840</v>
      </c>
      <c r="I5454" s="50">
        <v>1</v>
      </c>
      <c r="J5454" s="31">
        <v>0</v>
      </c>
      <c r="K5454" s="31">
        <v>0</v>
      </c>
      <c r="L5454" s="31">
        <v>0</v>
      </c>
      <c r="M5454" s="31">
        <v>0</v>
      </c>
      <c r="N5454" s="31">
        <v>0</v>
      </c>
      <c r="O5454" s="31">
        <v>0</v>
      </c>
      <c r="P5454" s="32">
        <v>0</v>
      </c>
      <c r="Q5454" s="45" t="s">
        <v>2218</v>
      </c>
    </row>
    <row r="5455" spans="1:17" s="162" customFormat="1" ht="24" x14ac:dyDescent="0.25">
      <c r="A5455" s="23">
        <v>41277</v>
      </c>
      <c r="B5455" s="23">
        <v>41276</v>
      </c>
      <c r="C5455" s="43">
        <v>2013</v>
      </c>
      <c r="D5455" s="351" t="s">
        <v>23</v>
      </c>
      <c r="E5455" s="28" t="s">
        <v>327</v>
      </c>
      <c r="F5455" s="7" t="s">
        <v>87</v>
      </c>
      <c r="G5455" s="44" t="s">
        <v>2109</v>
      </c>
      <c r="H5455" s="44" t="s">
        <v>7841</v>
      </c>
      <c r="I5455" s="50">
        <v>3</v>
      </c>
      <c r="J5455" s="31">
        <v>0</v>
      </c>
      <c r="K5455" s="31">
        <v>0</v>
      </c>
      <c r="L5455" s="31">
        <v>0</v>
      </c>
      <c r="M5455" s="31">
        <v>0</v>
      </c>
      <c r="N5455" s="31">
        <v>0</v>
      </c>
      <c r="O5455" s="31">
        <v>0</v>
      </c>
      <c r="P5455" s="32">
        <v>0</v>
      </c>
      <c r="Q5455" s="45" t="s">
        <v>2218</v>
      </c>
    </row>
    <row r="5456" spans="1:17" s="162" customFormat="1" ht="24" x14ac:dyDescent="0.25">
      <c r="A5456" s="23">
        <v>41278</v>
      </c>
      <c r="B5456" s="23">
        <v>41277</v>
      </c>
      <c r="C5456" s="43">
        <v>2013</v>
      </c>
      <c r="D5456" s="351" t="s">
        <v>23</v>
      </c>
      <c r="E5456" s="28" t="s">
        <v>327</v>
      </c>
      <c r="F5456" s="7" t="s">
        <v>30</v>
      </c>
      <c r="G5456" s="44" t="s">
        <v>2109</v>
      </c>
      <c r="H5456" s="44" t="s">
        <v>7842</v>
      </c>
      <c r="I5456" s="50">
        <v>2</v>
      </c>
      <c r="J5456" s="31">
        <v>0</v>
      </c>
      <c r="K5456" s="31">
        <v>0</v>
      </c>
      <c r="L5456" s="31">
        <v>0</v>
      </c>
      <c r="M5456" s="31">
        <v>0</v>
      </c>
      <c r="N5456" s="31">
        <v>0</v>
      </c>
      <c r="O5456" s="31">
        <v>0</v>
      </c>
      <c r="P5456" s="32">
        <v>0</v>
      </c>
      <c r="Q5456" s="45" t="s">
        <v>2218</v>
      </c>
    </row>
    <row r="5457" spans="1:17" s="162" customFormat="1" ht="24" x14ac:dyDescent="0.25">
      <c r="A5457" s="23">
        <v>41282</v>
      </c>
      <c r="B5457" s="23">
        <v>41281</v>
      </c>
      <c r="C5457" s="43">
        <v>2013</v>
      </c>
      <c r="D5457" s="351" t="s">
        <v>23</v>
      </c>
      <c r="E5457" s="28" t="s">
        <v>327</v>
      </c>
      <c r="F5457" s="28" t="s">
        <v>151</v>
      </c>
      <c r="G5457" s="44" t="s">
        <v>2109</v>
      </c>
      <c r="H5457" s="44" t="s">
        <v>7840</v>
      </c>
      <c r="I5457" s="50">
        <v>1</v>
      </c>
      <c r="J5457" s="31">
        <v>0</v>
      </c>
      <c r="K5457" s="31">
        <v>0</v>
      </c>
      <c r="L5457" s="31">
        <v>0</v>
      </c>
      <c r="M5457" s="31">
        <v>0</v>
      </c>
      <c r="N5457" s="31">
        <v>0</v>
      </c>
      <c r="O5457" s="31">
        <v>0</v>
      </c>
      <c r="P5457" s="32">
        <v>0</v>
      </c>
      <c r="Q5457" s="45" t="s">
        <v>2218</v>
      </c>
    </row>
    <row r="5458" spans="1:17" s="162" customFormat="1" ht="36" x14ac:dyDescent="0.25">
      <c r="A5458" s="48">
        <v>41275</v>
      </c>
      <c r="B5458" s="48">
        <v>41639</v>
      </c>
      <c r="C5458" s="43">
        <v>2013</v>
      </c>
      <c r="D5458" s="35" t="s">
        <v>28</v>
      </c>
      <c r="E5458" s="14" t="s">
        <v>29</v>
      </c>
      <c r="F5458" s="7" t="s">
        <v>25</v>
      </c>
      <c r="G5458" s="177" t="s">
        <v>26</v>
      </c>
      <c r="H5458" s="33" t="s">
        <v>7843</v>
      </c>
      <c r="I5458" s="50">
        <v>0</v>
      </c>
      <c r="J5458" s="31">
        <v>0</v>
      </c>
      <c r="K5458" s="31">
        <v>0</v>
      </c>
      <c r="L5458" s="31">
        <v>0</v>
      </c>
      <c r="M5458" s="31">
        <v>0</v>
      </c>
      <c r="N5458" s="31">
        <v>0</v>
      </c>
      <c r="O5458" s="31">
        <v>902</v>
      </c>
      <c r="P5458" s="32">
        <f t="shared" ref="P5458:P5489" si="16">O5458*10000/1000000</f>
        <v>9.02</v>
      </c>
      <c r="Q5458" s="50" t="s">
        <v>3556</v>
      </c>
    </row>
    <row r="5459" spans="1:17" s="162" customFormat="1" ht="36" x14ac:dyDescent="0.25">
      <c r="A5459" s="48">
        <v>41626</v>
      </c>
      <c r="B5459" s="48">
        <v>41626</v>
      </c>
      <c r="C5459" s="43">
        <v>2013</v>
      </c>
      <c r="D5459" s="35" t="s">
        <v>28</v>
      </c>
      <c r="E5459" s="14" t="s">
        <v>29</v>
      </c>
      <c r="F5459" s="7" t="s">
        <v>30</v>
      </c>
      <c r="G5459" s="177" t="s">
        <v>26</v>
      </c>
      <c r="H5459" s="33" t="s">
        <v>7844</v>
      </c>
      <c r="I5459" s="50">
        <v>0</v>
      </c>
      <c r="J5459" s="31">
        <v>0</v>
      </c>
      <c r="K5459" s="31">
        <v>0</v>
      </c>
      <c r="L5459" s="31">
        <v>0</v>
      </c>
      <c r="M5459" s="31">
        <v>0</v>
      </c>
      <c r="N5459" s="31">
        <v>0</v>
      </c>
      <c r="O5459" s="31">
        <v>18888.669999999998</v>
      </c>
      <c r="P5459" s="32">
        <f t="shared" si="16"/>
        <v>188.88669999999996</v>
      </c>
      <c r="Q5459" s="50" t="s">
        <v>3556</v>
      </c>
    </row>
    <row r="5460" spans="1:17" s="162" customFormat="1" ht="36" x14ac:dyDescent="0.25">
      <c r="A5460" s="48">
        <v>41626</v>
      </c>
      <c r="B5460" s="48">
        <v>41626</v>
      </c>
      <c r="C5460" s="43">
        <v>2013</v>
      </c>
      <c r="D5460" s="35" t="s">
        <v>28</v>
      </c>
      <c r="E5460" s="14" t="s">
        <v>29</v>
      </c>
      <c r="F5460" s="7" t="s">
        <v>33</v>
      </c>
      <c r="G5460" s="177" t="s">
        <v>26</v>
      </c>
      <c r="H5460" s="33" t="s">
        <v>7845</v>
      </c>
      <c r="I5460" s="50">
        <v>0</v>
      </c>
      <c r="J5460" s="31">
        <v>0</v>
      </c>
      <c r="K5460" s="31">
        <v>0</v>
      </c>
      <c r="L5460" s="31">
        <v>0</v>
      </c>
      <c r="M5460" s="31">
        <v>0</v>
      </c>
      <c r="N5460" s="31">
        <v>0</v>
      </c>
      <c r="O5460" s="31">
        <v>18740.64</v>
      </c>
      <c r="P5460" s="32">
        <f t="shared" si="16"/>
        <v>187.40639999999999</v>
      </c>
      <c r="Q5460" s="50" t="s">
        <v>3556</v>
      </c>
    </row>
    <row r="5461" spans="1:17" s="162" customFormat="1" ht="36" x14ac:dyDescent="0.25">
      <c r="A5461" s="48">
        <v>41626</v>
      </c>
      <c r="B5461" s="48">
        <v>41626</v>
      </c>
      <c r="C5461" s="43">
        <v>2013</v>
      </c>
      <c r="D5461" s="35" t="s">
        <v>28</v>
      </c>
      <c r="E5461" s="14" t="s">
        <v>29</v>
      </c>
      <c r="F5461" s="28" t="s">
        <v>151</v>
      </c>
      <c r="G5461" s="177" t="s">
        <v>26</v>
      </c>
      <c r="H5461" s="33" t="s">
        <v>7846</v>
      </c>
      <c r="I5461" s="50">
        <v>0</v>
      </c>
      <c r="J5461" s="31">
        <v>0</v>
      </c>
      <c r="K5461" s="31">
        <v>0</v>
      </c>
      <c r="L5461" s="31">
        <v>0</v>
      </c>
      <c r="M5461" s="31">
        <v>0</v>
      </c>
      <c r="N5461" s="31">
        <v>0</v>
      </c>
      <c r="O5461" s="31">
        <v>4606</v>
      </c>
      <c r="P5461" s="32">
        <f t="shared" si="16"/>
        <v>46.06</v>
      </c>
      <c r="Q5461" s="50" t="s">
        <v>3556</v>
      </c>
    </row>
    <row r="5462" spans="1:17" s="162" customFormat="1" ht="36" x14ac:dyDescent="0.25">
      <c r="A5462" s="48">
        <v>41626</v>
      </c>
      <c r="B5462" s="48">
        <v>41626</v>
      </c>
      <c r="C5462" s="43">
        <v>2013</v>
      </c>
      <c r="D5462" s="35" t="s">
        <v>28</v>
      </c>
      <c r="E5462" s="14" t="s">
        <v>29</v>
      </c>
      <c r="F5462" s="7" t="s">
        <v>45</v>
      </c>
      <c r="G5462" s="177" t="s">
        <v>26</v>
      </c>
      <c r="H5462" s="33" t="s">
        <v>7847</v>
      </c>
      <c r="I5462" s="50">
        <v>0</v>
      </c>
      <c r="J5462" s="31">
        <v>0</v>
      </c>
      <c r="K5462" s="31">
        <v>0</v>
      </c>
      <c r="L5462" s="31">
        <v>0</v>
      </c>
      <c r="M5462" s="31">
        <v>0</v>
      </c>
      <c r="N5462" s="31">
        <v>0</v>
      </c>
      <c r="O5462" s="31">
        <v>163.80000000000001</v>
      </c>
      <c r="P5462" s="32">
        <f t="shared" si="16"/>
        <v>1.6379999999999999</v>
      </c>
      <c r="Q5462" s="50" t="s">
        <v>3556</v>
      </c>
    </row>
    <row r="5463" spans="1:17" s="162" customFormat="1" ht="36" x14ac:dyDescent="0.25">
      <c r="A5463" s="48">
        <v>41626</v>
      </c>
      <c r="B5463" s="48">
        <v>41626</v>
      </c>
      <c r="C5463" s="43">
        <v>2013</v>
      </c>
      <c r="D5463" s="35" t="s">
        <v>28</v>
      </c>
      <c r="E5463" s="14" t="s">
        <v>29</v>
      </c>
      <c r="F5463" s="7" t="s">
        <v>47</v>
      </c>
      <c r="G5463" s="177" t="s">
        <v>26</v>
      </c>
      <c r="H5463" s="33" t="s">
        <v>7848</v>
      </c>
      <c r="I5463" s="50">
        <v>0</v>
      </c>
      <c r="J5463" s="31">
        <v>0</v>
      </c>
      <c r="K5463" s="31">
        <v>0</v>
      </c>
      <c r="L5463" s="31">
        <v>0</v>
      </c>
      <c r="M5463" s="31">
        <v>0</v>
      </c>
      <c r="N5463" s="31">
        <v>0</v>
      </c>
      <c r="O5463" s="31">
        <v>2387.77</v>
      </c>
      <c r="P5463" s="32">
        <f t="shared" si="16"/>
        <v>23.877700000000001</v>
      </c>
      <c r="Q5463" s="50" t="s">
        <v>3556</v>
      </c>
    </row>
    <row r="5464" spans="1:17" s="162" customFormat="1" ht="36" x14ac:dyDescent="0.25">
      <c r="A5464" s="48">
        <v>41626</v>
      </c>
      <c r="B5464" s="48">
        <v>41626</v>
      </c>
      <c r="C5464" s="43">
        <v>2013</v>
      </c>
      <c r="D5464" s="35" t="s">
        <v>28</v>
      </c>
      <c r="E5464" s="14" t="s">
        <v>29</v>
      </c>
      <c r="F5464" s="7" t="s">
        <v>36</v>
      </c>
      <c r="G5464" s="177" t="s">
        <v>26</v>
      </c>
      <c r="H5464" s="33" t="s">
        <v>7849</v>
      </c>
      <c r="I5464" s="50">
        <v>0</v>
      </c>
      <c r="J5464" s="31">
        <v>786</v>
      </c>
      <c r="K5464" s="31">
        <v>14</v>
      </c>
      <c r="L5464" s="31">
        <v>0</v>
      </c>
      <c r="M5464" s="31">
        <v>0</v>
      </c>
      <c r="N5464" s="31">
        <v>0</v>
      </c>
      <c r="O5464" s="31">
        <v>20322.810000000001</v>
      </c>
      <c r="P5464" s="32">
        <f t="shared" si="16"/>
        <v>203.22810000000001</v>
      </c>
      <c r="Q5464" s="50" t="s">
        <v>3556</v>
      </c>
    </row>
    <row r="5465" spans="1:17" s="162" customFormat="1" ht="36" x14ac:dyDescent="0.25">
      <c r="A5465" s="48">
        <v>41626</v>
      </c>
      <c r="B5465" s="48">
        <v>41626</v>
      </c>
      <c r="C5465" s="43">
        <v>2013</v>
      </c>
      <c r="D5465" s="35" t="s">
        <v>28</v>
      </c>
      <c r="E5465" s="14" t="s">
        <v>29</v>
      </c>
      <c r="F5465" s="7" t="s">
        <v>40</v>
      </c>
      <c r="G5465" s="177" t="s">
        <v>26</v>
      </c>
      <c r="H5465" s="33" t="s">
        <v>7850</v>
      </c>
      <c r="I5465" s="50">
        <v>0</v>
      </c>
      <c r="J5465" s="31">
        <v>0</v>
      </c>
      <c r="K5465" s="31">
        <v>0</v>
      </c>
      <c r="L5465" s="31">
        <v>0</v>
      </c>
      <c r="M5465" s="31">
        <v>0</v>
      </c>
      <c r="N5465" s="31">
        <v>0</v>
      </c>
      <c r="O5465" s="31">
        <v>30554.12</v>
      </c>
      <c r="P5465" s="32">
        <f t="shared" si="16"/>
        <v>305.5412</v>
      </c>
      <c r="Q5465" s="50" t="s">
        <v>3556</v>
      </c>
    </row>
    <row r="5466" spans="1:17" s="162" customFormat="1" ht="36" x14ac:dyDescent="0.25">
      <c r="A5466" s="48">
        <v>41626</v>
      </c>
      <c r="B5466" s="48">
        <v>41626</v>
      </c>
      <c r="C5466" s="43">
        <v>2013</v>
      </c>
      <c r="D5466" s="35" t="s">
        <v>28</v>
      </c>
      <c r="E5466" s="14" t="s">
        <v>29</v>
      </c>
      <c r="F5466" s="28" t="s">
        <v>157</v>
      </c>
      <c r="G5466" s="177" t="s">
        <v>26</v>
      </c>
      <c r="H5466" s="33" t="s">
        <v>7851</v>
      </c>
      <c r="I5466" s="50">
        <v>0</v>
      </c>
      <c r="J5466" s="31">
        <v>0</v>
      </c>
      <c r="K5466" s="31">
        <v>0</v>
      </c>
      <c r="L5466" s="31">
        <v>0</v>
      </c>
      <c r="M5466" s="31">
        <v>0</v>
      </c>
      <c r="N5466" s="31">
        <v>0</v>
      </c>
      <c r="O5466" s="31">
        <v>2779.78</v>
      </c>
      <c r="P5466" s="32">
        <f t="shared" si="16"/>
        <v>27.797800000000002</v>
      </c>
      <c r="Q5466" s="50" t="s">
        <v>3556</v>
      </c>
    </row>
    <row r="5467" spans="1:17" s="162" customFormat="1" ht="36" x14ac:dyDescent="0.25">
      <c r="A5467" s="48">
        <v>41626</v>
      </c>
      <c r="B5467" s="48">
        <v>41626</v>
      </c>
      <c r="C5467" s="43">
        <v>2013</v>
      </c>
      <c r="D5467" s="35" t="s">
        <v>28</v>
      </c>
      <c r="E5467" s="14" t="s">
        <v>29</v>
      </c>
      <c r="F5467" s="7" t="s">
        <v>49</v>
      </c>
      <c r="G5467" s="177" t="s">
        <v>26</v>
      </c>
      <c r="H5467" s="33" t="s">
        <v>7852</v>
      </c>
      <c r="I5467" s="50">
        <v>0</v>
      </c>
      <c r="J5467" s="31">
        <v>0</v>
      </c>
      <c r="K5467" s="31">
        <v>0</v>
      </c>
      <c r="L5467" s="31">
        <v>0</v>
      </c>
      <c r="M5467" s="31">
        <v>0</v>
      </c>
      <c r="N5467" s="31">
        <v>0</v>
      </c>
      <c r="O5467" s="31">
        <v>19760.599999999999</v>
      </c>
      <c r="P5467" s="32">
        <f t="shared" si="16"/>
        <v>197.60599999999999</v>
      </c>
      <c r="Q5467" s="50" t="s">
        <v>3556</v>
      </c>
    </row>
    <row r="5468" spans="1:17" s="162" customFormat="1" ht="36" x14ac:dyDescent="0.25">
      <c r="A5468" s="48">
        <v>41626</v>
      </c>
      <c r="B5468" s="48">
        <v>41626</v>
      </c>
      <c r="C5468" s="43">
        <v>2013</v>
      </c>
      <c r="D5468" s="35" t="s">
        <v>28</v>
      </c>
      <c r="E5468" s="14" t="s">
        <v>29</v>
      </c>
      <c r="F5468" s="7" t="s">
        <v>56</v>
      </c>
      <c r="G5468" s="177" t="s">
        <v>26</v>
      </c>
      <c r="H5468" s="33" t="s">
        <v>7853</v>
      </c>
      <c r="I5468" s="50">
        <v>0</v>
      </c>
      <c r="J5468" s="31">
        <v>0</v>
      </c>
      <c r="K5468" s="31">
        <v>0</v>
      </c>
      <c r="L5468" s="31">
        <v>0</v>
      </c>
      <c r="M5468" s="31">
        <v>0</v>
      </c>
      <c r="N5468" s="31">
        <v>0</v>
      </c>
      <c r="O5468" s="31">
        <v>3876.99</v>
      </c>
      <c r="P5468" s="32">
        <f t="shared" si="16"/>
        <v>38.7699</v>
      </c>
      <c r="Q5468" s="50" t="s">
        <v>3556</v>
      </c>
    </row>
    <row r="5469" spans="1:17" s="162" customFormat="1" ht="36" x14ac:dyDescent="0.25">
      <c r="A5469" s="48">
        <v>41626</v>
      </c>
      <c r="B5469" s="48">
        <v>41626</v>
      </c>
      <c r="C5469" s="43">
        <v>2013</v>
      </c>
      <c r="D5469" s="35" t="s">
        <v>28</v>
      </c>
      <c r="E5469" s="14" t="s">
        <v>29</v>
      </c>
      <c r="F5469" s="7" t="s">
        <v>58</v>
      </c>
      <c r="G5469" s="177" t="s">
        <v>26</v>
      </c>
      <c r="H5469" s="33" t="s">
        <v>7854</v>
      </c>
      <c r="I5469" s="50">
        <v>0</v>
      </c>
      <c r="J5469" s="31">
        <v>0</v>
      </c>
      <c r="K5469" s="31">
        <v>0</v>
      </c>
      <c r="L5469" s="31">
        <v>0</v>
      </c>
      <c r="M5469" s="31">
        <v>0</v>
      </c>
      <c r="N5469" s="31">
        <v>0</v>
      </c>
      <c r="O5469" s="31">
        <v>26621.86</v>
      </c>
      <c r="P5469" s="32">
        <f t="shared" si="16"/>
        <v>266.21859999999998</v>
      </c>
      <c r="Q5469" s="50" t="s">
        <v>3556</v>
      </c>
    </row>
    <row r="5470" spans="1:17" s="162" customFormat="1" ht="36" x14ac:dyDescent="0.25">
      <c r="A5470" s="48">
        <v>41626</v>
      </c>
      <c r="B5470" s="48">
        <v>41626</v>
      </c>
      <c r="C5470" s="43">
        <v>2013</v>
      </c>
      <c r="D5470" s="35" t="s">
        <v>28</v>
      </c>
      <c r="E5470" s="14" t="s">
        <v>29</v>
      </c>
      <c r="F5470" s="28" t="s">
        <v>160</v>
      </c>
      <c r="G5470" s="177" t="s">
        <v>26</v>
      </c>
      <c r="H5470" s="33" t="s">
        <v>7855</v>
      </c>
      <c r="I5470" s="50">
        <v>0</v>
      </c>
      <c r="J5470" s="31">
        <v>462</v>
      </c>
      <c r="K5470" s="31">
        <v>0</v>
      </c>
      <c r="L5470" s="31">
        <v>0</v>
      </c>
      <c r="M5470" s="31">
        <v>0</v>
      </c>
      <c r="N5470" s="31">
        <v>0</v>
      </c>
      <c r="O5470" s="31">
        <v>5237.6099999999997</v>
      </c>
      <c r="P5470" s="32">
        <f t="shared" si="16"/>
        <v>52.376100000000001</v>
      </c>
      <c r="Q5470" s="50" t="s">
        <v>3556</v>
      </c>
    </row>
    <row r="5471" spans="1:17" s="162" customFormat="1" ht="36" x14ac:dyDescent="0.25">
      <c r="A5471" s="48">
        <v>41626</v>
      </c>
      <c r="B5471" s="48">
        <v>41626</v>
      </c>
      <c r="C5471" s="43">
        <v>2013</v>
      </c>
      <c r="D5471" s="35" t="s">
        <v>28</v>
      </c>
      <c r="E5471" s="14" t="s">
        <v>29</v>
      </c>
      <c r="F5471" s="7" t="s">
        <v>60</v>
      </c>
      <c r="G5471" s="177" t="s">
        <v>26</v>
      </c>
      <c r="H5471" s="33" t="s">
        <v>7856</v>
      </c>
      <c r="I5471" s="50">
        <v>0</v>
      </c>
      <c r="J5471" s="31">
        <v>0</v>
      </c>
      <c r="K5471" s="31">
        <v>0</v>
      </c>
      <c r="L5471" s="31">
        <v>0</v>
      </c>
      <c r="M5471" s="31">
        <v>0</v>
      </c>
      <c r="N5471" s="31">
        <v>0</v>
      </c>
      <c r="O5471" s="31">
        <v>48331</v>
      </c>
      <c r="P5471" s="32">
        <f t="shared" si="16"/>
        <v>483.31</v>
      </c>
      <c r="Q5471" s="50" t="s">
        <v>3556</v>
      </c>
    </row>
    <row r="5472" spans="1:17" s="162" customFormat="1" ht="36" x14ac:dyDescent="0.25">
      <c r="A5472" s="48">
        <v>41626</v>
      </c>
      <c r="B5472" s="48">
        <v>41626</v>
      </c>
      <c r="C5472" s="43">
        <v>2013</v>
      </c>
      <c r="D5472" s="35" t="s">
        <v>28</v>
      </c>
      <c r="E5472" s="14" t="s">
        <v>29</v>
      </c>
      <c r="F5472" s="7" t="s">
        <v>53</v>
      </c>
      <c r="G5472" s="177" t="s">
        <v>26</v>
      </c>
      <c r="H5472" s="33" t="s">
        <v>7857</v>
      </c>
      <c r="I5472" s="50">
        <v>0</v>
      </c>
      <c r="J5472" s="31">
        <v>0</v>
      </c>
      <c r="K5472" s="31">
        <v>0</v>
      </c>
      <c r="L5472" s="31">
        <v>0</v>
      </c>
      <c r="M5472" s="31">
        <v>0</v>
      </c>
      <c r="N5472" s="31">
        <v>0</v>
      </c>
      <c r="O5472" s="31">
        <v>9789.93</v>
      </c>
      <c r="P5472" s="32">
        <f t="shared" si="16"/>
        <v>97.899299999999997</v>
      </c>
      <c r="Q5472" s="50" t="s">
        <v>3556</v>
      </c>
    </row>
    <row r="5473" spans="1:17" s="162" customFormat="1" ht="36" x14ac:dyDescent="0.25">
      <c r="A5473" s="48">
        <v>41626</v>
      </c>
      <c r="B5473" s="48">
        <v>41626</v>
      </c>
      <c r="C5473" s="43">
        <v>2013</v>
      </c>
      <c r="D5473" s="35" t="s">
        <v>28</v>
      </c>
      <c r="E5473" s="14" t="s">
        <v>29</v>
      </c>
      <c r="F5473" s="7" t="s">
        <v>62</v>
      </c>
      <c r="G5473" s="177" t="s">
        <v>26</v>
      </c>
      <c r="H5473" s="33" t="s">
        <v>7858</v>
      </c>
      <c r="I5473" s="50">
        <v>3</v>
      </c>
      <c r="J5473" s="31">
        <v>3</v>
      </c>
      <c r="K5473" s="31">
        <v>0</v>
      </c>
      <c r="L5473" s="31">
        <v>0</v>
      </c>
      <c r="M5473" s="31">
        <v>0</v>
      </c>
      <c r="N5473" s="31">
        <v>0</v>
      </c>
      <c r="O5473" s="31">
        <v>16210.21</v>
      </c>
      <c r="P5473" s="32">
        <f t="shared" si="16"/>
        <v>162.10210000000001</v>
      </c>
      <c r="Q5473" s="50" t="s">
        <v>3556</v>
      </c>
    </row>
    <row r="5474" spans="1:17" s="162" customFormat="1" ht="36" x14ac:dyDescent="0.25">
      <c r="A5474" s="48">
        <v>41626</v>
      </c>
      <c r="B5474" s="48">
        <v>41626</v>
      </c>
      <c r="C5474" s="43">
        <v>2013</v>
      </c>
      <c r="D5474" s="35" t="s">
        <v>28</v>
      </c>
      <c r="E5474" s="14" t="s">
        <v>29</v>
      </c>
      <c r="F5474" s="7" t="s">
        <v>65</v>
      </c>
      <c r="G5474" s="177" t="s">
        <v>26</v>
      </c>
      <c r="H5474" s="33" t="s">
        <v>7859</v>
      </c>
      <c r="I5474" s="50">
        <v>0</v>
      </c>
      <c r="J5474" s="31">
        <v>0</v>
      </c>
      <c r="K5474" s="31">
        <v>0</v>
      </c>
      <c r="L5474" s="31">
        <v>0</v>
      </c>
      <c r="M5474" s="31">
        <v>0</v>
      </c>
      <c r="N5474" s="31">
        <v>0</v>
      </c>
      <c r="O5474" s="31">
        <v>4286.88</v>
      </c>
      <c r="P5474" s="32">
        <f t="shared" si="16"/>
        <v>42.8688</v>
      </c>
      <c r="Q5474" s="50" t="s">
        <v>3556</v>
      </c>
    </row>
    <row r="5475" spans="1:17" s="162" customFormat="1" ht="36" x14ac:dyDescent="0.25">
      <c r="A5475" s="48">
        <v>41626</v>
      </c>
      <c r="B5475" s="48">
        <v>41626</v>
      </c>
      <c r="C5475" s="43">
        <v>2013</v>
      </c>
      <c r="D5475" s="35" t="s">
        <v>28</v>
      </c>
      <c r="E5475" s="14" t="s">
        <v>29</v>
      </c>
      <c r="F5475" s="7" t="s">
        <v>67</v>
      </c>
      <c r="G5475" s="177" t="s">
        <v>26</v>
      </c>
      <c r="H5475" s="33" t="s">
        <v>7860</v>
      </c>
      <c r="I5475" s="50">
        <v>0</v>
      </c>
      <c r="J5475" s="31">
        <v>0</v>
      </c>
      <c r="K5475" s="31">
        <v>0</v>
      </c>
      <c r="L5475" s="31">
        <v>0</v>
      </c>
      <c r="M5475" s="31">
        <v>0</v>
      </c>
      <c r="N5475" s="31">
        <v>0</v>
      </c>
      <c r="O5475" s="31">
        <v>5478</v>
      </c>
      <c r="P5475" s="32">
        <f t="shared" si="16"/>
        <v>54.78</v>
      </c>
      <c r="Q5475" s="50" t="s">
        <v>3556</v>
      </c>
    </row>
    <row r="5476" spans="1:17" s="162" customFormat="1" ht="36" x14ac:dyDescent="0.25">
      <c r="A5476" s="48">
        <v>41626</v>
      </c>
      <c r="B5476" s="48">
        <v>41626</v>
      </c>
      <c r="C5476" s="43">
        <v>2013</v>
      </c>
      <c r="D5476" s="35" t="s">
        <v>28</v>
      </c>
      <c r="E5476" s="14" t="s">
        <v>29</v>
      </c>
      <c r="F5476" s="7" t="s">
        <v>68</v>
      </c>
      <c r="G5476" s="177" t="s">
        <v>26</v>
      </c>
      <c r="H5476" s="33" t="s">
        <v>7861</v>
      </c>
      <c r="I5476" s="50">
        <v>0</v>
      </c>
      <c r="J5476" s="31">
        <v>0</v>
      </c>
      <c r="K5476" s="31">
        <v>0</v>
      </c>
      <c r="L5476" s="31">
        <v>0</v>
      </c>
      <c r="M5476" s="31">
        <v>0</v>
      </c>
      <c r="N5476" s="31">
        <v>0</v>
      </c>
      <c r="O5476" s="31">
        <v>583.05999999999995</v>
      </c>
      <c r="P5476" s="32">
        <f t="shared" si="16"/>
        <v>5.8305999999999987</v>
      </c>
      <c r="Q5476" s="50" t="s">
        <v>3556</v>
      </c>
    </row>
    <row r="5477" spans="1:17" s="162" customFormat="1" ht="36" x14ac:dyDescent="0.25">
      <c r="A5477" s="48">
        <v>41626</v>
      </c>
      <c r="B5477" s="48">
        <v>41626</v>
      </c>
      <c r="C5477" s="43">
        <v>2013</v>
      </c>
      <c r="D5477" s="35" t="s">
        <v>28</v>
      </c>
      <c r="E5477" s="14" t="s">
        <v>29</v>
      </c>
      <c r="F5477" s="7" t="s">
        <v>72</v>
      </c>
      <c r="G5477" s="177" t="s">
        <v>26</v>
      </c>
      <c r="H5477" s="33" t="s">
        <v>7862</v>
      </c>
      <c r="I5477" s="50">
        <v>0</v>
      </c>
      <c r="J5477" s="31">
        <v>0</v>
      </c>
      <c r="K5477" s="31">
        <v>0</v>
      </c>
      <c r="L5477" s="31">
        <v>0</v>
      </c>
      <c r="M5477" s="31">
        <v>0</v>
      </c>
      <c r="N5477" s="31">
        <v>0</v>
      </c>
      <c r="O5477" s="31">
        <v>31245.43</v>
      </c>
      <c r="P5477" s="32">
        <f t="shared" si="16"/>
        <v>312.45429999999999</v>
      </c>
      <c r="Q5477" s="50" t="s">
        <v>3556</v>
      </c>
    </row>
    <row r="5478" spans="1:17" s="162" customFormat="1" ht="36" x14ac:dyDescent="0.25">
      <c r="A5478" s="48">
        <v>41626</v>
      </c>
      <c r="B5478" s="48">
        <v>41626</v>
      </c>
      <c r="C5478" s="43">
        <v>2013</v>
      </c>
      <c r="D5478" s="35" t="s">
        <v>28</v>
      </c>
      <c r="E5478" s="14" t="s">
        <v>29</v>
      </c>
      <c r="F5478" s="7" t="s">
        <v>75</v>
      </c>
      <c r="G5478" s="177" t="s">
        <v>26</v>
      </c>
      <c r="H5478" s="33" t="s">
        <v>7863</v>
      </c>
      <c r="I5478" s="50">
        <v>1</v>
      </c>
      <c r="J5478" s="31">
        <v>2</v>
      </c>
      <c r="K5478" s="31">
        <v>0</v>
      </c>
      <c r="L5478" s="31">
        <v>0</v>
      </c>
      <c r="M5478" s="31">
        <v>0</v>
      </c>
      <c r="N5478" s="31">
        <v>0</v>
      </c>
      <c r="O5478" s="31">
        <v>9047.2099999999991</v>
      </c>
      <c r="P5478" s="32">
        <f t="shared" si="16"/>
        <v>90.472099999999983</v>
      </c>
      <c r="Q5478" s="50" t="s">
        <v>3556</v>
      </c>
    </row>
    <row r="5479" spans="1:17" s="162" customFormat="1" ht="36" x14ac:dyDescent="0.25">
      <c r="A5479" s="48">
        <v>41626</v>
      </c>
      <c r="B5479" s="48">
        <v>41626</v>
      </c>
      <c r="C5479" s="43">
        <v>2013</v>
      </c>
      <c r="D5479" s="35" t="s">
        <v>28</v>
      </c>
      <c r="E5479" s="14" t="s">
        <v>29</v>
      </c>
      <c r="F5479" s="7" t="s">
        <v>77</v>
      </c>
      <c r="G5479" s="177" t="s">
        <v>26</v>
      </c>
      <c r="H5479" s="33" t="s">
        <v>7864</v>
      </c>
      <c r="I5479" s="50">
        <v>2</v>
      </c>
      <c r="J5479" s="31">
        <v>2</v>
      </c>
      <c r="K5479" s="31">
        <v>0</v>
      </c>
      <c r="L5479" s="31">
        <v>0</v>
      </c>
      <c r="M5479" s="31">
        <v>0</v>
      </c>
      <c r="N5479" s="31">
        <v>0</v>
      </c>
      <c r="O5479" s="31">
        <v>1230.6099999999999</v>
      </c>
      <c r="P5479" s="32">
        <f t="shared" si="16"/>
        <v>12.306099999999999</v>
      </c>
      <c r="Q5479" s="50" t="s">
        <v>3556</v>
      </c>
    </row>
    <row r="5480" spans="1:17" s="162" customFormat="1" ht="36" x14ac:dyDescent="0.25">
      <c r="A5480" s="48">
        <v>41626</v>
      </c>
      <c r="B5480" s="48">
        <v>41626</v>
      </c>
      <c r="C5480" s="43">
        <v>2013</v>
      </c>
      <c r="D5480" s="35" t="s">
        <v>28</v>
      </c>
      <c r="E5480" s="14" t="s">
        <v>29</v>
      </c>
      <c r="F5480" s="7" t="s">
        <v>80</v>
      </c>
      <c r="G5480" s="177" t="s">
        <v>26</v>
      </c>
      <c r="H5480" s="33" t="s">
        <v>7865</v>
      </c>
      <c r="I5480" s="50">
        <v>0</v>
      </c>
      <c r="J5480" s="31">
        <v>0</v>
      </c>
      <c r="K5480" s="31">
        <v>0</v>
      </c>
      <c r="L5480" s="31">
        <v>0</v>
      </c>
      <c r="M5480" s="31">
        <v>0</v>
      </c>
      <c r="N5480" s="31">
        <v>0</v>
      </c>
      <c r="O5480" s="31">
        <v>24652.62</v>
      </c>
      <c r="P5480" s="32">
        <f t="shared" si="16"/>
        <v>246.52619999999999</v>
      </c>
      <c r="Q5480" s="50" t="s">
        <v>3556</v>
      </c>
    </row>
    <row r="5481" spans="1:17" s="162" customFormat="1" ht="36" x14ac:dyDescent="0.25">
      <c r="A5481" s="48">
        <v>41626</v>
      </c>
      <c r="B5481" s="48">
        <v>41626</v>
      </c>
      <c r="C5481" s="43">
        <v>2013</v>
      </c>
      <c r="D5481" s="35" t="s">
        <v>28</v>
      </c>
      <c r="E5481" s="14" t="s">
        <v>29</v>
      </c>
      <c r="F5481" s="7" t="s">
        <v>82</v>
      </c>
      <c r="G5481" s="177" t="s">
        <v>26</v>
      </c>
      <c r="H5481" s="33" t="s">
        <v>7866</v>
      </c>
      <c r="I5481" s="50">
        <v>0</v>
      </c>
      <c r="J5481" s="31">
        <v>408</v>
      </c>
      <c r="K5481" s="31">
        <v>24</v>
      </c>
      <c r="L5481" s="31">
        <v>0</v>
      </c>
      <c r="M5481" s="31">
        <v>0</v>
      </c>
      <c r="N5481" s="31">
        <v>0</v>
      </c>
      <c r="O5481" s="31">
        <v>11945.05</v>
      </c>
      <c r="P5481" s="32">
        <f t="shared" si="16"/>
        <v>119.45050000000001</v>
      </c>
      <c r="Q5481" s="50" t="s">
        <v>3556</v>
      </c>
    </row>
    <row r="5482" spans="1:17" s="162" customFormat="1" ht="36" x14ac:dyDescent="0.25">
      <c r="A5482" s="48">
        <v>41626</v>
      </c>
      <c r="B5482" s="48">
        <v>41626</v>
      </c>
      <c r="C5482" s="43">
        <v>2013</v>
      </c>
      <c r="D5482" s="35" t="s">
        <v>28</v>
      </c>
      <c r="E5482" s="14" t="s">
        <v>29</v>
      </c>
      <c r="F5482" s="7" t="s">
        <v>84</v>
      </c>
      <c r="G5482" s="177" t="s">
        <v>26</v>
      </c>
      <c r="H5482" s="33" t="s">
        <v>7867</v>
      </c>
      <c r="I5482" s="50">
        <v>0</v>
      </c>
      <c r="J5482" s="31">
        <v>0</v>
      </c>
      <c r="K5482" s="31">
        <v>0</v>
      </c>
      <c r="L5482" s="31">
        <v>0</v>
      </c>
      <c r="M5482" s="31">
        <v>0</v>
      </c>
      <c r="N5482" s="31">
        <v>0</v>
      </c>
      <c r="O5482" s="31">
        <v>4415</v>
      </c>
      <c r="P5482" s="32">
        <f t="shared" si="16"/>
        <v>44.15</v>
      </c>
      <c r="Q5482" s="50" t="s">
        <v>3556</v>
      </c>
    </row>
    <row r="5483" spans="1:17" s="162" customFormat="1" ht="36" x14ac:dyDescent="0.25">
      <c r="A5483" s="48">
        <v>41626</v>
      </c>
      <c r="B5483" s="48">
        <v>41626</v>
      </c>
      <c r="C5483" s="43">
        <v>2013</v>
      </c>
      <c r="D5483" s="35" t="s">
        <v>28</v>
      </c>
      <c r="E5483" s="14" t="s">
        <v>29</v>
      </c>
      <c r="F5483" s="7" t="s">
        <v>87</v>
      </c>
      <c r="G5483" s="177" t="s">
        <v>26</v>
      </c>
      <c r="H5483" s="33" t="s">
        <v>7868</v>
      </c>
      <c r="I5483" s="50">
        <v>0</v>
      </c>
      <c r="J5483" s="31">
        <v>0</v>
      </c>
      <c r="K5483" s="31">
        <v>0</v>
      </c>
      <c r="L5483" s="31">
        <v>0</v>
      </c>
      <c r="M5483" s="31">
        <v>0</v>
      </c>
      <c r="N5483" s="31">
        <v>0</v>
      </c>
      <c r="O5483" s="31">
        <v>69855.8</v>
      </c>
      <c r="P5483" s="32">
        <f t="shared" si="16"/>
        <v>698.55799999999999</v>
      </c>
      <c r="Q5483" s="50" t="s">
        <v>3556</v>
      </c>
    </row>
    <row r="5484" spans="1:17" s="162" customFormat="1" ht="36" x14ac:dyDescent="0.25">
      <c r="A5484" s="48">
        <v>41626</v>
      </c>
      <c r="B5484" s="48">
        <v>41626</v>
      </c>
      <c r="C5484" s="43">
        <v>2013</v>
      </c>
      <c r="D5484" s="35" t="s">
        <v>28</v>
      </c>
      <c r="E5484" s="14" t="s">
        <v>29</v>
      </c>
      <c r="F5484" s="25" t="s">
        <v>781</v>
      </c>
      <c r="G5484" s="177" t="s">
        <v>26</v>
      </c>
      <c r="H5484" s="33" t="s">
        <v>7869</v>
      </c>
      <c r="I5484" s="50">
        <v>0</v>
      </c>
      <c r="J5484" s="31">
        <v>0</v>
      </c>
      <c r="K5484" s="31">
        <v>0</v>
      </c>
      <c r="L5484" s="31">
        <v>0</v>
      </c>
      <c r="M5484" s="31">
        <v>0</v>
      </c>
      <c r="N5484" s="31">
        <v>0</v>
      </c>
      <c r="O5484" s="31">
        <v>4339.3</v>
      </c>
      <c r="P5484" s="32">
        <f t="shared" si="16"/>
        <v>43.393000000000001</v>
      </c>
      <c r="Q5484" s="50" t="s">
        <v>3556</v>
      </c>
    </row>
    <row r="5485" spans="1:17" s="162" customFormat="1" ht="36" x14ac:dyDescent="0.25">
      <c r="A5485" s="48">
        <v>41626</v>
      </c>
      <c r="B5485" s="48">
        <v>41626</v>
      </c>
      <c r="C5485" s="43">
        <v>2013</v>
      </c>
      <c r="D5485" s="35" t="s">
        <v>28</v>
      </c>
      <c r="E5485" s="14" t="s">
        <v>29</v>
      </c>
      <c r="F5485" s="7" t="s">
        <v>91</v>
      </c>
      <c r="G5485" s="177" t="s">
        <v>26</v>
      </c>
      <c r="H5485" s="33" t="s">
        <v>7870</v>
      </c>
      <c r="I5485" s="50">
        <v>0</v>
      </c>
      <c r="J5485" s="31">
        <v>0</v>
      </c>
      <c r="K5485" s="31">
        <v>0</v>
      </c>
      <c r="L5485" s="31">
        <v>0</v>
      </c>
      <c r="M5485" s="31">
        <v>0</v>
      </c>
      <c r="N5485" s="31">
        <v>0</v>
      </c>
      <c r="O5485" s="31">
        <v>2498.0300000000002</v>
      </c>
      <c r="P5485" s="32">
        <f t="shared" si="16"/>
        <v>24.980300000000003</v>
      </c>
      <c r="Q5485" s="50" t="s">
        <v>3556</v>
      </c>
    </row>
    <row r="5486" spans="1:17" s="162" customFormat="1" ht="36" x14ac:dyDescent="0.25">
      <c r="A5486" s="48">
        <v>41626</v>
      </c>
      <c r="B5486" s="48">
        <v>41626</v>
      </c>
      <c r="C5486" s="43">
        <v>2013</v>
      </c>
      <c r="D5486" s="35" t="s">
        <v>28</v>
      </c>
      <c r="E5486" s="14" t="s">
        <v>29</v>
      </c>
      <c r="F5486" s="7" t="s">
        <v>97</v>
      </c>
      <c r="G5486" s="177" t="s">
        <v>26</v>
      </c>
      <c r="H5486" s="33" t="s">
        <v>7871</v>
      </c>
      <c r="I5486" s="50">
        <v>0</v>
      </c>
      <c r="J5486" s="31">
        <v>0</v>
      </c>
      <c r="K5486" s="31">
        <v>0</v>
      </c>
      <c r="L5486" s="31">
        <v>0</v>
      </c>
      <c r="M5486" s="31">
        <v>0</v>
      </c>
      <c r="N5486" s="31">
        <v>0</v>
      </c>
      <c r="O5486" s="31">
        <v>1147.28</v>
      </c>
      <c r="P5486" s="32">
        <f t="shared" si="16"/>
        <v>11.472799999999999</v>
      </c>
      <c r="Q5486" s="50" t="s">
        <v>3556</v>
      </c>
    </row>
    <row r="5487" spans="1:17" s="162" customFormat="1" ht="36" x14ac:dyDescent="0.25">
      <c r="A5487" s="48">
        <v>41626</v>
      </c>
      <c r="B5487" s="48">
        <v>41626</v>
      </c>
      <c r="C5487" s="43">
        <v>2013</v>
      </c>
      <c r="D5487" s="35" t="s">
        <v>28</v>
      </c>
      <c r="E5487" s="14" t="s">
        <v>29</v>
      </c>
      <c r="F5487" s="28" t="s">
        <v>210</v>
      </c>
      <c r="G5487" s="177" t="s">
        <v>26</v>
      </c>
      <c r="H5487" s="33" t="s">
        <v>7872</v>
      </c>
      <c r="I5487" s="50">
        <v>0</v>
      </c>
      <c r="J5487" s="31">
        <v>0</v>
      </c>
      <c r="K5487" s="31">
        <v>0</v>
      </c>
      <c r="L5487" s="31">
        <v>0</v>
      </c>
      <c r="M5487" s="31">
        <v>0</v>
      </c>
      <c r="N5487" s="31">
        <v>0</v>
      </c>
      <c r="O5487" s="31">
        <v>6690.5</v>
      </c>
      <c r="P5487" s="32">
        <f t="shared" si="16"/>
        <v>66.905000000000001</v>
      </c>
      <c r="Q5487" s="50" t="s">
        <v>3556</v>
      </c>
    </row>
    <row r="5488" spans="1:17" s="162" customFormat="1" ht="36" x14ac:dyDescent="0.25">
      <c r="A5488" s="48">
        <v>41626</v>
      </c>
      <c r="B5488" s="48">
        <v>41626</v>
      </c>
      <c r="C5488" s="43">
        <v>2013</v>
      </c>
      <c r="D5488" s="35" t="s">
        <v>28</v>
      </c>
      <c r="E5488" s="14" t="s">
        <v>29</v>
      </c>
      <c r="F5488" s="28" t="s">
        <v>163</v>
      </c>
      <c r="G5488" s="177" t="s">
        <v>26</v>
      </c>
      <c r="H5488" s="33" t="s">
        <v>7873</v>
      </c>
      <c r="I5488" s="50">
        <v>0</v>
      </c>
      <c r="J5488" s="31">
        <v>0</v>
      </c>
      <c r="K5488" s="31">
        <v>0</v>
      </c>
      <c r="L5488" s="31">
        <v>0</v>
      </c>
      <c r="M5488" s="31">
        <v>0</v>
      </c>
      <c r="N5488" s="31">
        <v>0</v>
      </c>
      <c r="O5488" s="31">
        <v>2597.8000000000002</v>
      </c>
      <c r="P5488" s="32">
        <f t="shared" si="16"/>
        <v>25.978000000000002</v>
      </c>
      <c r="Q5488" s="50" t="s">
        <v>3556</v>
      </c>
    </row>
    <row r="5489" spans="1:17" s="162" customFormat="1" ht="36" x14ac:dyDescent="0.25">
      <c r="A5489" s="48">
        <v>41626</v>
      </c>
      <c r="B5489" s="48">
        <v>41626</v>
      </c>
      <c r="C5489" s="43">
        <v>2013</v>
      </c>
      <c r="D5489" s="35" t="s">
        <v>28</v>
      </c>
      <c r="E5489" s="14" t="s">
        <v>29</v>
      </c>
      <c r="F5489" s="7" t="s">
        <v>101</v>
      </c>
      <c r="G5489" s="177" t="s">
        <v>26</v>
      </c>
      <c r="H5489" s="33" t="s">
        <v>7874</v>
      </c>
      <c r="I5489" s="50">
        <v>0</v>
      </c>
      <c r="J5489" s="31">
        <v>0</v>
      </c>
      <c r="K5489" s="31">
        <v>0</v>
      </c>
      <c r="L5489" s="31">
        <v>0</v>
      </c>
      <c r="M5489" s="31">
        <v>0</v>
      </c>
      <c r="N5489" s="31">
        <v>0</v>
      </c>
      <c r="O5489" s="31">
        <v>4029.6</v>
      </c>
      <c r="P5489" s="32">
        <f t="shared" si="16"/>
        <v>40.295999999999999</v>
      </c>
      <c r="Q5489" s="50" t="s">
        <v>3556</v>
      </c>
    </row>
    <row r="5490" spans="1:17" s="162" customFormat="1" ht="48" x14ac:dyDescent="0.25">
      <c r="A5490" s="62">
        <v>38646</v>
      </c>
      <c r="B5490" s="62">
        <v>38649</v>
      </c>
      <c r="C5490" s="63">
        <v>2005</v>
      </c>
      <c r="D5490" s="351" t="s">
        <v>23</v>
      </c>
      <c r="E5490" s="14" t="s">
        <v>32</v>
      </c>
      <c r="F5490" s="7" t="s">
        <v>80</v>
      </c>
      <c r="G5490" s="64" t="s">
        <v>7875</v>
      </c>
      <c r="H5490" s="72" t="s">
        <v>7876</v>
      </c>
      <c r="I5490" s="66">
        <v>0</v>
      </c>
      <c r="J5490" s="66">
        <f>K5490*5</f>
        <v>113750</v>
      </c>
      <c r="K5490" s="66">
        <v>22750</v>
      </c>
      <c r="L5490" s="66">
        <v>358</v>
      </c>
      <c r="M5490" s="67">
        <v>14</v>
      </c>
      <c r="N5490" s="67">
        <v>0</v>
      </c>
      <c r="O5490" s="66">
        <v>9529.5</v>
      </c>
      <c r="P5490" s="68">
        <v>18258</v>
      </c>
      <c r="Q5490" s="35" t="s">
        <v>154</v>
      </c>
    </row>
    <row r="5491" spans="1:17" s="162" customFormat="1" ht="240" x14ac:dyDescent="0.25">
      <c r="A5491" s="137">
        <v>41857</v>
      </c>
      <c r="B5491" s="137">
        <v>41858</v>
      </c>
      <c r="C5491" s="138">
        <v>2014</v>
      </c>
      <c r="D5491" s="35" t="s">
        <v>28</v>
      </c>
      <c r="E5491" s="6" t="s">
        <v>369</v>
      </c>
      <c r="F5491" s="7" t="s">
        <v>87</v>
      </c>
      <c r="G5491" s="139" t="s">
        <v>7875</v>
      </c>
      <c r="H5491" s="140" t="s">
        <v>7877</v>
      </c>
      <c r="I5491" s="141">
        <v>0</v>
      </c>
      <c r="J5491" s="142">
        <v>1328</v>
      </c>
      <c r="K5491" s="142">
        <v>0</v>
      </c>
      <c r="L5491" s="142">
        <v>0</v>
      </c>
      <c r="M5491" s="142">
        <v>0</v>
      </c>
      <c r="N5491" s="142">
        <v>0</v>
      </c>
      <c r="O5491" s="142">
        <v>0</v>
      </c>
      <c r="P5491" s="158">
        <v>1800</v>
      </c>
      <c r="Q5491" s="144" t="s">
        <v>7878</v>
      </c>
    </row>
    <row r="5492" spans="1:17" s="162" customFormat="1" ht="72" x14ac:dyDescent="0.25">
      <c r="A5492" s="48">
        <v>41827</v>
      </c>
      <c r="B5492" s="48">
        <v>41827</v>
      </c>
      <c r="C5492" s="138">
        <v>2014</v>
      </c>
      <c r="D5492" s="35" t="s">
        <v>17</v>
      </c>
      <c r="E5492" s="30" t="s">
        <v>122</v>
      </c>
      <c r="F5492" s="7" t="s">
        <v>36</v>
      </c>
      <c r="G5492" s="139" t="s">
        <v>7879</v>
      </c>
      <c r="H5492" s="140" t="s">
        <v>7880</v>
      </c>
      <c r="I5492" s="141">
        <v>3</v>
      </c>
      <c r="J5492" s="142">
        <v>186454</v>
      </c>
      <c r="K5492" s="142">
        <v>6129</v>
      </c>
      <c r="L5492" s="142">
        <v>239</v>
      </c>
      <c r="M5492" s="142">
        <v>0</v>
      </c>
      <c r="N5492" s="142">
        <v>314</v>
      </c>
      <c r="O5492" s="142">
        <v>0</v>
      </c>
      <c r="P5492" s="158">
        <v>1634.9</v>
      </c>
      <c r="Q5492" s="144" t="s">
        <v>22</v>
      </c>
    </row>
    <row r="5493" spans="1:17" s="162" customFormat="1" ht="144" x14ac:dyDescent="0.25">
      <c r="A5493" s="137">
        <v>41796</v>
      </c>
      <c r="B5493" s="137">
        <v>41800</v>
      </c>
      <c r="C5493" s="138">
        <v>2014</v>
      </c>
      <c r="D5493" s="351" t="s">
        <v>23</v>
      </c>
      <c r="E5493" s="22" t="s">
        <v>86</v>
      </c>
      <c r="F5493" s="28" t="s">
        <v>210</v>
      </c>
      <c r="G5493" s="139" t="s">
        <v>7881</v>
      </c>
      <c r="H5493" s="140" t="s">
        <v>7882</v>
      </c>
      <c r="I5493" s="141">
        <v>0</v>
      </c>
      <c r="J5493" s="178">
        <v>2120</v>
      </c>
      <c r="K5493" s="142">
        <v>255</v>
      </c>
      <c r="L5493" s="142">
        <v>2</v>
      </c>
      <c r="M5493" s="142">
        <v>0</v>
      </c>
      <c r="N5493" s="142">
        <v>0</v>
      </c>
      <c r="O5493" s="142">
        <v>0</v>
      </c>
      <c r="P5493" s="158">
        <v>711.6</v>
      </c>
      <c r="Q5493" s="144" t="s">
        <v>7883</v>
      </c>
    </row>
    <row r="5494" spans="1:17" s="162" customFormat="1" ht="180" x14ac:dyDescent="0.25">
      <c r="A5494" s="48">
        <v>41747</v>
      </c>
      <c r="B5494" s="48">
        <v>41747</v>
      </c>
      <c r="C5494" s="138">
        <v>2014</v>
      </c>
      <c r="D5494" s="35" t="s">
        <v>17</v>
      </c>
      <c r="E5494" s="30" t="s">
        <v>122</v>
      </c>
      <c r="F5494" s="7" t="s">
        <v>58</v>
      </c>
      <c r="G5494" s="139" t="s">
        <v>7884</v>
      </c>
      <c r="H5494" s="140" t="s">
        <v>7885</v>
      </c>
      <c r="I5494" s="141">
        <v>0</v>
      </c>
      <c r="J5494" s="31">
        <v>31570</v>
      </c>
      <c r="K5494" s="142">
        <v>6314</v>
      </c>
      <c r="L5494" s="142">
        <v>59</v>
      </c>
      <c r="M5494" s="142">
        <v>8</v>
      </c>
      <c r="N5494" s="142">
        <v>5</v>
      </c>
      <c r="O5494" s="142">
        <v>0</v>
      </c>
      <c r="P5494" s="158">
        <v>602.70000000000005</v>
      </c>
      <c r="Q5494" s="144" t="s">
        <v>7883</v>
      </c>
    </row>
    <row r="5495" spans="1:17" s="162" customFormat="1" ht="108" x14ac:dyDescent="0.25">
      <c r="A5495" s="137">
        <v>41843</v>
      </c>
      <c r="B5495" s="137">
        <v>41844</v>
      </c>
      <c r="C5495" s="138">
        <v>2014</v>
      </c>
      <c r="D5495" s="35" t="s">
        <v>28</v>
      </c>
      <c r="E5495" s="6" t="s">
        <v>149</v>
      </c>
      <c r="F5495" s="7" t="s">
        <v>91</v>
      </c>
      <c r="G5495" s="139" t="s">
        <v>7886</v>
      </c>
      <c r="H5495" s="140" t="s">
        <v>7887</v>
      </c>
      <c r="I5495" s="179">
        <v>0</v>
      </c>
      <c r="J5495" s="142">
        <v>1500</v>
      </c>
      <c r="K5495" s="142">
        <v>0</v>
      </c>
      <c r="L5495" s="142">
        <v>0</v>
      </c>
      <c r="M5495" s="142">
        <v>0</v>
      </c>
      <c r="N5495" s="142">
        <v>0</v>
      </c>
      <c r="O5495" s="142">
        <v>0</v>
      </c>
      <c r="P5495" s="158">
        <v>600</v>
      </c>
      <c r="Q5495" s="144" t="s">
        <v>7888</v>
      </c>
    </row>
    <row r="5496" spans="1:17" s="162" customFormat="1" ht="108" x14ac:dyDescent="0.25">
      <c r="A5496" s="137">
        <v>41885</v>
      </c>
      <c r="B5496" s="137">
        <v>41896</v>
      </c>
      <c r="C5496" s="138">
        <v>2014</v>
      </c>
      <c r="D5496" s="351" t="s">
        <v>23</v>
      </c>
      <c r="E5496" s="14" t="s">
        <v>32</v>
      </c>
      <c r="F5496" s="7" t="s">
        <v>91</v>
      </c>
      <c r="G5496" s="139" t="s">
        <v>7889</v>
      </c>
      <c r="H5496" s="140" t="s">
        <v>7890</v>
      </c>
      <c r="I5496" s="141">
        <v>0</v>
      </c>
      <c r="J5496" s="142">
        <v>628</v>
      </c>
      <c r="K5496" s="142">
        <v>9</v>
      </c>
      <c r="L5496" s="142">
        <v>0</v>
      </c>
      <c r="M5496" s="142">
        <v>0</v>
      </c>
      <c r="N5496" s="142">
        <v>0</v>
      </c>
      <c r="O5496" s="142">
        <v>0</v>
      </c>
      <c r="P5496" s="158">
        <v>300.2</v>
      </c>
      <c r="Q5496" s="144" t="s">
        <v>7883</v>
      </c>
    </row>
    <row r="5497" spans="1:17" s="162" customFormat="1" ht="108" x14ac:dyDescent="0.25">
      <c r="A5497" s="48">
        <v>41791</v>
      </c>
      <c r="B5497" s="48">
        <v>41795</v>
      </c>
      <c r="C5497" s="138">
        <v>2014</v>
      </c>
      <c r="D5497" s="351" t="s">
        <v>23</v>
      </c>
      <c r="E5497" s="14" t="s">
        <v>32</v>
      </c>
      <c r="F5497" s="7" t="s">
        <v>36</v>
      </c>
      <c r="G5497" s="139" t="s">
        <v>7891</v>
      </c>
      <c r="H5497" s="140" t="s">
        <v>7892</v>
      </c>
      <c r="I5497" s="141">
        <v>0</v>
      </c>
      <c r="J5497" s="142">
        <v>16000</v>
      </c>
      <c r="K5497" s="142">
        <v>31</v>
      </c>
      <c r="L5497" s="142">
        <v>2</v>
      </c>
      <c r="M5497" s="142">
        <v>0</v>
      </c>
      <c r="N5497" s="142">
        <v>0</v>
      </c>
      <c r="O5497" s="142">
        <v>0</v>
      </c>
      <c r="P5497" s="158">
        <f>259.1+27.95</f>
        <v>287.05</v>
      </c>
      <c r="Q5497" s="144" t="s">
        <v>7883</v>
      </c>
    </row>
    <row r="5498" spans="1:17" s="162" customFormat="1" ht="36" x14ac:dyDescent="0.25">
      <c r="A5498" s="137">
        <v>41642</v>
      </c>
      <c r="B5498" s="137">
        <v>41648</v>
      </c>
      <c r="C5498" s="138">
        <v>2014</v>
      </c>
      <c r="D5498" s="351" t="s">
        <v>23</v>
      </c>
      <c r="E5498" s="22" t="s">
        <v>86</v>
      </c>
      <c r="F5498" s="28" t="s">
        <v>151</v>
      </c>
      <c r="G5498" s="139" t="s">
        <v>5506</v>
      </c>
      <c r="H5498" s="140" t="s">
        <v>7893</v>
      </c>
      <c r="I5498" s="141">
        <v>0</v>
      </c>
      <c r="J5498" s="142">
        <v>0</v>
      </c>
      <c r="K5498" s="142">
        <v>0</v>
      </c>
      <c r="L5498" s="142">
        <v>0</v>
      </c>
      <c r="M5498" s="142">
        <v>0</v>
      </c>
      <c r="N5498" s="142">
        <v>0</v>
      </c>
      <c r="O5498" s="142">
        <v>0</v>
      </c>
      <c r="P5498" s="32">
        <v>272.00001200000003</v>
      </c>
      <c r="Q5498" s="144" t="s">
        <v>186</v>
      </c>
    </row>
    <row r="5499" spans="1:17" s="162" customFormat="1" ht="72" x14ac:dyDescent="0.25">
      <c r="A5499" s="137">
        <v>41825</v>
      </c>
      <c r="B5499" s="137">
        <v>41826</v>
      </c>
      <c r="C5499" s="138">
        <v>2014</v>
      </c>
      <c r="D5499" s="351" t="s">
        <v>23</v>
      </c>
      <c r="E5499" s="14" t="s">
        <v>52</v>
      </c>
      <c r="F5499" s="28" t="s">
        <v>210</v>
      </c>
      <c r="G5499" s="139" t="s">
        <v>7894</v>
      </c>
      <c r="H5499" s="140" t="s">
        <v>7895</v>
      </c>
      <c r="I5499" s="141">
        <v>0</v>
      </c>
      <c r="J5499" s="142">
        <v>0</v>
      </c>
      <c r="K5499" s="142" t="s">
        <v>110</v>
      </c>
      <c r="L5499" s="142">
        <v>0</v>
      </c>
      <c r="M5499" s="142">
        <v>0</v>
      </c>
      <c r="N5499" s="142">
        <v>0</v>
      </c>
      <c r="O5499" s="142">
        <v>0</v>
      </c>
      <c r="P5499" s="158">
        <v>214.08</v>
      </c>
      <c r="Q5499" s="144" t="s">
        <v>186</v>
      </c>
    </row>
    <row r="5500" spans="1:17" s="162" customFormat="1" ht="120" x14ac:dyDescent="0.25">
      <c r="A5500" s="48">
        <v>41790</v>
      </c>
      <c r="B5500" s="48">
        <v>41793</v>
      </c>
      <c r="C5500" s="138">
        <v>2014</v>
      </c>
      <c r="D5500" s="351" t="s">
        <v>23</v>
      </c>
      <c r="E5500" s="22" t="s">
        <v>86</v>
      </c>
      <c r="F5500" s="7" t="s">
        <v>80</v>
      </c>
      <c r="G5500" s="139" t="s">
        <v>7896</v>
      </c>
      <c r="H5500" s="140" t="s">
        <v>7897</v>
      </c>
      <c r="I5500" s="141">
        <v>0</v>
      </c>
      <c r="J5500" s="142">
        <v>315</v>
      </c>
      <c r="K5500" s="142">
        <v>63</v>
      </c>
      <c r="L5500" s="142" t="s">
        <v>110</v>
      </c>
      <c r="M5500" s="142">
        <v>0</v>
      </c>
      <c r="N5500" s="142">
        <v>0</v>
      </c>
      <c r="O5500" s="142">
        <v>0</v>
      </c>
      <c r="P5500" s="158">
        <v>207.05</v>
      </c>
      <c r="Q5500" s="144" t="s">
        <v>7883</v>
      </c>
    </row>
    <row r="5501" spans="1:17" s="162" customFormat="1" ht="156" x14ac:dyDescent="0.25">
      <c r="A5501" s="137">
        <v>41885</v>
      </c>
      <c r="B5501" s="137">
        <v>41888</v>
      </c>
      <c r="C5501" s="138">
        <v>2014</v>
      </c>
      <c r="D5501" s="351" t="s">
        <v>23</v>
      </c>
      <c r="E5501" s="14" t="s">
        <v>32</v>
      </c>
      <c r="F5501" s="7" t="s">
        <v>33</v>
      </c>
      <c r="G5501" s="139" t="s">
        <v>7898</v>
      </c>
      <c r="H5501" s="140" t="s">
        <v>7899</v>
      </c>
      <c r="I5501" s="141">
        <v>0</v>
      </c>
      <c r="J5501" s="142">
        <v>2300</v>
      </c>
      <c r="K5501" s="142">
        <v>3</v>
      </c>
      <c r="L5501" s="142" t="s">
        <v>110</v>
      </c>
      <c r="M5501" s="142">
        <v>0</v>
      </c>
      <c r="N5501" s="142">
        <v>0</v>
      </c>
      <c r="O5501" s="142">
        <v>0</v>
      </c>
      <c r="P5501" s="158">
        <v>184.12</v>
      </c>
      <c r="Q5501" s="144" t="s">
        <v>7883</v>
      </c>
    </row>
    <row r="5502" spans="1:17" s="162" customFormat="1" ht="216" x14ac:dyDescent="0.25">
      <c r="A5502" s="48">
        <v>41788</v>
      </c>
      <c r="B5502" s="48">
        <v>41801</v>
      </c>
      <c r="C5502" s="138">
        <v>2014</v>
      </c>
      <c r="D5502" s="351" t="s">
        <v>23</v>
      </c>
      <c r="E5502" s="14" t="s">
        <v>32</v>
      </c>
      <c r="F5502" s="28" t="s">
        <v>151</v>
      </c>
      <c r="G5502" s="139" t="s">
        <v>7900</v>
      </c>
      <c r="H5502" s="140" t="s">
        <v>7901</v>
      </c>
      <c r="I5502" s="141">
        <v>0</v>
      </c>
      <c r="J5502" s="142">
        <v>24798</v>
      </c>
      <c r="K5502" s="142">
        <v>1355</v>
      </c>
      <c r="L5502" s="142" t="s">
        <v>110</v>
      </c>
      <c r="M5502" s="142" t="s">
        <v>110</v>
      </c>
      <c r="N5502" s="142">
        <v>0</v>
      </c>
      <c r="O5502" s="142">
        <v>0</v>
      </c>
      <c r="P5502" s="158">
        <v>157</v>
      </c>
      <c r="Q5502" s="144" t="s">
        <v>7883</v>
      </c>
    </row>
    <row r="5503" spans="1:17" s="162" customFormat="1" ht="84" x14ac:dyDescent="0.25">
      <c r="A5503" s="137">
        <v>41887</v>
      </c>
      <c r="B5503" s="137">
        <v>41890</v>
      </c>
      <c r="C5503" s="138">
        <v>2014</v>
      </c>
      <c r="D5503" s="351" t="s">
        <v>23</v>
      </c>
      <c r="E5503" s="14" t="s">
        <v>52</v>
      </c>
      <c r="F5503" s="7" t="s">
        <v>40</v>
      </c>
      <c r="G5503" s="139" t="s">
        <v>7902</v>
      </c>
      <c r="H5503" s="140" t="s">
        <v>7903</v>
      </c>
      <c r="I5503" s="141">
        <v>0</v>
      </c>
      <c r="J5503" s="142">
        <v>7953</v>
      </c>
      <c r="K5503" s="142">
        <v>0</v>
      </c>
      <c r="L5503" s="142">
        <v>0</v>
      </c>
      <c r="M5503" s="142">
        <v>0</v>
      </c>
      <c r="N5503" s="142">
        <v>0</v>
      </c>
      <c r="O5503" s="142">
        <v>0</v>
      </c>
      <c r="P5503" s="158">
        <v>129.1</v>
      </c>
      <c r="Q5503" s="144" t="s">
        <v>186</v>
      </c>
    </row>
    <row r="5504" spans="1:17" s="162" customFormat="1" ht="324" x14ac:dyDescent="0.25">
      <c r="A5504" s="137">
        <v>41929</v>
      </c>
      <c r="B5504" s="137">
        <v>41930</v>
      </c>
      <c r="C5504" s="138">
        <v>2014</v>
      </c>
      <c r="D5504" s="351" t="s">
        <v>23</v>
      </c>
      <c r="E5504" s="14" t="s">
        <v>32</v>
      </c>
      <c r="F5504" s="7" t="s">
        <v>58</v>
      </c>
      <c r="G5504" s="139" t="s">
        <v>7904</v>
      </c>
      <c r="H5504" s="140" t="s">
        <v>7905</v>
      </c>
      <c r="I5504" s="141">
        <v>8</v>
      </c>
      <c r="J5504" s="31">
        <v>16212</v>
      </c>
      <c r="K5504" s="142">
        <v>2600</v>
      </c>
      <c r="L5504" s="142">
        <v>1</v>
      </c>
      <c r="M5504" s="142">
        <v>0</v>
      </c>
      <c r="N5504" s="142">
        <v>0</v>
      </c>
      <c r="O5504" s="142">
        <v>0</v>
      </c>
      <c r="P5504" s="158">
        <v>106.8</v>
      </c>
      <c r="Q5504" s="144" t="s">
        <v>154</v>
      </c>
    </row>
    <row r="5505" spans="1:17" s="162" customFormat="1" ht="60" x14ac:dyDescent="0.25">
      <c r="A5505" s="137">
        <v>41737</v>
      </c>
      <c r="B5505" s="137">
        <v>41738</v>
      </c>
      <c r="C5505" s="138">
        <v>2014</v>
      </c>
      <c r="D5505" s="351" t="s">
        <v>23</v>
      </c>
      <c r="E5505" s="22" t="s">
        <v>42</v>
      </c>
      <c r="F5505" s="7" t="s">
        <v>40</v>
      </c>
      <c r="G5505" s="139" t="s">
        <v>7906</v>
      </c>
      <c r="H5505" s="140" t="s">
        <v>7907</v>
      </c>
      <c r="I5505" s="141">
        <v>0</v>
      </c>
      <c r="J5505" s="142">
        <v>237</v>
      </c>
      <c r="K5505" s="142">
        <v>0</v>
      </c>
      <c r="L5505" s="142">
        <v>0</v>
      </c>
      <c r="M5505" s="142">
        <v>0</v>
      </c>
      <c r="N5505" s="142">
        <v>0</v>
      </c>
      <c r="O5505" s="142">
        <v>755.5</v>
      </c>
      <c r="P5505" s="158">
        <v>94.6</v>
      </c>
      <c r="Q5505" s="45" t="s">
        <v>2234</v>
      </c>
    </row>
    <row r="5506" spans="1:17" s="162" customFormat="1" ht="60" x14ac:dyDescent="0.25">
      <c r="A5506" s="137">
        <v>41819</v>
      </c>
      <c r="B5506" s="137">
        <v>41821</v>
      </c>
      <c r="C5506" s="138">
        <v>2014</v>
      </c>
      <c r="D5506" s="351" t="s">
        <v>23</v>
      </c>
      <c r="E5506" s="180" t="s">
        <v>5893</v>
      </c>
      <c r="F5506" s="7" t="s">
        <v>40</v>
      </c>
      <c r="G5506" s="139" t="s">
        <v>7908</v>
      </c>
      <c r="H5506" s="140" t="s">
        <v>7909</v>
      </c>
      <c r="I5506" s="141">
        <v>0</v>
      </c>
      <c r="J5506" s="142">
        <v>230</v>
      </c>
      <c r="K5506" s="142">
        <v>0</v>
      </c>
      <c r="L5506" s="142">
        <v>0</v>
      </c>
      <c r="M5506" s="142">
        <v>0</v>
      </c>
      <c r="N5506" s="142">
        <v>0</v>
      </c>
      <c r="O5506" s="142">
        <v>761.9</v>
      </c>
      <c r="P5506" s="158">
        <v>64.8</v>
      </c>
      <c r="Q5506" s="45" t="s">
        <v>2234</v>
      </c>
    </row>
    <row r="5507" spans="1:17" s="162" customFormat="1" ht="48" x14ac:dyDescent="0.25">
      <c r="A5507" s="48">
        <v>41799</v>
      </c>
      <c r="B5507" s="48">
        <v>41799</v>
      </c>
      <c r="C5507" s="138">
        <v>2014</v>
      </c>
      <c r="D5507" s="351" t="s">
        <v>23</v>
      </c>
      <c r="E5507" s="180" t="s">
        <v>5893</v>
      </c>
      <c r="F5507" s="7" t="s">
        <v>82</v>
      </c>
      <c r="G5507" s="139" t="s">
        <v>5135</v>
      </c>
      <c r="H5507" s="140" t="s">
        <v>7910</v>
      </c>
      <c r="I5507" s="141">
        <v>0</v>
      </c>
      <c r="J5507" s="142">
        <v>112</v>
      </c>
      <c r="K5507" s="142">
        <v>0</v>
      </c>
      <c r="L5507" s="142">
        <v>0</v>
      </c>
      <c r="M5507" s="142">
        <v>0</v>
      </c>
      <c r="N5507" s="142">
        <v>0</v>
      </c>
      <c r="O5507" s="142">
        <v>804.7</v>
      </c>
      <c r="P5507" s="158">
        <v>63.1</v>
      </c>
      <c r="Q5507" s="45" t="s">
        <v>2234</v>
      </c>
    </row>
    <row r="5508" spans="1:17" s="162" customFormat="1" ht="72" x14ac:dyDescent="0.25">
      <c r="A5508" s="137">
        <v>41857</v>
      </c>
      <c r="B5508" s="137">
        <v>41857</v>
      </c>
      <c r="C5508" s="138">
        <v>2014</v>
      </c>
      <c r="D5508" s="351" t="s">
        <v>23</v>
      </c>
      <c r="E5508" s="180" t="s">
        <v>5893</v>
      </c>
      <c r="F5508" s="7" t="s">
        <v>36</v>
      </c>
      <c r="G5508" s="139" t="s">
        <v>1592</v>
      </c>
      <c r="H5508" s="140" t="s">
        <v>7911</v>
      </c>
      <c r="I5508" s="141">
        <v>0</v>
      </c>
      <c r="J5508" s="142">
        <v>5655</v>
      </c>
      <c r="K5508" s="142">
        <v>1113</v>
      </c>
      <c r="L5508" s="142">
        <v>8</v>
      </c>
      <c r="M5508" s="142">
        <v>0</v>
      </c>
      <c r="N5508" s="142">
        <v>0</v>
      </c>
      <c r="O5508" s="142">
        <v>0</v>
      </c>
      <c r="P5508" s="158">
        <v>57.9</v>
      </c>
      <c r="Q5508" s="144" t="s">
        <v>7912</v>
      </c>
    </row>
    <row r="5509" spans="1:17" s="162" customFormat="1" ht="108" x14ac:dyDescent="0.25">
      <c r="A5509" s="137">
        <v>41747</v>
      </c>
      <c r="B5509" s="137">
        <v>41747</v>
      </c>
      <c r="C5509" s="138">
        <v>2014</v>
      </c>
      <c r="D5509" s="35" t="s">
        <v>17</v>
      </c>
      <c r="E5509" s="30" t="s">
        <v>122</v>
      </c>
      <c r="F5509" s="28" t="s">
        <v>157</v>
      </c>
      <c r="G5509" s="139" t="s">
        <v>2109</v>
      </c>
      <c r="H5509" s="140" t="s">
        <v>7913</v>
      </c>
      <c r="I5509" s="179">
        <v>0</v>
      </c>
      <c r="J5509" s="31">
        <f>54*5</f>
        <v>270</v>
      </c>
      <c r="K5509" s="142">
        <v>1</v>
      </c>
      <c r="L5509" s="142">
        <v>0</v>
      </c>
      <c r="M5509" s="142">
        <v>1</v>
      </c>
      <c r="N5509" s="142">
        <v>0</v>
      </c>
      <c r="O5509" s="142">
        <v>0</v>
      </c>
      <c r="P5509" s="158">
        <v>54.095999999999997</v>
      </c>
      <c r="Q5509" s="144" t="s">
        <v>7914</v>
      </c>
    </row>
    <row r="5510" spans="1:17" s="162" customFormat="1" ht="96" x14ac:dyDescent="0.25">
      <c r="A5510" s="48">
        <v>41810</v>
      </c>
      <c r="B5510" s="48">
        <v>41813</v>
      </c>
      <c r="C5510" s="138">
        <v>2014</v>
      </c>
      <c r="D5510" s="35" t="s">
        <v>17</v>
      </c>
      <c r="E5510" s="180" t="s">
        <v>1597</v>
      </c>
      <c r="F5510" s="7" t="s">
        <v>72</v>
      </c>
      <c r="G5510" s="139" t="s">
        <v>7538</v>
      </c>
      <c r="H5510" s="140" t="s">
        <v>7915</v>
      </c>
      <c r="I5510" s="141">
        <v>2</v>
      </c>
      <c r="J5510" s="142">
        <v>2</v>
      </c>
      <c r="K5510" s="142" t="s">
        <v>110</v>
      </c>
      <c r="L5510" s="142">
        <v>0</v>
      </c>
      <c r="M5510" s="142">
        <v>0</v>
      </c>
      <c r="N5510" s="142">
        <v>0</v>
      </c>
      <c r="O5510" s="142">
        <v>0</v>
      </c>
      <c r="P5510" s="158">
        <v>51.8</v>
      </c>
      <c r="Q5510" s="144" t="s">
        <v>7883</v>
      </c>
    </row>
    <row r="5511" spans="1:17" s="162" customFormat="1" ht="108" x14ac:dyDescent="0.25">
      <c r="A5511" s="137">
        <v>41887</v>
      </c>
      <c r="B5511" s="137">
        <v>41887</v>
      </c>
      <c r="C5511" s="138">
        <v>2014</v>
      </c>
      <c r="D5511" s="351" t="s">
        <v>23</v>
      </c>
      <c r="E5511" s="14" t="s">
        <v>32</v>
      </c>
      <c r="F5511" s="28" t="s">
        <v>210</v>
      </c>
      <c r="G5511" s="181" t="s">
        <v>7916</v>
      </c>
      <c r="H5511" s="140" t="s">
        <v>7917</v>
      </c>
      <c r="I5511" s="141">
        <v>0</v>
      </c>
      <c r="J5511" s="142">
        <v>21417</v>
      </c>
      <c r="K5511" s="142">
        <v>5298</v>
      </c>
      <c r="L5511" s="142">
        <v>11</v>
      </c>
      <c r="M5511" s="142">
        <v>0</v>
      </c>
      <c r="N5511" s="142">
        <v>0</v>
      </c>
      <c r="O5511" s="142">
        <v>0</v>
      </c>
      <c r="P5511" s="158">
        <v>49.866</v>
      </c>
      <c r="Q5511" s="144" t="s">
        <v>154</v>
      </c>
    </row>
    <row r="5512" spans="1:17" s="162" customFormat="1" ht="48" x14ac:dyDescent="0.25">
      <c r="A5512" s="137">
        <v>41640</v>
      </c>
      <c r="B5512" s="137">
        <v>42004</v>
      </c>
      <c r="C5512" s="138">
        <v>2014</v>
      </c>
      <c r="D5512" s="35" t="s">
        <v>28</v>
      </c>
      <c r="E5512" s="14" t="s">
        <v>29</v>
      </c>
      <c r="F5512" s="7" t="s">
        <v>87</v>
      </c>
      <c r="G5512" s="139" t="s">
        <v>26</v>
      </c>
      <c r="H5512" s="140" t="s">
        <v>7918</v>
      </c>
      <c r="I5512" s="141">
        <v>0</v>
      </c>
      <c r="J5512" s="142">
        <v>0</v>
      </c>
      <c r="K5512" s="142">
        <v>0</v>
      </c>
      <c r="L5512" s="142">
        <v>0</v>
      </c>
      <c r="M5512" s="142">
        <v>0</v>
      </c>
      <c r="N5512" s="142">
        <v>0</v>
      </c>
      <c r="O5512" s="142">
        <v>49781.09</v>
      </c>
      <c r="P5512" s="158">
        <v>49.781089999999999</v>
      </c>
      <c r="Q5512" s="144" t="s">
        <v>3556</v>
      </c>
    </row>
    <row r="5513" spans="1:17" s="162" customFormat="1" ht="48" x14ac:dyDescent="0.25">
      <c r="A5513" s="48">
        <v>41654</v>
      </c>
      <c r="B5513" s="48">
        <v>41660</v>
      </c>
      <c r="C5513" s="138">
        <v>2014</v>
      </c>
      <c r="D5513" s="351" t="s">
        <v>23</v>
      </c>
      <c r="E5513" s="22" t="s">
        <v>42</v>
      </c>
      <c r="F5513" s="7" t="s">
        <v>40</v>
      </c>
      <c r="G5513" s="139" t="s">
        <v>7919</v>
      </c>
      <c r="H5513" s="140" t="s">
        <v>7920</v>
      </c>
      <c r="I5513" s="182">
        <v>0</v>
      </c>
      <c r="J5513" s="142">
        <v>0</v>
      </c>
      <c r="K5513" s="142">
        <v>0</v>
      </c>
      <c r="L5513" s="142">
        <v>0</v>
      </c>
      <c r="M5513" s="142">
        <v>0</v>
      </c>
      <c r="N5513" s="142">
        <v>0</v>
      </c>
      <c r="O5513" s="142">
        <v>0</v>
      </c>
      <c r="P5513" s="158">
        <v>46.192855000000002</v>
      </c>
      <c r="Q5513" s="144" t="s">
        <v>986</v>
      </c>
    </row>
    <row r="5514" spans="1:17" s="162" customFormat="1" ht="24" x14ac:dyDescent="0.25">
      <c r="A5514" s="48">
        <v>41825</v>
      </c>
      <c r="B5514" s="48">
        <v>41826</v>
      </c>
      <c r="C5514" s="138">
        <v>2014</v>
      </c>
      <c r="D5514" s="351" t="s">
        <v>23</v>
      </c>
      <c r="E5514" s="14" t="s">
        <v>52</v>
      </c>
      <c r="F5514" s="7" t="s">
        <v>58</v>
      </c>
      <c r="G5514" s="139" t="s">
        <v>6757</v>
      </c>
      <c r="H5514" s="140" t="s">
        <v>7921</v>
      </c>
      <c r="I5514" s="141">
        <v>0</v>
      </c>
      <c r="J5514" s="142">
        <v>0</v>
      </c>
      <c r="K5514" s="142">
        <v>0</v>
      </c>
      <c r="L5514" s="142">
        <v>0</v>
      </c>
      <c r="M5514" s="142">
        <v>0</v>
      </c>
      <c r="N5514" s="142">
        <v>0</v>
      </c>
      <c r="O5514" s="142">
        <v>0</v>
      </c>
      <c r="P5514" s="158">
        <v>44.7</v>
      </c>
      <c r="Q5514" s="144" t="s">
        <v>186</v>
      </c>
    </row>
    <row r="5515" spans="1:17" s="162" customFormat="1" ht="108" x14ac:dyDescent="0.25">
      <c r="A5515" s="137">
        <v>41792</v>
      </c>
      <c r="B5515" s="137">
        <v>41793</v>
      </c>
      <c r="C5515" s="138">
        <v>2014</v>
      </c>
      <c r="D5515" s="351" t="s">
        <v>23</v>
      </c>
      <c r="E5515" s="14" t="s">
        <v>32</v>
      </c>
      <c r="F5515" s="7" t="s">
        <v>72</v>
      </c>
      <c r="G5515" s="139" t="s">
        <v>7922</v>
      </c>
      <c r="H5515" s="140" t="s">
        <v>7923</v>
      </c>
      <c r="I5515" s="179">
        <v>0</v>
      </c>
      <c r="J5515" s="183">
        <v>280</v>
      </c>
      <c r="K5515" s="142">
        <v>13</v>
      </c>
      <c r="L5515" s="142">
        <v>0</v>
      </c>
      <c r="M5515" s="142">
        <v>0</v>
      </c>
      <c r="N5515" s="142">
        <v>0</v>
      </c>
      <c r="O5515" s="142">
        <v>0</v>
      </c>
      <c r="P5515" s="158">
        <v>41.324620000000003</v>
      </c>
      <c r="Q5515" s="144" t="s">
        <v>7924</v>
      </c>
    </row>
    <row r="5516" spans="1:17" s="162" customFormat="1" ht="72" x14ac:dyDescent="0.25">
      <c r="A5516" s="137">
        <v>41934</v>
      </c>
      <c r="B5516" s="137">
        <v>41934</v>
      </c>
      <c r="C5516" s="138">
        <v>2014</v>
      </c>
      <c r="D5516" s="351" t="s">
        <v>23</v>
      </c>
      <c r="E5516" s="22" t="s">
        <v>86</v>
      </c>
      <c r="F5516" s="7" t="s">
        <v>80</v>
      </c>
      <c r="G5516" s="139" t="s">
        <v>7925</v>
      </c>
      <c r="H5516" s="140" t="s">
        <v>7926</v>
      </c>
      <c r="I5516" s="141">
        <v>0</v>
      </c>
      <c r="J5516" s="142">
        <v>32403</v>
      </c>
      <c r="K5516" s="142">
        <v>0</v>
      </c>
      <c r="L5516" s="142">
        <v>0</v>
      </c>
      <c r="M5516" s="142">
        <v>0</v>
      </c>
      <c r="N5516" s="142">
        <v>0</v>
      </c>
      <c r="O5516" s="142">
        <v>0</v>
      </c>
      <c r="P5516" s="158">
        <v>41.1</v>
      </c>
      <c r="Q5516" s="144" t="s">
        <v>186</v>
      </c>
    </row>
    <row r="5517" spans="1:17" s="162" customFormat="1" ht="72" x14ac:dyDescent="0.25">
      <c r="A5517" s="48">
        <v>41654</v>
      </c>
      <c r="B5517" s="48">
        <v>41660</v>
      </c>
      <c r="C5517" s="138">
        <v>2014</v>
      </c>
      <c r="D5517" s="351" t="s">
        <v>23</v>
      </c>
      <c r="E5517" s="22" t="s">
        <v>42</v>
      </c>
      <c r="F5517" s="7" t="s">
        <v>82</v>
      </c>
      <c r="G5517" s="139" t="s">
        <v>7927</v>
      </c>
      <c r="H5517" s="140" t="s">
        <v>7928</v>
      </c>
      <c r="I5517" s="182">
        <v>0</v>
      </c>
      <c r="J5517" s="142">
        <v>5314</v>
      </c>
      <c r="K5517" s="142">
        <v>0</v>
      </c>
      <c r="L5517" s="142">
        <v>0</v>
      </c>
      <c r="M5517" s="142">
        <v>0</v>
      </c>
      <c r="N5517" s="142">
        <v>0</v>
      </c>
      <c r="O5517" s="142">
        <v>2942.9</v>
      </c>
      <c r="P5517" s="158">
        <v>39.42</v>
      </c>
      <c r="Q5517" s="144" t="s">
        <v>7929</v>
      </c>
    </row>
    <row r="5518" spans="1:17" s="162" customFormat="1" ht="48" x14ac:dyDescent="0.25">
      <c r="A5518" s="137">
        <v>41781</v>
      </c>
      <c r="B5518" s="137">
        <v>41800</v>
      </c>
      <c r="C5518" s="138">
        <v>2014</v>
      </c>
      <c r="D5518" s="351" t="s">
        <v>23</v>
      </c>
      <c r="E5518" s="14" t="s">
        <v>52</v>
      </c>
      <c r="F5518" s="25" t="s">
        <v>781</v>
      </c>
      <c r="G5518" s="139" t="s">
        <v>7930</v>
      </c>
      <c r="H5518" s="140" t="s">
        <v>7931</v>
      </c>
      <c r="I5518" s="141">
        <v>0</v>
      </c>
      <c r="J5518" s="142">
        <v>245</v>
      </c>
      <c r="K5518" s="142">
        <v>0</v>
      </c>
      <c r="L5518" s="142">
        <v>0</v>
      </c>
      <c r="M5518" s="142">
        <v>0</v>
      </c>
      <c r="N5518" s="142">
        <v>0</v>
      </c>
      <c r="O5518" s="142">
        <v>3527.5</v>
      </c>
      <c r="P5518" s="158">
        <v>38.4</v>
      </c>
      <c r="Q5518" s="45" t="s">
        <v>2234</v>
      </c>
    </row>
    <row r="5519" spans="1:17" s="162" customFormat="1" ht="48" x14ac:dyDescent="0.25">
      <c r="A5519" s="48">
        <v>41792</v>
      </c>
      <c r="B5519" s="48">
        <v>41794</v>
      </c>
      <c r="C5519" s="138">
        <v>2014</v>
      </c>
      <c r="D5519" s="351" t="s">
        <v>23</v>
      </c>
      <c r="E5519" s="28" t="s">
        <v>327</v>
      </c>
      <c r="F5519" s="7" t="s">
        <v>40</v>
      </c>
      <c r="G5519" s="139" t="s">
        <v>7932</v>
      </c>
      <c r="H5519" s="140" t="s">
        <v>7933</v>
      </c>
      <c r="I5519" s="182">
        <v>0</v>
      </c>
      <c r="J5519" s="142">
        <v>0</v>
      </c>
      <c r="K5519" s="142">
        <v>0</v>
      </c>
      <c r="L5519" s="142">
        <v>0</v>
      </c>
      <c r="M5519" s="142">
        <v>0</v>
      </c>
      <c r="N5519" s="142">
        <v>0</v>
      </c>
      <c r="O5519" s="142">
        <v>0</v>
      </c>
      <c r="P5519" s="158">
        <v>36.646563999999998</v>
      </c>
      <c r="Q5519" s="144" t="s">
        <v>986</v>
      </c>
    </row>
    <row r="5520" spans="1:17" s="162" customFormat="1" ht="276" x14ac:dyDescent="0.25">
      <c r="A5520" s="137">
        <v>41929</v>
      </c>
      <c r="B5520" s="137">
        <v>41931</v>
      </c>
      <c r="C5520" s="138">
        <v>2014</v>
      </c>
      <c r="D5520" s="351" t="s">
        <v>23</v>
      </c>
      <c r="E5520" s="22" t="s">
        <v>86</v>
      </c>
      <c r="F5520" s="7" t="s">
        <v>72</v>
      </c>
      <c r="G5520" s="139" t="s">
        <v>7934</v>
      </c>
      <c r="H5520" s="140" t="s">
        <v>7935</v>
      </c>
      <c r="I5520" s="141">
        <v>0</v>
      </c>
      <c r="J5520" s="142">
        <v>74107</v>
      </c>
      <c r="K5520" s="142">
        <v>39</v>
      </c>
      <c r="L5520" s="142">
        <v>0</v>
      </c>
      <c r="M5520" s="142">
        <v>0</v>
      </c>
      <c r="N5520" s="142">
        <v>0</v>
      </c>
      <c r="O5520" s="142">
        <v>700</v>
      </c>
      <c r="P5520" s="158">
        <v>33.49</v>
      </c>
      <c r="Q5520" s="144" t="s">
        <v>154</v>
      </c>
    </row>
    <row r="5521" spans="1:17" s="162" customFormat="1" ht="60" x14ac:dyDescent="0.25">
      <c r="A5521" s="137">
        <v>41903</v>
      </c>
      <c r="B5521" s="137">
        <v>41904</v>
      </c>
      <c r="C5521" s="138">
        <v>2014</v>
      </c>
      <c r="D5521" s="351" t="s">
        <v>23</v>
      </c>
      <c r="E5521" s="14" t="s">
        <v>52</v>
      </c>
      <c r="F5521" s="7" t="s">
        <v>40</v>
      </c>
      <c r="G5521" s="139" t="s">
        <v>2097</v>
      </c>
      <c r="H5521" s="139" t="s">
        <v>7936</v>
      </c>
      <c r="I5521" s="141">
        <v>0</v>
      </c>
      <c r="J5521" s="142">
        <v>0</v>
      </c>
      <c r="K5521" s="142">
        <v>0</v>
      </c>
      <c r="L5521" s="142">
        <v>0</v>
      </c>
      <c r="M5521" s="142">
        <v>0</v>
      </c>
      <c r="N5521" s="142">
        <v>0</v>
      </c>
      <c r="O5521" s="142">
        <v>0</v>
      </c>
      <c r="P5521" s="158">
        <v>32.799999999999997</v>
      </c>
      <c r="Q5521" s="144" t="s">
        <v>186</v>
      </c>
    </row>
    <row r="5522" spans="1:17" s="162" customFormat="1" ht="72" x14ac:dyDescent="0.25">
      <c r="A5522" s="137">
        <v>41947</v>
      </c>
      <c r="B5522" s="137">
        <v>41949</v>
      </c>
      <c r="C5522" s="138">
        <v>2014</v>
      </c>
      <c r="D5522" s="351" t="s">
        <v>23</v>
      </c>
      <c r="E5522" s="22" t="s">
        <v>86</v>
      </c>
      <c r="F5522" s="7" t="s">
        <v>49</v>
      </c>
      <c r="G5522" s="139" t="s">
        <v>7937</v>
      </c>
      <c r="H5522" s="140" t="s">
        <v>7938</v>
      </c>
      <c r="I5522" s="141">
        <v>0</v>
      </c>
      <c r="J5522" s="142">
        <v>47814</v>
      </c>
      <c r="K5522" s="142">
        <v>0</v>
      </c>
      <c r="L5522" s="142">
        <v>0</v>
      </c>
      <c r="M5522" s="142">
        <v>0</v>
      </c>
      <c r="N5522" s="142">
        <v>0</v>
      </c>
      <c r="O5522" s="142">
        <v>0</v>
      </c>
      <c r="P5522" s="158">
        <v>30.5</v>
      </c>
      <c r="Q5522" s="144" t="s">
        <v>186</v>
      </c>
    </row>
    <row r="5523" spans="1:17" s="162" customFormat="1" ht="72" x14ac:dyDescent="0.25">
      <c r="A5523" s="48">
        <v>41845</v>
      </c>
      <c r="B5523" s="48">
        <v>41845</v>
      </c>
      <c r="C5523" s="138">
        <v>2014</v>
      </c>
      <c r="D5523" s="351" t="s">
        <v>23</v>
      </c>
      <c r="E5523" s="14" t="s">
        <v>52</v>
      </c>
      <c r="F5523" s="7" t="s">
        <v>87</v>
      </c>
      <c r="G5523" s="139" t="s">
        <v>567</v>
      </c>
      <c r="H5523" s="140" t="s">
        <v>7939</v>
      </c>
      <c r="I5523" s="141">
        <v>1</v>
      </c>
      <c r="J5523" s="142">
        <v>0</v>
      </c>
      <c r="K5523" s="142">
        <v>0</v>
      </c>
      <c r="L5523" s="142" t="s">
        <v>110</v>
      </c>
      <c r="M5523" s="142">
        <v>0</v>
      </c>
      <c r="N5523" s="142">
        <v>0</v>
      </c>
      <c r="O5523" s="142">
        <v>0</v>
      </c>
      <c r="P5523" s="158">
        <v>30.1</v>
      </c>
      <c r="Q5523" s="144" t="s">
        <v>186</v>
      </c>
    </row>
    <row r="5524" spans="1:17" s="162" customFormat="1" ht="48" x14ac:dyDescent="0.25">
      <c r="A5524" s="48">
        <v>41654</v>
      </c>
      <c r="B5524" s="48">
        <v>41660</v>
      </c>
      <c r="C5524" s="138">
        <v>2014</v>
      </c>
      <c r="D5524" s="351" t="s">
        <v>23</v>
      </c>
      <c r="E5524" s="22" t="s">
        <v>42</v>
      </c>
      <c r="F5524" s="7" t="s">
        <v>53</v>
      </c>
      <c r="G5524" s="139" t="s">
        <v>7940</v>
      </c>
      <c r="H5524" s="140" t="s">
        <v>7941</v>
      </c>
      <c r="I5524" s="182">
        <v>0</v>
      </c>
      <c r="J5524" s="142">
        <v>0</v>
      </c>
      <c r="K5524" s="142">
        <v>0</v>
      </c>
      <c r="L5524" s="142">
        <v>0</v>
      </c>
      <c r="M5524" s="142">
        <v>0</v>
      </c>
      <c r="N5524" s="142">
        <v>0</v>
      </c>
      <c r="O5524" s="142">
        <v>0</v>
      </c>
      <c r="P5524" s="158">
        <v>28.013930999999999</v>
      </c>
      <c r="Q5524" s="144" t="s">
        <v>986</v>
      </c>
    </row>
    <row r="5525" spans="1:17" s="162" customFormat="1" ht="84" x14ac:dyDescent="0.25">
      <c r="A5525" s="137">
        <v>41925</v>
      </c>
      <c r="B5525" s="137">
        <v>41927</v>
      </c>
      <c r="C5525" s="138">
        <v>2014</v>
      </c>
      <c r="D5525" s="351" t="s">
        <v>23</v>
      </c>
      <c r="E5525" s="14" t="s">
        <v>52</v>
      </c>
      <c r="F5525" s="28" t="s">
        <v>210</v>
      </c>
      <c r="G5525" s="139" t="s">
        <v>7942</v>
      </c>
      <c r="H5525" s="140" t="s">
        <v>7943</v>
      </c>
      <c r="I5525" s="141">
        <v>0</v>
      </c>
      <c r="J5525" s="142">
        <v>19773</v>
      </c>
      <c r="K5525" s="142">
        <v>0</v>
      </c>
      <c r="L5525" s="142">
        <v>0</v>
      </c>
      <c r="M5525" s="142">
        <v>0</v>
      </c>
      <c r="N5525" s="142">
        <v>0</v>
      </c>
      <c r="O5525" s="142">
        <v>0</v>
      </c>
      <c r="P5525" s="158">
        <v>24.9</v>
      </c>
      <c r="Q5525" s="144" t="s">
        <v>186</v>
      </c>
    </row>
    <row r="5526" spans="1:17" s="162" customFormat="1" ht="108" x14ac:dyDescent="0.25">
      <c r="A5526" s="137">
        <v>41912</v>
      </c>
      <c r="B5526" s="137">
        <v>41913</v>
      </c>
      <c r="C5526" s="138">
        <v>2014</v>
      </c>
      <c r="D5526" s="351" t="s">
        <v>23</v>
      </c>
      <c r="E5526" s="22" t="s">
        <v>86</v>
      </c>
      <c r="F5526" s="7" t="s">
        <v>60</v>
      </c>
      <c r="G5526" s="139" t="s">
        <v>7944</v>
      </c>
      <c r="H5526" s="140" t="s">
        <v>7945</v>
      </c>
      <c r="I5526" s="141">
        <v>0</v>
      </c>
      <c r="J5526" s="142">
        <v>6588</v>
      </c>
      <c r="K5526" s="142">
        <v>1171</v>
      </c>
      <c r="L5526" s="142">
        <v>3</v>
      </c>
      <c r="M5526" s="142">
        <v>0</v>
      </c>
      <c r="N5526" s="142">
        <v>1</v>
      </c>
      <c r="O5526" s="142">
        <v>0</v>
      </c>
      <c r="P5526" s="158">
        <f>23.26906+0.8</f>
        <v>24.06906</v>
      </c>
      <c r="Q5526" s="144" t="s">
        <v>7883</v>
      </c>
    </row>
    <row r="5527" spans="1:17" s="162" customFormat="1" ht="36" x14ac:dyDescent="0.25">
      <c r="A5527" s="184">
        <v>41843</v>
      </c>
      <c r="B5527" s="184">
        <v>41843</v>
      </c>
      <c r="C5527" s="138">
        <v>2014</v>
      </c>
      <c r="D5527" s="351" t="s">
        <v>23</v>
      </c>
      <c r="E5527" s="14" t="s">
        <v>32</v>
      </c>
      <c r="F5527" s="7" t="s">
        <v>47</v>
      </c>
      <c r="G5527" s="139" t="s">
        <v>7946</v>
      </c>
      <c r="H5527" s="185" t="s">
        <v>7947</v>
      </c>
      <c r="I5527" s="141">
        <v>0</v>
      </c>
      <c r="J5527" s="142">
        <v>82</v>
      </c>
      <c r="K5527" s="142">
        <v>0</v>
      </c>
      <c r="L5527" s="142">
        <v>0</v>
      </c>
      <c r="M5527" s="142">
        <v>0</v>
      </c>
      <c r="N5527" s="142">
        <v>0</v>
      </c>
      <c r="O5527" s="142">
        <v>333.5</v>
      </c>
      <c r="P5527" s="158">
        <v>22.9</v>
      </c>
      <c r="Q5527" s="45" t="s">
        <v>2234</v>
      </c>
    </row>
    <row r="5528" spans="1:17" s="162" customFormat="1" ht="48" x14ac:dyDescent="0.25">
      <c r="A5528" s="48">
        <v>41654</v>
      </c>
      <c r="B5528" s="48">
        <v>41660</v>
      </c>
      <c r="C5528" s="138">
        <v>2014</v>
      </c>
      <c r="D5528" s="351" t="s">
        <v>23</v>
      </c>
      <c r="E5528" s="22" t="s">
        <v>42</v>
      </c>
      <c r="F5528" s="7" t="s">
        <v>62</v>
      </c>
      <c r="G5528" s="139" t="s">
        <v>7948</v>
      </c>
      <c r="H5528" s="140" t="s">
        <v>7949</v>
      </c>
      <c r="I5528" s="182">
        <v>0</v>
      </c>
      <c r="J5528" s="142">
        <v>0</v>
      </c>
      <c r="K5528" s="142">
        <v>0</v>
      </c>
      <c r="L5528" s="142">
        <v>0</v>
      </c>
      <c r="M5528" s="142">
        <v>0</v>
      </c>
      <c r="N5528" s="142">
        <v>0</v>
      </c>
      <c r="O5528" s="142">
        <v>0</v>
      </c>
      <c r="P5528" s="158">
        <v>22.740044999999999</v>
      </c>
      <c r="Q5528" s="144" t="s">
        <v>986</v>
      </c>
    </row>
    <row r="5529" spans="1:17" s="162" customFormat="1" ht="72" x14ac:dyDescent="0.25">
      <c r="A5529" s="184">
        <v>41886</v>
      </c>
      <c r="B5529" s="184">
        <v>41888</v>
      </c>
      <c r="C5529" s="138">
        <v>2014</v>
      </c>
      <c r="D5529" s="351" t="s">
        <v>23</v>
      </c>
      <c r="E5529" s="22" t="s">
        <v>86</v>
      </c>
      <c r="F5529" s="7" t="s">
        <v>33</v>
      </c>
      <c r="G5529" s="33" t="s">
        <v>7950</v>
      </c>
      <c r="H5529" s="140" t="s">
        <v>7951</v>
      </c>
      <c r="I5529" s="141">
        <v>0</v>
      </c>
      <c r="J5529" s="142">
        <v>19122</v>
      </c>
      <c r="K5529" s="142">
        <v>0</v>
      </c>
      <c r="L5529" s="142">
        <v>0</v>
      </c>
      <c r="M5529" s="142">
        <v>0</v>
      </c>
      <c r="N5529" s="142">
        <v>0</v>
      </c>
      <c r="O5529" s="142">
        <v>0</v>
      </c>
      <c r="P5529" s="158">
        <v>22.7</v>
      </c>
      <c r="Q5529" s="144" t="s">
        <v>186</v>
      </c>
    </row>
    <row r="5530" spans="1:17" s="162" customFormat="1" ht="132" x14ac:dyDescent="0.25">
      <c r="A5530" s="48">
        <v>41898</v>
      </c>
      <c r="B5530" s="48">
        <v>41899</v>
      </c>
      <c r="C5530" s="138">
        <v>2014</v>
      </c>
      <c r="D5530" s="351" t="s">
        <v>23</v>
      </c>
      <c r="E5530" s="14" t="s">
        <v>32</v>
      </c>
      <c r="F5530" s="7" t="s">
        <v>87</v>
      </c>
      <c r="G5530" s="139" t="s">
        <v>7952</v>
      </c>
      <c r="H5530" s="140" t="s">
        <v>7953</v>
      </c>
      <c r="I5530" s="141">
        <v>0</v>
      </c>
      <c r="J5530" s="142">
        <v>0</v>
      </c>
      <c r="K5530" s="142">
        <v>0</v>
      </c>
      <c r="L5530" s="142" t="s">
        <v>110</v>
      </c>
      <c r="M5530" s="142">
        <v>0</v>
      </c>
      <c r="N5530" s="142">
        <v>0</v>
      </c>
      <c r="O5530" s="142">
        <v>0</v>
      </c>
      <c r="P5530" s="158">
        <v>22.4</v>
      </c>
      <c r="Q5530" s="144" t="s">
        <v>986</v>
      </c>
    </row>
    <row r="5531" spans="1:17" s="162" customFormat="1" ht="60" x14ac:dyDescent="0.25">
      <c r="A5531" s="184">
        <v>41884</v>
      </c>
      <c r="B5531" s="184">
        <v>41885</v>
      </c>
      <c r="C5531" s="138">
        <v>2014</v>
      </c>
      <c r="D5531" s="351" t="s">
        <v>23</v>
      </c>
      <c r="E5531" s="180" t="s">
        <v>5893</v>
      </c>
      <c r="F5531" s="28" t="s">
        <v>210</v>
      </c>
      <c r="G5531" s="33" t="s">
        <v>7954</v>
      </c>
      <c r="H5531" s="33" t="s">
        <v>7955</v>
      </c>
      <c r="I5531" s="141">
        <v>0</v>
      </c>
      <c r="J5531" s="142">
        <v>23978</v>
      </c>
      <c r="K5531" s="142">
        <v>0</v>
      </c>
      <c r="L5531" s="142">
        <v>0</v>
      </c>
      <c r="M5531" s="142">
        <v>0</v>
      </c>
      <c r="N5531" s="142">
        <v>0</v>
      </c>
      <c r="O5531" s="142">
        <v>0</v>
      </c>
      <c r="P5531" s="158">
        <v>18.3</v>
      </c>
      <c r="Q5531" s="144" t="s">
        <v>186</v>
      </c>
    </row>
    <row r="5532" spans="1:17" s="162" customFormat="1" ht="84" x14ac:dyDescent="0.25">
      <c r="A5532" s="48">
        <v>41902</v>
      </c>
      <c r="B5532" s="48">
        <v>41902</v>
      </c>
      <c r="C5532" s="138">
        <v>2014</v>
      </c>
      <c r="D5532" s="351" t="s">
        <v>23</v>
      </c>
      <c r="E5532" s="180" t="s">
        <v>5893</v>
      </c>
      <c r="F5532" s="7" t="s">
        <v>82</v>
      </c>
      <c r="G5532" s="139" t="s">
        <v>7956</v>
      </c>
      <c r="H5532" s="140" t="s">
        <v>7957</v>
      </c>
      <c r="I5532" s="141">
        <v>0</v>
      </c>
      <c r="J5532" s="142">
        <v>136</v>
      </c>
      <c r="K5532" s="142">
        <v>0</v>
      </c>
      <c r="L5532" s="142">
        <v>0</v>
      </c>
      <c r="M5532" s="142">
        <v>0</v>
      </c>
      <c r="N5532" s="142">
        <v>0</v>
      </c>
      <c r="O5532" s="142">
        <v>322</v>
      </c>
      <c r="P5532" s="158">
        <v>17.7</v>
      </c>
      <c r="Q5532" s="45" t="s">
        <v>2234</v>
      </c>
    </row>
    <row r="5533" spans="1:17" s="162" customFormat="1" ht="36" x14ac:dyDescent="0.25">
      <c r="A5533" s="137">
        <v>41640</v>
      </c>
      <c r="B5533" s="137">
        <v>42004</v>
      </c>
      <c r="C5533" s="138">
        <v>2014</v>
      </c>
      <c r="D5533" s="35" t="s">
        <v>28</v>
      </c>
      <c r="E5533" s="14" t="s">
        <v>29</v>
      </c>
      <c r="F5533" s="7" t="s">
        <v>47</v>
      </c>
      <c r="G5533" s="139" t="s">
        <v>26</v>
      </c>
      <c r="H5533" s="140" t="s">
        <v>7958</v>
      </c>
      <c r="I5533" s="141">
        <v>0</v>
      </c>
      <c r="J5533" s="142">
        <v>0</v>
      </c>
      <c r="K5533" s="142">
        <v>0</v>
      </c>
      <c r="L5533" s="142">
        <v>0</v>
      </c>
      <c r="M5533" s="142">
        <v>0</v>
      </c>
      <c r="N5533" s="142">
        <v>0</v>
      </c>
      <c r="O5533" s="142">
        <v>17600.52</v>
      </c>
      <c r="P5533" s="158">
        <v>17.600519999999999</v>
      </c>
      <c r="Q5533" s="144" t="s">
        <v>3556</v>
      </c>
    </row>
    <row r="5534" spans="1:17" s="162" customFormat="1" ht="72" x14ac:dyDescent="0.25">
      <c r="A5534" s="137">
        <v>41808</v>
      </c>
      <c r="B5534" s="137">
        <v>41808</v>
      </c>
      <c r="C5534" s="138">
        <v>2014</v>
      </c>
      <c r="D5534" s="351" t="s">
        <v>23</v>
      </c>
      <c r="E5534" s="22" t="s">
        <v>86</v>
      </c>
      <c r="F5534" s="7" t="s">
        <v>45</v>
      </c>
      <c r="G5534" s="139" t="s">
        <v>7959</v>
      </c>
      <c r="H5534" s="140" t="s">
        <v>7960</v>
      </c>
      <c r="I5534" s="182">
        <v>0</v>
      </c>
      <c r="J5534" s="142">
        <v>15000</v>
      </c>
      <c r="K5534" s="142">
        <v>3000</v>
      </c>
      <c r="L5534" s="142">
        <v>2</v>
      </c>
      <c r="M5534" s="142">
        <v>0</v>
      </c>
      <c r="N5534" s="142">
        <v>0</v>
      </c>
      <c r="O5534" s="142">
        <v>0</v>
      </c>
      <c r="P5534" s="158">
        <v>16.5</v>
      </c>
      <c r="Q5534" s="144" t="s">
        <v>154</v>
      </c>
    </row>
    <row r="5535" spans="1:17" s="162" customFormat="1" ht="84" x14ac:dyDescent="0.25">
      <c r="A5535" s="137">
        <v>41640</v>
      </c>
      <c r="B5535" s="137">
        <v>42004</v>
      </c>
      <c r="C5535" s="138">
        <v>2014</v>
      </c>
      <c r="D5535" s="35" t="s">
        <v>28</v>
      </c>
      <c r="E5535" s="14" t="s">
        <v>29</v>
      </c>
      <c r="F5535" s="7" t="s">
        <v>30</v>
      </c>
      <c r="G5535" s="139" t="s">
        <v>26</v>
      </c>
      <c r="H5535" s="140" t="s">
        <v>7961</v>
      </c>
      <c r="I5535" s="141">
        <v>0</v>
      </c>
      <c r="J5535" s="142">
        <v>730</v>
      </c>
      <c r="K5535" s="142">
        <v>6</v>
      </c>
      <c r="L5535" s="142">
        <v>0</v>
      </c>
      <c r="M5535" s="142">
        <v>0</v>
      </c>
      <c r="N5535" s="142">
        <v>0</v>
      </c>
      <c r="O5535" s="142">
        <v>15638.95</v>
      </c>
      <c r="P5535" s="158">
        <v>16.266949999999998</v>
      </c>
      <c r="Q5535" s="144" t="s">
        <v>7962</v>
      </c>
    </row>
    <row r="5536" spans="1:17" s="162" customFormat="1" ht="36" x14ac:dyDescent="0.25">
      <c r="A5536" s="48">
        <v>41947</v>
      </c>
      <c r="B5536" s="48">
        <v>41947</v>
      </c>
      <c r="C5536" s="138">
        <v>2014</v>
      </c>
      <c r="D5536" s="24" t="s">
        <v>141</v>
      </c>
      <c r="E5536" s="22" t="s">
        <v>420</v>
      </c>
      <c r="F5536" s="28" t="s">
        <v>157</v>
      </c>
      <c r="G5536" s="139" t="s">
        <v>1872</v>
      </c>
      <c r="H5536" s="140" t="s">
        <v>7963</v>
      </c>
      <c r="I5536" s="141">
        <v>0</v>
      </c>
      <c r="J5536" s="142"/>
      <c r="K5536" s="142">
        <v>0</v>
      </c>
      <c r="L5536" s="142">
        <v>0</v>
      </c>
      <c r="M5536" s="142">
        <v>0</v>
      </c>
      <c r="N5536" s="142">
        <v>0</v>
      </c>
      <c r="O5536" s="142">
        <v>0</v>
      </c>
      <c r="P5536" s="158">
        <v>14</v>
      </c>
      <c r="Q5536" s="144" t="s">
        <v>7964</v>
      </c>
    </row>
    <row r="5537" spans="1:17" s="162" customFormat="1" ht="60" x14ac:dyDescent="0.25">
      <c r="A5537" s="137">
        <v>41910</v>
      </c>
      <c r="B5537" s="137">
        <v>41911</v>
      </c>
      <c r="C5537" s="138">
        <v>2014</v>
      </c>
      <c r="D5537" s="351" t="s">
        <v>23</v>
      </c>
      <c r="E5537" s="22" t="s">
        <v>86</v>
      </c>
      <c r="F5537" s="28" t="s">
        <v>210</v>
      </c>
      <c r="G5537" s="139" t="s">
        <v>7965</v>
      </c>
      <c r="H5537" s="140" t="s">
        <v>7966</v>
      </c>
      <c r="I5537" s="141">
        <v>0</v>
      </c>
      <c r="J5537" s="142">
        <v>21190</v>
      </c>
      <c r="K5537" s="142">
        <v>0</v>
      </c>
      <c r="L5537" s="142">
        <v>0</v>
      </c>
      <c r="M5537" s="142">
        <v>0</v>
      </c>
      <c r="N5537" s="142">
        <v>0</v>
      </c>
      <c r="O5537" s="142">
        <v>0</v>
      </c>
      <c r="P5537" s="158">
        <v>13.8</v>
      </c>
      <c r="Q5537" s="144" t="s">
        <v>186</v>
      </c>
    </row>
    <row r="5538" spans="1:17" s="162" customFormat="1" ht="72" x14ac:dyDescent="0.25">
      <c r="A5538" s="137">
        <v>41756</v>
      </c>
      <c r="B5538" s="137">
        <v>41756</v>
      </c>
      <c r="C5538" s="138">
        <v>2014</v>
      </c>
      <c r="D5538" s="351" t="s">
        <v>23</v>
      </c>
      <c r="E5538" s="180" t="s">
        <v>5893</v>
      </c>
      <c r="F5538" s="28" t="s">
        <v>210</v>
      </c>
      <c r="G5538" s="139" t="s">
        <v>7967</v>
      </c>
      <c r="H5538" s="140" t="s">
        <v>7968</v>
      </c>
      <c r="I5538" s="179">
        <v>0</v>
      </c>
      <c r="J5538" s="31">
        <v>4615</v>
      </c>
      <c r="K5538" s="142">
        <v>923</v>
      </c>
      <c r="L5538" s="142">
        <v>0</v>
      </c>
      <c r="M5538" s="142">
        <v>0</v>
      </c>
      <c r="N5538" s="142">
        <v>0</v>
      </c>
      <c r="O5538" s="142">
        <v>0</v>
      </c>
      <c r="P5538" s="158">
        <v>13.06830808</v>
      </c>
      <c r="Q5538" s="144" t="s">
        <v>7883</v>
      </c>
    </row>
    <row r="5539" spans="1:17" s="162" customFormat="1" ht="48" x14ac:dyDescent="0.25">
      <c r="A5539" s="48">
        <v>41654</v>
      </c>
      <c r="B5539" s="48">
        <v>41660</v>
      </c>
      <c r="C5539" s="138">
        <v>2014</v>
      </c>
      <c r="D5539" s="351" t="s">
        <v>23</v>
      </c>
      <c r="E5539" s="22" t="s">
        <v>42</v>
      </c>
      <c r="F5539" s="7" t="s">
        <v>49</v>
      </c>
      <c r="G5539" s="139" t="s">
        <v>7969</v>
      </c>
      <c r="H5539" s="140" t="s">
        <v>7970</v>
      </c>
      <c r="I5539" s="182">
        <v>0</v>
      </c>
      <c r="J5539" s="142">
        <v>0</v>
      </c>
      <c r="K5539" s="142">
        <v>0</v>
      </c>
      <c r="L5539" s="142">
        <v>0</v>
      </c>
      <c r="M5539" s="142">
        <v>0</v>
      </c>
      <c r="N5539" s="142">
        <v>0</v>
      </c>
      <c r="O5539" s="142">
        <v>0</v>
      </c>
      <c r="P5539" s="158">
        <v>12.649409</v>
      </c>
      <c r="Q5539" s="144" t="s">
        <v>986</v>
      </c>
    </row>
    <row r="5540" spans="1:17" s="162" customFormat="1" ht="72" x14ac:dyDescent="0.25">
      <c r="A5540" s="48">
        <v>41840</v>
      </c>
      <c r="B5540" s="48">
        <v>41841</v>
      </c>
      <c r="C5540" s="138">
        <v>2014</v>
      </c>
      <c r="D5540" s="351" t="s">
        <v>23</v>
      </c>
      <c r="E5540" s="186" t="s">
        <v>2691</v>
      </c>
      <c r="F5540" s="7" t="s">
        <v>58</v>
      </c>
      <c r="G5540" s="139" t="s">
        <v>7971</v>
      </c>
      <c r="H5540" s="140" t="s">
        <v>7972</v>
      </c>
      <c r="I5540" s="182">
        <v>0</v>
      </c>
      <c r="J5540" s="142">
        <v>0</v>
      </c>
      <c r="K5540" s="142">
        <v>0</v>
      </c>
      <c r="L5540" s="142">
        <v>0</v>
      </c>
      <c r="M5540" s="142">
        <v>0</v>
      </c>
      <c r="N5540" s="142">
        <v>0</v>
      </c>
      <c r="O5540" s="142">
        <v>0</v>
      </c>
      <c r="P5540" s="158">
        <v>11.76866042</v>
      </c>
      <c r="Q5540" s="144" t="s">
        <v>986</v>
      </c>
    </row>
    <row r="5541" spans="1:17" s="162" customFormat="1" ht="72" x14ac:dyDescent="0.25">
      <c r="A5541" s="48">
        <v>41840</v>
      </c>
      <c r="B5541" s="48">
        <v>41845</v>
      </c>
      <c r="C5541" s="138">
        <v>2014</v>
      </c>
      <c r="D5541" s="351" t="s">
        <v>23</v>
      </c>
      <c r="E5541" s="180" t="s">
        <v>5893</v>
      </c>
      <c r="F5541" s="7" t="s">
        <v>58</v>
      </c>
      <c r="G5541" s="139" t="s">
        <v>7973</v>
      </c>
      <c r="H5541" s="140" t="s">
        <v>7974</v>
      </c>
      <c r="I5541" s="182">
        <v>0</v>
      </c>
      <c r="J5541" s="142">
        <v>0</v>
      </c>
      <c r="K5541" s="142">
        <v>0</v>
      </c>
      <c r="L5541" s="142">
        <v>0</v>
      </c>
      <c r="M5541" s="142">
        <v>0</v>
      </c>
      <c r="N5541" s="142">
        <v>0</v>
      </c>
      <c r="O5541" s="142">
        <v>0</v>
      </c>
      <c r="P5541" s="158">
        <v>11.147334599999999</v>
      </c>
      <c r="Q5541" s="144" t="s">
        <v>986</v>
      </c>
    </row>
    <row r="5542" spans="1:17" s="162" customFormat="1" ht="84" x14ac:dyDescent="0.25">
      <c r="A5542" s="48">
        <v>41821</v>
      </c>
      <c r="B5542" s="48">
        <v>41829</v>
      </c>
      <c r="C5542" s="138">
        <v>2014</v>
      </c>
      <c r="D5542" s="351" t="s">
        <v>23</v>
      </c>
      <c r="E5542" s="22" t="s">
        <v>86</v>
      </c>
      <c r="F5542" s="7" t="s">
        <v>33</v>
      </c>
      <c r="G5542" s="139" t="s">
        <v>7975</v>
      </c>
      <c r="H5542" s="140" t="s">
        <v>7976</v>
      </c>
      <c r="I5542" s="182">
        <v>0</v>
      </c>
      <c r="J5542" s="142">
        <v>0</v>
      </c>
      <c r="K5542" s="142">
        <v>0</v>
      </c>
      <c r="L5542" s="142">
        <v>0</v>
      </c>
      <c r="M5542" s="142">
        <v>0</v>
      </c>
      <c r="N5542" s="142">
        <v>0</v>
      </c>
      <c r="O5542" s="142">
        <v>0</v>
      </c>
      <c r="P5542" s="158">
        <v>11.124382499999999</v>
      </c>
      <c r="Q5542" s="144" t="s">
        <v>986</v>
      </c>
    </row>
    <row r="5543" spans="1:17" s="162" customFormat="1" ht="48" x14ac:dyDescent="0.25">
      <c r="A5543" s="137">
        <v>41640</v>
      </c>
      <c r="B5543" s="137">
        <v>42004</v>
      </c>
      <c r="C5543" s="138">
        <v>2014</v>
      </c>
      <c r="D5543" s="35" t="s">
        <v>28</v>
      </c>
      <c r="E5543" s="14" t="s">
        <v>29</v>
      </c>
      <c r="F5543" s="7" t="s">
        <v>72</v>
      </c>
      <c r="G5543" s="139" t="s">
        <v>26</v>
      </c>
      <c r="H5543" s="140" t="s">
        <v>7977</v>
      </c>
      <c r="I5543" s="141">
        <v>0</v>
      </c>
      <c r="J5543" s="142">
        <v>0</v>
      </c>
      <c r="K5543" s="142">
        <v>0</v>
      </c>
      <c r="L5543" s="142">
        <v>0</v>
      </c>
      <c r="M5543" s="142">
        <v>0</v>
      </c>
      <c r="N5543" s="142">
        <v>0</v>
      </c>
      <c r="O5543" s="142">
        <v>11070.5</v>
      </c>
      <c r="P5543" s="158">
        <v>11.070499999999999</v>
      </c>
      <c r="Q5543" s="144" t="s">
        <v>3556</v>
      </c>
    </row>
    <row r="5544" spans="1:17" s="162" customFormat="1" ht="60" x14ac:dyDescent="0.25">
      <c r="A5544" s="137">
        <v>41991</v>
      </c>
      <c r="B5544" s="137">
        <v>41994</v>
      </c>
      <c r="C5544" s="138">
        <v>2014</v>
      </c>
      <c r="D5544" s="351" t="s">
        <v>23</v>
      </c>
      <c r="E5544" s="22" t="s">
        <v>86</v>
      </c>
      <c r="F5544" s="7" t="s">
        <v>40</v>
      </c>
      <c r="G5544" s="139" t="s">
        <v>7978</v>
      </c>
      <c r="H5544" s="140" t="s">
        <v>7979</v>
      </c>
      <c r="I5544" s="141">
        <v>0</v>
      </c>
      <c r="J5544" s="142">
        <v>465</v>
      </c>
      <c r="K5544" s="142">
        <v>0</v>
      </c>
      <c r="L5544" s="142">
        <v>0</v>
      </c>
      <c r="M5544" s="142">
        <v>0</v>
      </c>
      <c r="N5544" s="142">
        <v>0</v>
      </c>
      <c r="O5544" s="142">
        <v>699</v>
      </c>
      <c r="P5544" s="158">
        <v>10.4</v>
      </c>
      <c r="Q5544" s="45" t="s">
        <v>2234</v>
      </c>
    </row>
    <row r="5545" spans="1:17" s="162" customFormat="1" ht="48" x14ac:dyDescent="0.25">
      <c r="A5545" s="48">
        <v>41654</v>
      </c>
      <c r="B5545" s="48">
        <v>41660</v>
      </c>
      <c r="C5545" s="138">
        <v>2014</v>
      </c>
      <c r="D5545" s="351" t="s">
        <v>23</v>
      </c>
      <c r="E5545" s="22" t="s">
        <v>42</v>
      </c>
      <c r="F5545" s="7" t="s">
        <v>45</v>
      </c>
      <c r="G5545" s="139" t="s">
        <v>6416</v>
      </c>
      <c r="H5545" s="140" t="s">
        <v>7980</v>
      </c>
      <c r="I5545" s="182">
        <v>0</v>
      </c>
      <c r="J5545" s="142">
        <v>0</v>
      </c>
      <c r="K5545" s="142">
        <v>0</v>
      </c>
      <c r="L5545" s="142">
        <v>0</v>
      </c>
      <c r="M5545" s="142">
        <v>0</v>
      </c>
      <c r="N5545" s="142">
        <v>0</v>
      </c>
      <c r="O5545" s="142">
        <v>0</v>
      </c>
      <c r="P5545" s="158">
        <v>10.225439</v>
      </c>
      <c r="Q5545" s="144" t="s">
        <v>986</v>
      </c>
    </row>
    <row r="5546" spans="1:17" s="162" customFormat="1" ht="144" x14ac:dyDescent="0.25">
      <c r="A5546" s="48">
        <v>41872</v>
      </c>
      <c r="B5546" s="48">
        <v>41872</v>
      </c>
      <c r="C5546" s="138">
        <v>2014</v>
      </c>
      <c r="D5546" s="351" t="s">
        <v>23</v>
      </c>
      <c r="E5546" s="14" t="s">
        <v>52</v>
      </c>
      <c r="F5546" s="7" t="s">
        <v>84</v>
      </c>
      <c r="G5546" s="139" t="s">
        <v>7981</v>
      </c>
      <c r="H5546" s="140" t="s">
        <v>7982</v>
      </c>
      <c r="I5546" s="179">
        <v>0</v>
      </c>
      <c r="J5546" s="142">
        <v>12152</v>
      </c>
      <c r="K5546" s="142">
        <v>100</v>
      </c>
      <c r="L5546" s="142">
        <v>0</v>
      </c>
      <c r="M5546" s="142">
        <v>0</v>
      </c>
      <c r="N5546" s="142">
        <v>0</v>
      </c>
      <c r="O5546" s="142">
        <v>0</v>
      </c>
      <c r="P5546" s="158">
        <f>1.3438+8.7</f>
        <v>10.043799999999999</v>
      </c>
      <c r="Q5546" s="144" t="s">
        <v>7883</v>
      </c>
    </row>
    <row r="5547" spans="1:17" s="162" customFormat="1" ht="108" x14ac:dyDescent="0.25">
      <c r="A5547" s="137">
        <v>41830</v>
      </c>
      <c r="B5547" s="137">
        <v>41830</v>
      </c>
      <c r="C5547" s="138">
        <v>2014</v>
      </c>
      <c r="D5547" s="351" t="s">
        <v>23</v>
      </c>
      <c r="E5547" s="14" t="s">
        <v>52</v>
      </c>
      <c r="F5547" s="7" t="s">
        <v>56</v>
      </c>
      <c r="G5547" s="139" t="s">
        <v>7983</v>
      </c>
      <c r="H5547" s="140" t="s">
        <v>7984</v>
      </c>
      <c r="I5547" s="182">
        <v>0</v>
      </c>
      <c r="J5547" s="142">
        <v>2672</v>
      </c>
      <c r="K5547" s="142">
        <v>342</v>
      </c>
      <c r="L5547" s="142">
        <v>0</v>
      </c>
      <c r="M5547" s="142">
        <v>0</v>
      </c>
      <c r="N5547" s="142">
        <v>0</v>
      </c>
      <c r="O5547" s="142">
        <v>0</v>
      </c>
      <c r="P5547" s="158">
        <v>9.4634999999999998</v>
      </c>
      <c r="Q5547" s="144" t="s">
        <v>154</v>
      </c>
    </row>
    <row r="5548" spans="1:17" s="162" customFormat="1" ht="72" x14ac:dyDescent="0.25">
      <c r="A5548" s="48">
        <v>41826</v>
      </c>
      <c r="B5548" s="48">
        <v>41828</v>
      </c>
      <c r="C5548" s="138">
        <v>2014</v>
      </c>
      <c r="D5548" s="351" t="s">
        <v>23</v>
      </c>
      <c r="E5548" s="14" t="s">
        <v>52</v>
      </c>
      <c r="F5548" s="7" t="s">
        <v>84</v>
      </c>
      <c r="G5548" s="139" t="s">
        <v>7985</v>
      </c>
      <c r="H5548" s="140" t="s">
        <v>7986</v>
      </c>
      <c r="I5548" s="182">
        <v>0</v>
      </c>
      <c r="J5548" s="142">
        <v>0</v>
      </c>
      <c r="K5548" s="142">
        <v>0</v>
      </c>
      <c r="L5548" s="142">
        <v>0</v>
      </c>
      <c r="M5548" s="142">
        <v>0</v>
      </c>
      <c r="N5548" s="142">
        <v>0</v>
      </c>
      <c r="O5548" s="142">
        <v>0</v>
      </c>
      <c r="P5548" s="158">
        <v>8.6328706200000003</v>
      </c>
      <c r="Q5548" s="144" t="s">
        <v>186</v>
      </c>
    </row>
    <row r="5549" spans="1:17" s="162" customFormat="1" ht="168" x14ac:dyDescent="0.25">
      <c r="A5549" s="48">
        <v>41908</v>
      </c>
      <c r="B5549" s="48">
        <v>41910</v>
      </c>
      <c r="C5549" s="138">
        <v>2014</v>
      </c>
      <c r="D5549" s="351" t="s">
        <v>23</v>
      </c>
      <c r="E5549" s="22" t="s">
        <v>86</v>
      </c>
      <c r="F5549" s="7" t="s">
        <v>36</v>
      </c>
      <c r="G5549" s="139" t="s">
        <v>7987</v>
      </c>
      <c r="H5549" s="140" t="s">
        <v>7988</v>
      </c>
      <c r="I5549" s="141">
        <v>0</v>
      </c>
      <c r="J5549" s="142">
        <v>3872</v>
      </c>
      <c r="K5549" s="142">
        <v>236</v>
      </c>
      <c r="L5549" s="142">
        <v>3</v>
      </c>
      <c r="M5549" s="142">
        <v>0</v>
      </c>
      <c r="N5549" s="142">
        <v>8</v>
      </c>
      <c r="O5549" s="142">
        <v>0</v>
      </c>
      <c r="P5549" s="158">
        <f>5.616125+2.9</f>
        <v>8.5161250000000006</v>
      </c>
      <c r="Q5549" s="144" t="s">
        <v>7883</v>
      </c>
    </row>
    <row r="5550" spans="1:17" s="162" customFormat="1" ht="108" x14ac:dyDescent="0.25">
      <c r="A5550" s="137">
        <v>41793</v>
      </c>
      <c r="B5550" s="137">
        <v>41793</v>
      </c>
      <c r="C5550" s="138">
        <v>2014</v>
      </c>
      <c r="D5550" s="351" t="s">
        <v>23</v>
      </c>
      <c r="E5550" s="14" t="s">
        <v>32</v>
      </c>
      <c r="F5550" s="25" t="s">
        <v>781</v>
      </c>
      <c r="G5550" s="139" t="s">
        <v>7989</v>
      </c>
      <c r="H5550" s="140" t="s">
        <v>7990</v>
      </c>
      <c r="I5550" s="182">
        <v>0</v>
      </c>
      <c r="J5550" s="178">
        <v>1604</v>
      </c>
      <c r="K5550" s="142">
        <v>300</v>
      </c>
      <c r="L5550" s="142">
        <v>0</v>
      </c>
      <c r="M5550" s="142">
        <v>0</v>
      </c>
      <c r="N5550" s="142">
        <v>0</v>
      </c>
      <c r="O5550" s="142">
        <v>0</v>
      </c>
      <c r="P5550" s="158">
        <v>8.4873054000000003</v>
      </c>
      <c r="Q5550" s="144" t="s">
        <v>7883</v>
      </c>
    </row>
    <row r="5551" spans="1:17" s="162" customFormat="1" ht="48" x14ac:dyDescent="0.25">
      <c r="A5551" s="137">
        <v>41640</v>
      </c>
      <c r="B5551" s="137">
        <v>42004</v>
      </c>
      <c r="C5551" s="138">
        <v>2014</v>
      </c>
      <c r="D5551" s="35" t="s">
        <v>28</v>
      </c>
      <c r="E5551" s="14" t="s">
        <v>29</v>
      </c>
      <c r="F5551" s="7" t="s">
        <v>49</v>
      </c>
      <c r="G5551" s="139" t="s">
        <v>26</v>
      </c>
      <c r="H5551" s="140" t="s">
        <v>7991</v>
      </c>
      <c r="I5551" s="141">
        <v>0</v>
      </c>
      <c r="J5551" s="142">
        <v>0</v>
      </c>
      <c r="K5551" s="142">
        <v>0</v>
      </c>
      <c r="L5551" s="142">
        <v>0</v>
      </c>
      <c r="M5551" s="142">
        <v>0</v>
      </c>
      <c r="N5551" s="142">
        <v>0</v>
      </c>
      <c r="O5551" s="142">
        <v>8433.6299999999992</v>
      </c>
      <c r="P5551" s="158">
        <v>8.4336299999999991</v>
      </c>
      <c r="Q5551" s="144" t="s">
        <v>3556</v>
      </c>
    </row>
    <row r="5552" spans="1:17" s="162" customFormat="1" ht="156" x14ac:dyDescent="0.25">
      <c r="A5552" s="137">
        <v>41885</v>
      </c>
      <c r="B5552" s="137">
        <v>41885</v>
      </c>
      <c r="C5552" s="138">
        <v>2014</v>
      </c>
      <c r="D5552" s="351" t="s">
        <v>23</v>
      </c>
      <c r="E5552" s="14" t="s">
        <v>32</v>
      </c>
      <c r="F5552" s="7" t="s">
        <v>84</v>
      </c>
      <c r="G5552" s="139" t="s">
        <v>7992</v>
      </c>
      <c r="H5552" s="140" t="s">
        <v>7993</v>
      </c>
      <c r="I5552" s="141">
        <v>1</v>
      </c>
      <c r="J5552" s="142">
        <v>715</v>
      </c>
      <c r="K5552" s="142">
        <v>143</v>
      </c>
      <c r="L5552" s="142">
        <v>0</v>
      </c>
      <c r="M5552" s="142">
        <v>0</v>
      </c>
      <c r="N5552" s="142">
        <v>0</v>
      </c>
      <c r="O5552" s="142">
        <v>0</v>
      </c>
      <c r="P5552" s="158">
        <f>0.82619+7.6</f>
        <v>8.4261900000000001</v>
      </c>
      <c r="Q5552" s="144" t="s">
        <v>7883</v>
      </c>
    </row>
    <row r="5553" spans="1:17" s="162" customFormat="1" ht="48" x14ac:dyDescent="0.25">
      <c r="A5553" s="48">
        <v>41652</v>
      </c>
      <c r="B5553" s="48">
        <v>41656</v>
      </c>
      <c r="C5553" s="138">
        <v>2014</v>
      </c>
      <c r="D5553" s="351" t="s">
        <v>23</v>
      </c>
      <c r="E5553" s="22" t="s">
        <v>42</v>
      </c>
      <c r="F5553" s="7" t="s">
        <v>101</v>
      </c>
      <c r="G5553" s="139" t="s">
        <v>7879</v>
      </c>
      <c r="H5553" s="140" t="s">
        <v>7994</v>
      </c>
      <c r="I5553" s="182">
        <v>0</v>
      </c>
      <c r="J5553" s="142">
        <v>0</v>
      </c>
      <c r="K5553" s="142">
        <v>0</v>
      </c>
      <c r="L5553" s="142">
        <v>0</v>
      </c>
      <c r="M5553" s="142">
        <v>0</v>
      </c>
      <c r="N5553" s="142">
        <v>0</v>
      </c>
      <c r="O5553" s="142">
        <v>0</v>
      </c>
      <c r="P5553" s="158">
        <v>8.2713149999999995</v>
      </c>
      <c r="Q5553" s="144" t="s">
        <v>986</v>
      </c>
    </row>
    <row r="5554" spans="1:17" s="162" customFormat="1" ht="48" x14ac:dyDescent="0.25">
      <c r="A5554" s="48">
        <v>41654</v>
      </c>
      <c r="B5554" s="48">
        <v>41660</v>
      </c>
      <c r="C5554" s="138">
        <v>2014</v>
      </c>
      <c r="D5554" s="351" t="s">
        <v>23</v>
      </c>
      <c r="E5554" s="22" t="s">
        <v>42</v>
      </c>
      <c r="F5554" s="28" t="s">
        <v>160</v>
      </c>
      <c r="G5554" s="139" t="s">
        <v>7995</v>
      </c>
      <c r="H5554" s="140" t="s">
        <v>7996</v>
      </c>
      <c r="I5554" s="182">
        <v>0</v>
      </c>
      <c r="J5554" s="142">
        <v>0</v>
      </c>
      <c r="K5554" s="142">
        <v>0</v>
      </c>
      <c r="L5554" s="142">
        <v>0</v>
      </c>
      <c r="M5554" s="142">
        <v>0</v>
      </c>
      <c r="N5554" s="142">
        <v>0</v>
      </c>
      <c r="O5554" s="142">
        <v>0</v>
      </c>
      <c r="P5554" s="158">
        <v>8.1749390000000002</v>
      </c>
      <c r="Q5554" s="144" t="s">
        <v>186</v>
      </c>
    </row>
    <row r="5555" spans="1:17" s="162" customFormat="1" ht="48" x14ac:dyDescent="0.25">
      <c r="A5555" s="137">
        <v>41640</v>
      </c>
      <c r="B5555" s="137">
        <v>42004</v>
      </c>
      <c r="C5555" s="138">
        <v>2014</v>
      </c>
      <c r="D5555" s="35" t="s">
        <v>28</v>
      </c>
      <c r="E5555" s="14" t="s">
        <v>29</v>
      </c>
      <c r="F5555" s="7" t="s">
        <v>60</v>
      </c>
      <c r="G5555" s="139" t="s">
        <v>26</v>
      </c>
      <c r="H5555" s="140" t="s">
        <v>7997</v>
      </c>
      <c r="I5555" s="141">
        <v>0</v>
      </c>
      <c r="J5555" s="142">
        <v>0</v>
      </c>
      <c r="K5555" s="142">
        <v>0</v>
      </c>
      <c r="L5555" s="142">
        <v>0</v>
      </c>
      <c r="M5555" s="142">
        <v>0</v>
      </c>
      <c r="N5555" s="142">
        <v>0</v>
      </c>
      <c r="O5555" s="142">
        <v>7706.3</v>
      </c>
      <c r="P5555" s="158">
        <v>7.7063000000000006</v>
      </c>
      <c r="Q5555" s="144" t="s">
        <v>3556</v>
      </c>
    </row>
    <row r="5556" spans="1:17" s="162" customFormat="1" ht="36" x14ac:dyDescent="0.25">
      <c r="A5556" s="137">
        <v>41640</v>
      </c>
      <c r="B5556" s="137">
        <v>42004</v>
      </c>
      <c r="C5556" s="138">
        <v>2014</v>
      </c>
      <c r="D5556" s="35" t="s">
        <v>28</v>
      </c>
      <c r="E5556" s="14" t="s">
        <v>29</v>
      </c>
      <c r="F5556" s="7" t="s">
        <v>58</v>
      </c>
      <c r="G5556" s="139" t="s">
        <v>26</v>
      </c>
      <c r="H5556" s="140" t="s">
        <v>7998</v>
      </c>
      <c r="I5556" s="141">
        <v>0</v>
      </c>
      <c r="J5556" s="142">
        <v>0</v>
      </c>
      <c r="K5556" s="142">
        <v>0</v>
      </c>
      <c r="L5556" s="142">
        <v>0</v>
      </c>
      <c r="M5556" s="142">
        <v>0</v>
      </c>
      <c r="N5556" s="142">
        <v>0</v>
      </c>
      <c r="O5556" s="142">
        <v>7300.52</v>
      </c>
      <c r="P5556" s="158">
        <v>7.3005200000000006</v>
      </c>
      <c r="Q5556" s="144" t="s">
        <v>3556</v>
      </c>
    </row>
    <row r="5557" spans="1:17" s="162" customFormat="1" ht="144" x14ac:dyDescent="0.25">
      <c r="A5557" s="137">
        <v>41960</v>
      </c>
      <c r="B5557" s="137">
        <v>41963</v>
      </c>
      <c r="C5557" s="138">
        <v>2014</v>
      </c>
      <c r="D5557" s="351" t="s">
        <v>23</v>
      </c>
      <c r="E5557" s="22" t="s">
        <v>86</v>
      </c>
      <c r="F5557" s="7" t="s">
        <v>36</v>
      </c>
      <c r="G5557" s="139" t="s">
        <v>4280</v>
      </c>
      <c r="H5557" s="140" t="s">
        <v>7999</v>
      </c>
      <c r="I5557" s="141">
        <v>0</v>
      </c>
      <c r="J5557" s="142">
        <v>552</v>
      </c>
      <c r="K5557" s="142">
        <v>1165</v>
      </c>
      <c r="L5557" s="142">
        <v>0</v>
      </c>
      <c r="M5557" s="142">
        <v>0</v>
      </c>
      <c r="N5557" s="142">
        <v>0</v>
      </c>
      <c r="O5557" s="142">
        <v>0</v>
      </c>
      <c r="P5557" s="158">
        <f>6.4+0.9</f>
        <v>7.3000000000000007</v>
      </c>
      <c r="Q5557" s="144" t="s">
        <v>7883</v>
      </c>
    </row>
    <row r="5558" spans="1:17" s="162" customFormat="1" ht="48" x14ac:dyDescent="0.25">
      <c r="A5558" s="48">
        <v>41654</v>
      </c>
      <c r="B5558" s="48">
        <v>41660</v>
      </c>
      <c r="C5558" s="138">
        <v>2014</v>
      </c>
      <c r="D5558" s="351" t="s">
        <v>23</v>
      </c>
      <c r="E5558" s="22" t="s">
        <v>42</v>
      </c>
      <c r="F5558" s="7" t="s">
        <v>91</v>
      </c>
      <c r="G5558" s="139" t="s">
        <v>6584</v>
      </c>
      <c r="H5558" s="140" t="s">
        <v>8000</v>
      </c>
      <c r="I5558" s="182">
        <v>0</v>
      </c>
      <c r="J5558" s="142">
        <v>0</v>
      </c>
      <c r="K5558" s="142">
        <v>0</v>
      </c>
      <c r="L5558" s="142">
        <v>0</v>
      </c>
      <c r="M5558" s="142">
        <v>0</v>
      </c>
      <c r="N5558" s="142">
        <v>0</v>
      </c>
      <c r="O5558" s="142">
        <v>0</v>
      </c>
      <c r="P5558" s="158">
        <v>7.1767500000000002</v>
      </c>
      <c r="Q5558" s="144" t="s">
        <v>986</v>
      </c>
    </row>
    <row r="5559" spans="1:17" s="162" customFormat="1" ht="240" x14ac:dyDescent="0.25">
      <c r="A5559" s="137">
        <v>41913</v>
      </c>
      <c r="B5559" s="137">
        <v>41914</v>
      </c>
      <c r="C5559" s="138">
        <v>2014</v>
      </c>
      <c r="D5559" s="351" t="s">
        <v>23</v>
      </c>
      <c r="E5559" s="22" t="s">
        <v>86</v>
      </c>
      <c r="F5559" s="28" t="s">
        <v>210</v>
      </c>
      <c r="G5559" s="139" t="s">
        <v>8001</v>
      </c>
      <c r="H5559" s="140" t="s">
        <v>8002</v>
      </c>
      <c r="I5559" s="141">
        <v>0</v>
      </c>
      <c r="J5559" s="142">
        <v>5903</v>
      </c>
      <c r="K5559" s="142">
        <v>206</v>
      </c>
      <c r="L5559" s="142">
        <v>0</v>
      </c>
      <c r="M5559" s="142">
        <v>0</v>
      </c>
      <c r="N5559" s="142">
        <v>0</v>
      </c>
      <c r="O5559" s="142">
        <v>0</v>
      </c>
      <c r="P5559" s="158">
        <f>1.133+5.9</f>
        <v>7.0330000000000004</v>
      </c>
      <c r="Q5559" s="144" t="s">
        <v>7883</v>
      </c>
    </row>
    <row r="5560" spans="1:17" s="162" customFormat="1" ht="72" x14ac:dyDescent="0.25">
      <c r="A5560" s="137">
        <v>41766</v>
      </c>
      <c r="B5560" s="137">
        <v>41767</v>
      </c>
      <c r="C5560" s="138">
        <v>2014</v>
      </c>
      <c r="D5560" s="351" t="s">
        <v>23</v>
      </c>
      <c r="E5560" s="22" t="s">
        <v>86</v>
      </c>
      <c r="F5560" s="7" t="s">
        <v>58</v>
      </c>
      <c r="G5560" s="139" t="s">
        <v>8003</v>
      </c>
      <c r="H5560" s="140" t="s">
        <v>8004</v>
      </c>
      <c r="I5560" s="179">
        <v>0</v>
      </c>
      <c r="J5560" s="142">
        <v>6265</v>
      </c>
      <c r="K5560" s="142">
        <v>1253</v>
      </c>
      <c r="L5560" s="142">
        <v>0</v>
      </c>
      <c r="M5560" s="142">
        <v>0</v>
      </c>
      <c r="N5560" s="142">
        <v>0</v>
      </c>
      <c r="O5560" s="142">
        <v>0</v>
      </c>
      <c r="P5560" s="158">
        <v>6.9708800000000002</v>
      </c>
      <c r="Q5560" s="144" t="s">
        <v>154</v>
      </c>
    </row>
    <row r="5561" spans="1:17" s="162" customFormat="1" ht="84" x14ac:dyDescent="0.25">
      <c r="A5561" s="137">
        <v>41640</v>
      </c>
      <c r="B5561" s="137">
        <v>42004</v>
      </c>
      <c r="C5561" s="138">
        <v>2014</v>
      </c>
      <c r="D5561" s="35" t="s">
        <v>28</v>
      </c>
      <c r="E5561" s="14" t="s">
        <v>29</v>
      </c>
      <c r="F5561" s="7" t="s">
        <v>33</v>
      </c>
      <c r="G5561" s="139" t="s">
        <v>26</v>
      </c>
      <c r="H5561" s="140" t="s">
        <v>8005</v>
      </c>
      <c r="I5561" s="141">
        <v>0</v>
      </c>
      <c r="J5561" s="142">
        <v>250</v>
      </c>
      <c r="K5561" s="142">
        <v>0</v>
      </c>
      <c r="L5561" s="142">
        <v>0</v>
      </c>
      <c r="M5561" s="142">
        <v>0</v>
      </c>
      <c r="N5561" s="142">
        <v>0</v>
      </c>
      <c r="O5561" s="142">
        <v>6434.55</v>
      </c>
      <c r="P5561" s="158">
        <v>6.7025499999999996</v>
      </c>
      <c r="Q5561" s="144" t="s">
        <v>7962</v>
      </c>
    </row>
    <row r="5562" spans="1:17" s="162" customFormat="1" ht="72" x14ac:dyDescent="0.25">
      <c r="A5562" s="184">
        <v>41863</v>
      </c>
      <c r="B5562" s="184">
        <v>41866</v>
      </c>
      <c r="C5562" s="138">
        <v>2014</v>
      </c>
      <c r="D5562" s="351" t="s">
        <v>23</v>
      </c>
      <c r="E5562" s="22" t="s">
        <v>86</v>
      </c>
      <c r="F5562" s="7" t="s">
        <v>33</v>
      </c>
      <c r="G5562" s="139" t="s">
        <v>247</v>
      </c>
      <c r="H5562" s="140" t="s">
        <v>8006</v>
      </c>
      <c r="I5562" s="141">
        <v>0</v>
      </c>
      <c r="J5562" s="142">
        <v>5000</v>
      </c>
      <c r="K5562" s="142">
        <v>0</v>
      </c>
      <c r="L5562" s="142">
        <v>0</v>
      </c>
      <c r="M5562" s="142">
        <v>0</v>
      </c>
      <c r="N5562" s="142">
        <v>0</v>
      </c>
      <c r="O5562" s="142">
        <v>0</v>
      </c>
      <c r="P5562" s="158">
        <v>6.7</v>
      </c>
      <c r="Q5562" s="144" t="s">
        <v>186</v>
      </c>
    </row>
    <row r="5563" spans="1:17" s="162" customFormat="1" ht="108" x14ac:dyDescent="0.25">
      <c r="A5563" s="184">
        <v>41887</v>
      </c>
      <c r="B5563" s="184">
        <v>41889</v>
      </c>
      <c r="C5563" s="138">
        <v>2014</v>
      </c>
      <c r="D5563" s="351" t="s">
        <v>23</v>
      </c>
      <c r="E5563" s="22" t="s">
        <v>86</v>
      </c>
      <c r="F5563" s="7" t="s">
        <v>49</v>
      </c>
      <c r="G5563" s="139" t="s">
        <v>8007</v>
      </c>
      <c r="H5563" s="33" t="s">
        <v>8008</v>
      </c>
      <c r="I5563" s="141">
        <v>0</v>
      </c>
      <c r="J5563" s="142">
        <f>6641+15930</f>
        <v>22571</v>
      </c>
      <c r="K5563" s="142">
        <v>0</v>
      </c>
      <c r="L5563" s="142">
        <v>0</v>
      </c>
      <c r="M5563" s="142">
        <v>0</v>
      </c>
      <c r="N5563" s="142">
        <v>0</v>
      </c>
      <c r="O5563" s="142">
        <v>0</v>
      </c>
      <c r="P5563" s="158">
        <v>6.6</v>
      </c>
      <c r="Q5563" s="144" t="s">
        <v>186</v>
      </c>
    </row>
    <row r="5564" spans="1:17" s="162" customFormat="1" ht="60" x14ac:dyDescent="0.25">
      <c r="A5564" s="137">
        <v>41909</v>
      </c>
      <c r="B5564" s="137">
        <v>41914</v>
      </c>
      <c r="C5564" s="138">
        <v>2014</v>
      </c>
      <c r="D5564" s="351" t="s">
        <v>23</v>
      </c>
      <c r="E5564" s="22" t="s">
        <v>86</v>
      </c>
      <c r="F5564" s="7" t="s">
        <v>58</v>
      </c>
      <c r="G5564" s="139" t="s">
        <v>8009</v>
      </c>
      <c r="H5564" s="140" t="s">
        <v>8010</v>
      </c>
      <c r="I5564" s="141">
        <v>0</v>
      </c>
      <c r="J5564" s="142">
        <v>7172</v>
      </c>
      <c r="K5564" s="142">
        <v>0</v>
      </c>
      <c r="L5564" s="142">
        <v>0</v>
      </c>
      <c r="M5564" s="142">
        <v>0</v>
      </c>
      <c r="N5564" s="142">
        <v>0</v>
      </c>
      <c r="O5564" s="142">
        <v>0</v>
      </c>
      <c r="P5564" s="158">
        <v>6.3</v>
      </c>
      <c r="Q5564" s="144" t="s">
        <v>186</v>
      </c>
    </row>
    <row r="5565" spans="1:17" s="162" customFormat="1" ht="144" x14ac:dyDescent="0.25">
      <c r="A5565" s="48">
        <v>41832</v>
      </c>
      <c r="B5565" s="48">
        <v>41832</v>
      </c>
      <c r="C5565" s="138">
        <v>2014</v>
      </c>
      <c r="D5565" s="351" t="s">
        <v>23</v>
      </c>
      <c r="E5565" s="14" t="s">
        <v>52</v>
      </c>
      <c r="F5565" s="7" t="s">
        <v>87</v>
      </c>
      <c r="G5565" s="139" t="s">
        <v>2671</v>
      </c>
      <c r="H5565" s="140" t="s">
        <v>8011</v>
      </c>
      <c r="I5565" s="141">
        <v>0</v>
      </c>
      <c r="J5565" s="142">
        <v>0</v>
      </c>
      <c r="K5565" s="142">
        <v>0</v>
      </c>
      <c r="L5565" s="142">
        <v>0</v>
      </c>
      <c r="M5565" s="142" t="s">
        <v>110</v>
      </c>
      <c r="N5565" s="142">
        <v>0</v>
      </c>
      <c r="O5565" s="142">
        <v>0</v>
      </c>
      <c r="P5565" s="158">
        <v>5.59</v>
      </c>
      <c r="Q5565" s="144" t="s">
        <v>186</v>
      </c>
    </row>
    <row r="5566" spans="1:17" s="162" customFormat="1" ht="60" x14ac:dyDescent="0.25">
      <c r="A5566" s="137">
        <v>41960</v>
      </c>
      <c r="B5566" s="137">
        <v>41962</v>
      </c>
      <c r="C5566" s="138">
        <v>2014</v>
      </c>
      <c r="D5566" s="351" t="s">
        <v>23</v>
      </c>
      <c r="E5566" s="22" t="s">
        <v>86</v>
      </c>
      <c r="F5566" s="25" t="s">
        <v>781</v>
      </c>
      <c r="G5566" s="139" t="s">
        <v>8012</v>
      </c>
      <c r="H5566" s="140" t="s">
        <v>8013</v>
      </c>
      <c r="I5566" s="141">
        <v>0</v>
      </c>
      <c r="J5566" s="142">
        <v>14951</v>
      </c>
      <c r="K5566" s="142">
        <v>0</v>
      </c>
      <c r="L5566" s="142">
        <v>0</v>
      </c>
      <c r="M5566" s="142">
        <v>0</v>
      </c>
      <c r="N5566" s="142">
        <v>0</v>
      </c>
      <c r="O5566" s="142">
        <v>0</v>
      </c>
      <c r="P5566" s="158">
        <v>5.3</v>
      </c>
      <c r="Q5566" s="144" t="s">
        <v>186</v>
      </c>
    </row>
    <row r="5567" spans="1:17" s="162" customFormat="1" ht="120" x14ac:dyDescent="0.25">
      <c r="A5567" s="48">
        <v>41902</v>
      </c>
      <c r="B5567" s="48">
        <v>41902</v>
      </c>
      <c r="C5567" s="138">
        <v>2014</v>
      </c>
      <c r="D5567" s="351" t="s">
        <v>23</v>
      </c>
      <c r="E5567" s="22" t="s">
        <v>86</v>
      </c>
      <c r="F5567" s="7" t="s">
        <v>36</v>
      </c>
      <c r="G5567" s="139" t="s">
        <v>6392</v>
      </c>
      <c r="H5567" s="140" t="s">
        <v>8014</v>
      </c>
      <c r="I5567" s="141">
        <v>0</v>
      </c>
      <c r="J5567" s="142">
        <v>3880</v>
      </c>
      <c r="K5567" s="142">
        <v>776</v>
      </c>
      <c r="L5567" s="142">
        <v>0</v>
      </c>
      <c r="M5567" s="142">
        <v>0</v>
      </c>
      <c r="N5567" s="142">
        <v>0</v>
      </c>
      <c r="O5567" s="142">
        <v>0</v>
      </c>
      <c r="P5567" s="158">
        <v>5.1316249999999997</v>
      </c>
      <c r="Q5567" s="144" t="s">
        <v>154</v>
      </c>
    </row>
    <row r="5568" spans="1:17" s="162" customFormat="1" ht="48" x14ac:dyDescent="0.25">
      <c r="A5568" s="137">
        <v>41640</v>
      </c>
      <c r="B5568" s="137">
        <v>42004</v>
      </c>
      <c r="C5568" s="138">
        <v>2014</v>
      </c>
      <c r="D5568" s="35" t="s">
        <v>28</v>
      </c>
      <c r="E5568" s="14" t="s">
        <v>29</v>
      </c>
      <c r="F5568" s="7" t="s">
        <v>62</v>
      </c>
      <c r="G5568" s="139" t="s">
        <v>26</v>
      </c>
      <c r="H5568" s="140" t="s">
        <v>8015</v>
      </c>
      <c r="I5568" s="141">
        <v>0</v>
      </c>
      <c r="J5568" s="142">
        <v>0</v>
      </c>
      <c r="K5568" s="142">
        <v>0</v>
      </c>
      <c r="L5568" s="142">
        <v>0</v>
      </c>
      <c r="M5568" s="142">
        <v>0</v>
      </c>
      <c r="N5568" s="142">
        <v>0</v>
      </c>
      <c r="O5568" s="142">
        <v>4728.5600000000004</v>
      </c>
      <c r="P5568" s="158">
        <v>4.7285600000000008</v>
      </c>
      <c r="Q5568" s="144" t="s">
        <v>3556</v>
      </c>
    </row>
    <row r="5569" spans="1:17" s="162" customFormat="1" ht="36" x14ac:dyDescent="0.25">
      <c r="A5569" s="137">
        <v>41640</v>
      </c>
      <c r="B5569" s="137">
        <v>42004</v>
      </c>
      <c r="C5569" s="138">
        <v>2014</v>
      </c>
      <c r="D5569" s="35" t="s">
        <v>28</v>
      </c>
      <c r="E5569" s="14" t="s">
        <v>29</v>
      </c>
      <c r="F5569" s="25" t="s">
        <v>781</v>
      </c>
      <c r="G5569" s="139" t="s">
        <v>26</v>
      </c>
      <c r="H5569" s="140" t="s">
        <v>8016</v>
      </c>
      <c r="I5569" s="141">
        <v>0</v>
      </c>
      <c r="J5569" s="142">
        <v>0</v>
      </c>
      <c r="K5569" s="142">
        <v>0</v>
      </c>
      <c r="L5569" s="142">
        <v>0</v>
      </c>
      <c r="M5569" s="142">
        <v>0</v>
      </c>
      <c r="N5569" s="142">
        <v>0</v>
      </c>
      <c r="O5569" s="142">
        <v>4658.74</v>
      </c>
      <c r="P5569" s="158">
        <v>4.6587399999999999</v>
      </c>
      <c r="Q5569" s="144" t="s">
        <v>3556</v>
      </c>
    </row>
    <row r="5570" spans="1:17" s="162" customFormat="1" ht="72" x14ac:dyDescent="0.25">
      <c r="A5570" s="184">
        <v>41969</v>
      </c>
      <c r="B5570" s="184">
        <v>41971</v>
      </c>
      <c r="C5570" s="138">
        <v>2014</v>
      </c>
      <c r="D5570" s="351" t="s">
        <v>23</v>
      </c>
      <c r="E5570" s="22" t="s">
        <v>42</v>
      </c>
      <c r="F5570" s="7" t="s">
        <v>101</v>
      </c>
      <c r="G5570" s="139" t="s">
        <v>6442</v>
      </c>
      <c r="H5570" s="140" t="s">
        <v>8017</v>
      </c>
      <c r="I5570" s="141">
        <v>0</v>
      </c>
      <c r="J5570" s="142">
        <v>13204</v>
      </c>
      <c r="K5570" s="142">
        <v>0</v>
      </c>
      <c r="L5570" s="142">
        <v>0</v>
      </c>
      <c r="M5570" s="142">
        <v>0</v>
      </c>
      <c r="N5570" s="142">
        <v>0</v>
      </c>
      <c r="O5570" s="142">
        <v>0</v>
      </c>
      <c r="P5570" s="158">
        <v>4.5</v>
      </c>
      <c r="Q5570" s="144" t="s">
        <v>7883</v>
      </c>
    </row>
    <row r="5571" spans="1:17" s="162" customFormat="1" ht="96" x14ac:dyDescent="0.25">
      <c r="A5571" s="137">
        <v>41721</v>
      </c>
      <c r="B5571" s="137">
        <v>41721</v>
      </c>
      <c r="C5571" s="138">
        <v>2014</v>
      </c>
      <c r="D5571" s="351" t="s">
        <v>23</v>
      </c>
      <c r="E5571" s="186" t="s">
        <v>2691</v>
      </c>
      <c r="F5571" s="7" t="s">
        <v>62</v>
      </c>
      <c r="G5571" s="139" t="s">
        <v>8018</v>
      </c>
      <c r="H5571" s="140" t="s">
        <v>8019</v>
      </c>
      <c r="I5571" s="179">
        <v>0</v>
      </c>
      <c r="J5571" s="31">
        <v>1000</v>
      </c>
      <c r="K5571" s="142">
        <v>200</v>
      </c>
      <c r="L5571" s="142">
        <v>0</v>
      </c>
      <c r="M5571" s="142">
        <v>0</v>
      </c>
      <c r="N5571" s="142">
        <v>0</v>
      </c>
      <c r="O5571" s="142">
        <v>10</v>
      </c>
      <c r="P5571" s="158">
        <v>4.0693455707000004</v>
      </c>
      <c r="Q5571" s="144" t="s">
        <v>154</v>
      </c>
    </row>
    <row r="5572" spans="1:17" s="162" customFormat="1" ht="48" x14ac:dyDescent="0.25">
      <c r="A5572" s="48">
        <v>41654</v>
      </c>
      <c r="B5572" s="48">
        <v>41656</v>
      </c>
      <c r="C5572" s="138">
        <v>2014</v>
      </c>
      <c r="D5572" s="351" t="s">
        <v>23</v>
      </c>
      <c r="E5572" s="22" t="s">
        <v>42</v>
      </c>
      <c r="F5572" s="7" t="s">
        <v>97</v>
      </c>
      <c r="G5572" s="139" t="s">
        <v>7969</v>
      </c>
      <c r="H5572" s="140" t="s">
        <v>8020</v>
      </c>
      <c r="I5572" s="182">
        <v>0</v>
      </c>
      <c r="J5572" s="142">
        <v>0</v>
      </c>
      <c r="K5572" s="142">
        <v>0</v>
      </c>
      <c r="L5572" s="142">
        <v>0</v>
      </c>
      <c r="M5572" s="142">
        <v>0</v>
      </c>
      <c r="N5572" s="142">
        <v>0</v>
      </c>
      <c r="O5572" s="142">
        <v>0</v>
      </c>
      <c r="P5572" s="158">
        <v>4.006386</v>
      </c>
      <c r="Q5572" s="144" t="s">
        <v>986</v>
      </c>
    </row>
    <row r="5573" spans="1:17" s="162" customFormat="1" ht="48" x14ac:dyDescent="0.25">
      <c r="A5573" s="137">
        <v>41640</v>
      </c>
      <c r="B5573" s="137">
        <v>42004</v>
      </c>
      <c r="C5573" s="138">
        <v>2014</v>
      </c>
      <c r="D5573" s="35" t="s">
        <v>28</v>
      </c>
      <c r="E5573" s="14" t="s">
        <v>29</v>
      </c>
      <c r="F5573" s="7" t="s">
        <v>75</v>
      </c>
      <c r="G5573" s="139" t="s">
        <v>26</v>
      </c>
      <c r="H5573" s="140" t="s">
        <v>8021</v>
      </c>
      <c r="I5573" s="141">
        <v>0</v>
      </c>
      <c r="J5573" s="142">
        <v>0</v>
      </c>
      <c r="K5573" s="142">
        <v>0</v>
      </c>
      <c r="L5573" s="142">
        <v>0</v>
      </c>
      <c r="M5573" s="142">
        <v>0</v>
      </c>
      <c r="N5573" s="142">
        <v>0</v>
      </c>
      <c r="O5573" s="142">
        <v>3744.56</v>
      </c>
      <c r="P5573" s="158">
        <v>3.7445599999999999</v>
      </c>
      <c r="Q5573" s="144" t="s">
        <v>3556</v>
      </c>
    </row>
    <row r="5574" spans="1:17" s="162" customFormat="1" ht="108" x14ac:dyDescent="0.25">
      <c r="A5574" s="137">
        <v>41882</v>
      </c>
      <c r="B5574" s="137">
        <v>41882</v>
      </c>
      <c r="C5574" s="138">
        <v>2014</v>
      </c>
      <c r="D5574" s="351" t="s">
        <v>23</v>
      </c>
      <c r="E5574" s="22" t="s">
        <v>86</v>
      </c>
      <c r="F5574" s="7" t="s">
        <v>58</v>
      </c>
      <c r="G5574" s="139" t="s">
        <v>8022</v>
      </c>
      <c r="H5574" s="140" t="s">
        <v>8023</v>
      </c>
      <c r="I5574" s="141">
        <v>0</v>
      </c>
      <c r="J5574" s="142">
        <v>250</v>
      </c>
      <c r="K5574" s="142">
        <v>50</v>
      </c>
      <c r="L5574" s="142">
        <v>0</v>
      </c>
      <c r="M5574" s="142">
        <v>0</v>
      </c>
      <c r="N5574" s="142">
        <v>0</v>
      </c>
      <c r="O5574" s="142">
        <v>0</v>
      </c>
      <c r="P5574" s="158">
        <v>3.7294999999999998</v>
      </c>
      <c r="Q5574" s="144" t="s">
        <v>154</v>
      </c>
    </row>
    <row r="5575" spans="1:17" s="162" customFormat="1" ht="48" x14ac:dyDescent="0.25">
      <c r="A5575" s="48">
        <v>41654</v>
      </c>
      <c r="B5575" s="48">
        <v>41660</v>
      </c>
      <c r="C5575" s="138">
        <v>2014</v>
      </c>
      <c r="D5575" s="351" t="s">
        <v>23</v>
      </c>
      <c r="E5575" s="22" t="s">
        <v>42</v>
      </c>
      <c r="F5575" s="7" t="s">
        <v>68</v>
      </c>
      <c r="G5575" s="139" t="s">
        <v>8024</v>
      </c>
      <c r="H5575" s="140" t="s">
        <v>8025</v>
      </c>
      <c r="I5575" s="182">
        <v>0</v>
      </c>
      <c r="J5575" s="142">
        <v>0</v>
      </c>
      <c r="K5575" s="142">
        <v>0</v>
      </c>
      <c r="L5575" s="142">
        <v>0</v>
      </c>
      <c r="M5575" s="142">
        <v>0</v>
      </c>
      <c r="N5575" s="142">
        <v>0</v>
      </c>
      <c r="O5575" s="142">
        <v>0</v>
      </c>
      <c r="P5575" s="158">
        <v>3.709508</v>
      </c>
      <c r="Q5575" s="144" t="s">
        <v>986</v>
      </c>
    </row>
    <row r="5576" spans="1:17" s="162" customFormat="1" ht="60" x14ac:dyDescent="0.25">
      <c r="A5576" s="137">
        <v>41919</v>
      </c>
      <c r="B5576" s="137">
        <v>41919</v>
      </c>
      <c r="C5576" s="138">
        <v>2014</v>
      </c>
      <c r="D5576" s="351" t="s">
        <v>23</v>
      </c>
      <c r="E5576" s="22" t="s">
        <v>86</v>
      </c>
      <c r="F5576" s="28" t="s">
        <v>210</v>
      </c>
      <c r="G5576" s="139" t="s">
        <v>8026</v>
      </c>
      <c r="H5576" s="140" t="s">
        <v>8027</v>
      </c>
      <c r="I5576" s="141">
        <v>0</v>
      </c>
      <c r="J5576" s="142">
        <v>3754</v>
      </c>
      <c r="K5576" s="142">
        <v>0</v>
      </c>
      <c r="L5576" s="142">
        <v>0</v>
      </c>
      <c r="M5576" s="142">
        <v>0</v>
      </c>
      <c r="N5576" s="142">
        <v>0</v>
      </c>
      <c r="O5576" s="142">
        <v>0</v>
      </c>
      <c r="P5576" s="158">
        <v>3.6</v>
      </c>
      <c r="Q5576" s="144" t="s">
        <v>186</v>
      </c>
    </row>
    <row r="5577" spans="1:17" s="162" customFormat="1" ht="84" x14ac:dyDescent="0.25">
      <c r="A5577" s="137">
        <v>41818</v>
      </c>
      <c r="B5577" s="137">
        <v>41818</v>
      </c>
      <c r="C5577" s="138">
        <v>2014</v>
      </c>
      <c r="D5577" s="351" t="s">
        <v>23</v>
      </c>
      <c r="E5577" s="22" t="s">
        <v>86</v>
      </c>
      <c r="F5577" s="7" t="s">
        <v>72</v>
      </c>
      <c r="G5577" s="139" t="s">
        <v>8028</v>
      </c>
      <c r="H5577" s="187" t="s">
        <v>8029</v>
      </c>
      <c r="I5577" s="182">
        <v>0</v>
      </c>
      <c r="J5577" s="142">
        <v>25</v>
      </c>
      <c r="K5577" s="142">
        <v>5</v>
      </c>
      <c r="L5577" s="142">
        <v>0</v>
      </c>
      <c r="M5577" s="142">
        <v>0</v>
      </c>
      <c r="N5577" s="142">
        <v>0</v>
      </c>
      <c r="O5577" s="142">
        <v>0</v>
      </c>
      <c r="P5577" s="158">
        <v>3.4820000000000002</v>
      </c>
      <c r="Q5577" s="144" t="s">
        <v>154</v>
      </c>
    </row>
    <row r="5578" spans="1:17" s="162" customFormat="1" ht="48" x14ac:dyDescent="0.25">
      <c r="A5578" s="48">
        <v>41654</v>
      </c>
      <c r="B5578" s="48">
        <v>41660</v>
      </c>
      <c r="C5578" s="138">
        <v>2014</v>
      </c>
      <c r="D5578" s="351" t="s">
        <v>23</v>
      </c>
      <c r="E5578" s="22" t="s">
        <v>42</v>
      </c>
      <c r="F5578" s="7" t="s">
        <v>87</v>
      </c>
      <c r="G5578" s="139" t="s">
        <v>6442</v>
      </c>
      <c r="H5578" s="140" t="s">
        <v>8030</v>
      </c>
      <c r="I5578" s="182">
        <v>0</v>
      </c>
      <c r="J5578" s="142">
        <v>0</v>
      </c>
      <c r="K5578" s="142">
        <v>0</v>
      </c>
      <c r="L5578" s="142">
        <v>0</v>
      </c>
      <c r="M5578" s="142">
        <v>0</v>
      </c>
      <c r="N5578" s="142">
        <v>0</v>
      </c>
      <c r="O5578" s="142">
        <v>0</v>
      </c>
      <c r="P5578" s="158">
        <v>3.4757509999999998</v>
      </c>
      <c r="Q5578" s="144" t="s">
        <v>986</v>
      </c>
    </row>
    <row r="5579" spans="1:17" s="162" customFormat="1" ht="156" x14ac:dyDescent="0.25">
      <c r="A5579" s="48">
        <v>41896</v>
      </c>
      <c r="B5579" s="48">
        <v>41899</v>
      </c>
      <c r="C5579" s="138">
        <v>2014</v>
      </c>
      <c r="D5579" s="351" t="s">
        <v>23</v>
      </c>
      <c r="E5579" s="14" t="s">
        <v>32</v>
      </c>
      <c r="F5579" s="7" t="s">
        <v>84</v>
      </c>
      <c r="G5579" s="139" t="s">
        <v>8031</v>
      </c>
      <c r="H5579" s="140" t="s">
        <v>8032</v>
      </c>
      <c r="I5579" s="141">
        <v>0</v>
      </c>
      <c r="J5579" s="142">
        <v>2993</v>
      </c>
      <c r="K5579" s="142">
        <v>25</v>
      </c>
      <c r="L5579" s="142">
        <v>0</v>
      </c>
      <c r="M5579" s="142">
        <v>0</v>
      </c>
      <c r="N5579" s="142">
        <v>0</v>
      </c>
      <c r="O5579" s="142">
        <v>0</v>
      </c>
      <c r="P5579" s="158">
        <f>0.1375+2.9</f>
        <v>3.0375000000000001</v>
      </c>
      <c r="Q5579" s="144" t="s">
        <v>154</v>
      </c>
    </row>
    <row r="5580" spans="1:17" s="162" customFormat="1" ht="60" x14ac:dyDescent="0.25">
      <c r="A5580" s="137">
        <v>41916</v>
      </c>
      <c r="B5580" s="137">
        <v>41918</v>
      </c>
      <c r="C5580" s="138">
        <v>2014</v>
      </c>
      <c r="D5580" s="351" t="s">
        <v>23</v>
      </c>
      <c r="E5580" s="22" t="s">
        <v>86</v>
      </c>
      <c r="F5580" s="28" t="s">
        <v>210</v>
      </c>
      <c r="G5580" s="139" t="s">
        <v>924</v>
      </c>
      <c r="H5580" s="140" t="s">
        <v>8033</v>
      </c>
      <c r="I5580" s="141">
        <v>0</v>
      </c>
      <c r="J5580" s="142">
        <v>2721</v>
      </c>
      <c r="K5580" s="142">
        <v>0</v>
      </c>
      <c r="L5580" s="142">
        <v>0</v>
      </c>
      <c r="M5580" s="142">
        <v>0</v>
      </c>
      <c r="N5580" s="142">
        <v>0</v>
      </c>
      <c r="O5580" s="142">
        <v>0</v>
      </c>
      <c r="P5580" s="158">
        <v>3</v>
      </c>
      <c r="Q5580" s="144" t="s">
        <v>186</v>
      </c>
    </row>
    <row r="5581" spans="1:17" s="162" customFormat="1" ht="84" x14ac:dyDescent="0.25">
      <c r="A5581" s="48">
        <v>41827</v>
      </c>
      <c r="B5581" s="48">
        <v>41827</v>
      </c>
      <c r="C5581" s="138">
        <v>2014</v>
      </c>
      <c r="D5581" s="351" t="s">
        <v>23</v>
      </c>
      <c r="E5581" s="14" t="s">
        <v>52</v>
      </c>
      <c r="F5581" s="7" t="s">
        <v>87</v>
      </c>
      <c r="G5581" s="139" t="s">
        <v>567</v>
      </c>
      <c r="H5581" s="140" t="s">
        <v>8034</v>
      </c>
      <c r="I5581" s="141">
        <v>0</v>
      </c>
      <c r="J5581" s="142">
        <v>95</v>
      </c>
      <c r="K5581" s="142">
        <v>19</v>
      </c>
      <c r="L5581" s="142">
        <v>0</v>
      </c>
      <c r="M5581" s="142" t="s">
        <v>110</v>
      </c>
      <c r="N5581" s="142">
        <v>19</v>
      </c>
      <c r="O5581" s="142">
        <v>0</v>
      </c>
      <c r="P5581" s="158">
        <v>2.9</v>
      </c>
      <c r="Q5581" s="144" t="s">
        <v>7883</v>
      </c>
    </row>
    <row r="5582" spans="1:17" s="162" customFormat="1" ht="84" x14ac:dyDescent="0.25">
      <c r="A5582" s="48">
        <v>41643</v>
      </c>
      <c r="B5582" s="48">
        <v>41645</v>
      </c>
      <c r="C5582" s="138">
        <v>2014</v>
      </c>
      <c r="D5582" s="351" t="s">
        <v>23</v>
      </c>
      <c r="E5582" s="14" t="s">
        <v>52</v>
      </c>
      <c r="F5582" s="7" t="s">
        <v>36</v>
      </c>
      <c r="G5582" s="139" t="s">
        <v>8035</v>
      </c>
      <c r="H5582" s="140" t="s">
        <v>8036</v>
      </c>
      <c r="I5582" s="182">
        <v>0</v>
      </c>
      <c r="J5582" s="142">
        <v>0</v>
      </c>
      <c r="K5582" s="142">
        <v>0</v>
      </c>
      <c r="L5582" s="142">
        <v>0</v>
      </c>
      <c r="M5582" s="142">
        <v>0</v>
      </c>
      <c r="N5582" s="142">
        <v>0</v>
      </c>
      <c r="O5582" s="142">
        <v>0</v>
      </c>
      <c r="P5582" s="158">
        <v>2.8537479599999998</v>
      </c>
      <c r="Q5582" s="144" t="s">
        <v>186</v>
      </c>
    </row>
    <row r="5583" spans="1:17" s="162" customFormat="1" ht="48" x14ac:dyDescent="0.25">
      <c r="A5583" s="137">
        <v>41640</v>
      </c>
      <c r="B5583" s="137">
        <v>42004</v>
      </c>
      <c r="C5583" s="138">
        <v>2014</v>
      </c>
      <c r="D5583" s="35" t="s">
        <v>28</v>
      </c>
      <c r="E5583" s="14" t="s">
        <v>29</v>
      </c>
      <c r="F5583" s="7" t="s">
        <v>36</v>
      </c>
      <c r="G5583" s="139" t="s">
        <v>26</v>
      </c>
      <c r="H5583" s="140" t="s">
        <v>8037</v>
      </c>
      <c r="I5583" s="141">
        <v>0</v>
      </c>
      <c r="J5583" s="142">
        <v>0</v>
      </c>
      <c r="K5583" s="142">
        <v>0</v>
      </c>
      <c r="L5583" s="142">
        <v>0</v>
      </c>
      <c r="M5583" s="142">
        <v>0</v>
      </c>
      <c r="N5583" s="142">
        <v>0</v>
      </c>
      <c r="O5583" s="142">
        <v>2484.5</v>
      </c>
      <c r="P5583" s="158">
        <v>2.4845000000000002</v>
      </c>
      <c r="Q5583" s="144" t="s">
        <v>3556</v>
      </c>
    </row>
    <row r="5584" spans="1:17" s="162" customFormat="1" ht="144" x14ac:dyDescent="0.25">
      <c r="A5584" s="137">
        <v>41654</v>
      </c>
      <c r="B5584" s="137">
        <v>41654</v>
      </c>
      <c r="C5584" s="138">
        <v>2014</v>
      </c>
      <c r="D5584" s="24" t="s">
        <v>141</v>
      </c>
      <c r="E5584" s="30" t="s">
        <v>142</v>
      </c>
      <c r="F5584" s="7" t="s">
        <v>82</v>
      </c>
      <c r="G5584" s="139" t="s">
        <v>575</v>
      </c>
      <c r="H5584" s="140" t="s">
        <v>8038</v>
      </c>
      <c r="I5584" s="141">
        <v>2</v>
      </c>
      <c r="J5584" s="142">
        <v>8</v>
      </c>
      <c r="K5584" s="142">
        <v>0</v>
      </c>
      <c r="L5584" s="142">
        <v>0</v>
      </c>
      <c r="M5584" s="142">
        <v>0</v>
      </c>
      <c r="N5584" s="142">
        <v>0</v>
      </c>
      <c r="O5584" s="142">
        <v>0</v>
      </c>
      <c r="P5584" s="158">
        <v>2.44692</v>
      </c>
      <c r="Q5584" s="144" t="s">
        <v>154</v>
      </c>
    </row>
    <row r="5585" spans="1:17" s="162" customFormat="1" ht="48" x14ac:dyDescent="0.25">
      <c r="A5585" s="137">
        <v>41640</v>
      </c>
      <c r="B5585" s="137">
        <v>42004</v>
      </c>
      <c r="C5585" s="138">
        <v>2014</v>
      </c>
      <c r="D5585" s="35" t="s">
        <v>28</v>
      </c>
      <c r="E5585" s="14" t="s">
        <v>29</v>
      </c>
      <c r="F5585" s="7" t="s">
        <v>45</v>
      </c>
      <c r="G5585" s="139" t="s">
        <v>26</v>
      </c>
      <c r="H5585" s="140" t="s">
        <v>8039</v>
      </c>
      <c r="I5585" s="141">
        <v>0</v>
      </c>
      <c r="J5585" s="142">
        <v>0</v>
      </c>
      <c r="K5585" s="142">
        <v>0</v>
      </c>
      <c r="L5585" s="142">
        <v>0</v>
      </c>
      <c r="M5585" s="142">
        <v>0</v>
      </c>
      <c r="N5585" s="142">
        <v>0</v>
      </c>
      <c r="O5585" s="142">
        <v>2260.62</v>
      </c>
      <c r="P5585" s="158">
        <v>2.2606199999999999</v>
      </c>
      <c r="Q5585" s="144" t="s">
        <v>3556</v>
      </c>
    </row>
    <row r="5586" spans="1:17" s="162" customFormat="1" ht="48" x14ac:dyDescent="0.25">
      <c r="A5586" s="137">
        <v>41640</v>
      </c>
      <c r="B5586" s="137">
        <v>42004</v>
      </c>
      <c r="C5586" s="138">
        <v>2014</v>
      </c>
      <c r="D5586" s="35" t="s">
        <v>28</v>
      </c>
      <c r="E5586" s="14" t="s">
        <v>29</v>
      </c>
      <c r="F5586" s="7" t="s">
        <v>53</v>
      </c>
      <c r="G5586" s="139" t="s">
        <v>26</v>
      </c>
      <c r="H5586" s="140" t="s">
        <v>8040</v>
      </c>
      <c r="I5586" s="141">
        <v>0</v>
      </c>
      <c r="J5586" s="142">
        <v>0</v>
      </c>
      <c r="K5586" s="142">
        <v>0</v>
      </c>
      <c r="L5586" s="142">
        <v>0</v>
      </c>
      <c r="M5586" s="142">
        <v>0</v>
      </c>
      <c r="N5586" s="142">
        <v>0</v>
      </c>
      <c r="O5586" s="142">
        <v>2171.96</v>
      </c>
      <c r="P5586" s="158">
        <v>2.1719599999999999</v>
      </c>
      <c r="Q5586" s="144" t="s">
        <v>3556</v>
      </c>
    </row>
    <row r="5587" spans="1:17" s="162" customFormat="1" ht="72" x14ac:dyDescent="0.25">
      <c r="A5587" s="48">
        <v>41838</v>
      </c>
      <c r="B5587" s="48">
        <v>41840</v>
      </c>
      <c r="C5587" s="138">
        <v>2014</v>
      </c>
      <c r="D5587" s="351" t="s">
        <v>23</v>
      </c>
      <c r="E5587" s="22" t="s">
        <v>86</v>
      </c>
      <c r="F5587" s="7" t="s">
        <v>45</v>
      </c>
      <c r="G5587" s="139" t="s">
        <v>8041</v>
      </c>
      <c r="H5587" s="140" t="s">
        <v>8042</v>
      </c>
      <c r="I5587" s="182">
        <v>0</v>
      </c>
      <c r="J5587" s="142">
        <v>0</v>
      </c>
      <c r="K5587" s="142">
        <v>0</v>
      </c>
      <c r="L5587" s="142">
        <v>0</v>
      </c>
      <c r="M5587" s="142">
        <v>0</v>
      </c>
      <c r="N5587" s="142">
        <v>0</v>
      </c>
      <c r="O5587" s="142">
        <v>0</v>
      </c>
      <c r="P5587" s="158">
        <v>2.1005350200000001</v>
      </c>
      <c r="Q5587" s="144" t="s">
        <v>986</v>
      </c>
    </row>
    <row r="5588" spans="1:17" s="162" customFormat="1" ht="144" x14ac:dyDescent="0.25">
      <c r="A5588" s="137">
        <v>41859</v>
      </c>
      <c r="B5588" s="137">
        <v>41861</v>
      </c>
      <c r="C5588" s="138">
        <v>2014</v>
      </c>
      <c r="D5588" s="351" t="s">
        <v>23</v>
      </c>
      <c r="E5588" s="180" t="s">
        <v>5893</v>
      </c>
      <c r="F5588" s="7" t="s">
        <v>101</v>
      </c>
      <c r="G5588" s="139" t="s">
        <v>8043</v>
      </c>
      <c r="H5588" s="140" t="s">
        <v>8044</v>
      </c>
      <c r="I5588" s="141">
        <v>0</v>
      </c>
      <c r="J5588" s="142">
        <v>1098</v>
      </c>
      <c r="K5588" s="142">
        <v>96</v>
      </c>
      <c r="L5588" s="142">
        <v>0</v>
      </c>
      <c r="M5588" s="142">
        <v>0</v>
      </c>
      <c r="N5588" s="142">
        <v>0</v>
      </c>
      <c r="O5588" s="142">
        <v>0</v>
      </c>
      <c r="P5588" s="158">
        <v>2.1</v>
      </c>
      <c r="Q5588" s="144" t="s">
        <v>7883</v>
      </c>
    </row>
    <row r="5589" spans="1:17" s="162" customFormat="1" ht="120" x14ac:dyDescent="0.25">
      <c r="A5589" s="137">
        <v>41868</v>
      </c>
      <c r="B5589" s="137">
        <v>41868</v>
      </c>
      <c r="C5589" s="138">
        <v>2014</v>
      </c>
      <c r="D5589" s="351" t="s">
        <v>23</v>
      </c>
      <c r="E5589" s="186" t="s">
        <v>2691</v>
      </c>
      <c r="F5589" s="28" t="s">
        <v>160</v>
      </c>
      <c r="G5589" s="139" t="s">
        <v>1326</v>
      </c>
      <c r="H5589" s="140" t="s">
        <v>8045</v>
      </c>
      <c r="I5589" s="141">
        <v>0</v>
      </c>
      <c r="J5589" s="142">
        <v>120</v>
      </c>
      <c r="K5589" s="142">
        <v>24</v>
      </c>
      <c r="L5589" s="142">
        <v>0</v>
      </c>
      <c r="M5589" s="142">
        <v>0</v>
      </c>
      <c r="N5589" s="142">
        <v>0</v>
      </c>
      <c r="O5589" s="142">
        <v>0</v>
      </c>
      <c r="P5589" s="158">
        <v>1.96</v>
      </c>
      <c r="Q5589" s="144" t="s">
        <v>154</v>
      </c>
    </row>
    <row r="5590" spans="1:17" s="162" customFormat="1" ht="48" x14ac:dyDescent="0.25">
      <c r="A5590" s="48">
        <v>41852</v>
      </c>
      <c r="B5590" s="48">
        <v>41852</v>
      </c>
      <c r="C5590" s="138">
        <v>2014</v>
      </c>
      <c r="D5590" s="351" t="s">
        <v>23</v>
      </c>
      <c r="E5590" s="22" t="s">
        <v>86</v>
      </c>
      <c r="F5590" s="7" t="s">
        <v>49</v>
      </c>
      <c r="G5590" s="139" t="s">
        <v>8046</v>
      </c>
      <c r="H5590" s="140" t="s">
        <v>8047</v>
      </c>
      <c r="I5590" s="141">
        <v>0</v>
      </c>
      <c r="J5590" s="142">
        <v>6160</v>
      </c>
      <c r="K5590" s="142">
        <v>0</v>
      </c>
      <c r="L5590" s="142">
        <v>0</v>
      </c>
      <c r="M5590" s="142">
        <v>0</v>
      </c>
      <c r="N5590" s="142">
        <v>0</v>
      </c>
      <c r="O5590" s="142">
        <v>0</v>
      </c>
      <c r="P5590" s="158">
        <v>1.9</v>
      </c>
      <c r="Q5590" s="144" t="s">
        <v>186</v>
      </c>
    </row>
    <row r="5591" spans="1:17" s="162" customFormat="1" ht="36" x14ac:dyDescent="0.25">
      <c r="A5591" s="184">
        <v>41640</v>
      </c>
      <c r="B5591" s="184">
        <v>42004</v>
      </c>
      <c r="C5591" s="138">
        <v>2014</v>
      </c>
      <c r="D5591" s="35" t="s">
        <v>28</v>
      </c>
      <c r="E5591" s="14" t="s">
        <v>29</v>
      </c>
      <c r="F5591" s="28" t="s">
        <v>151</v>
      </c>
      <c r="G5591" s="139" t="s">
        <v>26</v>
      </c>
      <c r="H5591" s="140" t="s">
        <v>8048</v>
      </c>
      <c r="I5591" s="141">
        <v>0</v>
      </c>
      <c r="J5591" s="142">
        <v>0</v>
      </c>
      <c r="K5591" s="142">
        <v>0</v>
      </c>
      <c r="L5591" s="142">
        <v>0</v>
      </c>
      <c r="M5591" s="142">
        <v>0</v>
      </c>
      <c r="N5591" s="142">
        <v>0</v>
      </c>
      <c r="O5591" s="142">
        <v>1875.5</v>
      </c>
      <c r="P5591" s="158">
        <v>1.8754999999999999</v>
      </c>
      <c r="Q5591" s="144" t="s">
        <v>3556</v>
      </c>
    </row>
    <row r="5592" spans="1:17" s="162" customFormat="1" ht="60" x14ac:dyDescent="0.25">
      <c r="A5592" s="137">
        <v>41797</v>
      </c>
      <c r="B5592" s="137">
        <v>41797</v>
      </c>
      <c r="C5592" s="138">
        <v>2014</v>
      </c>
      <c r="D5592" s="351" t="s">
        <v>23</v>
      </c>
      <c r="E5592" s="22" t="s">
        <v>86</v>
      </c>
      <c r="F5592" s="7" t="s">
        <v>65</v>
      </c>
      <c r="G5592" s="139" t="s">
        <v>8049</v>
      </c>
      <c r="H5592" s="140" t="s">
        <v>8050</v>
      </c>
      <c r="I5592" s="182">
        <v>0</v>
      </c>
      <c r="J5592" s="178">
        <f>K5592*5</f>
        <v>70</v>
      </c>
      <c r="K5592" s="142">
        <v>14</v>
      </c>
      <c r="L5592" s="142">
        <v>0</v>
      </c>
      <c r="M5592" s="142">
        <v>0</v>
      </c>
      <c r="N5592" s="142">
        <v>0</v>
      </c>
      <c r="O5592" s="142">
        <v>0</v>
      </c>
      <c r="P5592" s="158">
        <v>1.8236250000000001</v>
      </c>
      <c r="Q5592" s="144" t="s">
        <v>154</v>
      </c>
    </row>
    <row r="5593" spans="1:17" s="162" customFormat="1" ht="60" x14ac:dyDescent="0.25">
      <c r="A5593" s="48">
        <v>41707</v>
      </c>
      <c r="B5593" s="48">
        <v>41707</v>
      </c>
      <c r="C5593" s="138">
        <v>2014</v>
      </c>
      <c r="D5593" s="351" t="s">
        <v>23</v>
      </c>
      <c r="E5593" s="22" t="s">
        <v>42</v>
      </c>
      <c r="F5593" s="7" t="s">
        <v>40</v>
      </c>
      <c r="G5593" s="139" t="s">
        <v>1029</v>
      </c>
      <c r="H5593" s="140" t="s">
        <v>8051</v>
      </c>
      <c r="I5593" s="182">
        <v>0</v>
      </c>
      <c r="J5593" s="142">
        <v>0</v>
      </c>
      <c r="K5593" s="142">
        <v>0</v>
      </c>
      <c r="L5593" s="142">
        <v>0</v>
      </c>
      <c r="M5593" s="142">
        <v>0</v>
      </c>
      <c r="N5593" s="142">
        <v>0</v>
      </c>
      <c r="O5593" s="142">
        <v>0</v>
      </c>
      <c r="P5593" s="158">
        <v>1.8102279999999999</v>
      </c>
      <c r="Q5593" s="144" t="s">
        <v>986</v>
      </c>
    </row>
    <row r="5594" spans="1:17" s="162" customFormat="1" ht="48" x14ac:dyDescent="0.25">
      <c r="A5594" s="137">
        <v>41891</v>
      </c>
      <c r="B5594" s="137">
        <v>41891</v>
      </c>
      <c r="C5594" s="138">
        <v>2014</v>
      </c>
      <c r="D5594" s="24" t="s">
        <v>141</v>
      </c>
      <c r="E5594" s="30" t="s">
        <v>142</v>
      </c>
      <c r="F5594" s="7" t="s">
        <v>84</v>
      </c>
      <c r="G5594" s="139" t="s">
        <v>2980</v>
      </c>
      <c r="H5594" s="140" t="s">
        <v>8052</v>
      </c>
      <c r="I5594" s="141">
        <v>5</v>
      </c>
      <c r="J5594" s="142">
        <v>5</v>
      </c>
      <c r="K5594" s="142">
        <v>0</v>
      </c>
      <c r="L5594" s="142">
        <v>0</v>
      </c>
      <c r="M5594" s="142">
        <v>0</v>
      </c>
      <c r="N5594" s="142">
        <v>0</v>
      </c>
      <c r="O5594" s="142">
        <v>0</v>
      </c>
      <c r="P5594" s="158">
        <v>1.575</v>
      </c>
      <c r="Q5594" s="144" t="s">
        <v>154</v>
      </c>
    </row>
    <row r="5595" spans="1:17" s="162" customFormat="1" ht="60" x14ac:dyDescent="0.25">
      <c r="A5595" s="137">
        <v>41831</v>
      </c>
      <c r="B5595" s="137">
        <v>41831</v>
      </c>
      <c r="C5595" s="138">
        <v>2014</v>
      </c>
      <c r="D5595" s="24" t="s">
        <v>141</v>
      </c>
      <c r="E5595" s="30" t="s">
        <v>142</v>
      </c>
      <c r="F5595" s="28" t="s">
        <v>210</v>
      </c>
      <c r="G5595" s="139" t="s">
        <v>8053</v>
      </c>
      <c r="H5595" s="140" t="s">
        <v>8054</v>
      </c>
      <c r="I5595" s="182">
        <v>4</v>
      </c>
      <c r="J5595" s="142">
        <v>6</v>
      </c>
      <c r="K5595" s="142">
        <v>0</v>
      </c>
      <c r="L5595" s="142">
        <v>0</v>
      </c>
      <c r="M5595" s="142">
        <v>0</v>
      </c>
      <c r="N5595" s="142">
        <v>0</v>
      </c>
      <c r="O5595" s="142">
        <v>0</v>
      </c>
      <c r="P5595" s="158">
        <v>1.575</v>
      </c>
      <c r="Q5595" s="144" t="s">
        <v>154</v>
      </c>
    </row>
    <row r="5596" spans="1:17" s="162" customFormat="1" ht="72" x14ac:dyDescent="0.25">
      <c r="A5596" s="137">
        <v>41653</v>
      </c>
      <c r="B5596" s="137">
        <v>41653</v>
      </c>
      <c r="C5596" s="138">
        <v>2014</v>
      </c>
      <c r="D5596" s="24" t="s">
        <v>141</v>
      </c>
      <c r="E5596" s="30" t="s">
        <v>142</v>
      </c>
      <c r="F5596" s="7" t="s">
        <v>75</v>
      </c>
      <c r="G5596" s="139" t="s">
        <v>4469</v>
      </c>
      <c r="H5596" s="140" t="s">
        <v>8055</v>
      </c>
      <c r="I5596" s="141">
        <v>1</v>
      </c>
      <c r="J5596" s="142">
        <v>3</v>
      </c>
      <c r="K5596" s="142">
        <v>0</v>
      </c>
      <c r="L5596" s="142">
        <v>0</v>
      </c>
      <c r="M5596" s="142">
        <v>0</v>
      </c>
      <c r="N5596" s="142">
        <v>0</v>
      </c>
      <c r="O5596" s="142">
        <v>0</v>
      </c>
      <c r="P5596" s="158">
        <v>1.575</v>
      </c>
      <c r="Q5596" s="144" t="s">
        <v>154</v>
      </c>
    </row>
    <row r="5597" spans="1:17" s="162" customFormat="1" ht="60" x14ac:dyDescent="0.25">
      <c r="A5597" s="137">
        <v>41670</v>
      </c>
      <c r="B5597" s="137">
        <v>41670</v>
      </c>
      <c r="C5597" s="138">
        <v>2014</v>
      </c>
      <c r="D5597" s="24" t="s">
        <v>141</v>
      </c>
      <c r="E5597" s="30" t="s">
        <v>142</v>
      </c>
      <c r="F5597" s="7" t="s">
        <v>91</v>
      </c>
      <c r="G5597" s="139" t="s">
        <v>2315</v>
      </c>
      <c r="H5597" s="140" t="s">
        <v>8056</v>
      </c>
      <c r="I5597" s="141">
        <v>1</v>
      </c>
      <c r="J5597" s="31">
        <v>3</v>
      </c>
      <c r="K5597" s="142">
        <v>0</v>
      </c>
      <c r="L5597" s="142">
        <v>0</v>
      </c>
      <c r="M5597" s="142">
        <v>0</v>
      </c>
      <c r="N5597" s="142">
        <v>0</v>
      </c>
      <c r="O5597" s="142">
        <v>0</v>
      </c>
      <c r="P5597" s="158">
        <v>1.575</v>
      </c>
      <c r="Q5597" s="144" t="s">
        <v>154</v>
      </c>
    </row>
    <row r="5598" spans="1:17" s="162" customFormat="1" ht="84" x14ac:dyDescent="0.25">
      <c r="A5598" s="137">
        <v>41892</v>
      </c>
      <c r="B5598" s="137">
        <v>41892</v>
      </c>
      <c r="C5598" s="138">
        <v>2014</v>
      </c>
      <c r="D5598" s="24" t="s">
        <v>141</v>
      </c>
      <c r="E5598" s="30" t="s">
        <v>142</v>
      </c>
      <c r="F5598" s="7" t="s">
        <v>36</v>
      </c>
      <c r="G5598" s="139" t="s">
        <v>232</v>
      </c>
      <c r="H5598" s="140" t="s">
        <v>8057</v>
      </c>
      <c r="I5598" s="141">
        <v>1</v>
      </c>
      <c r="J5598" s="142">
        <v>5</v>
      </c>
      <c r="K5598" s="142">
        <v>0</v>
      </c>
      <c r="L5598" s="142">
        <v>0</v>
      </c>
      <c r="M5598" s="142">
        <v>0</v>
      </c>
      <c r="N5598" s="142">
        <v>0</v>
      </c>
      <c r="O5598" s="142">
        <v>0</v>
      </c>
      <c r="P5598" s="158">
        <v>1.575</v>
      </c>
      <c r="Q5598" s="144" t="s">
        <v>154</v>
      </c>
    </row>
    <row r="5599" spans="1:17" s="162" customFormat="1" ht="48" x14ac:dyDescent="0.25">
      <c r="A5599" s="137">
        <v>41656</v>
      </c>
      <c r="B5599" s="137">
        <v>41656</v>
      </c>
      <c r="C5599" s="138">
        <v>2014</v>
      </c>
      <c r="D5599" s="24" t="s">
        <v>141</v>
      </c>
      <c r="E5599" s="30" t="s">
        <v>142</v>
      </c>
      <c r="F5599" s="7" t="s">
        <v>62</v>
      </c>
      <c r="G5599" s="139" t="s">
        <v>2480</v>
      </c>
      <c r="H5599" s="140" t="s">
        <v>8058</v>
      </c>
      <c r="I5599" s="141">
        <v>0</v>
      </c>
      <c r="J5599" s="31">
        <v>5</v>
      </c>
      <c r="K5599" s="142">
        <v>0</v>
      </c>
      <c r="L5599" s="142">
        <v>0</v>
      </c>
      <c r="M5599" s="142">
        <v>0</v>
      </c>
      <c r="N5599" s="142">
        <v>0</v>
      </c>
      <c r="O5599" s="142">
        <v>0</v>
      </c>
      <c r="P5599" s="158">
        <v>1.575</v>
      </c>
      <c r="Q5599" s="144" t="s">
        <v>154</v>
      </c>
    </row>
    <row r="5600" spans="1:17" s="162" customFormat="1" ht="120" x14ac:dyDescent="0.25">
      <c r="A5600" s="137">
        <v>41844</v>
      </c>
      <c r="B5600" s="137">
        <v>41845</v>
      </c>
      <c r="C5600" s="138">
        <v>2014</v>
      </c>
      <c r="D5600" s="351" t="s">
        <v>23</v>
      </c>
      <c r="E5600" s="22" t="s">
        <v>86</v>
      </c>
      <c r="F5600" s="7" t="s">
        <v>87</v>
      </c>
      <c r="G5600" s="139" t="s">
        <v>8059</v>
      </c>
      <c r="H5600" s="140" t="s">
        <v>8060</v>
      </c>
      <c r="I5600" s="141">
        <v>10</v>
      </c>
      <c r="J5600" s="142">
        <v>250</v>
      </c>
      <c r="K5600" s="142">
        <v>35</v>
      </c>
      <c r="L5600" s="142">
        <v>0</v>
      </c>
      <c r="M5600" s="142">
        <v>0</v>
      </c>
      <c r="N5600" s="142">
        <v>0</v>
      </c>
      <c r="O5600" s="142">
        <v>0</v>
      </c>
      <c r="P5600" s="158">
        <v>1.5</v>
      </c>
      <c r="Q5600" s="144" t="s">
        <v>7883</v>
      </c>
    </row>
    <row r="5601" spans="1:17" s="162" customFormat="1" ht="24" x14ac:dyDescent="0.25">
      <c r="A5601" s="137">
        <v>41640</v>
      </c>
      <c r="B5601" s="137">
        <v>42004</v>
      </c>
      <c r="C5601" s="138">
        <v>2014</v>
      </c>
      <c r="D5601" s="35" t="s">
        <v>28</v>
      </c>
      <c r="E5601" s="14" t="s">
        <v>29</v>
      </c>
      <c r="F5601" s="7" t="s">
        <v>80</v>
      </c>
      <c r="G5601" s="139" t="s">
        <v>26</v>
      </c>
      <c r="H5601" s="140" t="s">
        <v>8061</v>
      </c>
      <c r="I5601" s="141">
        <v>0</v>
      </c>
      <c r="J5601" s="142">
        <v>0</v>
      </c>
      <c r="K5601" s="142">
        <v>0</v>
      </c>
      <c r="L5601" s="142">
        <v>0</v>
      </c>
      <c r="M5601" s="142">
        <v>0</v>
      </c>
      <c r="N5601" s="142">
        <v>0</v>
      </c>
      <c r="O5601" s="142">
        <v>1409.25</v>
      </c>
      <c r="P5601" s="158">
        <v>1.4092499999999999</v>
      </c>
      <c r="Q5601" s="144" t="s">
        <v>3556</v>
      </c>
    </row>
    <row r="5602" spans="1:17" s="162" customFormat="1" ht="36" x14ac:dyDescent="0.25">
      <c r="A5602" s="137">
        <v>41640</v>
      </c>
      <c r="B5602" s="137">
        <v>42004</v>
      </c>
      <c r="C5602" s="138">
        <v>2014</v>
      </c>
      <c r="D5602" s="35" t="s">
        <v>28</v>
      </c>
      <c r="E5602" s="14" t="s">
        <v>29</v>
      </c>
      <c r="F5602" s="28" t="s">
        <v>210</v>
      </c>
      <c r="G5602" s="139" t="s">
        <v>26</v>
      </c>
      <c r="H5602" s="140" t="s">
        <v>8062</v>
      </c>
      <c r="I5602" s="141">
        <v>0</v>
      </c>
      <c r="J5602" s="142">
        <v>0</v>
      </c>
      <c r="K5602" s="142">
        <v>0</v>
      </c>
      <c r="L5602" s="142">
        <v>0</v>
      </c>
      <c r="M5602" s="142">
        <v>0</v>
      </c>
      <c r="N5602" s="142">
        <v>0</v>
      </c>
      <c r="O5602" s="142">
        <v>1275.95</v>
      </c>
      <c r="P5602" s="158">
        <v>1.2759500000000001</v>
      </c>
      <c r="Q5602" s="144" t="s">
        <v>3556</v>
      </c>
    </row>
    <row r="5603" spans="1:17" s="162" customFormat="1" ht="120" x14ac:dyDescent="0.25">
      <c r="A5603" s="137">
        <v>41808</v>
      </c>
      <c r="B5603" s="137">
        <v>41808</v>
      </c>
      <c r="C5603" s="138">
        <v>2014</v>
      </c>
      <c r="D5603" s="351" t="s">
        <v>23</v>
      </c>
      <c r="E5603" s="22" t="s">
        <v>86</v>
      </c>
      <c r="F5603" s="7" t="s">
        <v>101</v>
      </c>
      <c r="G5603" s="139" t="s">
        <v>174</v>
      </c>
      <c r="H5603" s="140" t="s">
        <v>8063</v>
      </c>
      <c r="I5603" s="182">
        <v>0</v>
      </c>
      <c r="J5603" s="178">
        <f>K5603*5</f>
        <v>250</v>
      </c>
      <c r="K5603" s="183">
        <v>50</v>
      </c>
      <c r="L5603" s="142">
        <v>0</v>
      </c>
      <c r="M5603" s="142">
        <v>0</v>
      </c>
      <c r="N5603" s="142">
        <v>0</v>
      </c>
      <c r="O5603" s="142">
        <v>0</v>
      </c>
      <c r="P5603" s="158">
        <v>1.2482329999999999</v>
      </c>
      <c r="Q5603" s="144" t="s">
        <v>154</v>
      </c>
    </row>
    <row r="5604" spans="1:17" s="162" customFormat="1" ht="84" x14ac:dyDescent="0.25">
      <c r="A5604" s="137">
        <v>41968</v>
      </c>
      <c r="B5604" s="137">
        <v>41969</v>
      </c>
      <c r="C5604" s="138">
        <v>2014</v>
      </c>
      <c r="D5604" s="351" t="s">
        <v>23</v>
      </c>
      <c r="E5604" s="22" t="s">
        <v>86</v>
      </c>
      <c r="F5604" s="7" t="s">
        <v>36</v>
      </c>
      <c r="G5604" s="139" t="s">
        <v>2213</v>
      </c>
      <c r="H5604" s="140" t="s">
        <v>8064</v>
      </c>
      <c r="I5604" s="141">
        <v>0</v>
      </c>
      <c r="J5604" s="142">
        <v>794</v>
      </c>
      <c r="K5604" s="142">
        <v>0</v>
      </c>
      <c r="L5604" s="142">
        <v>0</v>
      </c>
      <c r="M5604" s="142">
        <v>0</v>
      </c>
      <c r="N5604" s="142">
        <v>0</v>
      </c>
      <c r="O5604" s="142">
        <v>0</v>
      </c>
      <c r="P5604" s="158">
        <v>1.2</v>
      </c>
      <c r="Q5604" s="144" t="s">
        <v>7883</v>
      </c>
    </row>
    <row r="5605" spans="1:17" s="162" customFormat="1" ht="84" x14ac:dyDescent="0.25">
      <c r="A5605" s="137">
        <v>41745</v>
      </c>
      <c r="B5605" s="137">
        <v>41745</v>
      </c>
      <c r="C5605" s="138">
        <v>2014</v>
      </c>
      <c r="D5605" s="24" t="s">
        <v>141</v>
      </c>
      <c r="E5605" s="30" t="s">
        <v>142</v>
      </c>
      <c r="F5605" s="7" t="s">
        <v>53</v>
      </c>
      <c r="G5605" s="139" t="s">
        <v>5082</v>
      </c>
      <c r="H5605" s="187" t="s">
        <v>8065</v>
      </c>
      <c r="I5605" s="179">
        <v>0</v>
      </c>
      <c r="J5605" s="142">
        <v>2</v>
      </c>
      <c r="K5605" s="142">
        <v>0</v>
      </c>
      <c r="L5605" s="142">
        <v>0</v>
      </c>
      <c r="M5605" s="142">
        <v>0</v>
      </c>
      <c r="N5605" s="142">
        <v>0</v>
      </c>
      <c r="O5605" s="142">
        <v>0</v>
      </c>
      <c r="P5605" s="158">
        <v>1.1812499999999999</v>
      </c>
      <c r="Q5605" s="144" t="s">
        <v>154</v>
      </c>
    </row>
    <row r="5606" spans="1:17" s="162" customFormat="1" ht="60" x14ac:dyDescent="0.25">
      <c r="A5606" s="137">
        <v>41884</v>
      </c>
      <c r="B5606" s="137">
        <v>41884</v>
      </c>
      <c r="C5606" s="138">
        <v>2014</v>
      </c>
      <c r="D5606" s="24" t="s">
        <v>141</v>
      </c>
      <c r="E5606" s="30" t="s">
        <v>142</v>
      </c>
      <c r="F5606" s="7" t="s">
        <v>53</v>
      </c>
      <c r="G5606" s="139" t="s">
        <v>1896</v>
      </c>
      <c r="H5606" s="140" t="s">
        <v>8066</v>
      </c>
      <c r="I5606" s="141">
        <v>2</v>
      </c>
      <c r="J5606" s="142">
        <v>2</v>
      </c>
      <c r="K5606" s="142">
        <v>0</v>
      </c>
      <c r="L5606" s="142">
        <v>0</v>
      </c>
      <c r="M5606" s="142">
        <v>0</v>
      </c>
      <c r="N5606" s="142">
        <v>0</v>
      </c>
      <c r="O5606" s="142">
        <v>0</v>
      </c>
      <c r="P5606" s="158">
        <v>1.1599999999999999</v>
      </c>
      <c r="Q5606" s="144" t="s">
        <v>154</v>
      </c>
    </row>
    <row r="5607" spans="1:17" s="162" customFormat="1" ht="192" x14ac:dyDescent="0.25">
      <c r="A5607" s="137">
        <v>41914</v>
      </c>
      <c r="B5607" s="137">
        <v>41915</v>
      </c>
      <c r="C5607" s="138">
        <v>2014</v>
      </c>
      <c r="D5607" s="351" t="s">
        <v>23</v>
      </c>
      <c r="E5607" s="22" t="s">
        <v>86</v>
      </c>
      <c r="F5607" s="7" t="s">
        <v>65</v>
      </c>
      <c r="G5607" s="139" t="s">
        <v>8067</v>
      </c>
      <c r="H5607" s="140" t="s">
        <v>8068</v>
      </c>
      <c r="I5607" s="141">
        <v>0</v>
      </c>
      <c r="J5607" s="142">
        <v>135</v>
      </c>
      <c r="K5607" s="142">
        <v>27</v>
      </c>
      <c r="L5607" s="142">
        <v>0</v>
      </c>
      <c r="M5607" s="142">
        <v>0</v>
      </c>
      <c r="N5607" s="142">
        <v>0</v>
      </c>
      <c r="O5607" s="142">
        <v>0</v>
      </c>
      <c r="P5607" s="158">
        <v>1.0121249999999999</v>
      </c>
      <c r="Q5607" s="144" t="s">
        <v>154</v>
      </c>
    </row>
    <row r="5608" spans="1:17" s="162" customFormat="1" ht="48" x14ac:dyDescent="0.25">
      <c r="A5608" s="137">
        <v>41721</v>
      </c>
      <c r="B5608" s="137">
        <v>41721</v>
      </c>
      <c r="C5608" s="138">
        <v>2014</v>
      </c>
      <c r="D5608" s="24" t="s">
        <v>141</v>
      </c>
      <c r="E5608" s="30" t="s">
        <v>142</v>
      </c>
      <c r="F5608" s="7" t="s">
        <v>36</v>
      </c>
      <c r="G5608" s="139" t="s">
        <v>1830</v>
      </c>
      <c r="H5608" s="140" t="s">
        <v>8069</v>
      </c>
      <c r="I5608" s="179">
        <v>2</v>
      </c>
      <c r="J5608" s="31">
        <v>2</v>
      </c>
      <c r="K5608" s="142">
        <v>0</v>
      </c>
      <c r="L5608" s="142">
        <v>0</v>
      </c>
      <c r="M5608" s="142">
        <v>0</v>
      </c>
      <c r="N5608" s="142">
        <v>0</v>
      </c>
      <c r="O5608" s="142">
        <v>0</v>
      </c>
      <c r="P5608" s="158">
        <v>1</v>
      </c>
      <c r="Q5608" s="144" t="s">
        <v>154</v>
      </c>
    </row>
    <row r="5609" spans="1:17" s="162" customFormat="1" ht="36" x14ac:dyDescent="0.25">
      <c r="A5609" s="48">
        <v>41975</v>
      </c>
      <c r="B5609" s="48">
        <v>41975</v>
      </c>
      <c r="C5609" s="138">
        <v>2014</v>
      </c>
      <c r="D5609" s="24" t="s">
        <v>141</v>
      </c>
      <c r="E5609" s="30" t="s">
        <v>142</v>
      </c>
      <c r="F5609" s="7" t="s">
        <v>36</v>
      </c>
      <c r="G5609" s="139" t="s">
        <v>8070</v>
      </c>
      <c r="H5609" s="140" t="s">
        <v>8071</v>
      </c>
      <c r="I5609" s="141">
        <v>2</v>
      </c>
      <c r="J5609" s="142">
        <v>2</v>
      </c>
      <c r="K5609" s="142">
        <v>0</v>
      </c>
      <c r="L5609" s="142">
        <v>0</v>
      </c>
      <c r="M5609" s="142">
        <v>0</v>
      </c>
      <c r="N5609" s="142">
        <v>0</v>
      </c>
      <c r="O5609" s="142">
        <v>0</v>
      </c>
      <c r="P5609" s="158">
        <v>1</v>
      </c>
      <c r="Q5609" s="144" t="s">
        <v>154</v>
      </c>
    </row>
    <row r="5610" spans="1:17" s="162" customFormat="1" ht="96" x14ac:dyDescent="0.25">
      <c r="A5610" s="137">
        <v>41898</v>
      </c>
      <c r="B5610" s="137">
        <v>41900</v>
      </c>
      <c r="C5610" s="138">
        <v>2014</v>
      </c>
      <c r="D5610" s="351" t="s">
        <v>23</v>
      </c>
      <c r="E5610" s="14" t="s">
        <v>52</v>
      </c>
      <c r="F5610" s="7" t="s">
        <v>87</v>
      </c>
      <c r="G5610" s="139" t="s">
        <v>8072</v>
      </c>
      <c r="H5610" s="140" t="s">
        <v>8073</v>
      </c>
      <c r="I5610" s="141">
        <v>0</v>
      </c>
      <c r="J5610" s="142">
        <v>507</v>
      </c>
      <c r="K5610" s="142">
        <v>0</v>
      </c>
      <c r="L5610" s="142">
        <v>0</v>
      </c>
      <c r="M5610" s="142">
        <v>0</v>
      </c>
      <c r="N5610" s="142">
        <v>0</v>
      </c>
      <c r="O5610" s="142">
        <v>0</v>
      </c>
      <c r="P5610" s="158">
        <v>1</v>
      </c>
      <c r="Q5610" s="144" t="s">
        <v>186</v>
      </c>
    </row>
    <row r="5611" spans="1:17" s="162" customFormat="1" ht="120" x14ac:dyDescent="0.25">
      <c r="A5611" s="137">
        <v>41780</v>
      </c>
      <c r="B5611" s="137">
        <v>41780</v>
      </c>
      <c r="C5611" s="138">
        <v>2014</v>
      </c>
      <c r="D5611" s="24" t="s">
        <v>141</v>
      </c>
      <c r="E5611" s="30" t="s">
        <v>142</v>
      </c>
      <c r="F5611" s="7" t="s">
        <v>62</v>
      </c>
      <c r="G5611" s="139" t="s">
        <v>3340</v>
      </c>
      <c r="H5611" s="140" t="s">
        <v>8074</v>
      </c>
      <c r="I5611" s="179">
        <v>3</v>
      </c>
      <c r="J5611" s="142">
        <v>24</v>
      </c>
      <c r="K5611" s="142">
        <v>0</v>
      </c>
      <c r="L5611" s="142">
        <v>0</v>
      </c>
      <c r="M5611" s="142">
        <v>0</v>
      </c>
      <c r="N5611" s="142">
        <v>0</v>
      </c>
      <c r="O5611" s="142">
        <v>0</v>
      </c>
      <c r="P5611" s="158">
        <v>0.99750000000000005</v>
      </c>
      <c r="Q5611" s="144" t="s">
        <v>154</v>
      </c>
    </row>
    <row r="5612" spans="1:17" s="162" customFormat="1" ht="120" x14ac:dyDescent="0.25">
      <c r="A5612" s="137">
        <v>41852</v>
      </c>
      <c r="B5612" s="137">
        <v>41852</v>
      </c>
      <c r="C5612" s="138">
        <v>2014</v>
      </c>
      <c r="D5612" s="24" t="s">
        <v>141</v>
      </c>
      <c r="E5612" s="30" t="s">
        <v>142</v>
      </c>
      <c r="F5612" s="7" t="s">
        <v>56</v>
      </c>
      <c r="G5612" s="139" t="s">
        <v>1160</v>
      </c>
      <c r="H5612" s="33" t="s">
        <v>8075</v>
      </c>
      <c r="I5612" s="182">
        <v>1</v>
      </c>
      <c r="J5612" s="142">
        <v>13</v>
      </c>
      <c r="K5612" s="142">
        <v>0</v>
      </c>
      <c r="L5612" s="142">
        <v>0</v>
      </c>
      <c r="M5612" s="142">
        <v>0</v>
      </c>
      <c r="N5612" s="142">
        <v>0</v>
      </c>
      <c r="O5612" s="142">
        <v>0</v>
      </c>
      <c r="P5612" s="158">
        <v>0.99750000000000005</v>
      </c>
      <c r="Q5612" s="144" t="s">
        <v>154</v>
      </c>
    </row>
    <row r="5613" spans="1:17" s="162" customFormat="1" ht="36" x14ac:dyDescent="0.25">
      <c r="A5613" s="137">
        <v>41640</v>
      </c>
      <c r="B5613" s="137">
        <v>42004</v>
      </c>
      <c r="C5613" s="138">
        <v>2014</v>
      </c>
      <c r="D5613" s="35" t="s">
        <v>28</v>
      </c>
      <c r="E5613" s="14" t="s">
        <v>29</v>
      </c>
      <c r="F5613" s="28" t="s">
        <v>163</v>
      </c>
      <c r="G5613" s="139" t="s">
        <v>26</v>
      </c>
      <c r="H5613" s="140" t="s">
        <v>8076</v>
      </c>
      <c r="I5613" s="141">
        <v>0</v>
      </c>
      <c r="J5613" s="142">
        <v>0</v>
      </c>
      <c r="K5613" s="142">
        <v>0</v>
      </c>
      <c r="L5613" s="142">
        <v>0</v>
      </c>
      <c r="M5613" s="142">
        <v>0</v>
      </c>
      <c r="N5613" s="142">
        <v>0</v>
      </c>
      <c r="O5613" s="142">
        <v>984</v>
      </c>
      <c r="P5613" s="158">
        <v>0.98399999999999999</v>
      </c>
      <c r="Q5613" s="144" t="s">
        <v>3556</v>
      </c>
    </row>
    <row r="5614" spans="1:17" s="162" customFormat="1" ht="72" x14ac:dyDescent="0.25">
      <c r="A5614" s="137">
        <v>41640</v>
      </c>
      <c r="B5614" s="137">
        <v>42004</v>
      </c>
      <c r="C5614" s="138">
        <v>2014</v>
      </c>
      <c r="D5614" s="35" t="s">
        <v>28</v>
      </c>
      <c r="E5614" s="14" t="s">
        <v>29</v>
      </c>
      <c r="F5614" s="7" t="s">
        <v>65</v>
      </c>
      <c r="G5614" s="139" t="s">
        <v>26</v>
      </c>
      <c r="H5614" s="140" t="s">
        <v>8077</v>
      </c>
      <c r="I5614" s="141">
        <v>2</v>
      </c>
      <c r="J5614" s="142">
        <v>4</v>
      </c>
      <c r="K5614" s="142">
        <v>0</v>
      </c>
      <c r="L5614" s="142">
        <v>0</v>
      </c>
      <c r="M5614" s="142">
        <v>0</v>
      </c>
      <c r="N5614" s="142">
        <v>0</v>
      </c>
      <c r="O5614" s="142">
        <v>930.55</v>
      </c>
      <c r="P5614" s="158">
        <v>0.93054999999999999</v>
      </c>
      <c r="Q5614" s="144" t="s">
        <v>7962</v>
      </c>
    </row>
    <row r="5615" spans="1:17" s="162" customFormat="1" ht="120" x14ac:dyDescent="0.25">
      <c r="A5615" s="137">
        <v>41651</v>
      </c>
      <c r="B5615" s="137">
        <v>41651</v>
      </c>
      <c r="C5615" s="138">
        <v>2014</v>
      </c>
      <c r="D5615" s="24" t="s">
        <v>141</v>
      </c>
      <c r="E5615" s="30" t="s">
        <v>142</v>
      </c>
      <c r="F5615" s="7" t="s">
        <v>49</v>
      </c>
      <c r="G5615" s="139" t="s">
        <v>6949</v>
      </c>
      <c r="H5615" s="140" t="s">
        <v>8078</v>
      </c>
      <c r="I5615" s="141">
        <v>1</v>
      </c>
      <c r="J5615" s="142">
        <v>7</v>
      </c>
      <c r="K5615" s="142">
        <v>0</v>
      </c>
      <c r="L5615" s="142">
        <v>0</v>
      </c>
      <c r="M5615" s="142">
        <v>0</v>
      </c>
      <c r="N5615" s="142">
        <v>0</v>
      </c>
      <c r="O5615" s="142">
        <v>0</v>
      </c>
      <c r="P5615" s="158">
        <v>0.89249999999999996</v>
      </c>
      <c r="Q5615" s="144" t="s">
        <v>154</v>
      </c>
    </row>
    <row r="5616" spans="1:17" s="162" customFormat="1" ht="84" x14ac:dyDescent="0.25">
      <c r="A5616" s="137">
        <v>42000</v>
      </c>
      <c r="B5616" s="137">
        <v>42000</v>
      </c>
      <c r="C5616" s="138">
        <v>2014</v>
      </c>
      <c r="D5616" s="24" t="s">
        <v>141</v>
      </c>
      <c r="E5616" s="30" t="s">
        <v>142</v>
      </c>
      <c r="F5616" s="28" t="s">
        <v>210</v>
      </c>
      <c r="G5616" s="139" t="s">
        <v>7518</v>
      </c>
      <c r="H5616" s="140" t="s">
        <v>8079</v>
      </c>
      <c r="I5616" s="141">
        <v>0</v>
      </c>
      <c r="J5616" s="142">
        <v>0</v>
      </c>
      <c r="K5616" s="142">
        <v>0</v>
      </c>
      <c r="L5616" s="142">
        <v>0</v>
      </c>
      <c r="M5616" s="142">
        <v>0</v>
      </c>
      <c r="N5616" s="142">
        <v>0</v>
      </c>
      <c r="O5616" s="142">
        <v>0</v>
      </c>
      <c r="P5616" s="158">
        <v>0.89</v>
      </c>
      <c r="Q5616" s="188" t="s">
        <v>154</v>
      </c>
    </row>
    <row r="5617" spans="1:17" s="162" customFormat="1" ht="36" x14ac:dyDescent="0.25">
      <c r="A5617" s="137">
        <v>41640</v>
      </c>
      <c r="B5617" s="137">
        <v>42004</v>
      </c>
      <c r="C5617" s="138">
        <v>2014</v>
      </c>
      <c r="D5617" s="35" t="s">
        <v>28</v>
      </c>
      <c r="E5617" s="14" t="s">
        <v>29</v>
      </c>
      <c r="F5617" s="28" t="s">
        <v>157</v>
      </c>
      <c r="G5617" s="139" t="s">
        <v>26</v>
      </c>
      <c r="H5617" s="140" t="s">
        <v>8080</v>
      </c>
      <c r="I5617" s="141">
        <v>0</v>
      </c>
      <c r="J5617" s="142">
        <v>0</v>
      </c>
      <c r="K5617" s="142">
        <v>0</v>
      </c>
      <c r="L5617" s="142">
        <v>0</v>
      </c>
      <c r="M5617" s="142">
        <v>0</v>
      </c>
      <c r="N5617" s="142">
        <v>0</v>
      </c>
      <c r="O5617" s="142">
        <v>881.8</v>
      </c>
      <c r="P5617" s="158">
        <v>0.88179999999999992</v>
      </c>
      <c r="Q5617" s="144" t="s">
        <v>3556</v>
      </c>
    </row>
    <row r="5618" spans="1:17" s="162" customFormat="1" ht="192" x14ac:dyDescent="0.25">
      <c r="A5618" s="137">
        <v>41869</v>
      </c>
      <c r="B5618" s="137">
        <v>41869</v>
      </c>
      <c r="C5618" s="138">
        <v>2014</v>
      </c>
      <c r="D5618" s="351" t="s">
        <v>23</v>
      </c>
      <c r="E5618" s="22" t="s">
        <v>86</v>
      </c>
      <c r="F5618" s="7" t="s">
        <v>77</v>
      </c>
      <c r="G5618" s="139" t="s">
        <v>3679</v>
      </c>
      <c r="H5618" s="140" t="s">
        <v>8081</v>
      </c>
      <c r="I5618" s="141">
        <v>0</v>
      </c>
      <c r="J5618" s="142">
        <v>5</v>
      </c>
      <c r="K5618" s="142">
        <v>1</v>
      </c>
      <c r="L5618" s="142">
        <v>2</v>
      </c>
      <c r="M5618" s="142">
        <v>0</v>
      </c>
      <c r="N5618" s="142">
        <v>1</v>
      </c>
      <c r="O5618" s="142">
        <v>0</v>
      </c>
      <c r="P5618" s="158">
        <v>0.86912500000000004</v>
      </c>
      <c r="Q5618" s="144" t="s">
        <v>154</v>
      </c>
    </row>
    <row r="5619" spans="1:17" s="162" customFormat="1" ht="96" x14ac:dyDescent="0.25">
      <c r="A5619" s="137">
        <v>41642</v>
      </c>
      <c r="B5619" s="137">
        <v>41642</v>
      </c>
      <c r="C5619" s="138">
        <v>2014</v>
      </c>
      <c r="D5619" s="35" t="s">
        <v>28</v>
      </c>
      <c r="E5619" s="6" t="s">
        <v>149</v>
      </c>
      <c r="F5619" s="7" t="s">
        <v>77</v>
      </c>
      <c r="G5619" s="139" t="s">
        <v>3679</v>
      </c>
      <c r="H5619" s="140" t="s">
        <v>8082</v>
      </c>
      <c r="I5619" s="141">
        <v>0</v>
      </c>
      <c r="J5619" s="142">
        <v>250</v>
      </c>
      <c r="K5619" s="142">
        <v>0</v>
      </c>
      <c r="L5619" s="142">
        <v>0</v>
      </c>
      <c r="M5619" s="142">
        <v>0</v>
      </c>
      <c r="N5619" s="142">
        <v>2</v>
      </c>
      <c r="O5619" s="142">
        <v>0</v>
      </c>
      <c r="P5619" s="158">
        <v>0.86624999999999996</v>
      </c>
      <c r="Q5619" s="144" t="s">
        <v>154</v>
      </c>
    </row>
    <row r="5620" spans="1:17" s="162" customFormat="1" ht="72" x14ac:dyDescent="0.25">
      <c r="A5620" s="137">
        <v>41804</v>
      </c>
      <c r="B5620" s="137">
        <v>41804</v>
      </c>
      <c r="C5620" s="138">
        <v>2014</v>
      </c>
      <c r="D5620" s="24" t="s">
        <v>141</v>
      </c>
      <c r="E5620" s="30" t="s">
        <v>142</v>
      </c>
      <c r="F5620" s="7" t="s">
        <v>65</v>
      </c>
      <c r="G5620" s="139" t="s">
        <v>1632</v>
      </c>
      <c r="H5620" s="140" t="s">
        <v>8083</v>
      </c>
      <c r="I5620" s="182">
        <v>1</v>
      </c>
      <c r="J5620" s="178">
        <v>7</v>
      </c>
      <c r="K5620" s="183">
        <v>0</v>
      </c>
      <c r="L5620" s="142">
        <v>0</v>
      </c>
      <c r="M5620" s="142">
        <v>0</v>
      </c>
      <c r="N5620" s="142">
        <v>0</v>
      </c>
      <c r="O5620" s="142">
        <v>0</v>
      </c>
      <c r="P5620" s="158">
        <v>0.83348999999999995</v>
      </c>
      <c r="Q5620" s="144" t="s">
        <v>154</v>
      </c>
    </row>
    <row r="5621" spans="1:17" s="162" customFormat="1" ht="36" x14ac:dyDescent="0.25">
      <c r="A5621" s="137">
        <v>41640</v>
      </c>
      <c r="B5621" s="137">
        <v>42004</v>
      </c>
      <c r="C5621" s="138">
        <v>2014</v>
      </c>
      <c r="D5621" s="35" t="s">
        <v>28</v>
      </c>
      <c r="E5621" s="14" t="s">
        <v>29</v>
      </c>
      <c r="F5621" s="7" t="s">
        <v>25</v>
      </c>
      <c r="G5621" s="139" t="s">
        <v>26</v>
      </c>
      <c r="H5621" s="140" t="s">
        <v>8084</v>
      </c>
      <c r="I5621" s="141">
        <v>0</v>
      </c>
      <c r="J5621" s="142">
        <v>0</v>
      </c>
      <c r="K5621" s="142">
        <v>0</v>
      </c>
      <c r="L5621" s="142">
        <v>0</v>
      </c>
      <c r="M5621" s="142">
        <v>0</v>
      </c>
      <c r="N5621" s="142">
        <v>0</v>
      </c>
      <c r="O5621" s="142">
        <v>809.9</v>
      </c>
      <c r="P5621" s="158">
        <v>0.80989999999999995</v>
      </c>
      <c r="Q5621" s="144" t="s">
        <v>3556</v>
      </c>
    </row>
    <row r="5622" spans="1:17" s="162" customFormat="1" ht="48" x14ac:dyDescent="0.25">
      <c r="A5622" s="48">
        <v>41654</v>
      </c>
      <c r="B5622" s="48">
        <v>41660</v>
      </c>
      <c r="C5622" s="138">
        <v>2014</v>
      </c>
      <c r="D5622" s="351" t="s">
        <v>23</v>
      </c>
      <c r="E5622" s="22" t="s">
        <v>42</v>
      </c>
      <c r="F5622" s="7" t="s">
        <v>25</v>
      </c>
      <c r="G5622" s="139" t="s">
        <v>6602</v>
      </c>
      <c r="H5622" s="140" t="s">
        <v>8085</v>
      </c>
      <c r="I5622" s="182">
        <v>0</v>
      </c>
      <c r="J5622" s="142">
        <v>0</v>
      </c>
      <c r="K5622" s="142">
        <v>0</v>
      </c>
      <c r="L5622" s="142">
        <v>0</v>
      </c>
      <c r="M5622" s="142">
        <v>0</v>
      </c>
      <c r="N5622" s="142">
        <v>0</v>
      </c>
      <c r="O5622" s="142">
        <v>0</v>
      </c>
      <c r="P5622" s="158">
        <v>0.80516299999999996</v>
      </c>
      <c r="Q5622" s="144" t="s">
        <v>986</v>
      </c>
    </row>
    <row r="5623" spans="1:17" s="162" customFormat="1" ht="96" x14ac:dyDescent="0.25">
      <c r="A5623" s="137">
        <v>41792</v>
      </c>
      <c r="B5623" s="137">
        <v>41792</v>
      </c>
      <c r="C5623" s="138">
        <v>2014</v>
      </c>
      <c r="D5623" s="24" t="s">
        <v>141</v>
      </c>
      <c r="E5623" s="30" t="s">
        <v>142</v>
      </c>
      <c r="F5623" s="7" t="s">
        <v>65</v>
      </c>
      <c r="G5623" s="139" t="s">
        <v>1632</v>
      </c>
      <c r="H5623" s="140" t="s">
        <v>8086</v>
      </c>
      <c r="I5623" s="179">
        <v>3</v>
      </c>
      <c r="J5623" s="31">
        <v>5</v>
      </c>
      <c r="K5623" s="142">
        <v>1</v>
      </c>
      <c r="L5623" s="142">
        <v>0</v>
      </c>
      <c r="M5623" s="142">
        <v>0</v>
      </c>
      <c r="N5623" s="142">
        <v>0</v>
      </c>
      <c r="O5623" s="142">
        <v>0</v>
      </c>
      <c r="P5623" s="158">
        <v>0.73675000000000002</v>
      </c>
      <c r="Q5623" s="144" t="s">
        <v>154</v>
      </c>
    </row>
    <row r="5624" spans="1:17" s="162" customFormat="1" ht="144" x14ac:dyDescent="0.25">
      <c r="A5624" s="137">
        <v>41774</v>
      </c>
      <c r="B5624" s="137">
        <v>41774</v>
      </c>
      <c r="C5624" s="138">
        <v>2014</v>
      </c>
      <c r="D5624" s="35" t="s">
        <v>28</v>
      </c>
      <c r="E5624" s="30" t="s">
        <v>133</v>
      </c>
      <c r="F5624" s="7" t="s">
        <v>91</v>
      </c>
      <c r="G5624" s="139" t="s">
        <v>2315</v>
      </c>
      <c r="H5624" s="140" t="s">
        <v>8087</v>
      </c>
      <c r="I5624" s="179">
        <v>3</v>
      </c>
      <c r="J5624" s="31">
        <v>19</v>
      </c>
      <c r="K5624" s="142">
        <v>0</v>
      </c>
      <c r="L5624" s="142">
        <v>0</v>
      </c>
      <c r="M5624" s="142">
        <v>0</v>
      </c>
      <c r="N5624" s="142">
        <v>11</v>
      </c>
      <c r="O5624" s="142">
        <v>0</v>
      </c>
      <c r="P5624" s="158">
        <v>0.71442000000000005</v>
      </c>
      <c r="Q5624" s="144" t="s">
        <v>154</v>
      </c>
    </row>
    <row r="5625" spans="1:17" s="162" customFormat="1" ht="156" x14ac:dyDescent="0.25">
      <c r="A5625" s="184">
        <v>41986</v>
      </c>
      <c r="B5625" s="184">
        <v>41986</v>
      </c>
      <c r="C5625" s="138">
        <v>2014</v>
      </c>
      <c r="D5625" s="24" t="s">
        <v>141</v>
      </c>
      <c r="E5625" s="30" t="s">
        <v>142</v>
      </c>
      <c r="F5625" s="7" t="s">
        <v>91</v>
      </c>
      <c r="G5625" s="139" t="s">
        <v>8088</v>
      </c>
      <c r="H5625" s="140" t="s">
        <v>8089</v>
      </c>
      <c r="I5625" s="141">
        <v>4</v>
      </c>
      <c r="J5625" s="142">
        <v>22</v>
      </c>
      <c r="K5625" s="142">
        <v>0</v>
      </c>
      <c r="L5625" s="142">
        <v>0</v>
      </c>
      <c r="M5625" s="142">
        <v>0</v>
      </c>
      <c r="N5625" s="142">
        <v>0</v>
      </c>
      <c r="O5625" s="142">
        <v>0</v>
      </c>
      <c r="P5625" s="158">
        <v>0.71</v>
      </c>
      <c r="Q5625" s="144" t="s">
        <v>154</v>
      </c>
    </row>
    <row r="5626" spans="1:17" s="162" customFormat="1" ht="72" x14ac:dyDescent="0.25">
      <c r="A5626" s="137">
        <v>41998</v>
      </c>
      <c r="B5626" s="137">
        <v>41998</v>
      </c>
      <c r="C5626" s="138">
        <v>2014</v>
      </c>
      <c r="D5626" s="24" t="s">
        <v>141</v>
      </c>
      <c r="E5626" s="30" t="s">
        <v>142</v>
      </c>
      <c r="F5626" s="7" t="s">
        <v>60</v>
      </c>
      <c r="G5626" s="139" t="s">
        <v>5185</v>
      </c>
      <c r="H5626" s="140" t="s">
        <v>8090</v>
      </c>
      <c r="I5626" s="141">
        <v>2</v>
      </c>
      <c r="J5626" s="142">
        <v>17</v>
      </c>
      <c r="K5626" s="142">
        <v>0</v>
      </c>
      <c r="L5626" s="142">
        <v>0</v>
      </c>
      <c r="M5626" s="142">
        <v>0</v>
      </c>
      <c r="N5626" s="142">
        <v>0</v>
      </c>
      <c r="O5626" s="142">
        <v>0</v>
      </c>
      <c r="P5626" s="158">
        <v>0.71</v>
      </c>
      <c r="Q5626" s="188" t="s">
        <v>154</v>
      </c>
    </row>
    <row r="5627" spans="1:17" s="162" customFormat="1" ht="36" x14ac:dyDescent="0.25">
      <c r="A5627" s="48">
        <v>41935</v>
      </c>
      <c r="B5627" s="48">
        <v>41935</v>
      </c>
      <c r="C5627" s="138">
        <v>2014</v>
      </c>
      <c r="D5627" s="24" t="s">
        <v>141</v>
      </c>
      <c r="E5627" s="30" t="s">
        <v>142</v>
      </c>
      <c r="F5627" s="7" t="s">
        <v>53</v>
      </c>
      <c r="G5627" s="139" t="s">
        <v>2997</v>
      </c>
      <c r="H5627" s="140" t="s">
        <v>8091</v>
      </c>
      <c r="I5627" s="141">
        <v>0</v>
      </c>
      <c r="J5627" s="142">
        <v>2</v>
      </c>
      <c r="K5627" s="142">
        <v>0</v>
      </c>
      <c r="L5627" s="142">
        <v>0</v>
      </c>
      <c r="M5627" s="142">
        <v>0</v>
      </c>
      <c r="N5627" s="142">
        <v>0</v>
      </c>
      <c r="O5627" s="142">
        <v>0</v>
      </c>
      <c r="P5627" s="158">
        <v>0.71</v>
      </c>
      <c r="Q5627" s="144" t="s">
        <v>154</v>
      </c>
    </row>
    <row r="5628" spans="1:17" s="162" customFormat="1" ht="96" x14ac:dyDescent="0.25">
      <c r="A5628" s="48">
        <v>41949</v>
      </c>
      <c r="B5628" s="48">
        <v>41949</v>
      </c>
      <c r="C5628" s="138">
        <v>2014</v>
      </c>
      <c r="D5628" s="24" t="s">
        <v>141</v>
      </c>
      <c r="E5628" s="30" t="s">
        <v>142</v>
      </c>
      <c r="F5628" s="28" t="s">
        <v>210</v>
      </c>
      <c r="G5628" s="139" t="s">
        <v>1140</v>
      </c>
      <c r="H5628" s="140" t="s">
        <v>8092</v>
      </c>
      <c r="I5628" s="141">
        <v>0</v>
      </c>
      <c r="J5628" s="142">
        <v>20</v>
      </c>
      <c r="K5628" s="142">
        <v>0</v>
      </c>
      <c r="L5628" s="142">
        <v>0</v>
      </c>
      <c r="M5628" s="142">
        <v>0</v>
      </c>
      <c r="N5628" s="142">
        <v>0</v>
      </c>
      <c r="O5628" s="142">
        <v>0</v>
      </c>
      <c r="P5628" s="158">
        <v>0.71</v>
      </c>
      <c r="Q5628" s="144" t="s">
        <v>154</v>
      </c>
    </row>
    <row r="5629" spans="1:17" s="162" customFormat="1" ht="108" x14ac:dyDescent="0.25">
      <c r="A5629" s="137">
        <v>41774</v>
      </c>
      <c r="B5629" s="137">
        <v>41774</v>
      </c>
      <c r="C5629" s="138">
        <v>2014</v>
      </c>
      <c r="D5629" s="24" t="s">
        <v>141</v>
      </c>
      <c r="E5629" s="30" t="s">
        <v>142</v>
      </c>
      <c r="F5629" s="28" t="s">
        <v>151</v>
      </c>
      <c r="G5629" s="139" t="s">
        <v>8093</v>
      </c>
      <c r="H5629" s="140" t="s">
        <v>8094</v>
      </c>
      <c r="I5629" s="179">
        <v>10</v>
      </c>
      <c r="J5629" s="142">
        <v>14</v>
      </c>
      <c r="K5629" s="142">
        <v>0</v>
      </c>
      <c r="L5629" s="142">
        <v>0</v>
      </c>
      <c r="M5629" s="142">
        <v>0</v>
      </c>
      <c r="N5629" s="142">
        <v>0</v>
      </c>
      <c r="O5629" s="142">
        <v>0</v>
      </c>
      <c r="P5629" s="158">
        <v>0.70874999999999999</v>
      </c>
      <c r="Q5629" s="144" t="s">
        <v>154</v>
      </c>
    </row>
    <row r="5630" spans="1:17" s="162" customFormat="1" ht="72" x14ac:dyDescent="0.25">
      <c r="A5630" s="137">
        <v>41774</v>
      </c>
      <c r="B5630" s="137">
        <v>41774</v>
      </c>
      <c r="C5630" s="138">
        <v>2014</v>
      </c>
      <c r="D5630" s="24" t="s">
        <v>141</v>
      </c>
      <c r="E5630" s="30" t="s">
        <v>142</v>
      </c>
      <c r="F5630" s="7" t="s">
        <v>101</v>
      </c>
      <c r="G5630" s="139" t="s">
        <v>8095</v>
      </c>
      <c r="H5630" s="140" t="s">
        <v>8096</v>
      </c>
      <c r="I5630" s="179">
        <v>6</v>
      </c>
      <c r="J5630" s="142">
        <v>18</v>
      </c>
      <c r="K5630" s="142">
        <v>0</v>
      </c>
      <c r="L5630" s="142">
        <v>0</v>
      </c>
      <c r="M5630" s="142">
        <v>0</v>
      </c>
      <c r="N5630" s="142">
        <v>0</v>
      </c>
      <c r="O5630" s="142">
        <v>0</v>
      </c>
      <c r="P5630" s="158">
        <v>0.70874999999999999</v>
      </c>
      <c r="Q5630" s="144" t="s">
        <v>154</v>
      </c>
    </row>
    <row r="5631" spans="1:17" s="162" customFormat="1" ht="132" x14ac:dyDescent="0.25">
      <c r="A5631" s="137">
        <v>41863</v>
      </c>
      <c r="B5631" s="137">
        <v>41863</v>
      </c>
      <c r="C5631" s="138">
        <v>2014</v>
      </c>
      <c r="D5631" s="24" t="s">
        <v>141</v>
      </c>
      <c r="E5631" s="30" t="s">
        <v>142</v>
      </c>
      <c r="F5631" s="7" t="s">
        <v>87</v>
      </c>
      <c r="G5631" s="139" t="s">
        <v>8097</v>
      </c>
      <c r="H5631" s="140" t="s">
        <v>8098</v>
      </c>
      <c r="I5631" s="141">
        <v>0</v>
      </c>
      <c r="J5631" s="142">
        <v>25</v>
      </c>
      <c r="K5631" s="142">
        <v>0</v>
      </c>
      <c r="L5631" s="142">
        <v>0</v>
      </c>
      <c r="M5631" s="142">
        <v>0</v>
      </c>
      <c r="N5631" s="142">
        <v>0</v>
      </c>
      <c r="O5631" s="142">
        <v>0</v>
      </c>
      <c r="P5631" s="158">
        <v>0.70874999999999999</v>
      </c>
      <c r="Q5631" s="144" t="s">
        <v>154</v>
      </c>
    </row>
    <row r="5632" spans="1:17" s="162" customFormat="1" ht="120" x14ac:dyDescent="0.25">
      <c r="A5632" s="48">
        <v>41819</v>
      </c>
      <c r="B5632" s="48">
        <v>41819</v>
      </c>
      <c r="C5632" s="138">
        <v>2014</v>
      </c>
      <c r="D5632" s="351" t="s">
        <v>23</v>
      </c>
      <c r="E5632" s="14" t="s">
        <v>52</v>
      </c>
      <c r="F5632" s="7" t="s">
        <v>65</v>
      </c>
      <c r="G5632" s="139" t="s">
        <v>8099</v>
      </c>
      <c r="H5632" s="140" t="s">
        <v>8100</v>
      </c>
      <c r="I5632" s="182">
        <v>0</v>
      </c>
      <c r="J5632" s="142">
        <v>0</v>
      </c>
      <c r="K5632" s="142">
        <v>0</v>
      </c>
      <c r="L5632" s="142">
        <v>0</v>
      </c>
      <c r="M5632" s="142">
        <v>0</v>
      </c>
      <c r="N5632" s="142">
        <v>0</v>
      </c>
      <c r="O5632" s="142">
        <v>0</v>
      </c>
      <c r="P5632" s="158">
        <v>0.69866899999999998</v>
      </c>
      <c r="Q5632" s="144" t="s">
        <v>986</v>
      </c>
    </row>
    <row r="5633" spans="1:17" s="162" customFormat="1" ht="96" x14ac:dyDescent="0.25">
      <c r="A5633" s="137">
        <v>41850</v>
      </c>
      <c r="B5633" s="137">
        <v>41850</v>
      </c>
      <c r="C5633" s="138">
        <v>2014</v>
      </c>
      <c r="D5633" s="35" t="s">
        <v>28</v>
      </c>
      <c r="E5633" s="6" t="s">
        <v>149</v>
      </c>
      <c r="F5633" s="28" t="s">
        <v>157</v>
      </c>
      <c r="G5633" s="139" t="s">
        <v>5927</v>
      </c>
      <c r="H5633" s="33" t="s">
        <v>8101</v>
      </c>
      <c r="I5633" s="182">
        <v>0</v>
      </c>
      <c r="J5633" s="142">
        <v>240</v>
      </c>
      <c r="K5633" s="142">
        <v>8</v>
      </c>
      <c r="L5633" s="142">
        <v>0</v>
      </c>
      <c r="M5633" s="142">
        <v>0</v>
      </c>
      <c r="N5633" s="142">
        <v>0</v>
      </c>
      <c r="O5633" s="142">
        <v>0</v>
      </c>
      <c r="P5633" s="158">
        <v>0.68400000000000005</v>
      </c>
      <c r="Q5633" s="144" t="s">
        <v>154</v>
      </c>
    </row>
    <row r="5634" spans="1:17" s="162" customFormat="1" ht="84" x14ac:dyDescent="0.25">
      <c r="A5634" s="137">
        <v>41854</v>
      </c>
      <c r="B5634" s="137">
        <v>41854</v>
      </c>
      <c r="C5634" s="138">
        <v>2014</v>
      </c>
      <c r="D5634" s="351" t="s">
        <v>23</v>
      </c>
      <c r="E5634" s="22" t="s">
        <v>86</v>
      </c>
      <c r="F5634" s="7" t="s">
        <v>53</v>
      </c>
      <c r="G5634" s="139" t="s">
        <v>8102</v>
      </c>
      <c r="H5634" s="140" t="s">
        <v>8103</v>
      </c>
      <c r="I5634" s="182">
        <v>0</v>
      </c>
      <c r="J5634" s="142">
        <v>2400</v>
      </c>
      <c r="K5634" s="142">
        <v>120</v>
      </c>
      <c r="L5634" s="142">
        <v>0</v>
      </c>
      <c r="M5634" s="142">
        <v>0</v>
      </c>
      <c r="N5634" s="142">
        <v>0</v>
      </c>
      <c r="O5634" s="142">
        <v>0</v>
      </c>
      <c r="P5634" s="158">
        <v>0.66</v>
      </c>
      <c r="Q5634" s="144" t="s">
        <v>154</v>
      </c>
    </row>
    <row r="5635" spans="1:17" s="162" customFormat="1" ht="96" x14ac:dyDescent="0.25">
      <c r="A5635" s="137">
        <v>41656</v>
      </c>
      <c r="B5635" s="137">
        <v>41656</v>
      </c>
      <c r="C5635" s="138">
        <v>2014</v>
      </c>
      <c r="D5635" s="24" t="s">
        <v>141</v>
      </c>
      <c r="E5635" s="30" t="s">
        <v>142</v>
      </c>
      <c r="F5635" s="7" t="s">
        <v>56</v>
      </c>
      <c r="G5635" s="139" t="s">
        <v>3592</v>
      </c>
      <c r="H5635" s="140" t="s">
        <v>8104</v>
      </c>
      <c r="I5635" s="141">
        <v>2</v>
      </c>
      <c r="J5635" s="142">
        <v>6</v>
      </c>
      <c r="K5635" s="142">
        <v>0</v>
      </c>
      <c r="L5635" s="142">
        <v>0</v>
      </c>
      <c r="M5635" s="142">
        <v>0</v>
      </c>
      <c r="N5635" s="142">
        <v>0</v>
      </c>
      <c r="O5635" s="142">
        <v>0</v>
      </c>
      <c r="P5635" s="158">
        <v>0.65688000000000002</v>
      </c>
      <c r="Q5635" s="144" t="s">
        <v>154</v>
      </c>
    </row>
    <row r="5636" spans="1:17" s="162" customFormat="1" ht="108" x14ac:dyDescent="0.25">
      <c r="A5636" s="48">
        <v>41667</v>
      </c>
      <c r="B5636" s="48">
        <v>41667</v>
      </c>
      <c r="C5636" s="138">
        <v>2014</v>
      </c>
      <c r="D5636" s="24" t="s">
        <v>141</v>
      </c>
      <c r="E5636" s="30" t="s">
        <v>142</v>
      </c>
      <c r="F5636" s="7" t="s">
        <v>87</v>
      </c>
      <c r="G5636" s="139" t="s">
        <v>2608</v>
      </c>
      <c r="H5636" s="140" t="s">
        <v>8105</v>
      </c>
      <c r="I5636" s="141">
        <v>0</v>
      </c>
      <c r="J5636" s="31">
        <v>1</v>
      </c>
      <c r="K5636" s="142">
        <v>0</v>
      </c>
      <c r="L5636" s="142">
        <v>0</v>
      </c>
      <c r="M5636" s="142">
        <v>0</v>
      </c>
      <c r="N5636" s="142">
        <v>0</v>
      </c>
      <c r="O5636" s="142">
        <v>0</v>
      </c>
      <c r="P5636" s="158">
        <v>0.63454999999999995</v>
      </c>
      <c r="Q5636" s="144" t="s">
        <v>154</v>
      </c>
    </row>
    <row r="5637" spans="1:17" s="162" customFormat="1" ht="96" x14ac:dyDescent="0.25">
      <c r="A5637" s="137">
        <v>41826</v>
      </c>
      <c r="B5637" s="137">
        <v>41826</v>
      </c>
      <c r="C5637" s="138">
        <v>2014</v>
      </c>
      <c r="D5637" s="24" t="s">
        <v>141</v>
      </c>
      <c r="E5637" s="42" t="s">
        <v>447</v>
      </c>
      <c r="F5637" s="7" t="s">
        <v>53</v>
      </c>
      <c r="G5637" s="139" t="s">
        <v>1304</v>
      </c>
      <c r="H5637" s="140" t="s">
        <v>8106</v>
      </c>
      <c r="I5637" s="179">
        <v>3</v>
      </c>
      <c r="J5637" s="142">
        <v>18</v>
      </c>
      <c r="K5637" s="142">
        <v>0</v>
      </c>
      <c r="L5637" s="142">
        <v>0</v>
      </c>
      <c r="M5637" s="142">
        <v>0</v>
      </c>
      <c r="N5637" s="142">
        <v>0</v>
      </c>
      <c r="O5637" s="142">
        <v>0</v>
      </c>
      <c r="P5637" s="158">
        <v>0.6</v>
      </c>
      <c r="Q5637" s="144" t="s">
        <v>8107</v>
      </c>
    </row>
    <row r="5638" spans="1:17" s="162" customFormat="1" ht="84" x14ac:dyDescent="0.25">
      <c r="A5638" s="137">
        <v>41778</v>
      </c>
      <c r="B5638" s="137">
        <v>41778</v>
      </c>
      <c r="C5638" s="138">
        <v>2014</v>
      </c>
      <c r="D5638" s="24" t="s">
        <v>141</v>
      </c>
      <c r="E5638" s="30" t="s">
        <v>142</v>
      </c>
      <c r="F5638" s="7" t="s">
        <v>56</v>
      </c>
      <c r="G5638" s="139" t="s">
        <v>2957</v>
      </c>
      <c r="H5638" s="140" t="s">
        <v>8108</v>
      </c>
      <c r="I5638" s="179">
        <v>1</v>
      </c>
      <c r="J5638" s="31">
        <v>2</v>
      </c>
      <c r="K5638" s="142">
        <v>0</v>
      </c>
      <c r="L5638" s="142">
        <v>0</v>
      </c>
      <c r="M5638" s="142">
        <v>0</v>
      </c>
      <c r="N5638" s="142">
        <v>0</v>
      </c>
      <c r="O5638" s="142">
        <v>0</v>
      </c>
      <c r="P5638" s="158">
        <v>0.57750000000000001</v>
      </c>
      <c r="Q5638" s="144" t="s">
        <v>154</v>
      </c>
    </row>
    <row r="5639" spans="1:17" s="162" customFormat="1" ht="48" x14ac:dyDescent="0.25">
      <c r="A5639" s="137">
        <v>41640</v>
      </c>
      <c r="B5639" s="137">
        <v>42004</v>
      </c>
      <c r="C5639" s="138">
        <v>2014</v>
      </c>
      <c r="D5639" s="35" t="s">
        <v>28</v>
      </c>
      <c r="E5639" s="14" t="s">
        <v>29</v>
      </c>
      <c r="F5639" s="28" t="s">
        <v>160</v>
      </c>
      <c r="G5639" s="139" t="s">
        <v>26</v>
      </c>
      <c r="H5639" s="140" t="s">
        <v>8109</v>
      </c>
      <c r="I5639" s="141">
        <v>0</v>
      </c>
      <c r="J5639" s="142">
        <v>0</v>
      </c>
      <c r="K5639" s="142">
        <v>0</v>
      </c>
      <c r="L5639" s="142">
        <v>0</v>
      </c>
      <c r="M5639" s="142">
        <v>0</v>
      </c>
      <c r="N5639" s="142">
        <v>0</v>
      </c>
      <c r="O5639" s="142">
        <v>558.46</v>
      </c>
      <c r="P5639" s="158">
        <v>0.55846000000000007</v>
      </c>
      <c r="Q5639" s="144" t="s">
        <v>3556</v>
      </c>
    </row>
    <row r="5640" spans="1:17" s="162" customFormat="1" ht="48" x14ac:dyDescent="0.25">
      <c r="A5640" s="48">
        <v>41909</v>
      </c>
      <c r="B5640" s="48">
        <v>41909</v>
      </c>
      <c r="C5640" s="138">
        <v>2014</v>
      </c>
      <c r="D5640" s="351" t="s">
        <v>23</v>
      </c>
      <c r="E5640" s="22" t="s">
        <v>86</v>
      </c>
      <c r="F5640" s="7" t="s">
        <v>87</v>
      </c>
      <c r="G5640" s="139" t="s">
        <v>2168</v>
      </c>
      <c r="H5640" s="140" t="s">
        <v>8110</v>
      </c>
      <c r="I5640" s="141">
        <v>0</v>
      </c>
      <c r="J5640" s="142">
        <v>500</v>
      </c>
      <c r="K5640" s="142">
        <v>100</v>
      </c>
      <c r="L5640" s="142">
        <v>0</v>
      </c>
      <c r="M5640" s="142">
        <v>0</v>
      </c>
      <c r="N5640" s="142">
        <v>0</v>
      </c>
      <c r="O5640" s="142">
        <v>0</v>
      </c>
      <c r="P5640" s="158">
        <v>0.55000000000000004</v>
      </c>
      <c r="Q5640" s="144" t="s">
        <v>154</v>
      </c>
    </row>
    <row r="5641" spans="1:17" s="162" customFormat="1" ht="48" x14ac:dyDescent="0.25">
      <c r="A5641" s="137">
        <v>41640</v>
      </c>
      <c r="B5641" s="137">
        <v>42004</v>
      </c>
      <c r="C5641" s="138">
        <v>2014</v>
      </c>
      <c r="D5641" s="35" t="s">
        <v>28</v>
      </c>
      <c r="E5641" s="14" t="s">
        <v>29</v>
      </c>
      <c r="F5641" s="7" t="s">
        <v>101</v>
      </c>
      <c r="G5641" s="139" t="s">
        <v>26</v>
      </c>
      <c r="H5641" s="140" t="s">
        <v>8111</v>
      </c>
      <c r="I5641" s="141">
        <v>0</v>
      </c>
      <c r="J5641" s="142">
        <v>0</v>
      </c>
      <c r="K5641" s="142">
        <v>0</v>
      </c>
      <c r="L5641" s="142">
        <v>0</v>
      </c>
      <c r="M5641" s="142">
        <v>0</v>
      </c>
      <c r="N5641" s="142">
        <v>0</v>
      </c>
      <c r="O5641" s="142">
        <v>511.55</v>
      </c>
      <c r="P5641" s="158">
        <v>0.51155000000000006</v>
      </c>
      <c r="Q5641" s="144" t="s">
        <v>3556</v>
      </c>
    </row>
    <row r="5642" spans="1:17" s="162" customFormat="1" ht="144" x14ac:dyDescent="0.25">
      <c r="A5642" s="184">
        <v>41742</v>
      </c>
      <c r="B5642" s="184">
        <v>41742</v>
      </c>
      <c r="C5642" s="138">
        <v>2014</v>
      </c>
      <c r="D5642" s="24" t="s">
        <v>141</v>
      </c>
      <c r="E5642" s="30" t="s">
        <v>142</v>
      </c>
      <c r="F5642" s="28" t="s">
        <v>210</v>
      </c>
      <c r="G5642" s="139" t="s">
        <v>5951</v>
      </c>
      <c r="H5642" s="140" t="s">
        <v>8112</v>
      </c>
      <c r="I5642" s="179">
        <v>36</v>
      </c>
      <c r="J5642" s="142">
        <v>40</v>
      </c>
      <c r="K5642" s="183">
        <v>0</v>
      </c>
      <c r="L5642" s="142">
        <v>0</v>
      </c>
      <c r="M5642" s="142">
        <v>0</v>
      </c>
      <c r="N5642" s="142">
        <v>0</v>
      </c>
      <c r="O5642" s="142">
        <v>0</v>
      </c>
      <c r="P5642" s="158">
        <v>0.5</v>
      </c>
      <c r="Q5642" s="144" t="s">
        <v>154</v>
      </c>
    </row>
    <row r="5643" spans="1:17" s="162" customFormat="1" ht="84" x14ac:dyDescent="0.25">
      <c r="A5643" s="137">
        <v>41754</v>
      </c>
      <c r="B5643" s="137">
        <v>41754</v>
      </c>
      <c r="C5643" s="138">
        <v>2014</v>
      </c>
      <c r="D5643" s="24" t="s">
        <v>141</v>
      </c>
      <c r="E5643" s="30" t="s">
        <v>142</v>
      </c>
      <c r="F5643" s="28" t="s">
        <v>210</v>
      </c>
      <c r="G5643" s="139" t="s">
        <v>4269</v>
      </c>
      <c r="H5643" s="140" t="s">
        <v>8113</v>
      </c>
      <c r="I5643" s="179">
        <v>2</v>
      </c>
      <c r="J5643" s="31">
        <v>12</v>
      </c>
      <c r="K5643" s="142">
        <v>0</v>
      </c>
      <c r="L5643" s="142">
        <v>0</v>
      </c>
      <c r="M5643" s="142">
        <v>0</v>
      </c>
      <c r="N5643" s="142">
        <v>0</v>
      </c>
      <c r="O5643" s="142">
        <v>0</v>
      </c>
      <c r="P5643" s="158">
        <v>0.5</v>
      </c>
      <c r="Q5643" s="144" t="s">
        <v>154</v>
      </c>
    </row>
    <row r="5644" spans="1:17" s="162" customFormat="1" ht="96" x14ac:dyDescent="0.25">
      <c r="A5644" s="48">
        <v>41908</v>
      </c>
      <c r="B5644" s="48">
        <v>41908</v>
      </c>
      <c r="C5644" s="138">
        <v>2014</v>
      </c>
      <c r="D5644" s="24" t="s">
        <v>141</v>
      </c>
      <c r="E5644" s="30" t="s">
        <v>142</v>
      </c>
      <c r="F5644" s="7" t="s">
        <v>45</v>
      </c>
      <c r="G5644" s="139" t="s">
        <v>2890</v>
      </c>
      <c r="H5644" s="140" t="s">
        <v>8114</v>
      </c>
      <c r="I5644" s="141">
        <v>0</v>
      </c>
      <c r="J5644" s="142">
        <v>45</v>
      </c>
      <c r="K5644" s="142">
        <v>0</v>
      </c>
      <c r="L5644" s="142">
        <v>0</v>
      </c>
      <c r="M5644" s="142">
        <v>0</v>
      </c>
      <c r="N5644" s="142">
        <v>0</v>
      </c>
      <c r="O5644" s="142">
        <v>0</v>
      </c>
      <c r="P5644" s="158">
        <v>0.49937999999999999</v>
      </c>
      <c r="Q5644" s="144" t="s">
        <v>154</v>
      </c>
    </row>
    <row r="5645" spans="1:17" s="162" customFormat="1" ht="108" x14ac:dyDescent="0.25">
      <c r="A5645" s="48">
        <v>41976</v>
      </c>
      <c r="B5645" s="48">
        <v>41976</v>
      </c>
      <c r="C5645" s="138">
        <v>2014</v>
      </c>
      <c r="D5645" s="24" t="s">
        <v>141</v>
      </c>
      <c r="E5645" s="30" t="s">
        <v>142</v>
      </c>
      <c r="F5645" s="7" t="s">
        <v>77</v>
      </c>
      <c r="G5645" s="139" t="s">
        <v>7177</v>
      </c>
      <c r="H5645" s="140" t="s">
        <v>8115</v>
      </c>
      <c r="I5645" s="141">
        <v>0</v>
      </c>
      <c r="J5645" s="142">
        <v>1</v>
      </c>
      <c r="K5645" s="142">
        <v>0</v>
      </c>
      <c r="L5645" s="142">
        <v>0</v>
      </c>
      <c r="M5645" s="142">
        <v>0</v>
      </c>
      <c r="N5645" s="142">
        <v>0</v>
      </c>
      <c r="O5645" s="142">
        <v>0</v>
      </c>
      <c r="P5645" s="158">
        <v>0.49</v>
      </c>
      <c r="Q5645" s="144" t="s">
        <v>154</v>
      </c>
    </row>
    <row r="5646" spans="1:17" s="162" customFormat="1" ht="108" x14ac:dyDescent="0.25">
      <c r="A5646" s="137">
        <v>41810</v>
      </c>
      <c r="B5646" s="137">
        <v>41810</v>
      </c>
      <c r="C5646" s="138">
        <v>2014</v>
      </c>
      <c r="D5646" s="35" t="s">
        <v>17</v>
      </c>
      <c r="E5646" s="180" t="s">
        <v>1597</v>
      </c>
      <c r="F5646" s="7" t="s">
        <v>36</v>
      </c>
      <c r="G5646" s="139" t="s">
        <v>8116</v>
      </c>
      <c r="H5646" s="140" t="s">
        <v>8117</v>
      </c>
      <c r="I5646" s="182">
        <v>2</v>
      </c>
      <c r="J5646" s="178">
        <f>15*5</f>
        <v>75</v>
      </c>
      <c r="K5646" s="183">
        <v>4</v>
      </c>
      <c r="L5646" s="142">
        <v>0</v>
      </c>
      <c r="M5646" s="142">
        <v>0</v>
      </c>
      <c r="N5646" s="142">
        <v>0</v>
      </c>
      <c r="O5646" s="142">
        <v>0</v>
      </c>
      <c r="P5646" s="158">
        <v>0.48</v>
      </c>
      <c r="Q5646" s="144" t="s">
        <v>154</v>
      </c>
    </row>
    <row r="5647" spans="1:17" s="162" customFormat="1" ht="132" x14ac:dyDescent="0.25">
      <c r="A5647" s="137">
        <v>41688</v>
      </c>
      <c r="B5647" s="137">
        <v>41688</v>
      </c>
      <c r="C5647" s="138">
        <v>2014</v>
      </c>
      <c r="D5647" s="24" t="s">
        <v>141</v>
      </c>
      <c r="E5647" s="30" t="s">
        <v>142</v>
      </c>
      <c r="F5647" s="28" t="s">
        <v>210</v>
      </c>
      <c r="G5647" s="139" t="s">
        <v>8118</v>
      </c>
      <c r="H5647" s="140" t="s">
        <v>8119</v>
      </c>
      <c r="I5647" s="179">
        <v>1</v>
      </c>
      <c r="J5647" s="142">
        <v>62</v>
      </c>
      <c r="K5647" s="142">
        <v>0</v>
      </c>
      <c r="L5647" s="142">
        <v>0</v>
      </c>
      <c r="M5647" s="142">
        <v>0</v>
      </c>
      <c r="N5647" s="142">
        <v>0</v>
      </c>
      <c r="O5647" s="142">
        <v>0</v>
      </c>
      <c r="P5647" s="158">
        <v>0.47249999999999998</v>
      </c>
      <c r="Q5647" s="144" t="s">
        <v>154</v>
      </c>
    </row>
    <row r="5648" spans="1:17" s="162" customFormat="1" ht="84" x14ac:dyDescent="0.25">
      <c r="A5648" s="137">
        <v>41864</v>
      </c>
      <c r="B5648" s="137">
        <v>41864</v>
      </c>
      <c r="C5648" s="138">
        <v>2014</v>
      </c>
      <c r="D5648" s="24" t="s">
        <v>141</v>
      </c>
      <c r="E5648" s="30" t="s">
        <v>142</v>
      </c>
      <c r="F5648" s="7" t="s">
        <v>53</v>
      </c>
      <c r="G5648" s="139" t="s">
        <v>2975</v>
      </c>
      <c r="H5648" s="140" t="s">
        <v>8120</v>
      </c>
      <c r="I5648" s="141">
        <v>0</v>
      </c>
      <c r="J5648" s="142">
        <v>1</v>
      </c>
      <c r="K5648" s="142">
        <v>0</v>
      </c>
      <c r="L5648" s="142">
        <v>0</v>
      </c>
      <c r="M5648" s="142">
        <v>0</v>
      </c>
      <c r="N5648" s="142">
        <v>0</v>
      </c>
      <c r="O5648" s="142">
        <v>0</v>
      </c>
      <c r="P5648" s="158">
        <v>0.47249999999999998</v>
      </c>
      <c r="Q5648" s="144" t="s">
        <v>154</v>
      </c>
    </row>
    <row r="5649" spans="1:17" s="162" customFormat="1" ht="84" x14ac:dyDescent="0.25">
      <c r="A5649" s="48">
        <v>42000</v>
      </c>
      <c r="B5649" s="48">
        <v>42000</v>
      </c>
      <c r="C5649" s="138">
        <v>2014</v>
      </c>
      <c r="D5649" s="24" t="s">
        <v>141</v>
      </c>
      <c r="E5649" s="30" t="s">
        <v>142</v>
      </c>
      <c r="F5649" s="7" t="s">
        <v>60</v>
      </c>
      <c r="G5649" s="139" t="s">
        <v>8121</v>
      </c>
      <c r="H5649" s="140" t="s">
        <v>8122</v>
      </c>
      <c r="I5649" s="141">
        <v>1</v>
      </c>
      <c r="J5649" s="142">
        <v>1</v>
      </c>
      <c r="K5649" s="142">
        <v>0</v>
      </c>
      <c r="L5649" s="142">
        <v>0</v>
      </c>
      <c r="M5649" s="142">
        <v>0</v>
      </c>
      <c r="N5649" s="142">
        <v>0</v>
      </c>
      <c r="O5649" s="142">
        <v>0</v>
      </c>
      <c r="P5649" s="158">
        <v>0.47</v>
      </c>
      <c r="Q5649" s="144" t="s">
        <v>154</v>
      </c>
    </row>
    <row r="5650" spans="1:17" s="162" customFormat="1" ht="60" x14ac:dyDescent="0.25">
      <c r="A5650" s="48">
        <v>41941</v>
      </c>
      <c r="B5650" s="48">
        <v>41941</v>
      </c>
      <c r="C5650" s="138">
        <v>2014</v>
      </c>
      <c r="D5650" s="24" t="s">
        <v>141</v>
      </c>
      <c r="E5650" s="30" t="s">
        <v>142</v>
      </c>
      <c r="F5650" s="7" t="s">
        <v>53</v>
      </c>
      <c r="G5650" s="139" t="s">
        <v>460</v>
      </c>
      <c r="H5650" s="140" t="s">
        <v>8123</v>
      </c>
      <c r="I5650" s="141">
        <v>0</v>
      </c>
      <c r="J5650" s="142">
        <v>0</v>
      </c>
      <c r="K5650" s="142">
        <v>0</v>
      </c>
      <c r="L5650" s="142">
        <v>0</v>
      </c>
      <c r="M5650" s="142">
        <v>0</v>
      </c>
      <c r="N5650" s="142">
        <v>0</v>
      </c>
      <c r="O5650" s="142">
        <v>0</v>
      </c>
      <c r="P5650" s="158">
        <v>0.47</v>
      </c>
      <c r="Q5650" s="144" t="s">
        <v>154</v>
      </c>
    </row>
    <row r="5651" spans="1:17" s="162" customFormat="1" ht="72" x14ac:dyDescent="0.25">
      <c r="A5651" s="48">
        <v>41985</v>
      </c>
      <c r="B5651" s="48">
        <v>41985</v>
      </c>
      <c r="C5651" s="138">
        <v>2014</v>
      </c>
      <c r="D5651" s="24" t="s">
        <v>141</v>
      </c>
      <c r="E5651" s="30" t="s">
        <v>142</v>
      </c>
      <c r="F5651" s="7" t="s">
        <v>67</v>
      </c>
      <c r="G5651" s="139" t="s">
        <v>5349</v>
      </c>
      <c r="H5651" s="140" t="s">
        <v>8124</v>
      </c>
      <c r="I5651" s="141">
        <v>0</v>
      </c>
      <c r="J5651" s="142">
        <v>0</v>
      </c>
      <c r="K5651" s="142">
        <v>0</v>
      </c>
      <c r="L5651" s="142">
        <v>0</v>
      </c>
      <c r="M5651" s="142">
        <v>0</v>
      </c>
      <c r="N5651" s="142">
        <v>0</v>
      </c>
      <c r="O5651" s="142">
        <v>0</v>
      </c>
      <c r="P5651" s="158">
        <v>0.47</v>
      </c>
      <c r="Q5651" s="144" t="s">
        <v>154</v>
      </c>
    </row>
    <row r="5652" spans="1:17" s="162" customFormat="1" ht="108" x14ac:dyDescent="0.25">
      <c r="A5652" s="184">
        <v>42001</v>
      </c>
      <c r="B5652" s="184">
        <v>42001</v>
      </c>
      <c r="C5652" s="138">
        <v>2014</v>
      </c>
      <c r="D5652" s="24" t="s">
        <v>141</v>
      </c>
      <c r="E5652" s="30" t="s">
        <v>142</v>
      </c>
      <c r="F5652" s="7" t="s">
        <v>77</v>
      </c>
      <c r="G5652" s="139" t="s">
        <v>3679</v>
      </c>
      <c r="H5652" s="140" t="s">
        <v>8125</v>
      </c>
      <c r="I5652" s="141">
        <v>0</v>
      </c>
      <c r="J5652" s="142">
        <v>1</v>
      </c>
      <c r="K5652" s="142">
        <v>0</v>
      </c>
      <c r="L5652" s="142">
        <v>0</v>
      </c>
      <c r="M5652" s="142">
        <v>0</v>
      </c>
      <c r="N5652" s="142">
        <v>0</v>
      </c>
      <c r="O5652" s="142">
        <v>0</v>
      </c>
      <c r="P5652" s="158">
        <v>0.47</v>
      </c>
      <c r="Q5652" s="144" t="s">
        <v>154</v>
      </c>
    </row>
    <row r="5653" spans="1:17" s="162" customFormat="1" ht="132" x14ac:dyDescent="0.25">
      <c r="A5653" s="48">
        <v>41986</v>
      </c>
      <c r="B5653" s="48">
        <v>41986</v>
      </c>
      <c r="C5653" s="138">
        <v>2014</v>
      </c>
      <c r="D5653" s="24" t="s">
        <v>141</v>
      </c>
      <c r="E5653" s="30" t="s">
        <v>142</v>
      </c>
      <c r="F5653" s="28" t="s">
        <v>210</v>
      </c>
      <c r="G5653" s="139" t="s">
        <v>2317</v>
      </c>
      <c r="H5653" s="140" t="s">
        <v>8126</v>
      </c>
      <c r="I5653" s="141">
        <v>1</v>
      </c>
      <c r="J5653" s="142">
        <v>1</v>
      </c>
      <c r="K5653" s="142">
        <v>0</v>
      </c>
      <c r="L5653" s="142">
        <v>0</v>
      </c>
      <c r="M5653" s="142">
        <v>0</v>
      </c>
      <c r="N5653" s="142">
        <v>0</v>
      </c>
      <c r="O5653" s="142">
        <v>0</v>
      </c>
      <c r="P5653" s="158">
        <v>0.46</v>
      </c>
      <c r="Q5653" s="144" t="s">
        <v>154</v>
      </c>
    </row>
    <row r="5654" spans="1:17" s="162" customFormat="1" ht="84" x14ac:dyDescent="0.25">
      <c r="A5654" s="48">
        <v>41976</v>
      </c>
      <c r="B5654" s="48">
        <v>41976</v>
      </c>
      <c r="C5654" s="138">
        <v>2014</v>
      </c>
      <c r="D5654" s="24" t="s">
        <v>141</v>
      </c>
      <c r="E5654" s="30" t="s">
        <v>142</v>
      </c>
      <c r="F5654" s="7" t="s">
        <v>60</v>
      </c>
      <c r="G5654" s="139" t="s">
        <v>1993</v>
      </c>
      <c r="H5654" s="140" t="s">
        <v>8127</v>
      </c>
      <c r="I5654" s="141">
        <v>3</v>
      </c>
      <c r="J5654" s="142">
        <v>6</v>
      </c>
      <c r="K5654" s="142">
        <v>0</v>
      </c>
      <c r="L5654" s="142">
        <v>0</v>
      </c>
      <c r="M5654" s="142">
        <v>0</v>
      </c>
      <c r="N5654" s="142">
        <v>0</v>
      </c>
      <c r="O5654" s="142">
        <v>0</v>
      </c>
      <c r="P5654" s="158">
        <v>0.45</v>
      </c>
      <c r="Q5654" s="144" t="s">
        <v>154</v>
      </c>
    </row>
    <row r="5655" spans="1:17" s="162" customFormat="1" ht="120" x14ac:dyDescent="0.25">
      <c r="A5655" s="137">
        <v>41973</v>
      </c>
      <c r="B5655" s="137">
        <v>41973</v>
      </c>
      <c r="C5655" s="138">
        <v>2014</v>
      </c>
      <c r="D5655" s="24" t="s">
        <v>141</v>
      </c>
      <c r="E5655" s="30" t="s">
        <v>142</v>
      </c>
      <c r="F5655" s="7" t="s">
        <v>82</v>
      </c>
      <c r="G5655" s="33" t="s">
        <v>3625</v>
      </c>
      <c r="H5655" s="140" t="s">
        <v>8128</v>
      </c>
      <c r="I5655" s="141">
        <v>16</v>
      </c>
      <c r="J5655" s="142">
        <v>38</v>
      </c>
      <c r="K5655" s="142">
        <v>0</v>
      </c>
      <c r="L5655" s="142">
        <v>0</v>
      </c>
      <c r="M5655" s="142">
        <v>0</v>
      </c>
      <c r="N5655" s="142">
        <v>0</v>
      </c>
      <c r="O5655" s="142">
        <v>0</v>
      </c>
      <c r="P5655" s="158">
        <v>0.44</v>
      </c>
      <c r="Q5655" s="144" t="s">
        <v>154</v>
      </c>
    </row>
    <row r="5656" spans="1:17" s="162" customFormat="1" ht="84" x14ac:dyDescent="0.25">
      <c r="A5656" s="48">
        <v>41967</v>
      </c>
      <c r="B5656" s="48">
        <v>41967</v>
      </c>
      <c r="C5656" s="138">
        <v>2014</v>
      </c>
      <c r="D5656" s="24" t="s">
        <v>141</v>
      </c>
      <c r="E5656" s="30" t="s">
        <v>142</v>
      </c>
      <c r="F5656" s="7" t="s">
        <v>72</v>
      </c>
      <c r="G5656" s="139" t="s">
        <v>8129</v>
      </c>
      <c r="H5656" s="140" t="s">
        <v>8130</v>
      </c>
      <c r="I5656" s="141">
        <v>9</v>
      </c>
      <c r="J5656" s="142">
        <v>39</v>
      </c>
      <c r="K5656" s="142">
        <v>0</v>
      </c>
      <c r="L5656" s="142">
        <v>0</v>
      </c>
      <c r="M5656" s="142">
        <v>1</v>
      </c>
      <c r="N5656" s="142">
        <v>0</v>
      </c>
      <c r="O5656" s="142">
        <v>0</v>
      </c>
      <c r="P5656" s="158">
        <v>0.42</v>
      </c>
      <c r="Q5656" s="144" t="s">
        <v>154</v>
      </c>
    </row>
    <row r="5657" spans="1:17" s="162" customFormat="1" ht="120" x14ac:dyDescent="0.25">
      <c r="A5657" s="48">
        <v>41958</v>
      </c>
      <c r="B5657" s="48">
        <v>41958</v>
      </c>
      <c r="C5657" s="138">
        <v>2014</v>
      </c>
      <c r="D5657" s="24" t="s">
        <v>141</v>
      </c>
      <c r="E5657" s="30" t="s">
        <v>142</v>
      </c>
      <c r="F5657" s="7" t="s">
        <v>65</v>
      </c>
      <c r="G5657" s="139" t="s">
        <v>418</v>
      </c>
      <c r="H5657" s="140" t="s">
        <v>8131</v>
      </c>
      <c r="I5657" s="141">
        <v>5</v>
      </c>
      <c r="J5657" s="142">
        <v>44</v>
      </c>
      <c r="K5657" s="142">
        <v>0</v>
      </c>
      <c r="L5657" s="142">
        <v>0</v>
      </c>
      <c r="M5657" s="142">
        <v>0</v>
      </c>
      <c r="N5657" s="142">
        <v>0</v>
      </c>
      <c r="O5657" s="142">
        <v>0</v>
      </c>
      <c r="P5657" s="158">
        <v>0.42</v>
      </c>
      <c r="Q5657" s="144" t="s">
        <v>154</v>
      </c>
    </row>
    <row r="5658" spans="1:17" s="162" customFormat="1" ht="96" x14ac:dyDescent="0.25">
      <c r="A5658" s="48">
        <v>41937</v>
      </c>
      <c r="B5658" s="48">
        <v>41937</v>
      </c>
      <c r="C5658" s="138">
        <v>2014</v>
      </c>
      <c r="D5658" s="24" t="s">
        <v>141</v>
      </c>
      <c r="E5658" s="30" t="s">
        <v>142</v>
      </c>
      <c r="F5658" s="7" t="s">
        <v>58</v>
      </c>
      <c r="G5658" s="139" t="s">
        <v>8132</v>
      </c>
      <c r="H5658" s="140" t="s">
        <v>8133</v>
      </c>
      <c r="I5658" s="141">
        <v>4</v>
      </c>
      <c r="J5658" s="142">
        <v>17</v>
      </c>
      <c r="K5658" s="142">
        <v>0</v>
      </c>
      <c r="L5658" s="142">
        <v>0</v>
      </c>
      <c r="M5658" s="142">
        <v>0</v>
      </c>
      <c r="N5658" s="142">
        <v>0</v>
      </c>
      <c r="O5658" s="142">
        <v>0</v>
      </c>
      <c r="P5658" s="158">
        <v>0.42</v>
      </c>
      <c r="Q5658" s="144" t="s">
        <v>154</v>
      </c>
    </row>
    <row r="5659" spans="1:17" s="162" customFormat="1" ht="96" x14ac:dyDescent="0.25">
      <c r="A5659" s="137">
        <v>41820</v>
      </c>
      <c r="B5659" s="137">
        <v>41820</v>
      </c>
      <c r="C5659" s="138">
        <v>2014</v>
      </c>
      <c r="D5659" s="24" t="s">
        <v>141</v>
      </c>
      <c r="E5659" s="30" t="s">
        <v>142</v>
      </c>
      <c r="F5659" s="7" t="s">
        <v>67</v>
      </c>
      <c r="G5659" s="139" t="s">
        <v>8134</v>
      </c>
      <c r="H5659" s="140" t="s">
        <v>8135</v>
      </c>
      <c r="I5659" s="182">
        <v>3</v>
      </c>
      <c r="J5659" s="178">
        <v>21</v>
      </c>
      <c r="K5659" s="142">
        <v>0</v>
      </c>
      <c r="L5659" s="142">
        <v>0</v>
      </c>
      <c r="M5659" s="142">
        <v>0</v>
      </c>
      <c r="N5659" s="142">
        <v>0</v>
      </c>
      <c r="O5659" s="142">
        <v>0</v>
      </c>
      <c r="P5659" s="158">
        <v>0.42</v>
      </c>
      <c r="Q5659" s="144" t="s">
        <v>154</v>
      </c>
    </row>
    <row r="5660" spans="1:17" s="162" customFormat="1" ht="72" x14ac:dyDescent="0.25">
      <c r="A5660" s="137">
        <v>41835</v>
      </c>
      <c r="B5660" s="137">
        <v>41835</v>
      </c>
      <c r="C5660" s="138">
        <v>2014</v>
      </c>
      <c r="D5660" s="24" t="s">
        <v>141</v>
      </c>
      <c r="E5660" s="30" t="s">
        <v>142</v>
      </c>
      <c r="F5660" s="25" t="s">
        <v>781</v>
      </c>
      <c r="G5660" s="139" t="s">
        <v>2337</v>
      </c>
      <c r="H5660" s="33" t="s">
        <v>8136</v>
      </c>
      <c r="I5660" s="182">
        <v>3</v>
      </c>
      <c r="J5660" s="142">
        <v>30</v>
      </c>
      <c r="K5660" s="142">
        <v>0</v>
      </c>
      <c r="L5660" s="142">
        <v>0</v>
      </c>
      <c r="M5660" s="142">
        <v>0</v>
      </c>
      <c r="N5660" s="142">
        <v>0</v>
      </c>
      <c r="O5660" s="142">
        <v>0</v>
      </c>
      <c r="P5660" s="158">
        <v>0.42</v>
      </c>
      <c r="Q5660" s="144" t="s">
        <v>154</v>
      </c>
    </row>
    <row r="5661" spans="1:17" s="162" customFormat="1" ht="60" x14ac:dyDescent="0.25">
      <c r="A5661" s="137">
        <v>41748</v>
      </c>
      <c r="B5661" s="137">
        <v>41748</v>
      </c>
      <c r="C5661" s="138">
        <v>2014</v>
      </c>
      <c r="D5661" s="24" t="s">
        <v>141</v>
      </c>
      <c r="E5661" s="30" t="s">
        <v>142</v>
      </c>
      <c r="F5661" s="7" t="s">
        <v>75</v>
      </c>
      <c r="G5661" s="139" t="s">
        <v>75</v>
      </c>
      <c r="H5661" s="140" t="s">
        <v>8137</v>
      </c>
      <c r="I5661" s="179">
        <v>2</v>
      </c>
      <c r="J5661" s="142">
        <v>33</v>
      </c>
      <c r="K5661" s="142">
        <v>0</v>
      </c>
      <c r="L5661" s="142">
        <v>0</v>
      </c>
      <c r="M5661" s="142">
        <v>0</v>
      </c>
      <c r="N5661" s="142">
        <v>0</v>
      </c>
      <c r="O5661" s="142">
        <v>0</v>
      </c>
      <c r="P5661" s="158">
        <v>0.42</v>
      </c>
      <c r="Q5661" s="144" t="s">
        <v>154</v>
      </c>
    </row>
    <row r="5662" spans="1:17" s="162" customFormat="1" ht="108" x14ac:dyDescent="0.25">
      <c r="A5662" s="137">
        <v>41857</v>
      </c>
      <c r="B5662" s="137">
        <v>41857</v>
      </c>
      <c r="C5662" s="138">
        <v>2014</v>
      </c>
      <c r="D5662" s="24" t="s">
        <v>141</v>
      </c>
      <c r="E5662" s="30" t="s">
        <v>142</v>
      </c>
      <c r="F5662" s="7" t="s">
        <v>67</v>
      </c>
      <c r="G5662" s="139" t="s">
        <v>2271</v>
      </c>
      <c r="H5662" s="140" t="s">
        <v>8138</v>
      </c>
      <c r="I5662" s="179">
        <v>2</v>
      </c>
      <c r="J5662" s="142">
        <v>15</v>
      </c>
      <c r="K5662" s="142">
        <v>0</v>
      </c>
      <c r="L5662" s="142">
        <v>0</v>
      </c>
      <c r="M5662" s="142">
        <v>0</v>
      </c>
      <c r="N5662" s="142">
        <v>0</v>
      </c>
      <c r="O5662" s="142">
        <v>0</v>
      </c>
      <c r="P5662" s="158">
        <v>0.42</v>
      </c>
      <c r="Q5662" s="144" t="s">
        <v>154</v>
      </c>
    </row>
    <row r="5663" spans="1:17" s="162" customFormat="1" ht="60" x14ac:dyDescent="0.25">
      <c r="A5663" s="48">
        <v>41956</v>
      </c>
      <c r="B5663" s="48">
        <v>41956</v>
      </c>
      <c r="C5663" s="138">
        <v>2014</v>
      </c>
      <c r="D5663" s="24" t="s">
        <v>141</v>
      </c>
      <c r="E5663" s="30" t="s">
        <v>142</v>
      </c>
      <c r="F5663" s="7" t="s">
        <v>72</v>
      </c>
      <c r="G5663" s="139" t="s">
        <v>8139</v>
      </c>
      <c r="H5663" s="140" t="s">
        <v>8140</v>
      </c>
      <c r="I5663" s="141">
        <v>2</v>
      </c>
      <c r="J5663" s="142">
        <v>6</v>
      </c>
      <c r="K5663" s="142">
        <v>0</v>
      </c>
      <c r="L5663" s="142">
        <v>0</v>
      </c>
      <c r="M5663" s="142">
        <v>0</v>
      </c>
      <c r="N5663" s="142">
        <v>0</v>
      </c>
      <c r="O5663" s="142">
        <v>0</v>
      </c>
      <c r="P5663" s="158">
        <v>0.42</v>
      </c>
      <c r="Q5663" s="144" t="s">
        <v>154</v>
      </c>
    </row>
    <row r="5664" spans="1:17" s="162" customFormat="1" ht="108" x14ac:dyDescent="0.25">
      <c r="A5664" s="184">
        <v>42001</v>
      </c>
      <c r="B5664" s="184">
        <v>42001</v>
      </c>
      <c r="C5664" s="138">
        <v>2014</v>
      </c>
      <c r="D5664" s="24" t="s">
        <v>141</v>
      </c>
      <c r="E5664" s="30" t="s">
        <v>142</v>
      </c>
      <c r="F5664" s="7" t="s">
        <v>60</v>
      </c>
      <c r="G5664" s="139" t="s">
        <v>4208</v>
      </c>
      <c r="H5664" s="140" t="s">
        <v>8141</v>
      </c>
      <c r="I5664" s="141">
        <v>2</v>
      </c>
      <c r="J5664" s="142">
        <v>18</v>
      </c>
      <c r="K5664" s="142">
        <v>0</v>
      </c>
      <c r="L5664" s="142">
        <v>0</v>
      </c>
      <c r="M5664" s="142">
        <v>0</v>
      </c>
      <c r="N5664" s="142">
        <v>0</v>
      </c>
      <c r="O5664" s="142">
        <v>0</v>
      </c>
      <c r="P5664" s="158">
        <v>0.42</v>
      </c>
      <c r="Q5664" s="188" t="s">
        <v>154</v>
      </c>
    </row>
    <row r="5665" spans="1:17" s="162" customFormat="1" ht="96" x14ac:dyDescent="0.25">
      <c r="A5665" s="184">
        <v>41725</v>
      </c>
      <c r="B5665" s="184">
        <v>41725</v>
      </c>
      <c r="C5665" s="138">
        <v>2014</v>
      </c>
      <c r="D5665" s="24" t="s">
        <v>141</v>
      </c>
      <c r="E5665" s="30" t="s">
        <v>142</v>
      </c>
      <c r="F5665" s="7" t="s">
        <v>53</v>
      </c>
      <c r="G5665" s="139" t="s">
        <v>847</v>
      </c>
      <c r="H5665" s="140" t="s">
        <v>8142</v>
      </c>
      <c r="I5665" s="179">
        <v>1</v>
      </c>
      <c r="J5665" s="31">
        <v>4</v>
      </c>
      <c r="K5665" s="183">
        <v>0</v>
      </c>
      <c r="L5665" s="142">
        <v>0</v>
      </c>
      <c r="M5665" s="142">
        <v>0</v>
      </c>
      <c r="N5665" s="142">
        <v>1</v>
      </c>
      <c r="O5665" s="142">
        <v>0</v>
      </c>
      <c r="P5665" s="158">
        <v>0.42</v>
      </c>
      <c r="Q5665" s="144" t="s">
        <v>154</v>
      </c>
    </row>
    <row r="5666" spans="1:17" s="162" customFormat="1" ht="96" x14ac:dyDescent="0.25">
      <c r="A5666" s="137">
        <v>41777</v>
      </c>
      <c r="B5666" s="137">
        <v>41777</v>
      </c>
      <c r="C5666" s="138">
        <v>2014</v>
      </c>
      <c r="D5666" s="24" t="s">
        <v>141</v>
      </c>
      <c r="E5666" s="30" t="s">
        <v>142</v>
      </c>
      <c r="F5666" s="7" t="s">
        <v>58</v>
      </c>
      <c r="G5666" s="139" t="s">
        <v>2297</v>
      </c>
      <c r="H5666" s="140" t="s">
        <v>8143</v>
      </c>
      <c r="I5666" s="179">
        <v>1</v>
      </c>
      <c r="J5666" s="31">
        <v>40</v>
      </c>
      <c r="K5666" s="142">
        <v>0</v>
      </c>
      <c r="L5666" s="142">
        <v>0</v>
      </c>
      <c r="M5666" s="142">
        <v>0</v>
      </c>
      <c r="N5666" s="142">
        <v>0</v>
      </c>
      <c r="O5666" s="142">
        <v>0</v>
      </c>
      <c r="P5666" s="158">
        <v>0.42</v>
      </c>
      <c r="Q5666" s="144" t="s">
        <v>154</v>
      </c>
    </row>
    <row r="5667" spans="1:17" s="162" customFormat="1" ht="84" x14ac:dyDescent="0.25">
      <c r="A5667" s="137">
        <v>41874</v>
      </c>
      <c r="B5667" s="137">
        <v>41874</v>
      </c>
      <c r="C5667" s="138">
        <v>2014</v>
      </c>
      <c r="D5667" s="24" t="s">
        <v>141</v>
      </c>
      <c r="E5667" s="30" t="s">
        <v>142</v>
      </c>
      <c r="F5667" s="7" t="s">
        <v>58</v>
      </c>
      <c r="G5667" s="139" t="s">
        <v>6908</v>
      </c>
      <c r="H5667" s="140" t="s">
        <v>8144</v>
      </c>
      <c r="I5667" s="141">
        <v>1</v>
      </c>
      <c r="J5667" s="142">
        <v>21</v>
      </c>
      <c r="K5667" s="142">
        <v>0</v>
      </c>
      <c r="L5667" s="142">
        <v>0</v>
      </c>
      <c r="M5667" s="142">
        <v>0</v>
      </c>
      <c r="N5667" s="142">
        <v>0</v>
      </c>
      <c r="O5667" s="142">
        <v>0</v>
      </c>
      <c r="P5667" s="189">
        <v>0.42</v>
      </c>
      <c r="Q5667" s="144" t="s">
        <v>154</v>
      </c>
    </row>
    <row r="5668" spans="1:17" s="162" customFormat="1" ht="108" x14ac:dyDescent="0.25">
      <c r="A5668" s="48">
        <v>41939</v>
      </c>
      <c r="B5668" s="48">
        <v>41939</v>
      </c>
      <c r="C5668" s="138">
        <v>2014</v>
      </c>
      <c r="D5668" s="24" t="s">
        <v>141</v>
      </c>
      <c r="E5668" s="30" t="s">
        <v>142</v>
      </c>
      <c r="F5668" s="7" t="s">
        <v>58</v>
      </c>
      <c r="G5668" s="139" t="s">
        <v>168</v>
      </c>
      <c r="H5668" s="140" t="s">
        <v>8145</v>
      </c>
      <c r="I5668" s="141">
        <v>1</v>
      </c>
      <c r="J5668" s="142">
        <v>20</v>
      </c>
      <c r="K5668" s="142">
        <v>0</v>
      </c>
      <c r="L5668" s="142">
        <v>0</v>
      </c>
      <c r="M5668" s="142">
        <v>0</v>
      </c>
      <c r="N5668" s="142">
        <v>0</v>
      </c>
      <c r="O5668" s="142">
        <v>0</v>
      </c>
      <c r="P5668" s="158">
        <v>0.42</v>
      </c>
      <c r="Q5668" s="144" t="s">
        <v>154</v>
      </c>
    </row>
    <row r="5669" spans="1:17" s="162" customFormat="1" ht="84" x14ac:dyDescent="0.25">
      <c r="A5669" s="48">
        <v>41956</v>
      </c>
      <c r="B5669" s="48">
        <v>41956</v>
      </c>
      <c r="C5669" s="138">
        <v>2014</v>
      </c>
      <c r="D5669" s="24" t="s">
        <v>141</v>
      </c>
      <c r="E5669" s="30" t="s">
        <v>142</v>
      </c>
      <c r="F5669" s="28" t="s">
        <v>210</v>
      </c>
      <c r="G5669" s="139" t="s">
        <v>8146</v>
      </c>
      <c r="H5669" s="140" t="s">
        <v>8147</v>
      </c>
      <c r="I5669" s="141">
        <v>1</v>
      </c>
      <c r="J5669" s="142">
        <v>5</v>
      </c>
      <c r="K5669" s="142">
        <v>0</v>
      </c>
      <c r="L5669" s="142">
        <v>0</v>
      </c>
      <c r="M5669" s="142">
        <v>0</v>
      </c>
      <c r="N5669" s="142">
        <v>0</v>
      </c>
      <c r="O5669" s="142">
        <v>0</v>
      </c>
      <c r="P5669" s="158">
        <v>0.42</v>
      </c>
      <c r="Q5669" s="144" t="s">
        <v>154</v>
      </c>
    </row>
    <row r="5670" spans="1:17" s="162" customFormat="1" ht="72" x14ac:dyDescent="0.25">
      <c r="A5670" s="137">
        <v>41966</v>
      </c>
      <c r="B5670" s="137">
        <v>41966</v>
      </c>
      <c r="C5670" s="138">
        <v>2014</v>
      </c>
      <c r="D5670" s="24" t="s">
        <v>141</v>
      </c>
      <c r="E5670" s="30" t="s">
        <v>142</v>
      </c>
      <c r="F5670" s="7" t="s">
        <v>53</v>
      </c>
      <c r="G5670" s="139" t="s">
        <v>3073</v>
      </c>
      <c r="H5670" s="140" t="s">
        <v>8148</v>
      </c>
      <c r="I5670" s="141">
        <v>1</v>
      </c>
      <c r="J5670" s="142">
        <v>5</v>
      </c>
      <c r="K5670" s="142">
        <v>0</v>
      </c>
      <c r="L5670" s="142">
        <v>0</v>
      </c>
      <c r="M5670" s="142">
        <v>0</v>
      </c>
      <c r="N5670" s="142">
        <v>0</v>
      </c>
      <c r="O5670" s="142">
        <v>0</v>
      </c>
      <c r="P5670" s="158">
        <v>0.42</v>
      </c>
      <c r="Q5670" s="144" t="s">
        <v>154</v>
      </c>
    </row>
    <row r="5671" spans="1:17" s="162" customFormat="1" ht="96" x14ac:dyDescent="0.25">
      <c r="A5671" s="48">
        <v>41994</v>
      </c>
      <c r="B5671" s="48">
        <v>41994</v>
      </c>
      <c r="C5671" s="138">
        <v>2014</v>
      </c>
      <c r="D5671" s="24" t="s">
        <v>141</v>
      </c>
      <c r="E5671" s="30" t="s">
        <v>142</v>
      </c>
      <c r="F5671" s="7" t="s">
        <v>82</v>
      </c>
      <c r="G5671" s="139" t="s">
        <v>8149</v>
      </c>
      <c r="H5671" s="140" t="s">
        <v>8150</v>
      </c>
      <c r="I5671" s="141">
        <v>1</v>
      </c>
      <c r="J5671" s="142">
        <v>36</v>
      </c>
      <c r="K5671" s="142">
        <v>0</v>
      </c>
      <c r="L5671" s="142">
        <v>0</v>
      </c>
      <c r="M5671" s="142">
        <v>0</v>
      </c>
      <c r="N5671" s="142">
        <v>1</v>
      </c>
      <c r="O5671" s="142">
        <v>0</v>
      </c>
      <c r="P5671" s="158">
        <v>0.42</v>
      </c>
      <c r="Q5671" s="144" t="s">
        <v>154</v>
      </c>
    </row>
    <row r="5672" spans="1:17" s="162" customFormat="1" ht="84" x14ac:dyDescent="0.25">
      <c r="A5672" s="137">
        <v>41649</v>
      </c>
      <c r="B5672" s="137">
        <v>41649</v>
      </c>
      <c r="C5672" s="138">
        <v>2014</v>
      </c>
      <c r="D5672" s="24" t="s">
        <v>141</v>
      </c>
      <c r="E5672" s="30" t="s">
        <v>142</v>
      </c>
      <c r="F5672" s="7" t="s">
        <v>53</v>
      </c>
      <c r="G5672" s="139" t="s">
        <v>2309</v>
      </c>
      <c r="H5672" s="140" t="s">
        <v>8151</v>
      </c>
      <c r="I5672" s="141">
        <v>0</v>
      </c>
      <c r="J5672" s="142">
        <v>10</v>
      </c>
      <c r="K5672" s="142">
        <v>0</v>
      </c>
      <c r="L5672" s="142">
        <v>0</v>
      </c>
      <c r="M5672" s="142">
        <v>0</v>
      </c>
      <c r="N5672" s="142">
        <v>0</v>
      </c>
      <c r="O5672" s="142">
        <v>0</v>
      </c>
      <c r="P5672" s="158">
        <v>0.42</v>
      </c>
      <c r="Q5672" s="144" t="s">
        <v>154</v>
      </c>
    </row>
    <row r="5673" spans="1:17" s="162" customFormat="1" ht="72" x14ac:dyDescent="0.25">
      <c r="A5673" s="137">
        <v>41649</v>
      </c>
      <c r="B5673" s="137">
        <v>41649</v>
      </c>
      <c r="C5673" s="138">
        <v>2014</v>
      </c>
      <c r="D5673" s="24" t="s">
        <v>141</v>
      </c>
      <c r="E5673" s="30" t="s">
        <v>142</v>
      </c>
      <c r="F5673" s="28" t="s">
        <v>210</v>
      </c>
      <c r="G5673" s="139" t="s">
        <v>921</v>
      </c>
      <c r="H5673" s="140" t="s">
        <v>8152</v>
      </c>
      <c r="I5673" s="141">
        <v>0</v>
      </c>
      <c r="J5673" s="142">
        <v>15</v>
      </c>
      <c r="K5673" s="142">
        <v>0</v>
      </c>
      <c r="L5673" s="142">
        <v>0</v>
      </c>
      <c r="M5673" s="142">
        <v>0</v>
      </c>
      <c r="N5673" s="142">
        <v>0</v>
      </c>
      <c r="O5673" s="142">
        <v>0</v>
      </c>
      <c r="P5673" s="158">
        <v>0.42</v>
      </c>
      <c r="Q5673" s="144" t="s">
        <v>154</v>
      </c>
    </row>
    <row r="5674" spans="1:17" s="162" customFormat="1" ht="48" x14ac:dyDescent="0.25">
      <c r="A5674" s="137">
        <v>41677</v>
      </c>
      <c r="B5674" s="137">
        <v>41677</v>
      </c>
      <c r="C5674" s="138">
        <v>2014</v>
      </c>
      <c r="D5674" s="24" t="s">
        <v>141</v>
      </c>
      <c r="E5674" s="30" t="s">
        <v>142</v>
      </c>
      <c r="F5674" s="7" t="s">
        <v>53</v>
      </c>
      <c r="G5674" s="139" t="s">
        <v>5082</v>
      </c>
      <c r="H5674" s="140" t="s">
        <v>8153</v>
      </c>
      <c r="I5674" s="141">
        <v>0</v>
      </c>
      <c r="J5674" s="142">
        <v>30</v>
      </c>
      <c r="K5674" s="142">
        <v>0</v>
      </c>
      <c r="L5674" s="142">
        <v>0</v>
      </c>
      <c r="M5674" s="142">
        <v>0</v>
      </c>
      <c r="N5674" s="142">
        <v>0</v>
      </c>
      <c r="O5674" s="142">
        <v>0</v>
      </c>
      <c r="P5674" s="158">
        <v>0.42</v>
      </c>
      <c r="Q5674" s="144" t="s">
        <v>154</v>
      </c>
    </row>
    <row r="5675" spans="1:17" s="162" customFormat="1" ht="48" x14ac:dyDescent="0.25">
      <c r="A5675" s="48">
        <v>41692</v>
      </c>
      <c r="B5675" s="48">
        <v>41692</v>
      </c>
      <c r="C5675" s="138">
        <v>2014</v>
      </c>
      <c r="D5675" s="24" t="s">
        <v>141</v>
      </c>
      <c r="E5675" s="30" t="s">
        <v>142</v>
      </c>
      <c r="F5675" s="7" t="s">
        <v>68</v>
      </c>
      <c r="G5675" s="139" t="s">
        <v>2512</v>
      </c>
      <c r="H5675" s="187" t="s">
        <v>8154</v>
      </c>
      <c r="I5675" s="179">
        <v>0</v>
      </c>
      <c r="J5675" s="142">
        <v>30</v>
      </c>
      <c r="K5675" s="142">
        <v>0</v>
      </c>
      <c r="L5675" s="142">
        <v>0</v>
      </c>
      <c r="M5675" s="142">
        <v>0</v>
      </c>
      <c r="N5675" s="142">
        <v>0</v>
      </c>
      <c r="O5675" s="142">
        <v>0</v>
      </c>
      <c r="P5675" s="158">
        <v>0.42</v>
      </c>
      <c r="Q5675" s="144" t="s">
        <v>154</v>
      </c>
    </row>
    <row r="5676" spans="1:17" s="162" customFormat="1" ht="84" x14ac:dyDescent="0.25">
      <c r="A5676" s="137">
        <v>41787</v>
      </c>
      <c r="B5676" s="137">
        <v>41787</v>
      </c>
      <c r="C5676" s="138">
        <v>2014</v>
      </c>
      <c r="D5676" s="24" t="s">
        <v>141</v>
      </c>
      <c r="E5676" s="30" t="s">
        <v>142</v>
      </c>
      <c r="F5676" s="28" t="s">
        <v>210</v>
      </c>
      <c r="G5676" s="139" t="s">
        <v>5025</v>
      </c>
      <c r="H5676" s="140" t="s">
        <v>8155</v>
      </c>
      <c r="I5676" s="179">
        <v>0</v>
      </c>
      <c r="J5676" s="31">
        <v>18</v>
      </c>
      <c r="K5676" s="142">
        <v>0</v>
      </c>
      <c r="L5676" s="142">
        <v>0</v>
      </c>
      <c r="M5676" s="142">
        <v>0</v>
      </c>
      <c r="N5676" s="142">
        <v>0</v>
      </c>
      <c r="O5676" s="142">
        <v>0</v>
      </c>
      <c r="P5676" s="158">
        <v>0.42</v>
      </c>
      <c r="Q5676" s="144" t="s">
        <v>154</v>
      </c>
    </row>
    <row r="5677" spans="1:17" s="162" customFormat="1" ht="96" x14ac:dyDescent="0.25">
      <c r="A5677" s="137">
        <v>41844</v>
      </c>
      <c r="B5677" s="137">
        <v>41844</v>
      </c>
      <c r="C5677" s="138">
        <v>2014</v>
      </c>
      <c r="D5677" s="351" t="s">
        <v>23</v>
      </c>
      <c r="E5677" s="186" t="s">
        <v>2691</v>
      </c>
      <c r="F5677" s="7" t="s">
        <v>87</v>
      </c>
      <c r="G5677" s="139" t="s">
        <v>8156</v>
      </c>
      <c r="H5677" s="140" t="s">
        <v>8157</v>
      </c>
      <c r="I5677" s="141">
        <v>0</v>
      </c>
      <c r="J5677" s="142">
        <v>11</v>
      </c>
      <c r="K5677" s="142">
        <v>0</v>
      </c>
      <c r="L5677" s="142">
        <v>0</v>
      </c>
      <c r="M5677" s="142">
        <v>0</v>
      </c>
      <c r="N5677" s="142">
        <v>0</v>
      </c>
      <c r="O5677" s="142">
        <v>0</v>
      </c>
      <c r="P5677" s="158">
        <v>0.42</v>
      </c>
      <c r="Q5677" s="144" t="s">
        <v>154</v>
      </c>
    </row>
    <row r="5678" spans="1:17" s="162" customFormat="1" ht="96" x14ac:dyDescent="0.25">
      <c r="A5678" s="137">
        <v>41846</v>
      </c>
      <c r="B5678" s="137">
        <v>41846</v>
      </c>
      <c r="C5678" s="138">
        <v>2014</v>
      </c>
      <c r="D5678" s="24" t="s">
        <v>141</v>
      </c>
      <c r="E5678" s="30" t="s">
        <v>142</v>
      </c>
      <c r="F5678" s="7" t="s">
        <v>56</v>
      </c>
      <c r="G5678" s="139" t="s">
        <v>495</v>
      </c>
      <c r="H5678" s="140" t="s">
        <v>8158</v>
      </c>
      <c r="I5678" s="50">
        <v>0</v>
      </c>
      <c r="J5678" s="142">
        <v>33</v>
      </c>
      <c r="K5678" s="142">
        <v>0</v>
      </c>
      <c r="L5678" s="142">
        <v>0</v>
      </c>
      <c r="M5678" s="142">
        <v>0</v>
      </c>
      <c r="N5678" s="142">
        <v>0</v>
      </c>
      <c r="O5678" s="142">
        <v>0</v>
      </c>
      <c r="P5678" s="158">
        <v>0.42</v>
      </c>
      <c r="Q5678" s="144" t="s">
        <v>154</v>
      </c>
    </row>
    <row r="5679" spans="1:17" s="162" customFormat="1" ht="133.5" x14ac:dyDescent="0.25">
      <c r="A5679" s="137">
        <v>41888</v>
      </c>
      <c r="B5679" s="137">
        <v>41888</v>
      </c>
      <c r="C5679" s="138">
        <v>2014</v>
      </c>
      <c r="D5679" s="24" t="s">
        <v>141</v>
      </c>
      <c r="E5679" s="30" t="s">
        <v>142</v>
      </c>
      <c r="F5679" s="7" t="s">
        <v>68</v>
      </c>
      <c r="G5679" s="139" t="s">
        <v>7113</v>
      </c>
      <c r="H5679" s="140" t="s">
        <v>8159</v>
      </c>
      <c r="I5679" s="141">
        <v>0</v>
      </c>
      <c r="J5679" s="142">
        <v>4</v>
      </c>
      <c r="K5679" s="142">
        <v>0</v>
      </c>
      <c r="L5679" s="142">
        <v>0</v>
      </c>
      <c r="M5679" s="142">
        <v>0</v>
      </c>
      <c r="N5679" s="142">
        <v>0</v>
      </c>
      <c r="O5679" s="142">
        <v>0</v>
      </c>
      <c r="P5679" s="158">
        <v>0.42</v>
      </c>
      <c r="Q5679" s="144" t="s">
        <v>154</v>
      </c>
    </row>
    <row r="5680" spans="1:17" s="162" customFormat="1" ht="72" x14ac:dyDescent="0.25">
      <c r="A5680" s="137">
        <v>41895</v>
      </c>
      <c r="B5680" s="137">
        <v>41895</v>
      </c>
      <c r="C5680" s="138">
        <v>2014</v>
      </c>
      <c r="D5680" s="24" t="s">
        <v>141</v>
      </c>
      <c r="E5680" s="30" t="s">
        <v>142</v>
      </c>
      <c r="F5680" s="28" t="s">
        <v>210</v>
      </c>
      <c r="G5680" s="139" t="s">
        <v>4328</v>
      </c>
      <c r="H5680" s="140" t="s">
        <v>8160</v>
      </c>
      <c r="I5680" s="141">
        <v>0</v>
      </c>
      <c r="J5680" s="142">
        <v>27</v>
      </c>
      <c r="K5680" s="142">
        <v>0</v>
      </c>
      <c r="L5680" s="142">
        <v>0</v>
      </c>
      <c r="M5680" s="142">
        <v>0</v>
      </c>
      <c r="N5680" s="142">
        <v>0</v>
      </c>
      <c r="O5680" s="142">
        <v>0</v>
      </c>
      <c r="P5680" s="158">
        <v>0.42</v>
      </c>
      <c r="Q5680" s="144" t="s">
        <v>154</v>
      </c>
    </row>
    <row r="5681" spans="1:17" s="162" customFormat="1" ht="72" x14ac:dyDescent="0.25">
      <c r="A5681" s="137">
        <v>41898</v>
      </c>
      <c r="B5681" s="137">
        <v>41898</v>
      </c>
      <c r="C5681" s="138">
        <v>2014</v>
      </c>
      <c r="D5681" s="24" t="s">
        <v>141</v>
      </c>
      <c r="E5681" s="30" t="s">
        <v>142</v>
      </c>
      <c r="F5681" s="7" t="s">
        <v>56</v>
      </c>
      <c r="G5681" s="139" t="s">
        <v>2786</v>
      </c>
      <c r="H5681" s="140" t="s">
        <v>8161</v>
      </c>
      <c r="I5681" s="141">
        <v>0</v>
      </c>
      <c r="J5681" s="142">
        <v>46</v>
      </c>
      <c r="K5681" s="142">
        <v>0</v>
      </c>
      <c r="L5681" s="142">
        <v>0</v>
      </c>
      <c r="M5681" s="142">
        <v>0</v>
      </c>
      <c r="N5681" s="142">
        <v>0</v>
      </c>
      <c r="O5681" s="142">
        <v>0</v>
      </c>
      <c r="P5681" s="158">
        <v>0.42</v>
      </c>
      <c r="Q5681" s="144" t="s">
        <v>154</v>
      </c>
    </row>
    <row r="5682" spans="1:17" s="162" customFormat="1" ht="60" x14ac:dyDescent="0.25">
      <c r="A5682" s="184">
        <v>41970</v>
      </c>
      <c r="B5682" s="184">
        <v>41970</v>
      </c>
      <c r="C5682" s="138">
        <v>2014</v>
      </c>
      <c r="D5682" s="24" t="s">
        <v>141</v>
      </c>
      <c r="E5682" s="30" t="s">
        <v>142</v>
      </c>
      <c r="F5682" s="7" t="s">
        <v>40</v>
      </c>
      <c r="G5682" s="139" t="s">
        <v>58</v>
      </c>
      <c r="H5682" s="140" t="s">
        <v>8162</v>
      </c>
      <c r="I5682" s="141">
        <v>0</v>
      </c>
      <c r="J5682" s="142">
        <v>0</v>
      </c>
      <c r="K5682" s="142">
        <v>0</v>
      </c>
      <c r="L5682" s="142">
        <v>0</v>
      </c>
      <c r="M5682" s="142">
        <v>0</v>
      </c>
      <c r="N5682" s="142">
        <v>0</v>
      </c>
      <c r="O5682" s="142">
        <v>0</v>
      </c>
      <c r="P5682" s="158">
        <v>0.42</v>
      </c>
      <c r="Q5682" s="144" t="s">
        <v>154</v>
      </c>
    </row>
    <row r="5683" spans="1:17" s="162" customFormat="1" ht="108" x14ac:dyDescent="0.25">
      <c r="A5683" s="137">
        <v>41972</v>
      </c>
      <c r="B5683" s="137">
        <v>41972</v>
      </c>
      <c r="C5683" s="138">
        <v>2014</v>
      </c>
      <c r="D5683" s="24" t="s">
        <v>141</v>
      </c>
      <c r="E5683" s="30" t="s">
        <v>142</v>
      </c>
      <c r="F5683" s="25" t="s">
        <v>781</v>
      </c>
      <c r="G5683" s="139" t="s">
        <v>5007</v>
      </c>
      <c r="H5683" s="140" t="s">
        <v>8163</v>
      </c>
      <c r="I5683" s="141">
        <v>0</v>
      </c>
      <c r="J5683" s="142">
        <v>25</v>
      </c>
      <c r="K5683" s="142">
        <v>0</v>
      </c>
      <c r="L5683" s="142">
        <v>0</v>
      </c>
      <c r="M5683" s="142">
        <v>0</v>
      </c>
      <c r="N5683" s="142">
        <v>0</v>
      </c>
      <c r="O5683" s="142">
        <v>0</v>
      </c>
      <c r="P5683" s="158">
        <v>0.42</v>
      </c>
      <c r="Q5683" s="144" t="s">
        <v>154</v>
      </c>
    </row>
    <row r="5684" spans="1:17" s="162" customFormat="1" ht="84" x14ac:dyDescent="0.25">
      <c r="A5684" s="137">
        <v>41973</v>
      </c>
      <c r="B5684" s="137">
        <v>41973</v>
      </c>
      <c r="C5684" s="138">
        <v>2014</v>
      </c>
      <c r="D5684" s="24" t="s">
        <v>141</v>
      </c>
      <c r="E5684" s="30" t="s">
        <v>142</v>
      </c>
      <c r="F5684" s="7" t="s">
        <v>62</v>
      </c>
      <c r="G5684" s="139" t="s">
        <v>165</v>
      </c>
      <c r="H5684" s="140" t="s">
        <v>8164</v>
      </c>
      <c r="I5684" s="141">
        <v>0</v>
      </c>
      <c r="J5684" s="142">
        <v>17</v>
      </c>
      <c r="K5684" s="142">
        <v>0</v>
      </c>
      <c r="L5684" s="142">
        <v>0</v>
      </c>
      <c r="M5684" s="142">
        <v>0</v>
      </c>
      <c r="N5684" s="142">
        <v>0</v>
      </c>
      <c r="O5684" s="142">
        <v>0</v>
      </c>
      <c r="P5684" s="158">
        <v>0.42</v>
      </c>
      <c r="Q5684" s="144" t="s">
        <v>154</v>
      </c>
    </row>
    <row r="5685" spans="1:17" s="162" customFormat="1" ht="96" x14ac:dyDescent="0.25">
      <c r="A5685" s="184">
        <v>42001</v>
      </c>
      <c r="B5685" s="184">
        <v>42001</v>
      </c>
      <c r="C5685" s="138">
        <v>2014</v>
      </c>
      <c r="D5685" s="24" t="s">
        <v>141</v>
      </c>
      <c r="E5685" s="30" t="s">
        <v>142</v>
      </c>
      <c r="F5685" s="28" t="s">
        <v>157</v>
      </c>
      <c r="G5685" s="139" t="s">
        <v>859</v>
      </c>
      <c r="H5685" s="140" t="s">
        <v>8165</v>
      </c>
      <c r="I5685" s="141">
        <v>0</v>
      </c>
      <c r="J5685" s="142">
        <v>19</v>
      </c>
      <c r="K5685" s="142">
        <v>0</v>
      </c>
      <c r="L5685" s="142">
        <v>0</v>
      </c>
      <c r="M5685" s="142">
        <v>0</v>
      </c>
      <c r="N5685" s="142">
        <v>0</v>
      </c>
      <c r="O5685" s="142">
        <v>0</v>
      </c>
      <c r="P5685" s="158">
        <v>0.42</v>
      </c>
      <c r="Q5685" s="188" t="s">
        <v>154</v>
      </c>
    </row>
    <row r="5686" spans="1:17" s="162" customFormat="1" ht="48" x14ac:dyDescent="0.25">
      <c r="A5686" s="137">
        <v>41640</v>
      </c>
      <c r="B5686" s="137">
        <v>42004</v>
      </c>
      <c r="C5686" s="138">
        <v>2014</v>
      </c>
      <c r="D5686" s="35" t="s">
        <v>28</v>
      </c>
      <c r="E5686" s="14" t="s">
        <v>29</v>
      </c>
      <c r="F5686" s="7" t="s">
        <v>56</v>
      </c>
      <c r="G5686" s="139" t="s">
        <v>26</v>
      </c>
      <c r="H5686" s="140" t="s">
        <v>8166</v>
      </c>
      <c r="I5686" s="141">
        <v>0</v>
      </c>
      <c r="J5686" s="142">
        <v>0</v>
      </c>
      <c r="K5686" s="142">
        <v>0</v>
      </c>
      <c r="L5686" s="142">
        <v>0</v>
      </c>
      <c r="M5686" s="142">
        <v>0</v>
      </c>
      <c r="N5686" s="142">
        <v>0</v>
      </c>
      <c r="O5686" s="142">
        <v>398.86</v>
      </c>
      <c r="P5686" s="158">
        <v>0.39885999999999999</v>
      </c>
      <c r="Q5686" s="144" t="s">
        <v>3556</v>
      </c>
    </row>
    <row r="5687" spans="1:17" s="162" customFormat="1" ht="60" x14ac:dyDescent="0.25">
      <c r="A5687" s="137">
        <v>41894</v>
      </c>
      <c r="B5687" s="137">
        <v>41894</v>
      </c>
      <c r="C5687" s="138">
        <v>2014</v>
      </c>
      <c r="D5687" s="24" t="s">
        <v>141</v>
      </c>
      <c r="E5687" s="30" t="s">
        <v>142</v>
      </c>
      <c r="F5687" s="28" t="s">
        <v>157</v>
      </c>
      <c r="G5687" s="139" t="s">
        <v>158</v>
      </c>
      <c r="H5687" s="140" t="s">
        <v>8167</v>
      </c>
      <c r="I5687" s="141">
        <v>4</v>
      </c>
      <c r="J5687" s="142">
        <v>7</v>
      </c>
      <c r="K5687" s="142">
        <v>0</v>
      </c>
      <c r="L5687" s="142">
        <v>0</v>
      </c>
      <c r="M5687" s="142">
        <v>0</v>
      </c>
      <c r="N5687" s="142">
        <v>0</v>
      </c>
      <c r="O5687" s="142">
        <v>0</v>
      </c>
      <c r="P5687" s="158">
        <v>0.36813000000000001</v>
      </c>
      <c r="Q5687" s="144" t="s">
        <v>154</v>
      </c>
    </row>
    <row r="5688" spans="1:17" s="162" customFormat="1" ht="120" x14ac:dyDescent="0.25">
      <c r="A5688" s="137">
        <v>41769</v>
      </c>
      <c r="B5688" s="137">
        <v>41769</v>
      </c>
      <c r="C5688" s="138">
        <v>2014</v>
      </c>
      <c r="D5688" s="24" t="s">
        <v>141</v>
      </c>
      <c r="E5688" s="30" t="s">
        <v>142</v>
      </c>
      <c r="F5688" s="7" t="s">
        <v>62</v>
      </c>
      <c r="G5688" s="139" t="s">
        <v>959</v>
      </c>
      <c r="H5688" s="140" t="s">
        <v>8168</v>
      </c>
      <c r="I5688" s="179">
        <v>0</v>
      </c>
      <c r="J5688" s="31">
        <v>1</v>
      </c>
      <c r="K5688" s="142">
        <v>0</v>
      </c>
      <c r="L5688" s="142">
        <v>0</v>
      </c>
      <c r="M5688" s="142">
        <v>0</v>
      </c>
      <c r="N5688" s="142">
        <v>0</v>
      </c>
      <c r="O5688" s="142">
        <v>0</v>
      </c>
      <c r="P5688" s="158">
        <v>0.36813000000000001</v>
      </c>
      <c r="Q5688" s="144" t="s">
        <v>154</v>
      </c>
    </row>
    <row r="5689" spans="1:17" s="162" customFormat="1" ht="48" x14ac:dyDescent="0.25">
      <c r="A5689" s="137">
        <v>41640</v>
      </c>
      <c r="B5689" s="137">
        <v>42004</v>
      </c>
      <c r="C5689" s="138">
        <v>2014</v>
      </c>
      <c r="D5689" s="35" t="s">
        <v>28</v>
      </c>
      <c r="E5689" s="14" t="s">
        <v>29</v>
      </c>
      <c r="F5689" s="7" t="s">
        <v>97</v>
      </c>
      <c r="G5689" s="139" t="s">
        <v>26</v>
      </c>
      <c r="H5689" s="140" t="s">
        <v>8169</v>
      </c>
      <c r="I5689" s="141">
        <v>0</v>
      </c>
      <c r="J5689" s="142">
        <v>0</v>
      </c>
      <c r="K5689" s="142">
        <v>0</v>
      </c>
      <c r="L5689" s="142">
        <v>0</v>
      </c>
      <c r="M5689" s="142">
        <v>0</v>
      </c>
      <c r="N5689" s="142">
        <v>0</v>
      </c>
      <c r="O5689" s="142">
        <v>366.45</v>
      </c>
      <c r="P5689" s="158">
        <v>0.36645</v>
      </c>
      <c r="Q5689" s="144" t="s">
        <v>3556</v>
      </c>
    </row>
    <row r="5690" spans="1:17" s="162" customFormat="1" ht="108" x14ac:dyDescent="0.25">
      <c r="A5690" s="137">
        <v>41910</v>
      </c>
      <c r="B5690" s="137">
        <v>41911</v>
      </c>
      <c r="C5690" s="138">
        <v>2014</v>
      </c>
      <c r="D5690" s="351" t="s">
        <v>23</v>
      </c>
      <c r="E5690" s="22" t="s">
        <v>86</v>
      </c>
      <c r="F5690" s="7" t="s">
        <v>72</v>
      </c>
      <c r="G5690" s="139" t="s">
        <v>8170</v>
      </c>
      <c r="H5690" s="140" t="s">
        <v>8171</v>
      </c>
      <c r="I5690" s="141">
        <v>0</v>
      </c>
      <c r="J5690" s="142">
        <v>330</v>
      </c>
      <c r="K5690" s="142">
        <v>66</v>
      </c>
      <c r="L5690" s="142">
        <v>3</v>
      </c>
      <c r="M5690" s="142">
        <v>0</v>
      </c>
      <c r="N5690" s="142">
        <v>0</v>
      </c>
      <c r="O5690" s="142">
        <v>0</v>
      </c>
      <c r="P5690" s="158">
        <v>0.36299999999999999</v>
      </c>
      <c r="Q5690" s="144" t="s">
        <v>154</v>
      </c>
    </row>
    <row r="5691" spans="1:17" s="162" customFormat="1" ht="36" x14ac:dyDescent="0.25">
      <c r="A5691" s="137">
        <v>41640</v>
      </c>
      <c r="B5691" s="137">
        <v>42004</v>
      </c>
      <c r="C5691" s="138">
        <v>2014</v>
      </c>
      <c r="D5691" s="35" t="s">
        <v>28</v>
      </c>
      <c r="E5691" s="14" t="s">
        <v>29</v>
      </c>
      <c r="F5691" s="7" t="s">
        <v>67</v>
      </c>
      <c r="G5691" s="139" t="s">
        <v>26</v>
      </c>
      <c r="H5691" s="140" t="s">
        <v>8172</v>
      </c>
      <c r="I5691" s="141">
        <v>0</v>
      </c>
      <c r="J5691" s="142">
        <v>0</v>
      </c>
      <c r="K5691" s="142">
        <v>0</v>
      </c>
      <c r="L5691" s="142">
        <v>0</v>
      </c>
      <c r="M5691" s="142">
        <v>0</v>
      </c>
      <c r="N5691" s="142">
        <v>0</v>
      </c>
      <c r="O5691" s="142">
        <v>357</v>
      </c>
      <c r="P5691" s="158">
        <v>0.35699999999999998</v>
      </c>
      <c r="Q5691" s="144" t="s">
        <v>3556</v>
      </c>
    </row>
    <row r="5692" spans="1:17" s="162" customFormat="1" ht="36" x14ac:dyDescent="0.25">
      <c r="A5692" s="137">
        <v>41640</v>
      </c>
      <c r="B5692" s="137">
        <v>42004</v>
      </c>
      <c r="C5692" s="138">
        <v>2014</v>
      </c>
      <c r="D5692" s="35" t="s">
        <v>28</v>
      </c>
      <c r="E5692" s="14" t="s">
        <v>29</v>
      </c>
      <c r="F5692" s="7" t="s">
        <v>84</v>
      </c>
      <c r="G5692" s="139" t="s">
        <v>26</v>
      </c>
      <c r="H5692" s="140" t="s">
        <v>8173</v>
      </c>
      <c r="I5692" s="141">
        <v>0</v>
      </c>
      <c r="J5692" s="142">
        <v>0</v>
      </c>
      <c r="K5692" s="142">
        <v>0</v>
      </c>
      <c r="L5692" s="142">
        <v>0</v>
      </c>
      <c r="M5692" s="142">
        <v>0</v>
      </c>
      <c r="N5692" s="142">
        <v>0</v>
      </c>
      <c r="O5692" s="142">
        <v>347</v>
      </c>
      <c r="P5692" s="158">
        <v>0.34699999999999998</v>
      </c>
      <c r="Q5692" s="144" t="s">
        <v>3556</v>
      </c>
    </row>
    <row r="5693" spans="1:17" s="162" customFormat="1" ht="72" x14ac:dyDescent="0.25">
      <c r="A5693" s="48">
        <v>41935</v>
      </c>
      <c r="B5693" s="48">
        <v>41935</v>
      </c>
      <c r="C5693" s="138">
        <v>2014</v>
      </c>
      <c r="D5693" s="24" t="s">
        <v>141</v>
      </c>
      <c r="E5693" s="30" t="s">
        <v>142</v>
      </c>
      <c r="F5693" s="7" t="s">
        <v>82</v>
      </c>
      <c r="G5693" s="139" t="s">
        <v>4878</v>
      </c>
      <c r="H5693" s="140" t="s">
        <v>8174</v>
      </c>
      <c r="I5693" s="141">
        <v>1</v>
      </c>
      <c r="J5693" s="142">
        <v>3</v>
      </c>
      <c r="K5693" s="142">
        <v>0</v>
      </c>
      <c r="L5693" s="142">
        <v>0</v>
      </c>
      <c r="M5693" s="142">
        <v>0</v>
      </c>
      <c r="N5693" s="142">
        <v>0</v>
      </c>
      <c r="O5693" s="142">
        <v>0</v>
      </c>
      <c r="P5693" s="158">
        <v>0.33</v>
      </c>
      <c r="Q5693" s="144" t="s">
        <v>154</v>
      </c>
    </row>
    <row r="5694" spans="1:17" s="162" customFormat="1" ht="96" x14ac:dyDescent="0.25">
      <c r="A5694" s="137">
        <v>41778</v>
      </c>
      <c r="B5694" s="137">
        <v>41778</v>
      </c>
      <c r="C5694" s="138">
        <v>2014</v>
      </c>
      <c r="D5694" s="35" t="s">
        <v>28</v>
      </c>
      <c r="E5694" s="14" t="s">
        <v>29</v>
      </c>
      <c r="F5694" s="7" t="s">
        <v>33</v>
      </c>
      <c r="G5694" s="139" t="s">
        <v>8175</v>
      </c>
      <c r="H5694" s="140" t="s">
        <v>8176</v>
      </c>
      <c r="I5694" s="179">
        <v>0</v>
      </c>
      <c r="J5694" s="31">
        <v>250</v>
      </c>
      <c r="K5694" s="142">
        <v>3</v>
      </c>
      <c r="L5694" s="142">
        <v>0</v>
      </c>
      <c r="M5694" s="142">
        <v>0</v>
      </c>
      <c r="N5694" s="142">
        <v>0</v>
      </c>
      <c r="O5694" s="142">
        <v>40.299999999999997</v>
      </c>
      <c r="P5694" s="158">
        <v>0.32990079999999999</v>
      </c>
      <c r="Q5694" s="144" t="s">
        <v>154</v>
      </c>
    </row>
    <row r="5695" spans="1:17" s="162" customFormat="1" ht="84" x14ac:dyDescent="0.25">
      <c r="A5695" s="137">
        <v>41848</v>
      </c>
      <c r="B5695" s="137">
        <v>41848</v>
      </c>
      <c r="C5695" s="138">
        <v>2014</v>
      </c>
      <c r="D5695" s="24" t="s">
        <v>141</v>
      </c>
      <c r="E5695" s="30" t="s">
        <v>142</v>
      </c>
      <c r="F5695" s="7" t="s">
        <v>45</v>
      </c>
      <c r="G5695" s="139" t="s">
        <v>2903</v>
      </c>
      <c r="H5695" s="140" t="s">
        <v>8177</v>
      </c>
      <c r="I5695" s="179">
        <v>6</v>
      </c>
      <c r="J5695" s="142">
        <v>6</v>
      </c>
      <c r="K5695" s="142">
        <v>0</v>
      </c>
      <c r="L5695" s="142">
        <v>0</v>
      </c>
      <c r="M5695" s="142">
        <v>0</v>
      </c>
      <c r="N5695" s="142">
        <v>0</v>
      </c>
      <c r="O5695" s="142">
        <v>0</v>
      </c>
      <c r="P5695" s="158">
        <v>0.32844000000000001</v>
      </c>
      <c r="Q5695" s="144" t="s">
        <v>154</v>
      </c>
    </row>
    <row r="5696" spans="1:17" s="162" customFormat="1" ht="240" x14ac:dyDescent="0.25">
      <c r="A5696" s="137">
        <v>41910</v>
      </c>
      <c r="B5696" s="137">
        <v>41914</v>
      </c>
      <c r="C5696" s="138">
        <v>2014</v>
      </c>
      <c r="D5696" s="351" t="s">
        <v>23</v>
      </c>
      <c r="E5696" s="22" t="s">
        <v>86</v>
      </c>
      <c r="F5696" s="7" t="s">
        <v>58</v>
      </c>
      <c r="G5696" s="139" t="s">
        <v>8178</v>
      </c>
      <c r="H5696" s="140" t="s">
        <v>8179</v>
      </c>
      <c r="I5696" s="141">
        <v>1</v>
      </c>
      <c r="J5696" s="142">
        <v>381</v>
      </c>
      <c r="K5696" s="142">
        <v>56</v>
      </c>
      <c r="L5696" s="142">
        <v>0</v>
      </c>
      <c r="M5696" s="142">
        <v>0</v>
      </c>
      <c r="N5696" s="142">
        <v>0</v>
      </c>
      <c r="O5696" s="142">
        <v>0</v>
      </c>
      <c r="P5696" s="158">
        <v>0.308</v>
      </c>
      <c r="Q5696" s="144" t="s">
        <v>154</v>
      </c>
    </row>
    <row r="5697" spans="1:17" s="162" customFormat="1" ht="84" x14ac:dyDescent="0.25">
      <c r="A5697" s="137">
        <v>41815</v>
      </c>
      <c r="B5697" s="137">
        <v>41815</v>
      </c>
      <c r="C5697" s="138">
        <v>2014</v>
      </c>
      <c r="D5697" s="24" t="s">
        <v>141</v>
      </c>
      <c r="E5697" s="30" t="s">
        <v>142</v>
      </c>
      <c r="F5697" s="7" t="s">
        <v>53</v>
      </c>
      <c r="G5697" s="139" t="s">
        <v>5685</v>
      </c>
      <c r="H5697" s="140" t="s">
        <v>8180</v>
      </c>
      <c r="I5697" s="182">
        <v>0</v>
      </c>
      <c r="J5697" s="178">
        <v>5</v>
      </c>
      <c r="K5697" s="183">
        <v>0</v>
      </c>
      <c r="L5697" s="142">
        <v>0</v>
      </c>
      <c r="M5697" s="142">
        <v>0</v>
      </c>
      <c r="N5697" s="142">
        <v>0</v>
      </c>
      <c r="O5697" s="142">
        <v>0</v>
      </c>
      <c r="P5697" s="158">
        <v>0.3</v>
      </c>
      <c r="Q5697" s="144" t="s">
        <v>154</v>
      </c>
    </row>
    <row r="5698" spans="1:17" s="162" customFormat="1" ht="60" x14ac:dyDescent="0.25">
      <c r="A5698" s="137">
        <v>41896</v>
      </c>
      <c r="B5698" s="137">
        <v>41898</v>
      </c>
      <c r="C5698" s="138">
        <v>2014</v>
      </c>
      <c r="D5698" s="351" t="s">
        <v>23</v>
      </c>
      <c r="E5698" s="22" t="s">
        <v>86</v>
      </c>
      <c r="F5698" s="7" t="s">
        <v>49</v>
      </c>
      <c r="G5698" s="139" t="s">
        <v>8181</v>
      </c>
      <c r="H5698" s="140" t="s">
        <v>8182</v>
      </c>
      <c r="I5698" s="141">
        <v>0</v>
      </c>
      <c r="J5698" s="142">
        <v>778</v>
      </c>
      <c r="K5698" s="142">
        <v>0</v>
      </c>
      <c r="L5698" s="142">
        <v>0</v>
      </c>
      <c r="M5698" s="142">
        <v>0</v>
      </c>
      <c r="N5698" s="142">
        <v>0</v>
      </c>
      <c r="O5698" s="142">
        <v>0</v>
      </c>
      <c r="P5698" s="158">
        <v>0.3</v>
      </c>
      <c r="Q5698" s="144" t="s">
        <v>186</v>
      </c>
    </row>
    <row r="5699" spans="1:17" s="162" customFormat="1" ht="48" x14ac:dyDescent="0.25">
      <c r="A5699" s="137">
        <v>41640</v>
      </c>
      <c r="B5699" s="137">
        <v>42004</v>
      </c>
      <c r="C5699" s="138">
        <v>2014</v>
      </c>
      <c r="D5699" s="35" t="s">
        <v>28</v>
      </c>
      <c r="E5699" s="14" t="s">
        <v>29</v>
      </c>
      <c r="F5699" s="7" t="s">
        <v>82</v>
      </c>
      <c r="G5699" s="139" t="s">
        <v>26</v>
      </c>
      <c r="H5699" s="140" t="s">
        <v>8183</v>
      </c>
      <c r="I5699" s="141">
        <v>0</v>
      </c>
      <c r="J5699" s="142">
        <v>0</v>
      </c>
      <c r="K5699" s="142">
        <v>0</v>
      </c>
      <c r="L5699" s="142">
        <v>0</v>
      </c>
      <c r="M5699" s="142">
        <v>0</v>
      </c>
      <c r="N5699" s="142">
        <v>0</v>
      </c>
      <c r="O5699" s="142">
        <v>298.10000000000002</v>
      </c>
      <c r="P5699" s="158">
        <v>0.29810000000000003</v>
      </c>
      <c r="Q5699" s="144" t="s">
        <v>3556</v>
      </c>
    </row>
    <row r="5700" spans="1:17" s="162" customFormat="1" ht="96" x14ac:dyDescent="0.25">
      <c r="A5700" s="184">
        <v>42001</v>
      </c>
      <c r="B5700" s="184">
        <v>42001</v>
      </c>
      <c r="C5700" s="138">
        <v>2014</v>
      </c>
      <c r="D5700" s="24" t="s">
        <v>141</v>
      </c>
      <c r="E5700" s="30" t="s">
        <v>142</v>
      </c>
      <c r="F5700" s="7" t="s">
        <v>75</v>
      </c>
      <c r="G5700" s="139" t="s">
        <v>269</v>
      </c>
      <c r="H5700" s="140" t="s">
        <v>8184</v>
      </c>
      <c r="I5700" s="141">
        <v>2</v>
      </c>
      <c r="J5700" s="142">
        <v>20</v>
      </c>
      <c r="K5700" s="142">
        <v>0</v>
      </c>
      <c r="L5700" s="142">
        <v>0</v>
      </c>
      <c r="M5700" s="142">
        <v>0</v>
      </c>
      <c r="N5700" s="142">
        <v>0</v>
      </c>
      <c r="O5700" s="142">
        <v>0</v>
      </c>
      <c r="P5700" s="158">
        <v>0.28999999999999998</v>
      </c>
      <c r="Q5700" s="188" t="s">
        <v>154</v>
      </c>
    </row>
    <row r="5701" spans="1:17" s="162" customFormat="1" ht="120" x14ac:dyDescent="0.25">
      <c r="A5701" s="48">
        <v>41941</v>
      </c>
      <c r="B5701" s="48">
        <v>41941</v>
      </c>
      <c r="C5701" s="138">
        <v>2014</v>
      </c>
      <c r="D5701" s="24" t="s">
        <v>141</v>
      </c>
      <c r="E5701" s="30" t="s">
        <v>142</v>
      </c>
      <c r="F5701" s="7" t="s">
        <v>56</v>
      </c>
      <c r="G5701" s="139" t="s">
        <v>646</v>
      </c>
      <c r="H5701" s="140" t="s">
        <v>8185</v>
      </c>
      <c r="I5701" s="141">
        <v>1</v>
      </c>
      <c r="J5701" s="142">
        <v>200</v>
      </c>
      <c r="K5701" s="142">
        <v>0</v>
      </c>
      <c r="L5701" s="142">
        <v>0</v>
      </c>
      <c r="M5701" s="142">
        <v>0</v>
      </c>
      <c r="N5701" s="142">
        <v>0</v>
      </c>
      <c r="O5701" s="142">
        <v>0</v>
      </c>
      <c r="P5701" s="158">
        <v>0.28999999999999998</v>
      </c>
      <c r="Q5701" s="144" t="s">
        <v>154</v>
      </c>
    </row>
    <row r="5702" spans="1:17" s="162" customFormat="1" ht="108" x14ac:dyDescent="0.25">
      <c r="A5702" s="137">
        <v>41859</v>
      </c>
      <c r="B5702" s="137">
        <v>41859</v>
      </c>
      <c r="C5702" s="138">
        <v>2014</v>
      </c>
      <c r="D5702" s="24" t="s">
        <v>141</v>
      </c>
      <c r="E5702" s="30" t="s">
        <v>142</v>
      </c>
      <c r="F5702" s="7" t="s">
        <v>82</v>
      </c>
      <c r="G5702" s="139" t="s">
        <v>7822</v>
      </c>
      <c r="H5702" s="140" t="s">
        <v>8186</v>
      </c>
      <c r="I5702" s="179">
        <v>9</v>
      </c>
      <c r="J5702" s="142">
        <v>21</v>
      </c>
      <c r="K5702" s="142">
        <v>0</v>
      </c>
      <c r="L5702" s="142">
        <v>0</v>
      </c>
      <c r="M5702" s="142">
        <v>0</v>
      </c>
      <c r="N5702" s="142">
        <v>0</v>
      </c>
      <c r="O5702" s="142">
        <v>0</v>
      </c>
      <c r="P5702" s="158">
        <v>0.28875000000000001</v>
      </c>
      <c r="Q5702" s="144" t="s">
        <v>154</v>
      </c>
    </row>
    <row r="5703" spans="1:17" s="162" customFormat="1" ht="72" x14ac:dyDescent="0.25">
      <c r="A5703" s="137">
        <v>41807</v>
      </c>
      <c r="B5703" s="137">
        <v>41807</v>
      </c>
      <c r="C5703" s="138">
        <v>2014</v>
      </c>
      <c r="D5703" s="24" t="s">
        <v>141</v>
      </c>
      <c r="E5703" s="30" t="s">
        <v>142</v>
      </c>
      <c r="F5703" s="7" t="s">
        <v>36</v>
      </c>
      <c r="G5703" s="139" t="s">
        <v>8070</v>
      </c>
      <c r="H5703" s="140" t="s">
        <v>8187</v>
      </c>
      <c r="I5703" s="182">
        <v>6</v>
      </c>
      <c r="J5703" s="178">
        <v>9</v>
      </c>
      <c r="K5703" s="183">
        <v>0</v>
      </c>
      <c r="L5703" s="142">
        <v>0</v>
      </c>
      <c r="M5703" s="142">
        <v>0</v>
      </c>
      <c r="N5703" s="142">
        <v>0</v>
      </c>
      <c r="O5703" s="142">
        <v>0</v>
      </c>
      <c r="P5703" s="158">
        <v>0.28875000000000001</v>
      </c>
      <c r="Q5703" s="144" t="s">
        <v>154</v>
      </c>
    </row>
    <row r="5704" spans="1:17" s="162" customFormat="1" ht="72" x14ac:dyDescent="0.25">
      <c r="A5704" s="137">
        <v>41830</v>
      </c>
      <c r="B5704" s="137">
        <v>41830</v>
      </c>
      <c r="C5704" s="138">
        <v>2014</v>
      </c>
      <c r="D5704" s="24" t="s">
        <v>141</v>
      </c>
      <c r="E5704" s="30" t="s">
        <v>142</v>
      </c>
      <c r="F5704" s="28" t="s">
        <v>157</v>
      </c>
      <c r="G5704" s="139" t="s">
        <v>3606</v>
      </c>
      <c r="H5704" s="140" t="s">
        <v>8188</v>
      </c>
      <c r="I5704" s="182">
        <v>0</v>
      </c>
      <c r="J5704" s="142">
        <v>25</v>
      </c>
      <c r="K5704" s="142">
        <v>0</v>
      </c>
      <c r="L5704" s="142">
        <v>0</v>
      </c>
      <c r="M5704" s="142">
        <v>0</v>
      </c>
      <c r="N5704" s="142">
        <v>0</v>
      </c>
      <c r="O5704" s="142">
        <v>0</v>
      </c>
      <c r="P5704" s="158">
        <v>0.28875000000000001</v>
      </c>
      <c r="Q5704" s="144" t="s">
        <v>154</v>
      </c>
    </row>
    <row r="5705" spans="1:17" s="162" customFormat="1" ht="84" x14ac:dyDescent="0.25">
      <c r="A5705" s="137">
        <v>41841</v>
      </c>
      <c r="B5705" s="137">
        <v>41841</v>
      </c>
      <c r="C5705" s="138">
        <v>2014</v>
      </c>
      <c r="D5705" s="24" t="s">
        <v>141</v>
      </c>
      <c r="E5705" s="30" t="s">
        <v>142</v>
      </c>
      <c r="F5705" s="7" t="s">
        <v>60</v>
      </c>
      <c r="G5705" s="139" t="s">
        <v>8189</v>
      </c>
      <c r="H5705" s="33" t="s">
        <v>8190</v>
      </c>
      <c r="I5705" s="182">
        <v>0</v>
      </c>
      <c r="J5705" s="142">
        <v>18</v>
      </c>
      <c r="K5705" s="142">
        <v>0</v>
      </c>
      <c r="L5705" s="142">
        <v>0</v>
      </c>
      <c r="M5705" s="142">
        <v>0</v>
      </c>
      <c r="N5705" s="142">
        <v>0</v>
      </c>
      <c r="O5705" s="142">
        <v>0</v>
      </c>
      <c r="P5705" s="158">
        <v>0.28875000000000001</v>
      </c>
      <c r="Q5705" s="144" t="s">
        <v>154</v>
      </c>
    </row>
    <row r="5706" spans="1:17" s="162" customFormat="1" ht="156" x14ac:dyDescent="0.25">
      <c r="A5706" s="137">
        <v>41897</v>
      </c>
      <c r="B5706" s="137">
        <v>41898</v>
      </c>
      <c r="C5706" s="138">
        <v>2014</v>
      </c>
      <c r="D5706" s="351" t="s">
        <v>23</v>
      </c>
      <c r="E5706" s="22" t="s">
        <v>86</v>
      </c>
      <c r="F5706" s="7" t="s">
        <v>72</v>
      </c>
      <c r="G5706" s="139" t="s">
        <v>2109</v>
      </c>
      <c r="H5706" s="140" t="s">
        <v>8191</v>
      </c>
      <c r="I5706" s="141">
        <v>0</v>
      </c>
      <c r="J5706" s="142">
        <v>200</v>
      </c>
      <c r="K5706" s="142">
        <v>40</v>
      </c>
      <c r="L5706" s="142">
        <v>0</v>
      </c>
      <c r="M5706" s="142">
        <v>0</v>
      </c>
      <c r="N5706" s="142">
        <v>0</v>
      </c>
      <c r="O5706" s="142">
        <v>0</v>
      </c>
      <c r="P5706" s="158">
        <v>0.22</v>
      </c>
      <c r="Q5706" s="144" t="s">
        <v>154</v>
      </c>
    </row>
    <row r="5707" spans="1:17" s="162" customFormat="1" ht="84" x14ac:dyDescent="0.25">
      <c r="A5707" s="137">
        <v>41718</v>
      </c>
      <c r="B5707" s="137">
        <v>41718</v>
      </c>
      <c r="C5707" s="138">
        <v>2014</v>
      </c>
      <c r="D5707" s="24" t="s">
        <v>141</v>
      </c>
      <c r="E5707" s="30" t="s">
        <v>142</v>
      </c>
      <c r="F5707" s="7" t="s">
        <v>60</v>
      </c>
      <c r="G5707" s="139" t="s">
        <v>8192</v>
      </c>
      <c r="H5707" s="140" t="s">
        <v>8193</v>
      </c>
      <c r="I5707" s="179">
        <v>1</v>
      </c>
      <c r="J5707" s="31">
        <v>20</v>
      </c>
      <c r="K5707" s="142">
        <v>0</v>
      </c>
      <c r="L5707" s="142">
        <v>0</v>
      </c>
      <c r="M5707" s="142">
        <v>0</v>
      </c>
      <c r="N5707" s="142">
        <v>0</v>
      </c>
      <c r="O5707" s="142">
        <v>0</v>
      </c>
      <c r="P5707" s="158">
        <v>0.2</v>
      </c>
      <c r="Q5707" s="144" t="s">
        <v>154</v>
      </c>
    </row>
    <row r="5708" spans="1:17" s="162" customFormat="1" ht="84" x14ac:dyDescent="0.25">
      <c r="A5708" s="184">
        <v>41734</v>
      </c>
      <c r="B5708" s="184">
        <v>41734</v>
      </c>
      <c r="C5708" s="138">
        <v>2014</v>
      </c>
      <c r="D5708" s="24" t="s">
        <v>141</v>
      </c>
      <c r="E5708" s="30" t="s">
        <v>142</v>
      </c>
      <c r="F5708" s="28" t="s">
        <v>157</v>
      </c>
      <c r="G5708" s="139" t="s">
        <v>401</v>
      </c>
      <c r="H5708" s="140" t="s">
        <v>8194</v>
      </c>
      <c r="I5708" s="179">
        <v>0</v>
      </c>
      <c r="J5708" s="31">
        <v>12</v>
      </c>
      <c r="K5708" s="183">
        <v>0</v>
      </c>
      <c r="L5708" s="142">
        <v>0</v>
      </c>
      <c r="M5708" s="142">
        <v>0</v>
      </c>
      <c r="N5708" s="142">
        <v>0</v>
      </c>
      <c r="O5708" s="142">
        <v>0</v>
      </c>
      <c r="P5708" s="158">
        <v>0.2</v>
      </c>
      <c r="Q5708" s="144" t="s">
        <v>154</v>
      </c>
    </row>
    <row r="5709" spans="1:17" s="162" customFormat="1" ht="48" x14ac:dyDescent="0.25">
      <c r="A5709" s="137">
        <v>41640</v>
      </c>
      <c r="B5709" s="137">
        <v>42004</v>
      </c>
      <c r="C5709" s="138">
        <v>2014</v>
      </c>
      <c r="D5709" s="35" t="s">
        <v>28</v>
      </c>
      <c r="E5709" s="14" t="s">
        <v>29</v>
      </c>
      <c r="F5709" s="7" t="s">
        <v>40</v>
      </c>
      <c r="G5709" s="139" t="s">
        <v>26</v>
      </c>
      <c r="H5709" s="140" t="s">
        <v>8195</v>
      </c>
      <c r="I5709" s="141">
        <v>0</v>
      </c>
      <c r="J5709" s="142">
        <v>0</v>
      </c>
      <c r="K5709" s="142">
        <v>0</v>
      </c>
      <c r="L5709" s="142">
        <v>0</v>
      </c>
      <c r="M5709" s="142">
        <v>0</v>
      </c>
      <c r="N5709" s="142">
        <v>0</v>
      </c>
      <c r="O5709" s="142">
        <v>172.22</v>
      </c>
      <c r="P5709" s="158">
        <v>0.17222000000000001</v>
      </c>
      <c r="Q5709" s="144" t="s">
        <v>3556</v>
      </c>
    </row>
    <row r="5710" spans="1:17" s="162" customFormat="1" ht="156" x14ac:dyDescent="0.25">
      <c r="A5710" s="137">
        <v>41927</v>
      </c>
      <c r="B5710" s="137">
        <v>41927</v>
      </c>
      <c r="C5710" s="138">
        <v>2014</v>
      </c>
      <c r="D5710" s="351" t="s">
        <v>23</v>
      </c>
      <c r="E5710" s="22" t="s">
        <v>86</v>
      </c>
      <c r="F5710" s="25" t="s">
        <v>781</v>
      </c>
      <c r="G5710" s="139" t="s">
        <v>2584</v>
      </c>
      <c r="H5710" s="140" t="s">
        <v>8196</v>
      </c>
      <c r="I5710" s="141">
        <v>0</v>
      </c>
      <c r="J5710" s="142">
        <v>450</v>
      </c>
      <c r="K5710" s="142">
        <v>90</v>
      </c>
      <c r="L5710" s="142">
        <v>0</v>
      </c>
      <c r="M5710" s="142">
        <v>0</v>
      </c>
      <c r="N5710" s="142">
        <v>0</v>
      </c>
      <c r="O5710" s="142">
        <v>0</v>
      </c>
      <c r="P5710" s="158">
        <v>0.17</v>
      </c>
      <c r="Q5710" s="144" t="s">
        <v>154</v>
      </c>
    </row>
    <row r="5711" spans="1:17" s="162" customFormat="1" ht="72" x14ac:dyDescent="0.25">
      <c r="A5711" s="137">
        <v>41895</v>
      </c>
      <c r="B5711" s="137">
        <v>41895</v>
      </c>
      <c r="C5711" s="138">
        <v>2014</v>
      </c>
      <c r="D5711" s="24" t="s">
        <v>141</v>
      </c>
      <c r="E5711" s="30" t="s">
        <v>142</v>
      </c>
      <c r="F5711" s="7" t="s">
        <v>75</v>
      </c>
      <c r="G5711" s="139" t="s">
        <v>8197</v>
      </c>
      <c r="H5711" s="140" t="s">
        <v>8198</v>
      </c>
      <c r="I5711" s="141">
        <v>4</v>
      </c>
      <c r="J5711" s="142">
        <v>16</v>
      </c>
      <c r="K5711" s="142">
        <v>0</v>
      </c>
      <c r="L5711" s="142">
        <v>0</v>
      </c>
      <c r="M5711" s="142">
        <v>0</v>
      </c>
      <c r="N5711" s="142">
        <v>0</v>
      </c>
      <c r="O5711" s="142">
        <v>0</v>
      </c>
      <c r="P5711" s="158">
        <v>0.15876000000000001</v>
      </c>
      <c r="Q5711" s="144" t="s">
        <v>154</v>
      </c>
    </row>
    <row r="5712" spans="1:17" s="162" customFormat="1" ht="84" x14ac:dyDescent="0.25">
      <c r="A5712" s="137">
        <v>41858</v>
      </c>
      <c r="B5712" s="137">
        <v>41858</v>
      </c>
      <c r="C5712" s="138">
        <v>2014</v>
      </c>
      <c r="D5712" s="35" t="s">
        <v>28</v>
      </c>
      <c r="E5712" s="6" t="s">
        <v>149</v>
      </c>
      <c r="F5712" s="7" t="s">
        <v>68</v>
      </c>
      <c r="G5712" s="139" t="s">
        <v>7361</v>
      </c>
      <c r="H5712" s="140" t="s">
        <v>8199</v>
      </c>
      <c r="I5712" s="141">
        <v>0</v>
      </c>
      <c r="J5712" s="142">
        <v>2000</v>
      </c>
      <c r="K5712" s="142">
        <v>0</v>
      </c>
      <c r="L5712" s="142">
        <v>0</v>
      </c>
      <c r="M5712" s="142">
        <v>0</v>
      </c>
      <c r="N5712" s="142">
        <v>0</v>
      </c>
      <c r="O5712" s="142">
        <v>0</v>
      </c>
      <c r="P5712" s="189">
        <v>0.15876000000000001</v>
      </c>
      <c r="Q5712" s="144" t="s">
        <v>154</v>
      </c>
    </row>
    <row r="5713" spans="1:17" s="162" customFormat="1" ht="36" x14ac:dyDescent="0.25">
      <c r="A5713" s="137">
        <v>41640</v>
      </c>
      <c r="B5713" s="137">
        <v>42004</v>
      </c>
      <c r="C5713" s="138">
        <v>2014</v>
      </c>
      <c r="D5713" s="35" t="s">
        <v>28</v>
      </c>
      <c r="E5713" s="14" t="s">
        <v>29</v>
      </c>
      <c r="F5713" s="7" t="s">
        <v>68</v>
      </c>
      <c r="G5713" s="139" t="s">
        <v>26</v>
      </c>
      <c r="H5713" s="140" t="s">
        <v>8200</v>
      </c>
      <c r="I5713" s="141">
        <v>0</v>
      </c>
      <c r="J5713" s="142">
        <v>0</v>
      </c>
      <c r="K5713" s="142">
        <v>0</v>
      </c>
      <c r="L5713" s="142">
        <v>0</v>
      </c>
      <c r="M5713" s="142">
        <v>0</v>
      </c>
      <c r="N5713" s="142">
        <v>0</v>
      </c>
      <c r="O5713" s="142">
        <v>153.65</v>
      </c>
      <c r="P5713" s="158">
        <v>0.15365000000000001</v>
      </c>
      <c r="Q5713" s="144" t="s">
        <v>3556</v>
      </c>
    </row>
    <row r="5714" spans="1:17" s="162" customFormat="1" ht="96" x14ac:dyDescent="0.25">
      <c r="A5714" s="137">
        <v>41850</v>
      </c>
      <c r="B5714" s="137">
        <v>41850</v>
      </c>
      <c r="C5714" s="138">
        <v>2014</v>
      </c>
      <c r="D5714" s="35" t="s">
        <v>28</v>
      </c>
      <c r="E5714" s="6" t="s">
        <v>149</v>
      </c>
      <c r="F5714" s="28" t="s">
        <v>157</v>
      </c>
      <c r="G5714" s="139" t="s">
        <v>5927</v>
      </c>
      <c r="H5714" s="33" t="s">
        <v>8201</v>
      </c>
      <c r="I5714" s="179">
        <v>0</v>
      </c>
      <c r="J5714" s="142">
        <v>200</v>
      </c>
      <c r="K5714" s="142">
        <v>8</v>
      </c>
      <c r="L5714" s="142">
        <v>0</v>
      </c>
      <c r="M5714" s="142">
        <v>0</v>
      </c>
      <c r="N5714" s="142">
        <v>0</v>
      </c>
      <c r="O5714" s="142">
        <v>0</v>
      </c>
      <c r="P5714" s="158">
        <v>0.14799999999999999</v>
      </c>
      <c r="Q5714" s="144" t="s">
        <v>154</v>
      </c>
    </row>
    <row r="5715" spans="1:17" s="162" customFormat="1" ht="120" x14ac:dyDescent="0.25">
      <c r="A5715" s="137">
        <v>41897</v>
      </c>
      <c r="B5715" s="137">
        <v>41897</v>
      </c>
      <c r="C5715" s="138">
        <v>2014</v>
      </c>
      <c r="D5715" s="351" t="s">
        <v>23</v>
      </c>
      <c r="E5715" s="22" t="s">
        <v>86</v>
      </c>
      <c r="F5715" s="7" t="s">
        <v>58</v>
      </c>
      <c r="G5715" s="139" t="s">
        <v>8202</v>
      </c>
      <c r="H5715" s="140" t="s">
        <v>8203</v>
      </c>
      <c r="I5715" s="141">
        <v>0</v>
      </c>
      <c r="J5715" s="142">
        <v>125</v>
      </c>
      <c r="K5715" s="142">
        <v>25</v>
      </c>
      <c r="L5715" s="142">
        <v>0</v>
      </c>
      <c r="M5715" s="142">
        <v>0</v>
      </c>
      <c r="N5715" s="142">
        <v>0</v>
      </c>
      <c r="O5715" s="142">
        <v>0</v>
      </c>
      <c r="P5715" s="158">
        <v>0.13750000000000001</v>
      </c>
      <c r="Q5715" s="144" t="s">
        <v>154</v>
      </c>
    </row>
    <row r="5716" spans="1:17" s="162" customFormat="1" ht="84" x14ac:dyDescent="0.25">
      <c r="A5716" s="48">
        <v>41898</v>
      </c>
      <c r="B5716" s="48">
        <v>41898</v>
      </c>
      <c r="C5716" s="138">
        <v>2014</v>
      </c>
      <c r="D5716" s="35" t="s">
        <v>28</v>
      </c>
      <c r="E5716" s="30" t="s">
        <v>133</v>
      </c>
      <c r="F5716" s="7" t="s">
        <v>91</v>
      </c>
      <c r="G5716" s="139" t="s">
        <v>1682</v>
      </c>
      <c r="H5716" s="140" t="s">
        <v>8204</v>
      </c>
      <c r="I5716" s="141">
        <v>2</v>
      </c>
      <c r="J5716" s="142">
        <v>5</v>
      </c>
      <c r="K5716" s="142">
        <v>2</v>
      </c>
      <c r="L5716" s="142">
        <v>0</v>
      </c>
      <c r="M5716" s="142">
        <v>0</v>
      </c>
      <c r="N5716" s="142">
        <v>0</v>
      </c>
      <c r="O5716" s="142">
        <v>0</v>
      </c>
      <c r="P5716" s="158">
        <v>0.1255</v>
      </c>
      <c r="Q5716" s="144" t="s">
        <v>154</v>
      </c>
    </row>
    <row r="5717" spans="1:17" s="162" customFormat="1" ht="36" x14ac:dyDescent="0.25">
      <c r="A5717" s="137">
        <v>41640</v>
      </c>
      <c r="B5717" s="137">
        <v>42004</v>
      </c>
      <c r="C5717" s="138">
        <v>2014</v>
      </c>
      <c r="D5717" s="35" t="s">
        <v>28</v>
      </c>
      <c r="E5717" s="14" t="s">
        <v>29</v>
      </c>
      <c r="F5717" s="7" t="s">
        <v>77</v>
      </c>
      <c r="G5717" s="139" t="s">
        <v>26</v>
      </c>
      <c r="H5717" s="140" t="s">
        <v>8205</v>
      </c>
      <c r="I5717" s="141">
        <v>0</v>
      </c>
      <c r="J5717" s="142">
        <v>0</v>
      </c>
      <c r="K5717" s="142">
        <v>0</v>
      </c>
      <c r="L5717" s="142">
        <v>0</v>
      </c>
      <c r="M5717" s="142">
        <v>0</v>
      </c>
      <c r="N5717" s="142">
        <v>0</v>
      </c>
      <c r="O5717" s="142">
        <v>123.75</v>
      </c>
      <c r="P5717" s="158">
        <v>0.12375</v>
      </c>
      <c r="Q5717" s="144" t="s">
        <v>3556</v>
      </c>
    </row>
    <row r="5718" spans="1:17" s="162" customFormat="1" ht="72" x14ac:dyDescent="0.25">
      <c r="A5718" s="137">
        <v>41822</v>
      </c>
      <c r="B5718" s="137">
        <v>41822</v>
      </c>
      <c r="C5718" s="138">
        <v>2014</v>
      </c>
      <c r="D5718" s="351" t="s">
        <v>23</v>
      </c>
      <c r="E5718" s="22" t="s">
        <v>86</v>
      </c>
      <c r="F5718" s="7" t="s">
        <v>40</v>
      </c>
      <c r="G5718" s="139" t="s">
        <v>6382</v>
      </c>
      <c r="H5718" s="140" t="s">
        <v>8206</v>
      </c>
      <c r="I5718" s="182">
        <v>3</v>
      </c>
      <c r="J5718" s="31">
        <v>3</v>
      </c>
      <c r="K5718" s="142">
        <v>1</v>
      </c>
      <c r="L5718" s="142">
        <v>0</v>
      </c>
      <c r="M5718" s="142">
        <v>0</v>
      </c>
      <c r="N5718" s="142">
        <v>0</v>
      </c>
      <c r="O5718" s="142">
        <v>0</v>
      </c>
      <c r="P5718" s="158">
        <v>0.12</v>
      </c>
      <c r="Q5718" s="144" t="s">
        <v>154</v>
      </c>
    </row>
    <row r="5719" spans="1:17" s="162" customFormat="1" ht="72" x14ac:dyDescent="0.25">
      <c r="A5719" s="137">
        <v>41748</v>
      </c>
      <c r="B5719" s="137">
        <v>41748</v>
      </c>
      <c r="C5719" s="138">
        <v>2014</v>
      </c>
      <c r="D5719" s="24" t="s">
        <v>141</v>
      </c>
      <c r="E5719" s="30" t="s">
        <v>142</v>
      </c>
      <c r="F5719" s="7" t="s">
        <v>53</v>
      </c>
      <c r="G5719" s="139" t="s">
        <v>847</v>
      </c>
      <c r="H5719" s="187" t="s">
        <v>8207</v>
      </c>
      <c r="I5719" s="179">
        <v>11</v>
      </c>
      <c r="J5719" s="142">
        <v>21</v>
      </c>
      <c r="K5719" s="142">
        <v>0</v>
      </c>
      <c r="L5719" s="142">
        <v>0</v>
      </c>
      <c r="M5719" s="142">
        <v>0</v>
      </c>
      <c r="N5719" s="142">
        <v>0</v>
      </c>
      <c r="O5719" s="142">
        <v>0</v>
      </c>
      <c r="P5719" s="158">
        <v>0.11907</v>
      </c>
      <c r="Q5719" s="144" t="s">
        <v>154</v>
      </c>
    </row>
    <row r="5720" spans="1:17" s="162" customFormat="1" ht="120" x14ac:dyDescent="0.25">
      <c r="A5720" s="137">
        <v>41918</v>
      </c>
      <c r="B5720" s="137">
        <v>41918</v>
      </c>
      <c r="C5720" s="138">
        <v>2014</v>
      </c>
      <c r="D5720" s="24" t="s">
        <v>141</v>
      </c>
      <c r="E5720" s="30" t="s">
        <v>142</v>
      </c>
      <c r="F5720" s="7" t="s">
        <v>82</v>
      </c>
      <c r="G5720" s="139" t="s">
        <v>8208</v>
      </c>
      <c r="H5720" s="140" t="s">
        <v>8209</v>
      </c>
      <c r="I5720" s="141">
        <v>10</v>
      </c>
      <c r="J5720" s="142">
        <v>20</v>
      </c>
      <c r="K5720" s="142">
        <v>0</v>
      </c>
      <c r="L5720" s="142">
        <v>0</v>
      </c>
      <c r="M5720" s="142">
        <v>0</v>
      </c>
      <c r="N5720" s="142">
        <v>0</v>
      </c>
      <c r="O5720" s="142">
        <v>0</v>
      </c>
      <c r="P5720" s="158">
        <v>0.11907</v>
      </c>
      <c r="Q5720" s="144" t="s">
        <v>154</v>
      </c>
    </row>
    <row r="5721" spans="1:17" s="162" customFormat="1" ht="120" x14ac:dyDescent="0.25">
      <c r="A5721" s="137">
        <v>41926</v>
      </c>
      <c r="B5721" s="137">
        <v>41926</v>
      </c>
      <c r="C5721" s="138">
        <v>2014</v>
      </c>
      <c r="D5721" s="35" t="s">
        <v>28</v>
      </c>
      <c r="E5721" s="30" t="s">
        <v>125</v>
      </c>
      <c r="F5721" s="28" t="s">
        <v>157</v>
      </c>
      <c r="G5721" s="139" t="s">
        <v>1029</v>
      </c>
      <c r="H5721" s="140" t="s">
        <v>8210</v>
      </c>
      <c r="I5721" s="141">
        <v>0</v>
      </c>
      <c r="J5721" s="142">
        <v>7</v>
      </c>
      <c r="K5721" s="142">
        <v>4</v>
      </c>
      <c r="L5721" s="142">
        <v>0</v>
      </c>
      <c r="M5721" s="142">
        <v>0</v>
      </c>
      <c r="N5721" s="142">
        <v>0</v>
      </c>
      <c r="O5721" s="142">
        <v>0</v>
      </c>
      <c r="P5721" s="158">
        <v>0.11</v>
      </c>
      <c r="Q5721" s="144" t="s">
        <v>154</v>
      </c>
    </row>
    <row r="5722" spans="1:17" s="162" customFormat="1" ht="60" x14ac:dyDescent="0.25">
      <c r="A5722" s="137">
        <v>41916</v>
      </c>
      <c r="B5722" s="137">
        <v>41917</v>
      </c>
      <c r="C5722" s="138">
        <v>2014</v>
      </c>
      <c r="D5722" s="351" t="s">
        <v>23</v>
      </c>
      <c r="E5722" s="22" t="s">
        <v>86</v>
      </c>
      <c r="F5722" s="7" t="s">
        <v>60</v>
      </c>
      <c r="G5722" s="139" t="s">
        <v>8211</v>
      </c>
      <c r="H5722" s="140" t="s">
        <v>8212</v>
      </c>
      <c r="I5722" s="141">
        <v>0</v>
      </c>
      <c r="J5722" s="142">
        <v>750</v>
      </c>
      <c r="K5722" s="142">
        <v>150</v>
      </c>
      <c r="L5722" s="142">
        <v>0</v>
      </c>
      <c r="M5722" s="142">
        <v>0</v>
      </c>
      <c r="N5722" s="142">
        <v>0</v>
      </c>
      <c r="O5722" s="142">
        <v>0</v>
      </c>
      <c r="P5722" s="158">
        <f>0.0055+0.1</f>
        <v>0.10550000000000001</v>
      </c>
      <c r="Q5722" s="144" t="s">
        <v>7883</v>
      </c>
    </row>
    <row r="5723" spans="1:17" s="162" customFormat="1" ht="72" x14ac:dyDescent="0.25">
      <c r="A5723" s="137">
        <v>41746</v>
      </c>
      <c r="B5723" s="137">
        <v>41746</v>
      </c>
      <c r="C5723" s="138">
        <v>2014</v>
      </c>
      <c r="D5723" s="24" t="s">
        <v>141</v>
      </c>
      <c r="E5723" s="30" t="s">
        <v>142</v>
      </c>
      <c r="F5723" s="7" t="s">
        <v>36</v>
      </c>
      <c r="G5723" s="139" t="s">
        <v>2760</v>
      </c>
      <c r="H5723" s="187" t="s">
        <v>8213</v>
      </c>
      <c r="I5723" s="179">
        <v>5</v>
      </c>
      <c r="J5723" s="142">
        <v>15</v>
      </c>
      <c r="K5723" s="142">
        <v>0</v>
      </c>
      <c r="L5723" s="142">
        <v>0</v>
      </c>
      <c r="M5723" s="142">
        <v>0</v>
      </c>
      <c r="N5723" s="142">
        <v>0</v>
      </c>
      <c r="O5723" s="142">
        <v>0</v>
      </c>
      <c r="P5723" s="158">
        <v>0.1</v>
      </c>
      <c r="Q5723" s="144" t="s">
        <v>154</v>
      </c>
    </row>
    <row r="5724" spans="1:17" s="162" customFormat="1" ht="96" x14ac:dyDescent="0.25">
      <c r="A5724" s="184">
        <v>41739</v>
      </c>
      <c r="B5724" s="184">
        <v>41739</v>
      </c>
      <c r="C5724" s="138">
        <v>2014</v>
      </c>
      <c r="D5724" s="24" t="s">
        <v>141</v>
      </c>
      <c r="E5724" s="30" t="s">
        <v>142</v>
      </c>
      <c r="F5724" s="7" t="s">
        <v>58</v>
      </c>
      <c r="G5724" s="139" t="s">
        <v>8214</v>
      </c>
      <c r="H5724" s="140" t="s">
        <v>8215</v>
      </c>
      <c r="I5724" s="179">
        <v>4</v>
      </c>
      <c r="J5724" s="142">
        <v>29</v>
      </c>
      <c r="K5724" s="183">
        <v>0</v>
      </c>
      <c r="L5724" s="142">
        <v>0</v>
      </c>
      <c r="M5724" s="142">
        <v>0</v>
      </c>
      <c r="N5724" s="142">
        <v>0</v>
      </c>
      <c r="O5724" s="142">
        <v>0</v>
      </c>
      <c r="P5724" s="158">
        <v>0.1</v>
      </c>
      <c r="Q5724" s="144" t="s">
        <v>154</v>
      </c>
    </row>
    <row r="5725" spans="1:17" s="162" customFormat="1" ht="84" x14ac:dyDescent="0.25">
      <c r="A5725" s="137">
        <v>41687</v>
      </c>
      <c r="B5725" s="137">
        <v>41687</v>
      </c>
      <c r="C5725" s="138">
        <v>2014</v>
      </c>
      <c r="D5725" s="35" t="s">
        <v>17</v>
      </c>
      <c r="E5725" s="180" t="s">
        <v>1600</v>
      </c>
      <c r="F5725" s="28" t="s">
        <v>160</v>
      </c>
      <c r="G5725" s="139" t="s">
        <v>8216</v>
      </c>
      <c r="H5725" s="140" t="s">
        <v>8217</v>
      </c>
      <c r="I5725" s="179">
        <v>0</v>
      </c>
      <c r="J5725" s="142">
        <v>180</v>
      </c>
      <c r="K5725" s="142">
        <v>68</v>
      </c>
      <c r="L5725" s="142">
        <v>0</v>
      </c>
      <c r="M5725" s="142">
        <v>0</v>
      </c>
      <c r="N5725" s="142">
        <v>0</v>
      </c>
      <c r="O5725" s="142">
        <v>0</v>
      </c>
      <c r="P5725" s="158">
        <v>0.1</v>
      </c>
      <c r="Q5725" s="144" t="s">
        <v>154</v>
      </c>
    </row>
    <row r="5726" spans="1:17" s="162" customFormat="1" ht="60" x14ac:dyDescent="0.25">
      <c r="A5726" s="137">
        <v>41703</v>
      </c>
      <c r="B5726" s="137">
        <v>41703</v>
      </c>
      <c r="C5726" s="138">
        <v>2014</v>
      </c>
      <c r="D5726" s="24" t="s">
        <v>141</v>
      </c>
      <c r="E5726" s="30" t="s">
        <v>142</v>
      </c>
      <c r="F5726" s="7" t="s">
        <v>91</v>
      </c>
      <c r="G5726" s="139" t="s">
        <v>4511</v>
      </c>
      <c r="H5726" s="140" t="s">
        <v>8218</v>
      </c>
      <c r="I5726" s="179">
        <v>0</v>
      </c>
      <c r="J5726" s="142">
        <v>8</v>
      </c>
      <c r="K5726" s="142">
        <v>0</v>
      </c>
      <c r="L5726" s="142">
        <v>0</v>
      </c>
      <c r="M5726" s="142">
        <v>0</v>
      </c>
      <c r="N5726" s="142">
        <v>0</v>
      </c>
      <c r="O5726" s="142">
        <v>0</v>
      </c>
      <c r="P5726" s="158">
        <v>0.1</v>
      </c>
      <c r="Q5726" s="144" t="s">
        <v>154</v>
      </c>
    </row>
    <row r="5727" spans="1:17" s="162" customFormat="1" ht="84" x14ac:dyDescent="0.25">
      <c r="A5727" s="137">
        <v>41886</v>
      </c>
      <c r="B5727" s="137">
        <v>41886</v>
      </c>
      <c r="C5727" s="138">
        <v>2014</v>
      </c>
      <c r="D5727" s="351" t="s">
        <v>23</v>
      </c>
      <c r="E5727" s="22" t="s">
        <v>86</v>
      </c>
      <c r="F5727" s="7" t="s">
        <v>56</v>
      </c>
      <c r="G5727" s="139" t="s">
        <v>8219</v>
      </c>
      <c r="H5727" s="140" t="s">
        <v>8220</v>
      </c>
      <c r="I5727" s="141">
        <v>1</v>
      </c>
      <c r="J5727" s="142">
        <v>80</v>
      </c>
      <c r="K5727" s="142">
        <v>16</v>
      </c>
      <c r="L5727" s="142">
        <v>0</v>
      </c>
      <c r="M5727" s="142">
        <v>0</v>
      </c>
      <c r="N5727" s="142">
        <v>0</v>
      </c>
      <c r="O5727" s="142">
        <v>0</v>
      </c>
      <c r="P5727" s="158">
        <v>8.7999999999999995E-2</v>
      </c>
      <c r="Q5727" s="144" t="s">
        <v>154</v>
      </c>
    </row>
    <row r="5728" spans="1:17" s="162" customFormat="1" ht="60" x14ac:dyDescent="0.25">
      <c r="A5728" s="48">
        <v>42000</v>
      </c>
      <c r="B5728" s="48">
        <v>42000</v>
      </c>
      <c r="C5728" s="138">
        <v>2014</v>
      </c>
      <c r="D5728" s="24" t="s">
        <v>141</v>
      </c>
      <c r="E5728" s="30" t="s">
        <v>142</v>
      </c>
      <c r="F5728" s="28" t="s">
        <v>210</v>
      </c>
      <c r="G5728" s="139" t="s">
        <v>2317</v>
      </c>
      <c r="H5728" s="140" t="s">
        <v>8221</v>
      </c>
      <c r="I5728" s="141">
        <v>5</v>
      </c>
      <c r="J5728" s="142">
        <v>15</v>
      </c>
      <c r="K5728" s="142">
        <v>0</v>
      </c>
      <c r="L5728" s="142">
        <v>0</v>
      </c>
      <c r="M5728" s="142">
        <v>0</v>
      </c>
      <c r="N5728" s="142">
        <v>0</v>
      </c>
      <c r="O5728" s="142">
        <v>0</v>
      </c>
      <c r="P5728" s="158">
        <v>0.08</v>
      </c>
      <c r="Q5728" s="144" t="s">
        <v>154</v>
      </c>
    </row>
    <row r="5729" spans="1:17" s="162" customFormat="1" ht="120" x14ac:dyDescent="0.25">
      <c r="A5729" s="48">
        <v>41946</v>
      </c>
      <c r="B5729" s="48">
        <v>41946</v>
      </c>
      <c r="C5729" s="138">
        <v>2014</v>
      </c>
      <c r="D5729" s="24" t="s">
        <v>141</v>
      </c>
      <c r="E5729" s="30" t="s">
        <v>142</v>
      </c>
      <c r="F5729" s="7" t="s">
        <v>60</v>
      </c>
      <c r="G5729" s="139" t="s">
        <v>1993</v>
      </c>
      <c r="H5729" s="140" t="s">
        <v>8222</v>
      </c>
      <c r="I5729" s="141">
        <v>3</v>
      </c>
      <c r="J5729" s="142">
        <v>7</v>
      </c>
      <c r="K5729" s="142">
        <v>0</v>
      </c>
      <c r="L5729" s="142">
        <v>0</v>
      </c>
      <c r="M5729" s="142">
        <v>0</v>
      </c>
      <c r="N5729" s="142">
        <v>0</v>
      </c>
      <c r="O5729" s="142">
        <v>0</v>
      </c>
      <c r="P5729" s="158">
        <v>0.08</v>
      </c>
      <c r="Q5729" s="144" t="s">
        <v>154</v>
      </c>
    </row>
    <row r="5730" spans="1:17" s="162" customFormat="1" ht="72" x14ac:dyDescent="0.25">
      <c r="A5730" s="48">
        <v>41936</v>
      </c>
      <c r="B5730" s="48">
        <v>41936</v>
      </c>
      <c r="C5730" s="138">
        <v>2014</v>
      </c>
      <c r="D5730" s="24" t="s">
        <v>141</v>
      </c>
      <c r="E5730" s="30" t="s">
        <v>142</v>
      </c>
      <c r="F5730" s="7" t="s">
        <v>30</v>
      </c>
      <c r="G5730" s="139" t="s">
        <v>395</v>
      </c>
      <c r="H5730" s="140" t="s">
        <v>8223</v>
      </c>
      <c r="I5730" s="141">
        <v>2</v>
      </c>
      <c r="J5730" s="142">
        <v>30</v>
      </c>
      <c r="K5730" s="142">
        <v>0</v>
      </c>
      <c r="L5730" s="142">
        <v>0</v>
      </c>
      <c r="M5730" s="142">
        <v>0</v>
      </c>
      <c r="N5730" s="142">
        <v>0</v>
      </c>
      <c r="O5730" s="142">
        <v>0</v>
      </c>
      <c r="P5730" s="158">
        <v>0.08</v>
      </c>
      <c r="Q5730" s="144" t="s">
        <v>154</v>
      </c>
    </row>
    <row r="5731" spans="1:17" s="162" customFormat="1" ht="96" x14ac:dyDescent="0.25">
      <c r="A5731" s="48">
        <v>41992</v>
      </c>
      <c r="B5731" s="48">
        <v>41992</v>
      </c>
      <c r="C5731" s="138">
        <v>2014</v>
      </c>
      <c r="D5731" s="24" t="s">
        <v>141</v>
      </c>
      <c r="E5731" s="30" t="s">
        <v>142</v>
      </c>
      <c r="F5731" s="7" t="s">
        <v>97</v>
      </c>
      <c r="G5731" s="139" t="s">
        <v>2977</v>
      </c>
      <c r="H5731" s="140" t="s">
        <v>8224</v>
      </c>
      <c r="I5731" s="141">
        <v>2</v>
      </c>
      <c r="J5731" s="142">
        <v>6</v>
      </c>
      <c r="K5731" s="142">
        <v>0</v>
      </c>
      <c r="L5731" s="142">
        <v>0</v>
      </c>
      <c r="M5731" s="142">
        <v>0</v>
      </c>
      <c r="N5731" s="142">
        <v>0</v>
      </c>
      <c r="O5731" s="142">
        <v>0</v>
      </c>
      <c r="P5731" s="158">
        <v>0.08</v>
      </c>
      <c r="Q5731" s="144" t="s">
        <v>154</v>
      </c>
    </row>
    <row r="5732" spans="1:17" s="162" customFormat="1" ht="48" x14ac:dyDescent="0.25">
      <c r="A5732" s="48">
        <v>41935</v>
      </c>
      <c r="B5732" s="48">
        <v>41935</v>
      </c>
      <c r="C5732" s="138">
        <v>2014</v>
      </c>
      <c r="D5732" s="24" t="s">
        <v>141</v>
      </c>
      <c r="E5732" s="30" t="s">
        <v>142</v>
      </c>
      <c r="F5732" s="7" t="s">
        <v>77</v>
      </c>
      <c r="G5732" s="139" t="s">
        <v>8225</v>
      </c>
      <c r="H5732" s="140" t="s">
        <v>8226</v>
      </c>
      <c r="I5732" s="141">
        <v>1</v>
      </c>
      <c r="J5732" s="142">
        <v>5</v>
      </c>
      <c r="K5732" s="142">
        <v>0</v>
      </c>
      <c r="L5732" s="142">
        <v>0</v>
      </c>
      <c r="M5732" s="142">
        <v>0</v>
      </c>
      <c r="N5732" s="142">
        <v>0</v>
      </c>
      <c r="O5732" s="142">
        <v>0</v>
      </c>
      <c r="P5732" s="158">
        <v>0.08</v>
      </c>
      <c r="Q5732" s="144" t="s">
        <v>154</v>
      </c>
    </row>
    <row r="5733" spans="1:17" s="162" customFormat="1" ht="132" x14ac:dyDescent="0.25">
      <c r="A5733" s="48">
        <v>41958</v>
      </c>
      <c r="B5733" s="48">
        <v>41958</v>
      </c>
      <c r="C5733" s="138">
        <v>2014</v>
      </c>
      <c r="D5733" s="24" t="s">
        <v>141</v>
      </c>
      <c r="E5733" s="30" t="s">
        <v>142</v>
      </c>
      <c r="F5733" s="7" t="s">
        <v>53</v>
      </c>
      <c r="G5733" s="139" t="s">
        <v>2776</v>
      </c>
      <c r="H5733" s="140" t="s">
        <v>8227</v>
      </c>
      <c r="I5733" s="141">
        <v>1</v>
      </c>
      <c r="J5733" s="142">
        <v>16</v>
      </c>
      <c r="K5733" s="142">
        <v>0</v>
      </c>
      <c r="L5733" s="142">
        <v>0</v>
      </c>
      <c r="M5733" s="142">
        <v>0</v>
      </c>
      <c r="N5733" s="142">
        <v>0</v>
      </c>
      <c r="O5733" s="142">
        <v>0</v>
      </c>
      <c r="P5733" s="158">
        <v>0.08</v>
      </c>
      <c r="Q5733" s="144" t="s">
        <v>154</v>
      </c>
    </row>
    <row r="5734" spans="1:17" s="162" customFormat="1" ht="84" x14ac:dyDescent="0.25">
      <c r="A5734" s="48">
        <v>41968</v>
      </c>
      <c r="B5734" s="48">
        <v>41968</v>
      </c>
      <c r="C5734" s="138">
        <v>2014</v>
      </c>
      <c r="D5734" s="24" t="s">
        <v>141</v>
      </c>
      <c r="E5734" s="30" t="s">
        <v>142</v>
      </c>
      <c r="F5734" s="7" t="s">
        <v>53</v>
      </c>
      <c r="G5734" s="139" t="s">
        <v>2309</v>
      </c>
      <c r="H5734" s="140" t="s">
        <v>8228</v>
      </c>
      <c r="I5734" s="141">
        <v>1</v>
      </c>
      <c r="J5734" s="142">
        <v>3</v>
      </c>
      <c r="K5734" s="142">
        <v>0</v>
      </c>
      <c r="L5734" s="142">
        <v>0</v>
      </c>
      <c r="M5734" s="142">
        <v>0</v>
      </c>
      <c r="N5734" s="142">
        <v>0</v>
      </c>
      <c r="O5734" s="142">
        <v>0</v>
      </c>
      <c r="P5734" s="158">
        <v>0.08</v>
      </c>
      <c r="Q5734" s="144" t="s">
        <v>154</v>
      </c>
    </row>
    <row r="5735" spans="1:17" s="162" customFormat="1" ht="72" x14ac:dyDescent="0.25">
      <c r="A5735" s="137">
        <v>41929</v>
      </c>
      <c r="B5735" s="137">
        <v>41929</v>
      </c>
      <c r="C5735" s="138">
        <v>2014</v>
      </c>
      <c r="D5735" s="351" t="s">
        <v>23</v>
      </c>
      <c r="E5735" s="14" t="s">
        <v>52</v>
      </c>
      <c r="F5735" s="25" t="s">
        <v>781</v>
      </c>
      <c r="G5735" s="139" t="s">
        <v>1555</v>
      </c>
      <c r="H5735" s="140" t="s">
        <v>8229</v>
      </c>
      <c r="I5735" s="141">
        <v>0</v>
      </c>
      <c r="J5735" s="142">
        <v>70</v>
      </c>
      <c r="K5735" s="142">
        <v>14</v>
      </c>
      <c r="L5735" s="142">
        <v>0</v>
      </c>
      <c r="M5735" s="142">
        <v>0</v>
      </c>
      <c r="N5735" s="142">
        <v>0</v>
      </c>
      <c r="O5735" s="142">
        <v>0</v>
      </c>
      <c r="P5735" s="158">
        <v>0.08</v>
      </c>
      <c r="Q5735" s="144" t="s">
        <v>154</v>
      </c>
    </row>
    <row r="5736" spans="1:17" s="162" customFormat="1" ht="48" x14ac:dyDescent="0.25">
      <c r="A5736" s="137">
        <v>41882</v>
      </c>
      <c r="B5736" s="137">
        <v>41882</v>
      </c>
      <c r="C5736" s="138">
        <v>2014</v>
      </c>
      <c r="D5736" s="24" t="s">
        <v>141</v>
      </c>
      <c r="E5736" s="30" t="s">
        <v>142</v>
      </c>
      <c r="F5736" s="7" t="s">
        <v>62</v>
      </c>
      <c r="G5736" s="139" t="s">
        <v>1920</v>
      </c>
      <c r="H5736" s="140" t="s">
        <v>8230</v>
      </c>
      <c r="I5736" s="179">
        <v>8</v>
      </c>
      <c r="J5736" s="142">
        <v>8</v>
      </c>
      <c r="K5736" s="142">
        <v>0</v>
      </c>
      <c r="L5736" s="142">
        <v>0</v>
      </c>
      <c r="M5736" s="142">
        <v>0</v>
      </c>
      <c r="N5736" s="142">
        <v>0</v>
      </c>
      <c r="O5736" s="142">
        <v>0</v>
      </c>
      <c r="P5736" s="158">
        <v>7.9380000000000006E-2</v>
      </c>
      <c r="Q5736" s="144" t="s">
        <v>154</v>
      </c>
    </row>
    <row r="5737" spans="1:17" s="162" customFormat="1" ht="96" x14ac:dyDescent="0.25">
      <c r="A5737" s="137">
        <v>41879</v>
      </c>
      <c r="B5737" s="137">
        <v>41879</v>
      </c>
      <c r="C5737" s="138">
        <v>2014</v>
      </c>
      <c r="D5737" s="24" t="s">
        <v>141</v>
      </c>
      <c r="E5737" s="30" t="s">
        <v>142</v>
      </c>
      <c r="F5737" s="7" t="s">
        <v>36</v>
      </c>
      <c r="G5737" s="139" t="s">
        <v>8231</v>
      </c>
      <c r="H5737" s="140" t="s">
        <v>8232</v>
      </c>
      <c r="I5737" s="141">
        <v>5</v>
      </c>
      <c r="J5737" s="142">
        <v>7</v>
      </c>
      <c r="K5737" s="142">
        <v>0</v>
      </c>
      <c r="L5737" s="142">
        <v>0</v>
      </c>
      <c r="M5737" s="142">
        <v>0</v>
      </c>
      <c r="N5737" s="142">
        <v>0</v>
      </c>
      <c r="O5737" s="142">
        <v>0</v>
      </c>
      <c r="P5737" s="158">
        <v>7.9380000000000006E-2</v>
      </c>
      <c r="Q5737" s="144" t="s">
        <v>154</v>
      </c>
    </row>
    <row r="5738" spans="1:17" s="162" customFormat="1" ht="84" x14ac:dyDescent="0.25">
      <c r="A5738" s="137">
        <v>41689</v>
      </c>
      <c r="B5738" s="137">
        <v>41689</v>
      </c>
      <c r="C5738" s="138">
        <v>2014</v>
      </c>
      <c r="D5738" s="24" t="s">
        <v>141</v>
      </c>
      <c r="E5738" s="30" t="s">
        <v>142</v>
      </c>
      <c r="F5738" s="7" t="s">
        <v>62</v>
      </c>
      <c r="G5738" s="139" t="s">
        <v>8233</v>
      </c>
      <c r="H5738" s="140" t="s">
        <v>8234</v>
      </c>
      <c r="I5738" s="179">
        <v>2</v>
      </c>
      <c r="J5738" s="142">
        <v>23</v>
      </c>
      <c r="K5738" s="142">
        <v>0</v>
      </c>
      <c r="L5738" s="142">
        <v>0</v>
      </c>
      <c r="M5738" s="142">
        <v>0</v>
      </c>
      <c r="N5738" s="142">
        <v>0</v>
      </c>
      <c r="O5738" s="142">
        <v>0</v>
      </c>
      <c r="P5738" s="158">
        <v>7.9380000000000006E-2</v>
      </c>
      <c r="Q5738" s="144" t="s">
        <v>154</v>
      </c>
    </row>
    <row r="5739" spans="1:17" s="162" customFormat="1" ht="84" x14ac:dyDescent="0.25">
      <c r="A5739" s="137">
        <v>41852</v>
      </c>
      <c r="B5739" s="137">
        <v>41852</v>
      </c>
      <c r="C5739" s="138">
        <v>2014</v>
      </c>
      <c r="D5739" s="24" t="s">
        <v>141</v>
      </c>
      <c r="E5739" s="30" t="s">
        <v>142</v>
      </c>
      <c r="F5739" s="7" t="s">
        <v>87</v>
      </c>
      <c r="G5739" s="139" t="s">
        <v>1890</v>
      </c>
      <c r="H5739" s="33" t="s">
        <v>8235</v>
      </c>
      <c r="I5739" s="182">
        <v>0</v>
      </c>
      <c r="J5739" s="142">
        <v>2</v>
      </c>
      <c r="K5739" s="142">
        <v>0</v>
      </c>
      <c r="L5739" s="142">
        <v>0</v>
      </c>
      <c r="M5739" s="142">
        <v>0</v>
      </c>
      <c r="N5739" s="142">
        <v>0</v>
      </c>
      <c r="O5739" s="142">
        <v>0</v>
      </c>
      <c r="P5739" s="158">
        <v>7.6859999999999998E-2</v>
      </c>
      <c r="Q5739" s="144" t="s">
        <v>154</v>
      </c>
    </row>
    <row r="5740" spans="1:17" s="162" customFormat="1" ht="72" x14ac:dyDescent="0.25">
      <c r="A5740" s="48">
        <v>41862</v>
      </c>
      <c r="B5740" s="48">
        <v>41862</v>
      </c>
      <c r="C5740" s="138">
        <v>2014</v>
      </c>
      <c r="D5740" s="351" t="s">
        <v>23</v>
      </c>
      <c r="E5740" s="22" t="s">
        <v>86</v>
      </c>
      <c r="F5740" s="28" t="s">
        <v>210</v>
      </c>
      <c r="G5740" s="139" t="s">
        <v>5050</v>
      </c>
      <c r="H5740" s="140" t="s">
        <v>8236</v>
      </c>
      <c r="I5740" s="141">
        <v>0</v>
      </c>
      <c r="J5740" s="142">
        <v>50</v>
      </c>
      <c r="K5740" s="142">
        <v>13</v>
      </c>
      <c r="L5740" s="142">
        <v>0</v>
      </c>
      <c r="M5740" s="142">
        <v>0</v>
      </c>
      <c r="N5740" s="142">
        <v>0</v>
      </c>
      <c r="O5740" s="142">
        <v>0</v>
      </c>
      <c r="P5740" s="158">
        <v>7.1499999999999994E-2</v>
      </c>
      <c r="Q5740" s="144" t="s">
        <v>154</v>
      </c>
    </row>
    <row r="5741" spans="1:17" s="162" customFormat="1" ht="72" x14ac:dyDescent="0.25">
      <c r="A5741" s="137">
        <v>41870</v>
      </c>
      <c r="B5741" s="137">
        <v>41870</v>
      </c>
      <c r="C5741" s="138">
        <v>2014</v>
      </c>
      <c r="D5741" s="351" t="s">
        <v>23</v>
      </c>
      <c r="E5741" s="22" t="s">
        <v>86</v>
      </c>
      <c r="F5741" s="7" t="s">
        <v>87</v>
      </c>
      <c r="G5741" s="139" t="s">
        <v>8237</v>
      </c>
      <c r="H5741" s="140" t="s">
        <v>8238</v>
      </c>
      <c r="I5741" s="141">
        <v>0</v>
      </c>
      <c r="J5741" s="142">
        <v>65</v>
      </c>
      <c r="K5741" s="142">
        <v>13</v>
      </c>
      <c r="L5741" s="142">
        <v>0</v>
      </c>
      <c r="M5741" s="142">
        <v>0</v>
      </c>
      <c r="N5741" s="142">
        <v>0</v>
      </c>
      <c r="O5741" s="142">
        <v>0</v>
      </c>
      <c r="P5741" s="158">
        <v>7.1499999999999994E-2</v>
      </c>
      <c r="Q5741" s="144" t="s">
        <v>154</v>
      </c>
    </row>
    <row r="5742" spans="1:17" s="162" customFormat="1" ht="132" x14ac:dyDescent="0.25">
      <c r="A5742" s="137">
        <v>41873</v>
      </c>
      <c r="B5742" s="137">
        <v>41874</v>
      </c>
      <c r="C5742" s="138">
        <v>2014</v>
      </c>
      <c r="D5742" s="351" t="s">
        <v>23</v>
      </c>
      <c r="E5742" s="22" t="s">
        <v>86</v>
      </c>
      <c r="F5742" s="7" t="s">
        <v>72</v>
      </c>
      <c r="G5742" s="139" t="s">
        <v>6602</v>
      </c>
      <c r="H5742" s="140" t="s">
        <v>8239</v>
      </c>
      <c r="I5742" s="141">
        <v>0</v>
      </c>
      <c r="J5742" s="142">
        <v>65</v>
      </c>
      <c r="K5742" s="142">
        <v>13</v>
      </c>
      <c r="L5742" s="142">
        <v>2</v>
      </c>
      <c r="M5742" s="142">
        <v>0</v>
      </c>
      <c r="N5742" s="142">
        <v>0</v>
      </c>
      <c r="O5742" s="142">
        <v>0</v>
      </c>
      <c r="P5742" s="158">
        <v>7.1499999999999994E-2</v>
      </c>
      <c r="Q5742" s="144" t="s">
        <v>154</v>
      </c>
    </row>
    <row r="5743" spans="1:17" s="162" customFormat="1" ht="60" x14ac:dyDescent="0.25">
      <c r="A5743" s="137">
        <v>41811</v>
      </c>
      <c r="B5743" s="137">
        <v>41811</v>
      </c>
      <c r="C5743" s="138">
        <v>2014</v>
      </c>
      <c r="D5743" s="351" t="s">
        <v>23</v>
      </c>
      <c r="E5743" s="22" t="s">
        <v>86</v>
      </c>
      <c r="F5743" s="7" t="s">
        <v>101</v>
      </c>
      <c r="G5743" s="139" t="s">
        <v>8240</v>
      </c>
      <c r="H5743" s="140" t="s">
        <v>8241</v>
      </c>
      <c r="I5743" s="182">
        <v>1</v>
      </c>
      <c r="J5743" s="178">
        <v>240</v>
      </c>
      <c r="K5743" s="142">
        <v>12</v>
      </c>
      <c r="L5743" s="142">
        <v>0</v>
      </c>
      <c r="M5743" s="142">
        <v>0</v>
      </c>
      <c r="N5743" s="142">
        <v>0</v>
      </c>
      <c r="O5743" s="142">
        <v>0</v>
      </c>
      <c r="P5743" s="158">
        <v>6.6000000000000003E-2</v>
      </c>
      <c r="Q5743" s="144" t="s">
        <v>154</v>
      </c>
    </row>
    <row r="5744" spans="1:17" s="162" customFormat="1" ht="36" x14ac:dyDescent="0.25">
      <c r="A5744" s="137">
        <v>41640</v>
      </c>
      <c r="B5744" s="137">
        <v>42004</v>
      </c>
      <c r="C5744" s="138">
        <v>2014</v>
      </c>
      <c r="D5744" s="35" t="s">
        <v>28</v>
      </c>
      <c r="E5744" s="14" t="s">
        <v>29</v>
      </c>
      <c r="F5744" s="7" t="s">
        <v>91</v>
      </c>
      <c r="G5744" s="139" t="s">
        <v>26</v>
      </c>
      <c r="H5744" s="140" t="s">
        <v>8242</v>
      </c>
      <c r="I5744" s="141">
        <v>0</v>
      </c>
      <c r="J5744" s="142">
        <v>0</v>
      </c>
      <c r="K5744" s="142">
        <v>0</v>
      </c>
      <c r="L5744" s="142">
        <v>0</v>
      </c>
      <c r="M5744" s="142">
        <v>0</v>
      </c>
      <c r="N5744" s="142">
        <v>0</v>
      </c>
      <c r="O5744" s="142">
        <v>64.5</v>
      </c>
      <c r="P5744" s="158">
        <v>6.4500000000000002E-2</v>
      </c>
      <c r="Q5744" s="144" t="s">
        <v>3556</v>
      </c>
    </row>
    <row r="5745" spans="1:17" s="162" customFormat="1" ht="48" x14ac:dyDescent="0.25">
      <c r="A5745" s="48">
        <v>41986</v>
      </c>
      <c r="B5745" s="48">
        <v>41986</v>
      </c>
      <c r="C5745" s="138">
        <v>2014</v>
      </c>
      <c r="D5745" s="35" t="s">
        <v>28</v>
      </c>
      <c r="E5745" s="6" t="s">
        <v>149</v>
      </c>
      <c r="F5745" s="7" t="s">
        <v>65</v>
      </c>
      <c r="G5745" s="139" t="s">
        <v>8243</v>
      </c>
      <c r="H5745" s="140" t="s">
        <v>8244</v>
      </c>
      <c r="I5745" s="141">
        <v>0</v>
      </c>
      <c r="J5745" s="142">
        <v>0</v>
      </c>
      <c r="K5745" s="142">
        <v>0</v>
      </c>
      <c r="L5745" s="142">
        <v>0</v>
      </c>
      <c r="M5745" s="142">
        <v>0</v>
      </c>
      <c r="N5745" s="142">
        <v>1</v>
      </c>
      <c r="O5745" s="142">
        <v>0</v>
      </c>
      <c r="P5745" s="158">
        <v>0.06</v>
      </c>
      <c r="Q5745" s="144" t="s">
        <v>154</v>
      </c>
    </row>
    <row r="5746" spans="1:17" s="162" customFormat="1" ht="96" x14ac:dyDescent="0.25">
      <c r="A5746" s="48">
        <v>41914</v>
      </c>
      <c r="B5746" s="137">
        <v>41884</v>
      </c>
      <c r="C5746" s="138">
        <v>2014</v>
      </c>
      <c r="D5746" s="35" t="s">
        <v>17</v>
      </c>
      <c r="E5746" s="180" t="s">
        <v>1600</v>
      </c>
      <c r="F5746" s="7" t="s">
        <v>30</v>
      </c>
      <c r="G5746" s="139" t="s">
        <v>1078</v>
      </c>
      <c r="H5746" s="140" t="s">
        <v>8245</v>
      </c>
      <c r="I5746" s="141">
        <v>0</v>
      </c>
      <c r="J5746" s="142">
        <v>50</v>
      </c>
      <c r="K5746" s="142">
        <v>10</v>
      </c>
      <c r="L5746" s="142">
        <v>0</v>
      </c>
      <c r="M5746" s="142">
        <v>0</v>
      </c>
      <c r="N5746" s="142">
        <v>0</v>
      </c>
      <c r="O5746" s="142">
        <v>0</v>
      </c>
      <c r="P5746" s="158">
        <v>5.5E-2</v>
      </c>
      <c r="Q5746" s="144" t="s">
        <v>154</v>
      </c>
    </row>
    <row r="5747" spans="1:17" s="162" customFormat="1" ht="36" x14ac:dyDescent="0.25">
      <c r="A5747" s="137">
        <v>41887</v>
      </c>
      <c r="B5747" s="137">
        <v>41887</v>
      </c>
      <c r="C5747" s="138">
        <v>2014</v>
      </c>
      <c r="D5747" s="351" t="s">
        <v>23</v>
      </c>
      <c r="E5747" s="22" t="s">
        <v>86</v>
      </c>
      <c r="F5747" s="7" t="s">
        <v>58</v>
      </c>
      <c r="G5747" s="139" t="s">
        <v>724</v>
      </c>
      <c r="H5747" s="140" t="s">
        <v>8246</v>
      </c>
      <c r="I5747" s="141">
        <v>0</v>
      </c>
      <c r="J5747" s="142">
        <v>40</v>
      </c>
      <c r="K5747" s="142">
        <v>8</v>
      </c>
      <c r="L5747" s="142">
        <v>0</v>
      </c>
      <c r="M5747" s="142">
        <v>0</v>
      </c>
      <c r="N5747" s="142">
        <v>0</v>
      </c>
      <c r="O5747" s="142">
        <v>0</v>
      </c>
      <c r="P5747" s="158">
        <v>4.3999999999999997E-2</v>
      </c>
      <c r="Q5747" s="144" t="s">
        <v>154</v>
      </c>
    </row>
    <row r="5748" spans="1:17" s="162" customFormat="1" ht="72" x14ac:dyDescent="0.25">
      <c r="A5748" s="48">
        <v>41935</v>
      </c>
      <c r="B5748" s="48">
        <v>41935</v>
      </c>
      <c r="C5748" s="138">
        <v>2014</v>
      </c>
      <c r="D5748" s="24" t="s">
        <v>141</v>
      </c>
      <c r="E5748" s="30" t="s">
        <v>142</v>
      </c>
      <c r="F5748" s="7" t="s">
        <v>62</v>
      </c>
      <c r="G5748" s="139" t="s">
        <v>230</v>
      </c>
      <c r="H5748" s="140" t="s">
        <v>8247</v>
      </c>
      <c r="I5748" s="141">
        <v>2</v>
      </c>
      <c r="J5748" s="142">
        <v>6</v>
      </c>
      <c r="K5748" s="142">
        <v>0</v>
      </c>
      <c r="L5748" s="142">
        <v>0</v>
      </c>
      <c r="M5748" s="142">
        <v>0</v>
      </c>
      <c r="N5748" s="142">
        <v>0</v>
      </c>
      <c r="O5748" s="142">
        <v>0</v>
      </c>
      <c r="P5748" s="158">
        <v>0.04</v>
      </c>
      <c r="Q5748" s="144" t="s">
        <v>154</v>
      </c>
    </row>
    <row r="5749" spans="1:17" s="162" customFormat="1" ht="84" x14ac:dyDescent="0.25">
      <c r="A5749" s="48">
        <v>41971</v>
      </c>
      <c r="B5749" s="48">
        <v>41971</v>
      </c>
      <c r="C5749" s="138">
        <v>2014</v>
      </c>
      <c r="D5749" s="24" t="s">
        <v>141</v>
      </c>
      <c r="E5749" s="30" t="s">
        <v>142</v>
      </c>
      <c r="F5749" s="7" t="s">
        <v>58</v>
      </c>
      <c r="G5749" s="139" t="s">
        <v>4028</v>
      </c>
      <c r="H5749" s="140" t="s">
        <v>8248</v>
      </c>
      <c r="I5749" s="141">
        <v>2</v>
      </c>
      <c r="J5749" s="142">
        <v>17</v>
      </c>
      <c r="K5749" s="142">
        <v>0</v>
      </c>
      <c r="L5749" s="142">
        <v>0</v>
      </c>
      <c r="M5749" s="142">
        <v>0</v>
      </c>
      <c r="N5749" s="142">
        <v>0</v>
      </c>
      <c r="O5749" s="142">
        <v>0</v>
      </c>
      <c r="P5749" s="158">
        <v>0.04</v>
      </c>
      <c r="Q5749" s="144" t="s">
        <v>154</v>
      </c>
    </row>
    <row r="5750" spans="1:17" s="162" customFormat="1" ht="72" x14ac:dyDescent="0.25">
      <c r="A5750" s="184">
        <v>41874</v>
      </c>
      <c r="B5750" s="184">
        <v>41876</v>
      </c>
      <c r="C5750" s="138">
        <v>2014</v>
      </c>
      <c r="D5750" s="351" t="s">
        <v>23</v>
      </c>
      <c r="E5750" s="22" t="s">
        <v>86</v>
      </c>
      <c r="F5750" s="7" t="s">
        <v>33</v>
      </c>
      <c r="G5750" s="139" t="s">
        <v>247</v>
      </c>
      <c r="H5750" s="140" t="s">
        <v>8249</v>
      </c>
      <c r="I5750" s="141">
        <v>0</v>
      </c>
      <c r="J5750" s="142">
        <v>5000</v>
      </c>
      <c r="K5750" s="142">
        <v>0</v>
      </c>
      <c r="L5750" s="142">
        <v>0</v>
      </c>
      <c r="M5750" s="142">
        <v>0</v>
      </c>
      <c r="N5750" s="142">
        <v>0</v>
      </c>
      <c r="O5750" s="142">
        <v>0</v>
      </c>
      <c r="P5750" s="158">
        <v>0.04</v>
      </c>
      <c r="Q5750" s="144" t="s">
        <v>186</v>
      </c>
    </row>
    <row r="5751" spans="1:17" s="162" customFormat="1" ht="60" x14ac:dyDescent="0.25">
      <c r="A5751" s="48">
        <v>41991</v>
      </c>
      <c r="B5751" s="48">
        <v>41991</v>
      </c>
      <c r="C5751" s="138">
        <v>2014</v>
      </c>
      <c r="D5751" s="35" t="s">
        <v>28</v>
      </c>
      <c r="E5751" s="30" t="s">
        <v>133</v>
      </c>
      <c r="F5751" s="7" t="s">
        <v>53</v>
      </c>
      <c r="G5751" s="139" t="s">
        <v>2997</v>
      </c>
      <c r="H5751" s="140" t="s">
        <v>8250</v>
      </c>
      <c r="I5751" s="141">
        <v>0</v>
      </c>
      <c r="J5751" s="142">
        <v>3</v>
      </c>
      <c r="K5751" s="142">
        <v>0</v>
      </c>
      <c r="L5751" s="142">
        <v>0</v>
      </c>
      <c r="M5751" s="142">
        <v>0</v>
      </c>
      <c r="N5751" s="142">
        <v>1</v>
      </c>
      <c r="O5751" s="142">
        <v>0</v>
      </c>
      <c r="P5751" s="158">
        <v>0.04</v>
      </c>
      <c r="Q5751" s="144" t="s">
        <v>154</v>
      </c>
    </row>
    <row r="5752" spans="1:17" s="162" customFormat="1" ht="96" x14ac:dyDescent="0.25">
      <c r="A5752" s="137">
        <v>41664</v>
      </c>
      <c r="B5752" s="137">
        <v>41664</v>
      </c>
      <c r="C5752" s="138">
        <v>2014</v>
      </c>
      <c r="D5752" s="24" t="s">
        <v>141</v>
      </c>
      <c r="E5752" s="30" t="s">
        <v>142</v>
      </c>
      <c r="F5752" s="7" t="s">
        <v>75</v>
      </c>
      <c r="G5752" s="139" t="s">
        <v>8251</v>
      </c>
      <c r="H5752" s="140" t="s">
        <v>8252</v>
      </c>
      <c r="I5752" s="141">
        <v>9</v>
      </c>
      <c r="J5752" s="142">
        <v>11</v>
      </c>
      <c r="K5752" s="142">
        <v>0</v>
      </c>
      <c r="L5752" s="142">
        <v>0</v>
      </c>
      <c r="M5752" s="142">
        <v>0</v>
      </c>
      <c r="N5752" s="142">
        <v>0</v>
      </c>
      <c r="O5752" s="142">
        <v>0</v>
      </c>
      <c r="P5752" s="158">
        <v>3.9690000000000003E-2</v>
      </c>
      <c r="Q5752" s="144" t="s">
        <v>154</v>
      </c>
    </row>
    <row r="5753" spans="1:17" s="162" customFormat="1" ht="84" x14ac:dyDescent="0.25">
      <c r="A5753" s="137">
        <v>41912</v>
      </c>
      <c r="B5753" s="137">
        <v>41912</v>
      </c>
      <c r="C5753" s="138">
        <v>2014</v>
      </c>
      <c r="D5753" s="351" t="s">
        <v>23</v>
      </c>
      <c r="E5753" s="22" t="s">
        <v>86</v>
      </c>
      <c r="F5753" s="7" t="s">
        <v>60</v>
      </c>
      <c r="G5753" s="139" t="s">
        <v>8253</v>
      </c>
      <c r="H5753" s="140" t="s">
        <v>8254</v>
      </c>
      <c r="I5753" s="141">
        <v>9</v>
      </c>
      <c r="J5753" s="142">
        <v>10</v>
      </c>
      <c r="K5753" s="142">
        <v>0</v>
      </c>
      <c r="L5753" s="142">
        <v>0</v>
      </c>
      <c r="M5753" s="142">
        <v>0</v>
      </c>
      <c r="N5753" s="142">
        <v>0</v>
      </c>
      <c r="O5753" s="142">
        <v>0</v>
      </c>
      <c r="P5753" s="158">
        <v>3.9690000000000003E-2</v>
      </c>
      <c r="Q5753" s="144" t="s">
        <v>154</v>
      </c>
    </row>
    <row r="5754" spans="1:17" s="162" customFormat="1" ht="60" x14ac:dyDescent="0.25">
      <c r="A5754" s="137">
        <v>41861</v>
      </c>
      <c r="B5754" s="137">
        <v>41861</v>
      </c>
      <c r="C5754" s="138">
        <v>2014</v>
      </c>
      <c r="D5754" s="351" t="s">
        <v>23</v>
      </c>
      <c r="E5754" s="22" t="s">
        <v>86</v>
      </c>
      <c r="F5754" s="7" t="s">
        <v>40</v>
      </c>
      <c r="G5754" s="139" t="s">
        <v>1029</v>
      </c>
      <c r="H5754" s="140" t="s">
        <v>8255</v>
      </c>
      <c r="I5754" s="141">
        <v>4</v>
      </c>
      <c r="J5754" s="142">
        <v>9</v>
      </c>
      <c r="K5754" s="142">
        <v>0</v>
      </c>
      <c r="L5754" s="142">
        <v>0</v>
      </c>
      <c r="M5754" s="142">
        <v>0</v>
      </c>
      <c r="N5754" s="142">
        <v>0</v>
      </c>
      <c r="O5754" s="142">
        <v>0</v>
      </c>
      <c r="P5754" s="158">
        <v>3.9690000000000003E-2</v>
      </c>
      <c r="Q5754" s="144" t="s">
        <v>154</v>
      </c>
    </row>
    <row r="5755" spans="1:17" s="162" customFormat="1" ht="60" x14ac:dyDescent="0.25">
      <c r="A5755" s="137">
        <v>41864</v>
      </c>
      <c r="B5755" s="137">
        <v>41864</v>
      </c>
      <c r="C5755" s="138">
        <v>2014</v>
      </c>
      <c r="D5755" s="351" t="s">
        <v>23</v>
      </c>
      <c r="E5755" s="22" t="s">
        <v>86</v>
      </c>
      <c r="F5755" s="7" t="s">
        <v>72</v>
      </c>
      <c r="G5755" s="139" t="s">
        <v>8256</v>
      </c>
      <c r="H5755" s="140" t="s">
        <v>8257</v>
      </c>
      <c r="I5755" s="141">
        <v>3</v>
      </c>
      <c r="J5755" s="142">
        <v>3</v>
      </c>
      <c r="K5755" s="142">
        <v>0</v>
      </c>
      <c r="L5755" s="142">
        <v>0</v>
      </c>
      <c r="M5755" s="142">
        <v>0</v>
      </c>
      <c r="N5755" s="142">
        <v>0</v>
      </c>
      <c r="O5755" s="142">
        <v>0</v>
      </c>
      <c r="P5755" s="189">
        <v>3.9690000000000003E-2</v>
      </c>
      <c r="Q5755" s="144" t="s">
        <v>154</v>
      </c>
    </row>
    <row r="5756" spans="1:17" s="162" customFormat="1" ht="72" x14ac:dyDescent="0.25">
      <c r="A5756" s="137">
        <v>41719</v>
      </c>
      <c r="B5756" s="137">
        <v>41719</v>
      </c>
      <c r="C5756" s="138">
        <v>2014</v>
      </c>
      <c r="D5756" s="24" t="s">
        <v>141</v>
      </c>
      <c r="E5756" s="30" t="s">
        <v>142</v>
      </c>
      <c r="F5756" s="7" t="s">
        <v>53</v>
      </c>
      <c r="G5756" s="139" t="s">
        <v>1304</v>
      </c>
      <c r="H5756" s="140" t="s">
        <v>8258</v>
      </c>
      <c r="I5756" s="179">
        <v>1</v>
      </c>
      <c r="J5756" s="31">
        <v>1</v>
      </c>
      <c r="K5756" s="142">
        <v>0</v>
      </c>
      <c r="L5756" s="142">
        <v>0</v>
      </c>
      <c r="M5756" s="142">
        <v>0</v>
      </c>
      <c r="N5756" s="142">
        <v>0</v>
      </c>
      <c r="O5756" s="142">
        <v>0</v>
      </c>
      <c r="P5756" s="158">
        <v>3.9690000000000003E-2</v>
      </c>
      <c r="Q5756" s="144" t="s">
        <v>154</v>
      </c>
    </row>
    <row r="5757" spans="1:17" s="162" customFormat="1" ht="72" x14ac:dyDescent="0.25">
      <c r="A5757" s="137">
        <v>41813</v>
      </c>
      <c r="B5757" s="137">
        <v>41813</v>
      </c>
      <c r="C5757" s="138">
        <v>2014</v>
      </c>
      <c r="D5757" s="351" t="s">
        <v>23</v>
      </c>
      <c r="E5757" s="22" t="s">
        <v>86</v>
      </c>
      <c r="F5757" s="7" t="s">
        <v>72</v>
      </c>
      <c r="G5757" s="139" t="s">
        <v>8259</v>
      </c>
      <c r="H5757" s="140" t="s">
        <v>8260</v>
      </c>
      <c r="I5757" s="182">
        <v>1</v>
      </c>
      <c r="J5757" s="142">
        <v>4</v>
      </c>
      <c r="K5757" s="142">
        <v>0</v>
      </c>
      <c r="L5757" s="142">
        <v>0</v>
      </c>
      <c r="M5757" s="142">
        <v>0</v>
      </c>
      <c r="N5757" s="142">
        <v>0</v>
      </c>
      <c r="O5757" s="142">
        <v>0</v>
      </c>
      <c r="P5757" s="158">
        <v>3.9690000000000003E-2</v>
      </c>
      <c r="Q5757" s="144" t="s">
        <v>154</v>
      </c>
    </row>
    <row r="5758" spans="1:17" s="162" customFormat="1" ht="96" x14ac:dyDescent="0.25">
      <c r="A5758" s="137">
        <v>41843</v>
      </c>
      <c r="B5758" s="137">
        <v>41843</v>
      </c>
      <c r="C5758" s="138">
        <v>2014</v>
      </c>
      <c r="D5758" s="351" t="s">
        <v>23</v>
      </c>
      <c r="E5758" s="22" t="s">
        <v>86</v>
      </c>
      <c r="F5758" s="7" t="s">
        <v>53</v>
      </c>
      <c r="G5758" s="139" t="s">
        <v>460</v>
      </c>
      <c r="H5758" s="140" t="s">
        <v>8261</v>
      </c>
      <c r="I5758" s="182">
        <v>0</v>
      </c>
      <c r="J5758" s="142">
        <v>3</v>
      </c>
      <c r="K5758" s="142">
        <v>0</v>
      </c>
      <c r="L5758" s="142">
        <v>0</v>
      </c>
      <c r="M5758" s="142">
        <v>0</v>
      </c>
      <c r="N5758" s="142">
        <v>1</v>
      </c>
      <c r="O5758" s="142">
        <v>0</v>
      </c>
      <c r="P5758" s="158">
        <v>3.9690000000000003E-2</v>
      </c>
      <c r="Q5758" s="144" t="s">
        <v>154</v>
      </c>
    </row>
    <row r="5759" spans="1:17" s="162" customFormat="1" ht="108" x14ac:dyDescent="0.25">
      <c r="A5759" s="137">
        <v>41865</v>
      </c>
      <c r="B5759" s="137">
        <v>41865</v>
      </c>
      <c r="C5759" s="138">
        <v>2014</v>
      </c>
      <c r="D5759" s="351" t="s">
        <v>23</v>
      </c>
      <c r="E5759" s="22" t="s">
        <v>86</v>
      </c>
      <c r="F5759" s="7" t="s">
        <v>87</v>
      </c>
      <c r="G5759" s="139" t="s">
        <v>567</v>
      </c>
      <c r="H5759" s="140" t="s">
        <v>8262</v>
      </c>
      <c r="I5759" s="141">
        <v>0</v>
      </c>
      <c r="J5759" s="142">
        <v>3</v>
      </c>
      <c r="K5759" s="142">
        <v>0</v>
      </c>
      <c r="L5759" s="142">
        <v>0</v>
      </c>
      <c r="M5759" s="142">
        <v>0</v>
      </c>
      <c r="N5759" s="142">
        <v>0</v>
      </c>
      <c r="O5759" s="142">
        <v>0</v>
      </c>
      <c r="P5759" s="158">
        <v>3.9690000000000003E-2</v>
      </c>
      <c r="Q5759" s="144" t="s">
        <v>154</v>
      </c>
    </row>
    <row r="5760" spans="1:17" s="162" customFormat="1" ht="48" x14ac:dyDescent="0.25">
      <c r="A5760" s="48">
        <v>41968</v>
      </c>
      <c r="B5760" s="48">
        <v>41968</v>
      </c>
      <c r="C5760" s="138">
        <v>2014</v>
      </c>
      <c r="D5760" s="35" t="s">
        <v>28</v>
      </c>
      <c r="E5760" s="6" t="s">
        <v>149</v>
      </c>
      <c r="F5760" s="28" t="s">
        <v>157</v>
      </c>
      <c r="G5760" s="139" t="s">
        <v>1190</v>
      </c>
      <c r="H5760" s="140" t="s">
        <v>8263</v>
      </c>
      <c r="I5760" s="141">
        <v>0</v>
      </c>
      <c r="J5760" s="142">
        <v>0</v>
      </c>
      <c r="K5760" s="142">
        <v>0</v>
      </c>
      <c r="L5760" s="142">
        <v>0</v>
      </c>
      <c r="M5760" s="142">
        <v>0</v>
      </c>
      <c r="N5760" s="142">
        <v>0</v>
      </c>
      <c r="O5760" s="142">
        <v>0</v>
      </c>
      <c r="P5760" s="158">
        <v>3.9E-2</v>
      </c>
      <c r="Q5760" s="144" t="s">
        <v>154</v>
      </c>
    </row>
    <row r="5761" spans="1:17" s="162" customFormat="1" ht="96" x14ac:dyDescent="0.25">
      <c r="A5761" s="137">
        <v>41786</v>
      </c>
      <c r="B5761" s="137">
        <v>41786</v>
      </c>
      <c r="C5761" s="138">
        <v>2014</v>
      </c>
      <c r="D5761" s="351" t="s">
        <v>23</v>
      </c>
      <c r="E5761" s="22" t="s">
        <v>86</v>
      </c>
      <c r="F5761" s="7" t="s">
        <v>62</v>
      </c>
      <c r="G5761" s="139" t="s">
        <v>8264</v>
      </c>
      <c r="H5761" s="140" t="s">
        <v>8265</v>
      </c>
      <c r="I5761" s="179">
        <v>2</v>
      </c>
      <c r="J5761" s="142">
        <v>30</v>
      </c>
      <c r="K5761" s="142">
        <v>6</v>
      </c>
      <c r="L5761" s="142">
        <v>0</v>
      </c>
      <c r="M5761" s="142">
        <v>0</v>
      </c>
      <c r="N5761" s="142">
        <v>0</v>
      </c>
      <c r="O5761" s="142">
        <v>0</v>
      </c>
      <c r="P5761" s="158">
        <v>3.3000000000000002E-2</v>
      </c>
      <c r="Q5761" s="144" t="s">
        <v>154</v>
      </c>
    </row>
    <row r="5762" spans="1:17" s="162" customFormat="1" ht="72" x14ac:dyDescent="0.25">
      <c r="A5762" s="137">
        <v>41875</v>
      </c>
      <c r="B5762" s="137">
        <v>41879</v>
      </c>
      <c r="C5762" s="138">
        <v>2014</v>
      </c>
      <c r="D5762" s="351" t="s">
        <v>23</v>
      </c>
      <c r="E5762" s="180" t="s">
        <v>2722</v>
      </c>
      <c r="F5762" s="7" t="s">
        <v>84</v>
      </c>
      <c r="G5762" s="139" t="s">
        <v>3161</v>
      </c>
      <c r="H5762" s="140" t="s">
        <v>8266</v>
      </c>
      <c r="I5762" s="141">
        <v>0</v>
      </c>
      <c r="J5762" s="142">
        <v>137</v>
      </c>
      <c r="K5762" s="142">
        <v>6</v>
      </c>
      <c r="L5762" s="142">
        <v>0</v>
      </c>
      <c r="M5762" s="142">
        <v>0</v>
      </c>
      <c r="N5762" s="142">
        <v>107</v>
      </c>
      <c r="O5762" s="142">
        <v>0</v>
      </c>
      <c r="P5762" s="158">
        <v>3.3000000000000002E-2</v>
      </c>
      <c r="Q5762" s="144" t="s">
        <v>154</v>
      </c>
    </row>
    <row r="5763" spans="1:17" s="162" customFormat="1" ht="72" x14ac:dyDescent="0.25">
      <c r="A5763" s="137">
        <v>41804</v>
      </c>
      <c r="B5763" s="137">
        <v>41804</v>
      </c>
      <c r="C5763" s="138">
        <v>2014</v>
      </c>
      <c r="D5763" s="351" t="s">
        <v>23</v>
      </c>
      <c r="E5763" s="22" t="s">
        <v>86</v>
      </c>
      <c r="F5763" s="7" t="s">
        <v>36</v>
      </c>
      <c r="G5763" s="139" t="s">
        <v>8267</v>
      </c>
      <c r="H5763" s="140" t="s">
        <v>8268</v>
      </c>
      <c r="I5763" s="182">
        <v>1</v>
      </c>
      <c r="J5763" s="178">
        <v>5</v>
      </c>
      <c r="K5763" s="183">
        <v>1</v>
      </c>
      <c r="L5763" s="142">
        <v>0</v>
      </c>
      <c r="M5763" s="142">
        <v>0</v>
      </c>
      <c r="N5763" s="142">
        <v>0</v>
      </c>
      <c r="O5763" s="142">
        <v>0</v>
      </c>
      <c r="P5763" s="158">
        <v>2.8000000000000001E-2</v>
      </c>
      <c r="Q5763" s="144" t="s">
        <v>154</v>
      </c>
    </row>
    <row r="5764" spans="1:17" s="162" customFormat="1" ht="120" x14ac:dyDescent="0.25">
      <c r="A5764" s="137">
        <v>41873</v>
      </c>
      <c r="B5764" s="137">
        <v>41873</v>
      </c>
      <c r="C5764" s="138">
        <v>2014</v>
      </c>
      <c r="D5764" s="351" t="s">
        <v>23</v>
      </c>
      <c r="E5764" s="14" t="s">
        <v>32</v>
      </c>
      <c r="F5764" s="7" t="s">
        <v>58</v>
      </c>
      <c r="G5764" s="139" t="s">
        <v>2109</v>
      </c>
      <c r="H5764" s="140" t="s">
        <v>8269</v>
      </c>
      <c r="I5764" s="141">
        <v>0</v>
      </c>
      <c r="J5764" s="142">
        <v>20</v>
      </c>
      <c r="K5764" s="142">
        <v>5</v>
      </c>
      <c r="L5764" s="142">
        <v>0</v>
      </c>
      <c r="M5764" s="142">
        <v>0</v>
      </c>
      <c r="N5764" s="142">
        <v>0</v>
      </c>
      <c r="O5764" s="142">
        <v>0</v>
      </c>
      <c r="P5764" s="158">
        <v>2.75E-2</v>
      </c>
      <c r="Q5764" s="144" t="s">
        <v>154</v>
      </c>
    </row>
    <row r="5765" spans="1:17" s="162" customFormat="1" ht="84" x14ac:dyDescent="0.25">
      <c r="A5765" s="137">
        <v>41823</v>
      </c>
      <c r="B5765" s="137">
        <v>41823</v>
      </c>
      <c r="C5765" s="138">
        <v>2014</v>
      </c>
      <c r="D5765" s="351" t="s">
        <v>23</v>
      </c>
      <c r="E5765" s="22" t="s">
        <v>86</v>
      </c>
      <c r="F5765" s="7" t="s">
        <v>58</v>
      </c>
      <c r="G5765" s="139" t="s">
        <v>8214</v>
      </c>
      <c r="H5765" s="140" t="s">
        <v>8270</v>
      </c>
      <c r="I5765" s="182">
        <v>0</v>
      </c>
      <c r="J5765" s="142">
        <v>35</v>
      </c>
      <c r="K5765" s="142">
        <v>4</v>
      </c>
      <c r="L5765" s="142">
        <v>0</v>
      </c>
      <c r="M5765" s="142">
        <v>0</v>
      </c>
      <c r="N5765" s="142">
        <v>0</v>
      </c>
      <c r="O5765" s="142">
        <v>0</v>
      </c>
      <c r="P5765" s="158">
        <v>2.1999999999999999E-2</v>
      </c>
      <c r="Q5765" s="144" t="s">
        <v>154</v>
      </c>
    </row>
    <row r="5766" spans="1:17" s="162" customFormat="1" ht="96" x14ac:dyDescent="0.25">
      <c r="A5766" s="137">
        <v>41872</v>
      </c>
      <c r="B5766" s="137">
        <v>41872</v>
      </c>
      <c r="C5766" s="138">
        <v>2014</v>
      </c>
      <c r="D5766" s="351" t="s">
        <v>23</v>
      </c>
      <c r="E5766" s="180" t="s">
        <v>5893</v>
      </c>
      <c r="F5766" s="7" t="s">
        <v>30</v>
      </c>
      <c r="G5766" s="139" t="s">
        <v>901</v>
      </c>
      <c r="H5766" s="140" t="s">
        <v>8271</v>
      </c>
      <c r="I5766" s="141">
        <v>0</v>
      </c>
      <c r="J5766" s="142">
        <v>20</v>
      </c>
      <c r="K5766" s="142">
        <v>4</v>
      </c>
      <c r="L5766" s="142">
        <v>1</v>
      </c>
      <c r="M5766" s="142">
        <v>1</v>
      </c>
      <c r="N5766" s="142">
        <v>0</v>
      </c>
      <c r="O5766" s="142">
        <v>0</v>
      </c>
      <c r="P5766" s="158">
        <v>2.1999999999999999E-2</v>
      </c>
      <c r="Q5766" s="144" t="s">
        <v>154</v>
      </c>
    </row>
    <row r="5767" spans="1:17" s="162" customFormat="1" ht="108" x14ac:dyDescent="0.25">
      <c r="A5767" s="137">
        <v>41698</v>
      </c>
      <c r="B5767" s="137">
        <v>41698</v>
      </c>
      <c r="C5767" s="138">
        <v>2014</v>
      </c>
      <c r="D5767" s="35" t="s">
        <v>28</v>
      </c>
      <c r="E5767" s="30" t="s">
        <v>133</v>
      </c>
      <c r="F5767" s="7" t="s">
        <v>62</v>
      </c>
      <c r="G5767" s="139" t="s">
        <v>959</v>
      </c>
      <c r="H5767" s="140" t="s">
        <v>8272</v>
      </c>
      <c r="I5767" s="179">
        <v>0</v>
      </c>
      <c r="J5767" s="142">
        <v>17</v>
      </c>
      <c r="K5767" s="142">
        <v>0</v>
      </c>
      <c r="L5767" s="142">
        <v>0</v>
      </c>
      <c r="M5767" s="142">
        <v>0</v>
      </c>
      <c r="N5767" s="142">
        <v>0</v>
      </c>
      <c r="O5767" s="142">
        <v>0</v>
      </c>
      <c r="P5767" s="158">
        <v>1.8205300000000001E-2</v>
      </c>
      <c r="Q5767" s="144" t="s">
        <v>154</v>
      </c>
    </row>
    <row r="5768" spans="1:17" s="162" customFormat="1" ht="72" x14ac:dyDescent="0.25">
      <c r="A5768" s="137">
        <v>41816</v>
      </c>
      <c r="B5768" s="137">
        <v>41816</v>
      </c>
      <c r="C5768" s="138">
        <v>2014</v>
      </c>
      <c r="D5768" s="35" t="s">
        <v>17</v>
      </c>
      <c r="E5768" s="180" t="s">
        <v>1600</v>
      </c>
      <c r="F5768" s="7" t="s">
        <v>53</v>
      </c>
      <c r="G5768" s="139" t="s">
        <v>847</v>
      </c>
      <c r="H5768" s="140" t="s">
        <v>8273</v>
      </c>
      <c r="I5768" s="182">
        <v>2</v>
      </c>
      <c r="J5768" s="178">
        <v>9</v>
      </c>
      <c r="K5768" s="142">
        <v>2</v>
      </c>
      <c r="L5768" s="142">
        <v>0</v>
      </c>
      <c r="M5768" s="142">
        <v>0</v>
      </c>
      <c r="N5768" s="142">
        <v>0</v>
      </c>
      <c r="O5768" s="142">
        <v>0</v>
      </c>
      <c r="P5768" s="158">
        <v>1.0999999999999999E-2</v>
      </c>
      <c r="Q5768" s="144" t="s">
        <v>154</v>
      </c>
    </row>
    <row r="5769" spans="1:17" s="162" customFormat="1" ht="84" x14ac:dyDescent="0.25">
      <c r="A5769" s="137">
        <v>41685</v>
      </c>
      <c r="B5769" s="137">
        <v>41685</v>
      </c>
      <c r="C5769" s="138">
        <v>2014</v>
      </c>
      <c r="D5769" s="35" t="s">
        <v>28</v>
      </c>
      <c r="E5769" s="30" t="s">
        <v>133</v>
      </c>
      <c r="F5769" s="28" t="s">
        <v>157</v>
      </c>
      <c r="G5769" s="139" t="s">
        <v>6734</v>
      </c>
      <c r="H5769" s="140" t="s">
        <v>8274</v>
      </c>
      <c r="I5769" s="179">
        <v>0</v>
      </c>
      <c r="J5769" s="142">
        <v>7</v>
      </c>
      <c r="K5769" s="142">
        <v>1</v>
      </c>
      <c r="L5769" s="142">
        <v>0</v>
      </c>
      <c r="M5769" s="142">
        <v>0</v>
      </c>
      <c r="N5769" s="142">
        <v>0</v>
      </c>
      <c r="O5769" s="142">
        <v>0</v>
      </c>
      <c r="P5769" s="158">
        <v>0.01</v>
      </c>
      <c r="Q5769" s="144" t="s">
        <v>154</v>
      </c>
    </row>
    <row r="5770" spans="1:17" s="162" customFormat="1" ht="84" x14ac:dyDescent="0.25">
      <c r="A5770" s="137">
        <v>41686</v>
      </c>
      <c r="B5770" s="137">
        <v>41686</v>
      </c>
      <c r="C5770" s="138">
        <v>2014</v>
      </c>
      <c r="D5770" s="35" t="s">
        <v>28</v>
      </c>
      <c r="E5770" s="30" t="s">
        <v>133</v>
      </c>
      <c r="F5770" s="7" t="s">
        <v>56</v>
      </c>
      <c r="G5770" s="139" t="s">
        <v>3722</v>
      </c>
      <c r="H5770" s="140" t="s">
        <v>8275</v>
      </c>
      <c r="I5770" s="179">
        <v>0</v>
      </c>
      <c r="J5770" s="142">
        <v>11</v>
      </c>
      <c r="K5770" s="142">
        <v>1</v>
      </c>
      <c r="L5770" s="142">
        <v>0</v>
      </c>
      <c r="M5770" s="142">
        <v>0</v>
      </c>
      <c r="N5770" s="142">
        <v>0</v>
      </c>
      <c r="O5770" s="142">
        <v>0</v>
      </c>
      <c r="P5770" s="158">
        <v>0.01</v>
      </c>
      <c r="Q5770" s="144" t="s">
        <v>154</v>
      </c>
    </row>
    <row r="5771" spans="1:17" s="162" customFormat="1" ht="96" x14ac:dyDescent="0.25">
      <c r="A5771" s="137">
        <v>41817</v>
      </c>
      <c r="B5771" s="137">
        <v>41817</v>
      </c>
      <c r="C5771" s="138">
        <v>2014</v>
      </c>
      <c r="D5771" s="351" t="s">
        <v>23</v>
      </c>
      <c r="E5771" s="22" t="s">
        <v>86</v>
      </c>
      <c r="F5771" s="7" t="s">
        <v>60</v>
      </c>
      <c r="G5771" s="139" t="s">
        <v>1111</v>
      </c>
      <c r="H5771" s="140" t="s">
        <v>8276</v>
      </c>
      <c r="I5771" s="182">
        <v>0</v>
      </c>
      <c r="J5771" s="178">
        <v>20</v>
      </c>
      <c r="K5771" s="142">
        <v>4</v>
      </c>
      <c r="L5771" s="142">
        <v>0</v>
      </c>
      <c r="M5771" s="142">
        <v>0</v>
      </c>
      <c r="N5771" s="142">
        <v>0</v>
      </c>
      <c r="O5771" s="142">
        <v>0</v>
      </c>
      <c r="P5771" s="158">
        <v>5.4999999999999997E-3</v>
      </c>
      <c r="Q5771" s="144" t="s">
        <v>154</v>
      </c>
    </row>
    <row r="5772" spans="1:17" s="162" customFormat="1" ht="156" x14ac:dyDescent="0.25">
      <c r="A5772" s="184">
        <v>41965</v>
      </c>
      <c r="B5772" s="184">
        <v>41965</v>
      </c>
      <c r="C5772" s="138">
        <v>2014</v>
      </c>
      <c r="D5772" s="35" t="s">
        <v>28</v>
      </c>
      <c r="E5772" s="30" t="s">
        <v>125</v>
      </c>
      <c r="F5772" s="28" t="s">
        <v>157</v>
      </c>
      <c r="G5772" s="139" t="s">
        <v>1029</v>
      </c>
      <c r="H5772" s="187" t="s">
        <v>8277</v>
      </c>
      <c r="I5772" s="141">
        <v>0</v>
      </c>
      <c r="J5772" s="142">
        <v>6</v>
      </c>
      <c r="K5772" s="142">
        <v>1</v>
      </c>
      <c r="L5772" s="142">
        <v>0</v>
      </c>
      <c r="M5772" s="142">
        <v>0</v>
      </c>
      <c r="N5772" s="142">
        <v>0</v>
      </c>
      <c r="O5772" s="142">
        <v>0</v>
      </c>
      <c r="P5772" s="158">
        <v>5.0000000000000001E-3</v>
      </c>
      <c r="Q5772" s="144" t="s">
        <v>154</v>
      </c>
    </row>
    <row r="5773" spans="1:17" s="162" customFormat="1" ht="96" x14ac:dyDescent="0.25">
      <c r="A5773" s="48">
        <v>41836</v>
      </c>
      <c r="B5773" s="48">
        <v>41836</v>
      </c>
      <c r="C5773" s="138">
        <v>2014</v>
      </c>
      <c r="D5773" s="35" t="s">
        <v>28</v>
      </c>
      <c r="E5773" s="30" t="s">
        <v>125</v>
      </c>
      <c r="F5773" s="7" t="s">
        <v>56</v>
      </c>
      <c r="G5773" s="139" t="s">
        <v>1160</v>
      </c>
      <c r="H5773" s="33" t="s">
        <v>8278</v>
      </c>
      <c r="I5773" s="182">
        <v>0</v>
      </c>
      <c r="J5773" s="142">
        <v>10</v>
      </c>
      <c r="K5773" s="142">
        <v>0</v>
      </c>
      <c r="L5773" s="142">
        <v>0</v>
      </c>
      <c r="M5773" s="142">
        <v>0</v>
      </c>
      <c r="N5773" s="142">
        <v>0</v>
      </c>
      <c r="O5773" s="142">
        <v>0</v>
      </c>
      <c r="P5773" s="158">
        <v>4.0000000000000001E-3</v>
      </c>
      <c r="Q5773" s="144" t="s">
        <v>154</v>
      </c>
    </row>
    <row r="5774" spans="1:17" s="162" customFormat="1" ht="60" x14ac:dyDescent="0.25">
      <c r="A5774" s="137">
        <v>41819</v>
      </c>
      <c r="B5774" s="137">
        <v>41819</v>
      </c>
      <c r="C5774" s="138">
        <v>2014</v>
      </c>
      <c r="D5774" s="24" t="s">
        <v>141</v>
      </c>
      <c r="E5774" s="30" t="s">
        <v>142</v>
      </c>
      <c r="F5774" s="7" t="s">
        <v>45</v>
      </c>
      <c r="G5774" s="139" t="s">
        <v>6313</v>
      </c>
      <c r="H5774" s="140" t="s">
        <v>8279</v>
      </c>
      <c r="I5774" s="182">
        <v>10</v>
      </c>
      <c r="J5774" s="178">
        <v>10</v>
      </c>
      <c r="K5774" s="142">
        <v>0</v>
      </c>
      <c r="L5774" s="142">
        <v>0</v>
      </c>
      <c r="M5774" s="142">
        <v>0</v>
      </c>
      <c r="N5774" s="142">
        <v>0</v>
      </c>
      <c r="O5774" s="142">
        <v>0</v>
      </c>
      <c r="P5774" s="158">
        <v>0</v>
      </c>
      <c r="Q5774" s="144" t="s">
        <v>154</v>
      </c>
    </row>
    <row r="5775" spans="1:17" s="162" customFormat="1" ht="48" x14ac:dyDescent="0.25">
      <c r="A5775" s="190">
        <v>41640</v>
      </c>
      <c r="B5775" s="190">
        <v>41670</v>
      </c>
      <c r="C5775" s="138">
        <v>2014</v>
      </c>
      <c r="D5775" s="351" t="s">
        <v>23</v>
      </c>
      <c r="E5775" s="28" t="s">
        <v>327</v>
      </c>
      <c r="F5775" s="7" t="s">
        <v>30</v>
      </c>
      <c r="G5775" s="139" t="s">
        <v>26</v>
      </c>
      <c r="H5775" s="140" t="s">
        <v>8280</v>
      </c>
      <c r="I5775" s="141">
        <v>9</v>
      </c>
      <c r="J5775" s="142">
        <f>19+45+1+9</f>
        <v>74</v>
      </c>
      <c r="K5775" s="142">
        <v>0</v>
      </c>
      <c r="L5775" s="142">
        <v>0</v>
      </c>
      <c r="M5775" s="142">
        <v>0</v>
      </c>
      <c r="N5775" s="142">
        <v>0</v>
      </c>
      <c r="O5775" s="142">
        <v>0</v>
      </c>
      <c r="P5775" s="158">
        <v>0</v>
      </c>
      <c r="Q5775" s="191" t="s">
        <v>2218</v>
      </c>
    </row>
    <row r="5776" spans="1:17" s="162" customFormat="1" ht="48" x14ac:dyDescent="0.25">
      <c r="A5776" s="190">
        <v>41640</v>
      </c>
      <c r="B5776" s="190">
        <v>41670</v>
      </c>
      <c r="C5776" s="138">
        <v>2014</v>
      </c>
      <c r="D5776" s="351" t="s">
        <v>23</v>
      </c>
      <c r="E5776" s="28" t="s">
        <v>327</v>
      </c>
      <c r="F5776" s="7" t="s">
        <v>87</v>
      </c>
      <c r="G5776" s="139" t="s">
        <v>26</v>
      </c>
      <c r="H5776" s="140" t="s">
        <v>8281</v>
      </c>
      <c r="I5776" s="141">
        <v>8</v>
      </c>
      <c r="J5776" s="142">
        <f>296+8</f>
        <v>304</v>
      </c>
      <c r="K5776" s="142">
        <v>0</v>
      </c>
      <c r="L5776" s="142">
        <v>0</v>
      </c>
      <c r="M5776" s="142">
        <v>0</v>
      </c>
      <c r="N5776" s="142">
        <v>0</v>
      </c>
      <c r="O5776" s="142">
        <v>0</v>
      </c>
      <c r="P5776" s="158">
        <v>0</v>
      </c>
      <c r="Q5776" s="191" t="s">
        <v>2218</v>
      </c>
    </row>
    <row r="5777" spans="1:17" s="162" customFormat="1" ht="96" x14ac:dyDescent="0.25">
      <c r="A5777" s="137">
        <v>41882</v>
      </c>
      <c r="B5777" s="137">
        <v>41882</v>
      </c>
      <c r="C5777" s="138">
        <v>2014</v>
      </c>
      <c r="D5777" s="24" t="s">
        <v>141</v>
      </c>
      <c r="E5777" s="30" t="s">
        <v>142</v>
      </c>
      <c r="F5777" s="7" t="s">
        <v>62</v>
      </c>
      <c r="G5777" s="139" t="s">
        <v>1920</v>
      </c>
      <c r="H5777" s="140" t="s">
        <v>8282</v>
      </c>
      <c r="I5777" s="141">
        <v>8</v>
      </c>
      <c r="J5777" s="142">
        <v>8</v>
      </c>
      <c r="K5777" s="142">
        <v>0</v>
      </c>
      <c r="L5777" s="142">
        <v>0</v>
      </c>
      <c r="M5777" s="142">
        <v>0</v>
      </c>
      <c r="N5777" s="142">
        <v>0</v>
      </c>
      <c r="O5777" s="142">
        <v>0</v>
      </c>
      <c r="P5777" s="158">
        <v>0</v>
      </c>
      <c r="Q5777" s="144" t="s">
        <v>154</v>
      </c>
    </row>
    <row r="5778" spans="1:17" s="162" customFormat="1" ht="72" x14ac:dyDescent="0.25">
      <c r="A5778" s="190">
        <v>41640</v>
      </c>
      <c r="B5778" s="190">
        <v>42004</v>
      </c>
      <c r="C5778" s="138">
        <v>2014</v>
      </c>
      <c r="D5778" s="351" t="s">
        <v>23</v>
      </c>
      <c r="E5778" s="22" t="s">
        <v>42</v>
      </c>
      <c r="F5778" s="7" t="s">
        <v>40</v>
      </c>
      <c r="G5778" s="192" t="s">
        <v>2109</v>
      </c>
      <c r="H5778" s="192" t="s">
        <v>8283</v>
      </c>
      <c r="I5778" s="191">
        <v>7</v>
      </c>
      <c r="J5778" s="193">
        <v>185</v>
      </c>
      <c r="K5778" s="193">
        <v>0</v>
      </c>
      <c r="L5778" s="193">
        <v>0</v>
      </c>
      <c r="M5778" s="193">
        <v>0</v>
      </c>
      <c r="N5778" s="193">
        <v>0</v>
      </c>
      <c r="O5778" s="193">
        <v>0</v>
      </c>
      <c r="P5778" s="158">
        <v>0</v>
      </c>
      <c r="Q5778" s="191" t="s">
        <v>2218</v>
      </c>
    </row>
    <row r="5779" spans="1:17" s="162" customFormat="1" ht="108" x14ac:dyDescent="0.25">
      <c r="A5779" s="137">
        <v>41680</v>
      </c>
      <c r="B5779" s="137">
        <v>41680</v>
      </c>
      <c r="C5779" s="138">
        <v>2014</v>
      </c>
      <c r="D5779" s="24" t="s">
        <v>141</v>
      </c>
      <c r="E5779" s="30" t="s">
        <v>142</v>
      </c>
      <c r="F5779" s="7" t="s">
        <v>101</v>
      </c>
      <c r="G5779" s="139" t="s">
        <v>1461</v>
      </c>
      <c r="H5779" s="140" t="s">
        <v>8284</v>
      </c>
      <c r="I5779" s="179">
        <v>7</v>
      </c>
      <c r="J5779" s="142">
        <v>11</v>
      </c>
      <c r="K5779" s="142">
        <v>0</v>
      </c>
      <c r="L5779" s="142">
        <v>0</v>
      </c>
      <c r="M5779" s="142">
        <v>0</v>
      </c>
      <c r="N5779" s="142">
        <v>0</v>
      </c>
      <c r="O5779" s="142">
        <v>0</v>
      </c>
      <c r="P5779" s="158">
        <v>0</v>
      </c>
      <c r="Q5779" s="144" t="s">
        <v>154</v>
      </c>
    </row>
    <row r="5780" spans="1:17" s="162" customFormat="1" ht="96" x14ac:dyDescent="0.25">
      <c r="A5780" s="137">
        <v>41701</v>
      </c>
      <c r="B5780" s="137">
        <v>41701</v>
      </c>
      <c r="C5780" s="138">
        <v>2014</v>
      </c>
      <c r="D5780" s="24" t="s">
        <v>141</v>
      </c>
      <c r="E5780" s="30" t="s">
        <v>142</v>
      </c>
      <c r="F5780" s="7" t="s">
        <v>75</v>
      </c>
      <c r="G5780" s="139" t="s">
        <v>6624</v>
      </c>
      <c r="H5780" s="140" t="s">
        <v>8285</v>
      </c>
      <c r="I5780" s="179">
        <v>7</v>
      </c>
      <c r="J5780" s="142">
        <v>52</v>
      </c>
      <c r="K5780" s="142">
        <v>0</v>
      </c>
      <c r="L5780" s="142">
        <v>0</v>
      </c>
      <c r="M5780" s="142">
        <v>0</v>
      </c>
      <c r="N5780" s="142">
        <v>0</v>
      </c>
      <c r="O5780" s="142">
        <v>0</v>
      </c>
      <c r="P5780" s="158">
        <v>0</v>
      </c>
      <c r="Q5780" s="144" t="s">
        <v>154</v>
      </c>
    </row>
    <row r="5781" spans="1:17" s="162" customFormat="1" ht="84" x14ac:dyDescent="0.25">
      <c r="A5781" s="137">
        <v>41759</v>
      </c>
      <c r="B5781" s="137">
        <v>41759</v>
      </c>
      <c r="C5781" s="138">
        <v>2014</v>
      </c>
      <c r="D5781" s="351" t="s">
        <v>23</v>
      </c>
      <c r="E5781" s="22" t="s">
        <v>86</v>
      </c>
      <c r="F5781" s="7" t="s">
        <v>75</v>
      </c>
      <c r="G5781" s="139" t="s">
        <v>6084</v>
      </c>
      <c r="H5781" s="140" t="s">
        <v>8286</v>
      </c>
      <c r="I5781" s="179">
        <v>7</v>
      </c>
      <c r="J5781" s="142">
        <v>7</v>
      </c>
      <c r="K5781" s="142">
        <v>0</v>
      </c>
      <c r="L5781" s="142">
        <v>0</v>
      </c>
      <c r="M5781" s="142">
        <v>0</v>
      </c>
      <c r="N5781" s="142">
        <v>0</v>
      </c>
      <c r="O5781" s="142">
        <v>0</v>
      </c>
      <c r="P5781" s="158">
        <v>0</v>
      </c>
      <c r="Q5781" s="144" t="s">
        <v>154</v>
      </c>
    </row>
    <row r="5782" spans="1:17" s="162" customFormat="1" ht="72" x14ac:dyDescent="0.25">
      <c r="A5782" s="137">
        <v>41729</v>
      </c>
      <c r="B5782" s="137">
        <v>41729</v>
      </c>
      <c r="C5782" s="138">
        <v>2014</v>
      </c>
      <c r="D5782" s="24" t="s">
        <v>141</v>
      </c>
      <c r="E5782" s="30" t="s">
        <v>142</v>
      </c>
      <c r="F5782" s="7" t="s">
        <v>68</v>
      </c>
      <c r="G5782" s="139" t="s">
        <v>2852</v>
      </c>
      <c r="H5782" s="140" t="s">
        <v>8287</v>
      </c>
      <c r="I5782" s="179">
        <v>6</v>
      </c>
      <c r="J5782" s="31">
        <v>21</v>
      </c>
      <c r="K5782" s="142">
        <v>0</v>
      </c>
      <c r="L5782" s="142">
        <v>0</v>
      </c>
      <c r="M5782" s="142">
        <v>0</v>
      </c>
      <c r="N5782" s="142">
        <v>0</v>
      </c>
      <c r="O5782" s="142">
        <v>0</v>
      </c>
      <c r="P5782" s="158">
        <v>0</v>
      </c>
      <c r="Q5782" s="144" t="s">
        <v>154</v>
      </c>
    </row>
    <row r="5783" spans="1:17" s="162" customFormat="1" ht="96" x14ac:dyDescent="0.25">
      <c r="A5783" s="137">
        <v>41808</v>
      </c>
      <c r="B5783" s="137">
        <v>41808</v>
      </c>
      <c r="C5783" s="138">
        <v>2014</v>
      </c>
      <c r="D5783" s="24" t="s">
        <v>141</v>
      </c>
      <c r="E5783" s="41" t="s">
        <v>1965</v>
      </c>
      <c r="F5783" s="7" t="s">
        <v>60</v>
      </c>
      <c r="G5783" s="139" t="s">
        <v>1256</v>
      </c>
      <c r="H5783" s="140" t="s">
        <v>8288</v>
      </c>
      <c r="I5783" s="182">
        <v>6</v>
      </c>
      <c r="J5783" s="178">
        <v>7</v>
      </c>
      <c r="K5783" s="183">
        <v>0</v>
      </c>
      <c r="L5783" s="142">
        <v>0</v>
      </c>
      <c r="M5783" s="142">
        <v>0</v>
      </c>
      <c r="N5783" s="142">
        <v>0</v>
      </c>
      <c r="O5783" s="142">
        <v>0</v>
      </c>
      <c r="P5783" s="158">
        <v>0</v>
      </c>
      <c r="Q5783" s="144" t="s">
        <v>154</v>
      </c>
    </row>
    <row r="5784" spans="1:17" s="162" customFormat="1" ht="84" x14ac:dyDescent="0.25">
      <c r="A5784" s="137">
        <v>41681</v>
      </c>
      <c r="B5784" s="137">
        <v>41681</v>
      </c>
      <c r="C5784" s="138">
        <v>2014</v>
      </c>
      <c r="D5784" s="24" t="s">
        <v>141</v>
      </c>
      <c r="E5784" s="41" t="s">
        <v>1965</v>
      </c>
      <c r="F5784" s="7" t="s">
        <v>82</v>
      </c>
      <c r="G5784" s="139" t="s">
        <v>220</v>
      </c>
      <c r="H5784" s="140" t="s">
        <v>8289</v>
      </c>
      <c r="I5784" s="179">
        <v>5</v>
      </c>
      <c r="J5784" s="142">
        <v>5</v>
      </c>
      <c r="K5784" s="142">
        <v>0</v>
      </c>
      <c r="L5784" s="142">
        <v>0</v>
      </c>
      <c r="M5784" s="142">
        <v>0</v>
      </c>
      <c r="N5784" s="142">
        <v>0</v>
      </c>
      <c r="O5784" s="142">
        <v>0</v>
      </c>
      <c r="P5784" s="158">
        <v>0</v>
      </c>
      <c r="Q5784" s="144" t="s">
        <v>154</v>
      </c>
    </row>
    <row r="5785" spans="1:17" s="162" customFormat="1" ht="96" x14ac:dyDescent="0.25">
      <c r="A5785" s="137">
        <v>41801</v>
      </c>
      <c r="B5785" s="137">
        <v>41801</v>
      </c>
      <c r="C5785" s="138">
        <v>2014</v>
      </c>
      <c r="D5785" s="24" t="s">
        <v>141</v>
      </c>
      <c r="E5785" s="41" t="s">
        <v>1965</v>
      </c>
      <c r="F5785" s="28" t="s">
        <v>210</v>
      </c>
      <c r="G5785" s="139" t="s">
        <v>8290</v>
      </c>
      <c r="H5785" s="140" t="s">
        <v>8291</v>
      </c>
      <c r="I5785" s="182">
        <v>5</v>
      </c>
      <c r="J5785" s="178">
        <v>8</v>
      </c>
      <c r="K5785" s="142">
        <v>0</v>
      </c>
      <c r="L5785" s="142">
        <v>0</v>
      </c>
      <c r="M5785" s="142">
        <v>0</v>
      </c>
      <c r="N5785" s="142">
        <v>0</v>
      </c>
      <c r="O5785" s="142">
        <v>0</v>
      </c>
      <c r="P5785" s="158">
        <v>0</v>
      </c>
      <c r="Q5785" s="144" t="s">
        <v>154</v>
      </c>
    </row>
    <row r="5786" spans="1:17" s="162" customFormat="1" ht="84" x14ac:dyDescent="0.25">
      <c r="A5786" s="137">
        <v>41890</v>
      </c>
      <c r="B5786" s="137">
        <v>41890</v>
      </c>
      <c r="C5786" s="138">
        <v>2014</v>
      </c>
      <c r="D5786" s="35" t="s">
        <v>28</v>
      </c>
      <c r="E5786" s="6" t="s">
        <v>149</v>
      </c>
      <c r="F5786" s="7" t="s">
        <v>91</v>
      </c>
      <c r="G5786" s="139" t="s">
        <v>2342</v>
      </c>
      <c r="H5786" s="140" t="s">
        <v>8292</v>
      </c>
      <c r="I5786" s="141">
        <v>4</v>
      </c>
      <c r="J5786" s="142">
        <v>11</v>
      </c>
      <c r="K5786" s="142">
        <v>0</v>
      </c>
      <c r="L5786" s="142">
        <v>0</v>
      </c>
      <c r="M5786" s="142">
        <v>0</v>
      </c>
      <c r="N5786" s="142">
        <v>0</v>
      </c>
      <c r="O5786" s="142">
        <v>0</v>
      </c>
      <c r="P5786" s="158">
        <v>0</v>
      </c>
      <c r="Q5786" s="144" t="s">
        <v>154</v>
      </c>
    </row>
    <row r="5787" spans="1:17" s="162" customFormat="1" ht="48" x14ac:dyDescent="0.25">
      <c r="A5787" s="137">
        <v>41914</v>
      </c>
      <c r="B5787" s="137">
        <v>41914</v>
      </c>
      <c r="C5787" s="138">
        <v>2014</v>
      </c>
      <c r="D5787" s="35" t="s">
        <v>28</v>
      </c>
      <c r="E5787" s="30" t="s">
        <v>133</v>
      </c>
      <c r="F5787" s="7" t="s">
        <v>75</v>
      </c>
      <c r="G5787" s="139" t="s">
        <v>8293</v>
      </c>
      <c r="H5787" s="140" t="s">
        <v>8294</v>
      </c>
      <c r="I5787" s="141">
        <v>4</v>
      </c>
      <c r="J5787" s="142">
        <v>6</v>
      </c>
      <c r="K5787" s="142">
        <v>0</v>
      </c>
      <c r="L5787" s="142">
        <v>0</v>
      </c>
      <c r="M5787" s="142">
        <v>0</v>
      </c>
      <c r="N5787" s="142">
        <v>1</v>
      </c>
      <c r="O5787" s="142">
        <v>0</v>
      </c>
      <c r="P5787" s="158">
        <v>0</v>
      </c>
      <c r="Q5787" s="144" t="s">
        <v>154</v>
      </c>
    </row>
    <row r="5788" spans="1:17" s="162" customFormat="1" ht="36" x14ac:dyDescent="0.25">
      <c r="A5788" s="190">
        <v>41640</v>
      </c>
      <c r="B5788" s="190">
        <v>41670</v>
      </c>
      <c r="C5788" s="138">
        <v>2014</v>
      </c>
      <c r="D5788" s="351" t="s">
        <v>23</v>
      </c>
      <c r="E5788" s="22" t="s">
        <v>42</v>
      </c>
      <c r="F5788" s="7" t="s">
        <v>87</v>
      </c>
      <c r="G5788" s="192" t="s">
        <v>2109</v>
      </c>
      <c r="H5788" s="192" t="s">
        <v>8295</v>
      </c>
      <c r="I5788" s="191">
        <v>3</v>
      </c>
      <c r="J5788" s="193">
        <v>32</v>
      </c>
      <c r="K5788" s="193">
        <v>0</v>
      </c>
      <c r="L5788" s="193">
        <v>0</v>
      </c>
      <c r="M5788" s="193">
        <v>0</v>
      </c>
      <c r="N5788" s="193">
        <v>0</v>
      </c>
      <c r="O5788" s="193">
        <v>0</v>
      </c>
      <c r="P5788" s="158">
        <v>0</v>
      </c>
      <c r="Q5788" s="191" t="s">
        <v>2218</v>
      </c>
    </row>
    <row r="5789" spans="1:17" s="162" customFormat="1" ht="36" x14ac:dyDescent="0.25">
      <c r="A5789" s="190">
        <v>41640</v>
      </c>
      <c r="B5789" s="190">
        <v>41670</v>
      </c>
      <c r="C5789" s="138">
        <v>2014</v>
      </c>
      <c r="D5789" s="351" t="s">
        <v>23</v>
      </c>
      <c r="E5789" s="22" t="s">
        <v>42</v>
      </c>
      <c r="F5789" s="7" t="s">
        <v>82</v>
      </c>
      <c r="G5789" s="192" t="s">
        <v>2109</v>
      </c>
      <c r="H5789" s="192" t="s">
        <v>8296</v>
      </c>
      <c r="I5789" s="191">
        <v>3</v>
      </c>
      <c r="J5789" s="193">
        <v>5</v>
      </c>
      <c r="K5789" s="193">
        <v>0</v>
      </c>
      <c r="L5789" s="193">
        <v>0</v>
      </c>
      <c r="M5789" s="193">
        <v>0</v>
      </c>
      <c r="N5789" s="193">
        <v>0</v>
      </c>
      <c r="O5789" s="193">
        <v>0</v>
      </c>
      <c r="P5789" s="158">
        <v>0</v>
      </c>
      <c r="Q5789" s="191" t="s">
        <v>2218</v>
      </c>
    </row>
    <row r="5790" spans="1:17" s="162" customFormat="1" ht="72" x14ac:dyDescent="0.25">
      <c r="A5790" s="137">
        <v>41800</v>
      </c>
      <c r="B5790" s="137">
        <v>41800</v>
      </c>
      <c r="C5790" s="138">
        <v>2014</v>
      </c>
      <c r="D5790" s="351" t="s">
        <v>23</v>
      </c>
      <c r="E5790" s="22" t="s">
        <v>86</v>
      </c>
      <c r="F5790" s="7" t="s">
        <v>75</v>
      </c>
      <c r="G5790" s="139" t="s">
        <v>75</v>
      </c>
      <c r="H5790" s="140" t="s">
        <v>8297</v>
      </c>
      <c r="I5790" s="182">
        <v>3</v>
      </c>
      <c r="J5790" s="178">
        <v>3</v>
      </c>
      <c r="K5790" s="142">
        <v>0</v>
      </c>
      <c r="L5790" s="142">
        <v>0</v>
      </c>
      <c r="M5790" s="142">
        <v>0</v>
      </c>
      <c r="N5790" s="142">
        <v>0</v>
      </c>
      <c r="O5790" s="142">
        <v>0</v>
      </c>
      <c r="P5790" s="158">
        <v>0</v>
      </c>
      <c r="Q5790" s="144" t="s">
        <v>154</v>
      </c>
    </row>
    <row r="5791" spans="1:17" s="162" customFormat="1" ht="72" x14ac:dyDescent="0.25">
      <c r="A5791" s="137">
        <v>41837</v>
      </c>
      <c r="B5791" s="137">
        <v>41837</v>
      </c>
      <c r="C5791" s="138">
        <v>2014</v>
      </c>
      <c r="D5791" s="24" t="s">
        <v>130</v>
      </c>
      <c r="E5791" s="30" t="s">
        <v>136</v>
      </c>
      <c r="F5791" s="7" t="s">
        <v>60</v>
      </c>
      <c r="G5791" s="139" t="s">
        <v>4208</v>
      </c>
      <c r="H5791" s="33" t="s">
        <v>8298</v>
      </c>
      <c r="I5791" s="182">
        <v>3</v>
      </c>
      <c r="J5791" s="142">
        <v>4</v>
      </c>
      <c r="K5791" s="142">
        <v>0</v>
      </c>
      <c r="L5791" s="142">
        <v>0</v>
      </c>
      <c r="M5791" s="142">
        <v>0</v>
      </c>
      <c r="N5791" s="142">
        <v>0</v>
      </c>
      <c r="O5791" s="142">
        <v>0</v>
      </c>
      <c r="P5791" s="158">
        <v>0</v>
      </c>
      <c r="Q5791" s="144" t="s">
        <v>154</v>
      </c>
    </row>
    <row r="5792" spans="1:17" s="162" customFormat="1" ht="72" x14ac:dyDescent="0.25">
      <c r="A5792" s="48">
        <v>41901</v>
      </c>
      <c r="B5792" s="48">
        <v>41901</v>
      </c>
      <c r="C5792" s="138">
        <v>2014</v>
      </c>
      <c r="D5792" s="351" t="s">
        <v>23</v>
      </c>
      <c r="E5792" s="22" t="s">
        <v>86</v>
      </c>
      <c r="F5792" s="7" t="s">
        <v>68</v>
      </c>
      <c r="G5792" s="139" t="s">
        <v>3128</v>
      </c>
      <c r="H5792" s="140" t="s">
        <v>8299</v>
      </c>
      <c r="I5792" s="141">
        <v>3</v>
      </c>
      <c r="J5792" s="142">
        <v>5</v>
      </c>
      <c r="K5792" s="142">
        <v>0</v>
      </c>
      <c r="L5792" s="142">
        <v>0</v>
      </c>
      <c r="M5792" s="142">
        <v>0</v>
      </c>
      <c r="N5792" s="142">
        <v>0</v>
      </c>
      <c r="O5792" s="142">
        <v>0</v>
      </c>
      <c r="P5792" s="158">
        <v>0</v>
      </c>
      <c r="Q5792" s="144" t="s">
        <v>154</v>
      </c>
    </row>
    <row r="5793" spans="1:17" s="162" customFormat="1" ht="48" x14ac:dyDescent="0.25">
      <c r="A5793" s="190">
        <v>41640</v>
      </c>
      <c r="B5793" s="190">
        <v>41670</v>
      </c>
      <c r="C5793" s="138">
        <v>2014</v>
      </c>
      <c r="D5793" s="351" t="s">
        <v>23</v>
      </c>
      <c r="E5793" s="22" t="s">
        <v>42</v>
      </c>
      <c r="F5793" s="7" t="s">
        <v>91</v>
      </c>
      <c r="G5793" s="192" t="s">
        <v>2109</v>
      </c>
      <c r="H5793" s="192" t="s">
        <v>8300</v>
      </c>
      <c r="I5793" s="191">
        <v>2</v>
      </c>
      <c r="J5793" s="193">
        <v>27</v>
      </c>
      <c r="K5793" s="193">
        <v>0</v>
      </c>
      <c r="L5793" s="193">
        <v>0</v>
      </c>
      <c r="M5793" s="193">
        <v>0</v>
      </c>
      <c r="N5793" s="193">
        <v>0</v>
      </c>
      <c r="O5793" s="193">
        <v>0</v>
      </c>
      <c r="P5793" s="158">
        <v>0</v>
      </c>
      <c r="Q5793" s="191" t="s">
        <v>2218</v>
      </c>
    </row>
    <row r="5794" spans="1:17" s="162" customFormat="1" ht="36" x14ac:dyDescent="0.25">
      <c r="A5794" s="190">
        <v>41640</v>
      </c>
      <c r="B5794" s="190">
        <v>41670</v>
      </c>
      <c r="C5794" s="138">
        <v>2014</v>
      </c>
      <c r="D5794" s="351" t="s">
        <v>23</v>
      </c>
      <c r="E5794" s="22" t="s">
        <v>42</v>
      </c>
      <c r="F5794" s="7" t="s">
        <v>75</v>
      </c>
      <c r="G5794" s="192" t="s">
        <v>2109</v>
      </c>
      <c r="H5794" s="192" t="s">
        <v>8301</v>
      </c>
      <c r="I5794" s="191">
        <v>2</v>
      </c>
      <c r="J5794" s="193">
        <v>10</v>
      </c>
      <c r="K5794" s="193">
        <v>0</v>
      </c>
      <c r="L5794" s="193">
        <v>0</v>
      </c>
      <c r="M5794" s="193">
        <v>0</v>
      </c>
      <c r="N5794" s="193">
        <v>0</v>
      </c>
      <c r="O5794" s="193">
        <v>0</v>
      </c>
      <c r="P5794" s="158">
        <v>0</v>
      </c>
      <c r="Q5794" s="191" t="s">
        <v>2218</v>
      </c>
    </row>
    <row r="5795" spans="1:17" s="162" customFormat="1" ht="36" x14ac:dyDescent="0.25">
      <c r="A5795" s="190">
        <v>41640</v>
      </c>
      <c r="B5795" s="190">
        <v>41670</v>
      </c>
      <c r="C5795" s="138">
        <v>2014</v>
      </c>
      <c r="D5795" s="351" t="s">
        <v>23</v>
      </c>
      <c r="E5795" s="28" t="s">
        <v>327</v>
      </c>
      <c r="F5795" s="7" t="s">
        <v>80</v>
      </c>
      <c r="G5795" s="139" t="s">
        <v>26</v>
      </c>
      <c r="H5795" s="140" t="s">
        <v>8302</v>
      </c>
      <c r="I5795" s="141">
        <v>2</v>
      </c>
      <c r="J5795" s="142">
        <f>5+2+2</f>
        <v>9</v>
      </c>
      <c r="K5795" s="142">
        <v>0</v>
      </c>
      <c r="L5795" s="142">
        <v>0</v>
      </c>
      <c r="M5795" s="142">
        <v>0</v>
      </c>
      <c r="N5795" s="142">
        <v>0</v>
      </c>
      <c r="O5795" s="142">
        <v>0</v>
      </c>
      <c r="P5795" s="158">
        <v>0</v>
      </c>
      <c r="Q5795" s="191" t="s">
        <v>2218</v>
      </c>
    </row>
    <row r="5796" spans="1:17" s="162" customFormat="1" ht="36" x14ac:dyDescent="0.25">
      <c r="A5796" s="190">
        <v>41640</v>
      </c>
      <c r="B5796" s="190">
        <v>41670</v>
      </c>
      <c r="C5796" s="138">
        <v>2014</v>
      </c>
      <c r="D5796" s="351" t="s">
        <v>23</v>
      </c>
      <c r="E5796" s="28" t="s">
        <v>327</v>
      </c>
      <c r="F5796" s="7" t="s">
        <v>91</v>
      </c>
      <c r="G5796" s="139" t="s">
        <v>26</v>
      </c>
      <c r="H5796" s="187" t="s">
        <v>8303</v>
      </c>
      <c r="I5796" s="179">
        <v>2</v>
      </c>
      <c r="J5796" s="31">
        <v>9</v>
      </c>
      <c r="K5796" s="142">
        <v>0</v>
      </c>
      <c r="L5796" s="142">
        <v>0</v>
      </c>
      <c r="M5796" s="142">
        <v>0</v>
      </c>
      <c r="N5796" s="142">
        <v>0</v>
      </c>
      <c r="O5796" s="142">
        <v>0</v>
      </c>
      <c r="P5796" s="158">
        <v>0</v>
      </c>
      <c r="Q5796" s="191" t="s">
        <v>2218</v>
      </c>
    </row>
    <row r="5797" spans="1:17" s="162" customFormat="1" ht="84" x14ac:dyDescent="0.25">
      <c r="A5797" s="137">
        <v>41657</v>
      </c>
      <c r="B5797" s="137">
        <v>41659</v>
      </c>
      <c r="C5797" s="138">
        <v>2014</v>
      </c>
      <c r="D5797" s="35" t="s">
        <v>28</v>
      </c>
      <c r="E5797" s="30" t="s">
        <v>133</v>
      </c>
      <c r="F5797" s="28" t="s">
        <v>210</v>
      </c>
      <c r="G5797" s="139" t="s">
        <v>924</v>
      </c>
      <c r="H5797" s="140" t="s">
        <v>8304</v>
      </c>
      <c r="I5797" s="141">
        <v>2</v>
      </c>
      <c r="J5797" s="142">
        <v>2</v>
      </c>
      <c r="K5797" s="142">
        <v>0</v>
      </c>
      <c r="L5797" s="142">
        <v>0</v>
      </c>
      <c r="M5797" s="142">
        <v>0</v>
      </c>
      <c r="N5797" s="142">
        <v>1</v>
      </c>
      <c r="O5797" s="142">
        <v>0</v>
      </c>
      <c r="P5797" s="158">
        <v>0</v>
      </c>
      <c r="Q5797" s="144" t="s">
        <v>154</v>
      </c>
    </row>
    <row r="5798" spans="1:17" s="162" customFormat="1" ht="96" x14ac:dyDescent="0.25">
      <c r="A5798" s="137">
        <v>41715</v>
      </c>
      <c r="B5798" s="137">
        <v>41715</v>
      </c>
      <c r="C5798" s="138">
        <v>2014</v>
      </c>
      <c r="D5798" s="35" t="s">
        <v>28</v>
      </c>
      <c r="E5798" s="6" t="s">
        <v>149</v>
      </c>
      <c r="F5798" s="7" t="s">
        <v>58</v>
      </c>
      <c r="G5798" s="139" t="s">
        <v>168</v>
      </c>
      <c r="H5798" s="140" t="s">
        <v>8305</v>
      </c>
      <c r="I5798" s="179">
        <v>2</v>
      </c>
      <c r="J5798" s="31">
        <v>4</v>
      </c>
      <c r="K5798" s="142">
        <v>0</v>
      </c>
      <c r="L5798" s="142">
        <v>0</v>
      </c>
      <c r="M5798" s="142">
        <v>0</v>
      </c>
      <c r="N5798" s="142">
        <v>0</v>
      </c>
      <c r="O5798" s="142">
        <v>0</v>
      </c>
      <c r="P5798" s="158">
        <v>0</v>
      </c>
      <c r="Q5798" s="144" t="s">
        <v>154</v>
      </c>
    </row>
    <row r="5799" spans="1:17" s="162" customFormat="1" ht="60" x14ac:dyDescent="0.25">
      <c r="A5799" s="137">
        <v>41773</v>
      </c>
      <c r="B5799" s="137">
        <v>41773</v>
      </c>
      <c r="C5799" s="138">
        <v>2014</v>
      </c>
      <c r="D5799" s="351" t="s">
        <v>23</v>
      </c>
      <c r="E5799" s="180" t="s">
        <v>5893</v>
      </c>
      <c r="F5799" s="7" t="s">
        <v>72</v>
      </c>
      <c r="G5799" s="139" t="s">
        <v>8306</v>
      </c>
      <c r="H5799" s="140" t="s">
        <v>8307</v>
      </c>
      <c r="I5799" s="179">
        <v>2</v>
      </c>
      <c r="J5799" s="31">
        <v>3</v>
      </c>
      <c r="K5799" s="142">
        <v>0</v>
      </c>
      <c r="L5799" s="142">
        <v>0</v>
      </c>
      <c r="M5799" s="142">
        <v>0</v>
      </c>
      <c r="N5799" s="142">
        <v>0</v>
      </c>
      <c r="O5799" s="142">
        <v>0</v>
      </c>
      <c r="P5799" s="158">
        <v>0</v>
      </c>
      <c r="Q5799" s="144" t="s">
        <v>154</v>
      </c>
    </row>
    <row r="5800" spans="1:17" s="162" customFormat="1" ht="48" x14ac:dyDescent="0.25">
      <c r="A5800" s="137">
        <v>41839</v>
      </c>
      <c r="B5800" s="137">
        <v>41839</v>
      </c>
      <c r="C5800" s="138">
        <v>2014</v>
      </c>
      <c r="D5800" s="351" t="s">
        <v>23</v>
      </c>
      <c r="E5800" s="22" t="s">
        <v>86</v>
      </c>
      <c r="F5800" s="7" t="s">
        <v>56</v>
      </c>
      <c r="G5800" s="139" t="s">
        <v>2906</v>
      </c>
      <c r="H5800" s="33" t="s">
        <v>8308</v>
      </c>
      <c r="I5800" s="182">
        <v>2</v>
      </c>
      <c r="J5800" s="142">
        <v>2</v>
      </c>
      <c r="K5800" s="142">
        <v>0</v>
      </c>
      <c r="L5800" s="142">
        <v>0</v>
      </c>
      <c r="M5800" s="142">
        <v>0</v>
      </c>
      <c r="N5800" s="142">
        <v>0</v>
      </c>
      <c r="O5800" s="142">
        <v>0</v>
      </c>
      <c r="P5800" s="158">
        <v>0</v>
      </c>
      <c r="Q5800" s="144" t="s">
        <v>154</v>
      </c>
    </row>
    <row r="5801" spans="1:17" s="162" customFormat="1" ht="96" x14ac:dyDescent="0.25">
      <c r="A5801" s="137">
        <v>41976</v>
      </c>
      <c r="B5801" s="137">
        <v>41976</v>
      </c>
      <c r="C5801" s="138">
        <v>2014</v>
      </c>
      <c r="D5801" s="24" t="s">
        <v>141</v>
      </c>
      <c r="E5801" s="30" t="s">
        <v>142</v>
      </c>
      <c r="F5801" s="7" t="s">
        <v>60</v>
      </c>
      <c r="G5801" s="139" t="s">
        <v>1424</v>
      </c>
      <c r="H5801" s="140" t="s">
        <v>8309</v>
      </c>
      <c r="I5801" s="141">
        <v>2</v>
      </c>
      <c r="J5801" s="142">
        <v>5</v>
      </c>
      <c r="K5801" s="142">
        <v>0</v>
      </c>
      <c r="L5801" s="142">
        <v>0</v>
      </c>
      <c r="M5801" s="142">
        <v>0</v>
      </c>
      <c r="N5801" s="142">
        <v>0</v>
      </c>
      <c r="O5801" s="142">
        <v>0</v>
      </c>
      <c r="P5801" s="158">
        <v>0</v>
      </c>
      <c r="Q5801" s="144" t="s">
        <v>154</v>
      </c>
    </row>
    <row r="5802" spans="1:17" s="162" customFormat="1" ht="48" x14ac:dyDescent="0.25">
      <c r="A5802" s="48">
        <v>41987</v>
      </c>
      <c r="B5802" s="48">
        <v>41987</v>
      </c>
      <c r="C5802" s="138">
        <v>2014</v>
      </c>
      <c r="D5802" s="24" t="s">
        <v>141</v>
      </c>
      <c r="E5802" s="30" t="s">
        <v>142</v>
      </c>
      <c r="F5802" s="7" t="s">
        <v>56</v>
      </c>
      <c r="G5802" s="139" t="s">
        <v>7626</v>
      </c>
      <c r="H5802" s="140" t="s">
        <v>8310</v>
      </c>
      <c r="I5802" s="141">
        <v>2</v>
      </c>
      <c r="J5802" s="142">
        <v>5</v>
      </c>
      <c r="K5802" s="142">
        <v>0</v>
      </c>
      <c r="L5802" s="142">
        <v>0</v>
      </c>
      <c r="M5802" s="142">
        <v>0</v>
      </c>
      <c r="N5802" s="142">
        <v>0</v>
      </c>
      <c r="O5802" s="142">
        <v>0</v>
      </c>
      <c r="P5802" s="158">
        <v>0</v>
      </c>
      <c r="Q5802" s="144" t="s">
        <v>154</v>
      </c>
    </row>
    <row r="5803" spans="1:17" s="162" customFormat="1" ht="36" x14ac:dyDescent="0.25">
      <c r="A5803" s="190">
        <v>41640</v>
      </c>
      <c r="B5803" s="190">
        <v>41670</v>
      </c>
      <c r="C5803" s="138">
        <v>2014</v>
      </c>
      <c r="D5803" s="351" t="s">
        <v>23</v>
      </c>
      <c r="E5803" s="22" t="s">
        <v>42</v>
      </c>
      <c r="F5803" s="7" t="s">
        <v>68</v>
      </c>
      <c r="G5803" s="192" t="s">
        <v>2109</v>
      </c>
      <c r="H5803" s="192" t="s">
        <v>8311</v>
      </c>
      <c r="I5803" s="191">
        <v>1</v>
      </c>
      <c r="J5803" s="193">
        <v>4</v>
      </c>
      <c r="K5803" s="193">
        <v>0</v>
      </c>
      <c r="L5803" s="193">
        <v>0</v>
      </c>
      <c r="M5803" s="193">
        <v>0</v>
      </c>
      <c r="N5803" s="193">
        <v>0</v>
      </c>
      <c r="O5803" s="193">
        <v>0</v>
      </c>
      <c r="P5803" s="158">
        <v>0</v>
      </c>
      <c r="Q5803" s="191" t="s">
        <v>2218</v>
      </c>
    </row>
    <row r="5804" spans="1:17" s="162" customFormat="1" ht="36" x14ac:dyDescent="0.25">
      <c r="A5804" s="190">
        <v>41640</v>
      </c>
      <c r="B5804" s="190">
        <v>41670</v>
      </c>
      <c r="C5804" s="138">
        <v>2014</v>
      </c>
      <c r="D5804" s="351" t="s">
        <v>23</v>
      </c>
      <c r="E5804" s="28" t="s">
        <v>327</v>
      </c>
      <c r="F5804" s="7" t="s">
        <v>40</v>
      </c>
      <c r="G5804" s="139" t="s">
        <v>26</v>
      </c>
      <c r="H5804" s="140" t="s">
        <v>8312</v>
      </c>
      <c r="I5804" s="141">
        <v>1</v>
      </c>
      <c r="J5804" s="142">
        <f>19+17+2+1</f>
        <v>39</v>
      </c>
      <c r="K5804" s="142">
        <v>0</v>
      </c>
      <c r="L5804" s="142">
        <v>0</v>
      </c>
      <c r="M5804" s="142">
        <v>0</v>
      </c>
      <c r="N5804" s="142">
        <v>0</v>
      </c>
      <c r="O5804" s="142">
        <v>0</v>
      </c>
      <c r="P5804" s="158">
        <v>0</v>
      </c>
      <c r="Q5804" s="191" t="s">
        <v>2218</v>
      </c>
    </row>
    <row r="5805" spans="1:17" s="162" customFormat="1" ht="36" x14ac:dyDescent="0.25">
      <c r="A5805" s="190">
        <v>41640</v>
      </c>
      <c r="B5805" s="190">
        <v>41670</v>
      </c>
      <c r="C5805" s="138">
        <v>2014</v>
      </c>
      <c r="D5805" s="351" t="s">
        <v>23</v>
      </c>
      <c r="E5805" s="28" t="s">
        <v>327</v>
      </c>
      <c r="F5805" s="7" t="s">
        <v>33</v>
      </c>
      <c r="G5805" s="139" t="s">
        <v>26</v>
      </c>
      <c r="H5805" s="187" t="s">
        <v>8313</v>
      </c>
      <c r="I5805" s="179">
        <v>1</v>
      </c>
      <c r="J5805" s="31">
        <v>1</v>
      </c>
      <c r="K5805" s="142">
        <v>0</v>
      </c>
      <c r="L5805" s="142">
        <v>0</v>
      </c>
      <c r="M5805" s="142">
        <v>0</v>
      </c>
      <c r="N5805" s="142">
        <v>0</v>
      </c>
      <c r="O5805" s="142">
        <v>0</v>
      </c>
      <c r="P5805" s="158">
        <v>0</v>
      </c>
      <c r="Q5805" s="191" t="s">
        <v>2218</v>
      </c>
    </row>
    <row r="5806" spans="1:17" s="162" customFormat="1" ht="108" x14ac:dyDescent="0.25">
      <c r="A5806" s="137">
        <v>41662</v>
      </c>
      <c r="B5806" s="137">
        <v>41662</v>
      </c>
      <c r="C5806" s="138">
        <v>2014</v>
      </c>
      <c r="D5806" s="35" t="s">
        <v>28</v>
      </c>
      <c r="E5806" s="30" t="s">
        <v>133</v>
      </c>
      <c r="F5806" s="7" t="s">
        <v>45</v>
      </c>
      <c r="G5806" s="139" t="s">
        <v>259</v>
      </c>
      <c r="H5806" s="187" t="s">
        <v>8314</v>
      </c>
      <c r="I5806" s="141">
        <v>1</v>
      </c>
      <c r="J5806" s="142">
        <v>2</v>
      </c>
      <c r="K5806" s="142">
        <v>0</v>
      </c>
      <c r="L5806" s="142">
        <v>0</v>
      </c>
      <c r="M5806" s="142">
        <v>0</v>
      </c>
      <c r="N5806" s="142">
        <v>1</v>
      </c>
      <c r="O5806" s="142">
        <v>0</v>
      </c>
      <c r="P5806" s="158">
        <v>0</v>
      </c>
      <c r="Q5806" s="144" t="s">
        <v>154</v>
      </c>
    </row>
    <row r="5807" spans="1:17" s="162" customFormat="1" ht="144" x14ac:dyDescent="0.25">
      <c r="A5807" s="137">
        <v>41679</v>
      </c>
      <c r="B5807" s="137">
        <v>41679</v>
      </c>
      <c r="C5807" s="138">
        <v>2014</v>
      </c>
      <c r="D5807" s="24" t="s">
        <v>141</v>
      </c>
      <c r="E5807" s="30" t="s">
        <v>142</v>
      </c>
      <c r="F5807" s="7" t="s">
        <v>68</v>
      </c>
      <c r="G5807" s="139" t="s">
        <v>3128</v>
      </c>
      <c r="H5807" s="140" t="s">
        <v>8315</v>
      </c>
      <c r="I5807" s="179">
        <v>1</v>
      </c>
      <c r="J5807" s="31">
        <v>2</v>
      </c>
      <c r="K5807" s="142">
        <v>0</v>
      </c>
      <c r="L5807" s="142">
        <v>0</v>
      </c>
      <c r="M5807" s="142">
        <v>0</v>
      </c>
      <c r="N5807" s="142">
        <v>0</v>
      </c>
      <c r="O5807" s="142">
        <v>0</v>
      </c>
      <c r="P5807" s="158">
        <v>0</v>
      </c>
      <c r="Q5807" s="144" t="s">
        <v>154</v>
      </c>
    </row>
    <row r="5808" spans="1:17" s="162" customFormat="1" ht="72" x14ac:dyDescent="0.25">
      <c r="A5808" s="137">
        <v>41697</v>
      </c>
      <c r="B5808" s="137">
        <v>41697</v>
      </c>
      <c r="C5808" s="138">
        <v>2014</v>
      </c>
      <c r="D5808" s="24" t="s">
        <v>141</v>
      </c>
      <c r="E5808" s="30" t="s">
        <v>142</v>
      </c>
      <c r="F5808" s="7" t="s">
        <v>62</v>
      </c>
      <c r="G5808" s="139" t="s">
        <v>165</v>
      </c>
      <c r="H5808" s="140" t="s">
        <v>8316</v>
      </c>
      <c r="I5808" s="179">
        <v>1</v>
      </c>
      <c r="J5808" s="142">
        <v>14</v>
      </c>
      <c r="K5808" s="142">
        <v>0</v>
      </c>
      <c r="L5808" s="142">
        <v>0</v>
      </c>
      <c r="M5808" s="142">
        <v>0</v>
      </c>
      <c r="N5808" s="142">
        <v>0</v>
      </c>
      <c r="O5808" s="142">
        <v>0</v>
      </c>
      <c r="P5808" s="158">
        <v>0</v>
      </c>
      <c r="Q5808" s="144" t="s">
        <v>154</v>
      </c>
    </row>
    <row r="5809" spans="1:17" s="162" customFormat="1" ht="96" x14ac:dyDescent="0.25">
      <c r="A5809" s="137">
        <v>41772</v>
      </c>
      <c r="B5809" s="137">
        <v>41772</v>
      </c>
      <c r="C5809" s="138">
        <v>2014</v>
      </c>
      <c r="D5809" s="35" t="s">
        <v>28</v>
      </c>
      <c r="E5809" s="6" t="s">
        <v>149</v>
      </c>
      <c r="F5809" s="7" t="s">
        <v>53</v>
      </c>
      <c r="G5809" s="139" t="s">
        <v>2975</v>
      </c>
      <c r="H5809" s="140" t="s">
        <v>8317</v>
      </c>
      <c r="I5809" s="179">
        <v>1</v>
      </c>
      <c r="J5809" s="142">
        <v>108</v>
      </c>
      <c r="K5809" s="142">
        <v>0</v>
      </c>
      <c r="L5809" s="142">
        <v>0</v>
      </c>
      <c r="M5809" s="142">
        <v>0</v>
      </c>
      <c r="N5809" s="142">
        <v>1</v>
      </c>
      <c r="O5809" s="142">
        <v>0</v>
      </c>
      <c r="P5809" s="158">
        <v>0</v>
      </c>
      <c r="Q5809" s="144" t="s">
        <v>154</v>
      </c>
    </row>
    <row r="5810" spans="1:17" s="162" customFormat="1" ht="72" x14ac:dyDescent="0.25">
      <c r="A5810" s="137">
        <v>41774</v>
      </c>
      <c r="B5810" s="137">
        <v>41774</v>
      </c>
      <c r="C5810" s="138">
        <v>2014</v>
      </c>
      <c r="D5810" s="35" t="s">
        <v>28</v>
      </c>
      <c r="E5810" s="30" t="s">
        <v>133</v>
      </c>
      <c r="F5810" s="28" t="s">
        <v>210</v>
      </c>
      <c r="G5810" s="139" t="s">
        <v>4296</v>
      </c>
      <c r="H5810" s="140" t="s">
        <v>8318</v>
      </c>
      <c r="I5810" s="179">
        <v>1</v>
      </c>
      <c r="J5810" s="31">
        <v>2</v>
      </c>
      <c r="K5810" s="142">
        <v>0</v>
      </c>
      <c r="L5810" s="142">
        <v>0</v>
      </c>
      <c r="M5810" s="142">
        <v>0</v>
      </c>
      <c r="N5810" s="142">
        <v>1</v>
      </c>
      <c r="O5810" s="142">
        <v>0</v>
      </c>
      <c r="P5810" s="158">
        <v>0</v>
      </c>
      <c r="Q5810" s="144" t="s">
        <v>154</v>
      </c>
    </row>
    <row r="5811" spans="1:17" s="162" customFormat="1" ht="60" x14ac:dyDescent="0.25">
      <c r="A5811" s="137">
        <v>41775</v>
      </c>
      <c r="B5811" s="137">
        <v>41775</v>
      </c>
      <c r="C5811" s="138">
        <v>2014</v>
      </c>
      <c r="D5811" s="35" t="s">
        <v>28</v>
      </c>
      <c r="E5811" s="30" t="s">
        <v>133</v>
      </c>
      <c r="F5811" s="7" t="s">
        <v>53</v>
      </c>
      <c r="G5811" s="139" t="s">
        <v>926</v>
      </c>
      <c r="H5811" s="140" t="s">
        <v>8319</v>
      </c>
      <c r="I5811" s="179">
        <v>1</v>
      </c>
      <c r="J5811" s="142">
        <v>5</v>
      </c>
      <c r="K5811" s="142">
        <v>0</v>
      </c>
      <c r="L5811" s="142">
        <v>0</v>
      </c>
      <c r="M5811" s="142">
        <v>0</v>
      </c>
      <c r="N5811" s="142">
        <v>1</v>
      </c>
      <c r="O5811" s="142">
        <v>0</v>
      </c>
      <c r="P5811" s="158">
        <v>0</v>
      </c>
      <c r="Q5811" s="144" t="s">
        <v>154</v>
      </c>
    </row>
    <row r="5812" spans="1:17" s="162" customFormat="1" ht="60" x14ac:dyDescent="0.25">
      <c r="A5812" s="137">
        <v>41776</v>
      </c>
      <c r="B5812" s="137">
        <v>41776</v>
      </c>
      <c r="C5812" s="138">
        <v>2014</v>
      </c>
      <c r="D5812" s="35" t="s">
        <v>28</v>
      </c>
      <c r="E5812" s="30" t="s">
        <v>133</v>
      </c>
      <c r="F5812" s="7" t="s">
        <v>56</v>
      </c>
      <c r="G5812" s="139" t="s">
        <v>218</v>
      </c>
      <c r="H5812" s="140" t="s">
        <v>8320</v>
      </c>
      <c r="I5812" s="179">
        <v>1</v>
      </c>
      <c r="J5812" s="31">
        <v>9</v>
      </c>
      <c r="K5812" s="142">
        <v>0</v>
      </c>
      <c r="L5812" s="142">
        <v>0</v>
      </c>
      <c r="M5812" s="142">
        <v>0</v>
      </c>
      <c r="N5812" s="142">
        <v>1</v>
      </c>
      <c r="O5812" s="142">
        <v>0</v>
      </c>
      <c r="P5812" s="158">
        <v>0</v>
      </c>
      <c r="Q5812" s="144" t="s">
        <v>154</v>
      </c>
    </row>
    <row r="5813" spans="1:17" s="162" customFormat="1" ht="84" x14ac:dyDescent="0.25">
      <c r="A5813" s="137">
        <v>41821</v>
      </c>
      <c r="B5813" s="137">
        <v>41821</v>
      </c>
      <c r="C5813" s="138">
        <v>2014</v>
      </c>
      <c r="D5813" s="351" t="s">
        <v>23</v>
      </c>
      <c r="E5813" s="180" t="s">
        <v>5893</v>
      </c>
      <c r="F5813" s="7" t="s">
        <v>84</v>
      </c>
      <c r="G5813" s="139" t="s">
        <v>8321</v>
      </c>
      <c r="H5813" s="140" t="s">
        <v>8322</v>
      </c>
      <c r="I5813" s="182">
        <v>1</v>
      </c>
      <c r="J5813" s="178">
        <v>2</v>
      </c>
      <c r="K5813" s="142">
        <v>0</v>
      </c>
      <c r="L5813" s="142">
        <v>0</v>
      </c>
      <c r="M5813" s="142">
        <v>0</v>
      </c>
      <c r="N5813" s="142">
        <v>0</v>
      </c>
      <c r="O5813" s="142">
        <v>0</v>
      </c>
      <c r="P5813" s="158">
        <v>0</v>
      </c>
      <c r="Q5813" s="144" t="s">
        <v>154</v>
      </c>
    </row>
    <row r="5814" spans="1:17" s="162" customFormat="1" ht="84" x14ac:dyDescent="0.25">
      <c r="A5814" s="137">
        <v>41830</v>
      </c>
      <c r="B5814" s="137">
        <v>41830</v>
      </c>
      <c r="C5814" s="138">
        <v>2014</v>
      </c>
      <c r="D5814" s="35" t="s">
        <v>28</v>
      </c>
      <c r="E5814" s="30" t="s">
        <v>133</v>
      </c>
      <c r="F5814" s="7" t="s">
        <v>60</v>
      </c>
      <c r="G5814" s="139" t="s">
        <v>8323</v>
      </c>
      <c r="H5814" s="140" t="s">
        <v>8324</v>
      </c>
      <c r="I5814" s="182">
        <v>1</v>
      </c>
      <c r="J5814" s="142">
        <v>3</v>
      </c>
      <c r="K5814" s="142">
        <v>0</v>
      </c>
      <c r="L5814" s="142">
        <v>0</v>
      </c>
      <c r="M5814" s="142">
        <v>0</v>
      </c>
      <c r="N5814" s="142">
        <v>1</v>
      </c>
      <c r="O5814" s="142">
        <v>0</v>
      </c>
      <c r="P5814" s="158">
        <v>0</v>
      </c>
      <c r="Q5814" s="144" t="s">
        <v>154</v>
      </c>
    </row>
    <row r="5815" spans="1:17" s="162" customFormat="1" ht="60" x14ac:dyDescent="0.25">
      <c r="A5815" s="137">
        <v>41831</v>
      </c>
      <c r="B5815" s="137">
        <v>41831</v>
      </c>
      <c r="C5815" s="138">
        <v>2014</v>
      </c>
      <c r="D5815" s="35" t="s">
        <v>28</v>
      </c>
      <c r="E5815" s="30" t="s">
        <v>133</v>
      </c>
      <c r="F5815" s="7" t="s">
        <v>68</v>
      </c>
      <c r="G5815" s="139" t="s">
        <v>2512</v>
      </c>
      <c r="H5815" s="140" t="s">
        <v>8325</v>
      </c>
      <c r="I5815" s="182">
        <v>1</v>
      </c>
      <c r="J5815" s="142">
        <v>6</v>
      </c>
      <c r="K5815" s="142">
        <v>0</v>
      </c>
      <c r="L5815" s="142">
        <v>0</v>
      </c>
      <c r="M5815" s="142">
        <v>0</v>
      </c>
      <c r="N5815" s="142">
        <v>1</v>
      </c>
      <c r="O5815" s="142">
        <v>0</v>
      </c>
      <c r="P5815" s="158">
        <v>0</v>
      </c>
      <c r="Q5815" s="144" t="s">
        <v>154</v>
      </c>
    </row>
    <row r="5816" spans="1:17" s="162" customFormat="1" ht="72" x14ac:dyDescent="0.25">
      <c r="A5816" s="137">
        <v>41835</v>
      </c>
      <c r="B5816" s="137">
        <v>41835</v>
      </c>
      <c r="C5816" s="138">
        <v>2014</v>
      </c>
      <c r="D5816" s="351" t="s">
        <v>23</v>
      </c>
      <c r="E5816" s="180" t="s">
        <v>5893</v>
      </c>
      <c r="F5816" s="7" t="s">
        <v>58</v>
      </c>
      <c r="G5816" s="139" t="s">
        <v>8326</v>
      </c>
      <c r="H5816" s="33" t="s">
        <v>8327</v>
      </c>
      <c r="I5816" s="182">
        <v>1</v>
      </c>
      <c r="J5816" s="142">
        <v>2</v>
      </c>
      <c r="K5816" s="142">
        <v>0</v>
      </c>
      <c r="L5816" s="142">
        <v>0</v>
      </c>
      <c r="M5816" s="142">
        <v>0</v>
      </c>
      <c r="N5816" s="142">
        <v>0</v>
      </c>
      <c r="O5816" s="142">
        <v>0</v>
      </c>
      <c r="P5816" s="158">
        <v>0</v>
      </c>
      <c r="Q5816" s="144" t="s">
        <v>154</v>
      </c>
    </row>
    <row r="5817" spans="1:17" s="162" customFormat="1" ht="84" x14ac:dyDescent="0.25">
      <c r="A5817" s="137">
        <v>41836</v>
      </c>
      <c r="B5817" s="137">
        <v>41836</v>
      </c>
      <c r="C5817" s="138">
        <v>2014</v>
      </c>
      <c r="D5817" s="351" t="s">
        <v>23</v>
      </c>
      <c r="E5817" s="22" t="s">
        <v>86</v>
      </c>
      <c r="F5817" s="7" t="s">
        <v>60</v>
      </c>
      <c r="G5817" s="139" t="s">
        <v>4575</v>
      </c>
      <c r="H5817" s="33" t="s">
        <v>8328</v>
      </c>
      <c r="I5817" s="182">
        <v>1</v>
      </c>
      <c r="J5817" s="142">
        <v>1</v>
      </c>
      <c r="K5817" s="142">
        <v>0</v>
      </c>
      <c r="L5817" s="142">
        <v>0</v>
      </c>
      <c r="M5817" s="142">
        <v>0</v>
      </c>
      <c r="N5817" s="142">
        <v>0</v>
      </c>
      <c r="O5817" s="142">
        <v>0</v>
      </c>
      <c r="P5817" s="158">
        <v>0</v>
      </c>
      <c r="Q5817" s="144" t="s">
        <v>154</v>
      </c>
    </row>
    <row r="5818" spans="1:17" s="162" customFormat="1" ht="84" x14ac:dyDescent="0.25">
      <c r="A5818" s="137">
        <v>41868</v>
      </c>
      <c r="B5818" s="137">
        <v>41868</v>
      </c>
      <c r="C5818" s="138">
        <v>2014</v>
      </c>
      <c r="D5818" s="351" t="s">
        <v>23</v>
      </c>
      <c r="E5818" s="22" t="s">
        <v>86</v>
      </c>
      <c r="F5818" s="7" t="s">
        <v>84</v>
      </c>
      <c r="G5818" s="139" t="s">
        <v>2143</v>
      </c>
      <c r="H5818" s="140" t="s">
        <v>8329</v>
      </c>
      <c r="I5818" s="141">
        <v>1</v>
      </c>
      <c r="J5818" s="142">
        <v>1</v>
      </c>
      <c r="K5818" s="142">
        <v>0</v>
      </c>
      <c r="L5818" s="142">
        <v>0</v>
      </c>
      <c r="M5818" s="142">
        <v>0</v>
      </c>
      <c r="N5818" s="142">
        <v>0</v>
      </c>
      <c r="O5818" s="142">
        <v>0</v>
      </c>
      <c r="P5818" s="158">
        <v>0</v>
      </c>
      <c r="Q5818" s="144" t="s">
        <v>154</v>
      </c>
    </row>
    <row r="5819" spans="1:17" s="162" customFormat="1" ht="96" x14ac:dyDescent="0.25">
      <c r="A5819" s="137">
        <v>41892</v>
      </c>
      <c r="B5819" s="137">
        <v>41892</v>
      </c>
      <c r="C5819" s="138">
        <v>2014</v>
      </c>
      <c r="D5819" s="351" t="s">
        <v>23</v>
      </c>
      <c r="E5819" s="180" t="s">
        <v>5893</v>
      </c>
      <c r="F5819" s="7" t="s">
        <v>72</v>
      </c>
      <c r="G5819" s="139" t="s">
        <v>8330</v>
      </c>
      <c r="H5819" s="140" t="s">
        <v>8331</v>
      </c>
      <c r="I5819" s="141">
        <v>1</v>
      </c>
      <c r="J5819" s="142">
        <v>3</v>
      </c>
      <c r="K5819" s="142">
        <v>0</v>
      </c>
      <c r="L5819" s="142">
        <v>0</v>
      </c>
      <c r="M5819" s="142">
        <v>0</v>
      </c>
      <c r="N5819" s="142">
        <v>0</v>
      </c>
      <c r="O5819" s="142">
        <v>0</v>
      </c>
      <c r="P5819" s="158">
        <v>0</v>
      </c>
      <c r="Q5819" s="144" t="s">
        <v>154</v>
      </c>
    </row>
    <row r="5820" spans="1:17" s="162" customFormat="1" ht="60" x14ac:dyDescent="0.25">
      <c r="A5820" s="137">
        <v>41892</v>
      </c>
      <c r="B5820" s="137">
        <v>41892</v>
      </c>
      <c r="C5820" s="138">
        <v>2014</v>
      </c>
      <c r="D5820" s="351" t="s">
        <v>23</v>
      </c>
      <c r="E5820" s="22" t="s">
        <v>86</v>
      </c>
      <c r="F5820" s="7" t="s">
        <v>72</v>
      </c>
      <c r="G5820" s="139" t="s">
        <v>8332</v>
      </c>
      <c r="H5820" s="140" t="s">
        <v>8333</v>
      </c>
      <c r="I5820" s="141">
        <v>1</v>
      </c>
      <c r="J5820" s="142">
        <v>1</v>
      </c>
      <c r="K5820" s="142">
        <v>0</v>
      </c>
      <c r="L5820" s="142">
        <v>0</v>
      </c>
      <c r="M5820" s="142">
        <v>0</v>
      </c>
      <c r="N5820" s="142">
        <v>0</v>
      </c>
      <c r="O5820" s="142">
        <v>0</v>
      </c>
      <c r="P5820" s="158">
        <v>0</v>
      </c>
      <c r="Q5820" s="144" t="s">
        <v>154</v>
      </c>
    </row>
    <row r="5821" spans="1:17" s="162" customFormat="1" ht="132" x14ac:dyDescent="0.25">
      <c r="A5821" s="48">
        <v>41898</v>
      </c>
      <c r="B5821" s="48">
        <v>41898</v>
      </c>
      <c r="C5821" s="138">
        <v>2014</v>
      </c>
      <c r="D5821" s="24" t="s">
        <v>141</v>
      </c>
      <c r="E5821" s="41" t="s">
        <v>1965</v>
      </c>
      <c r="F5821" s="7" t="s">
        <v>77</v>
      </c>
      <c r="G5821" s="139" t="s">
        <v>2427</v>
      </c>
      <c r="H5821" s="140" t="s">
        <v>8334</v>
      </c>
      <c r="I5821" s="141">
        <v>1</v>
      </c>
      <c r="J5821" s="142">
        <v>2</v>
      </c>
      <c r="K5821" s="142">
        <v>0</v>
      </c>
      <c r="L5821" s="142">
        <v>0</v>
      </c>
      <c r="M5821" s="142">
        <v>0</v>
      </c>
      <c r="N5821" s="142">
        <v>0</v>
      </c>
      <c r="O5821" s="142">
        <v>0</v>
      </c>
      <c r="P5821" s="158">
        <v>0</v>
      </c>
      <c r="Q5821" s="144" t="s">
        <v>154</v>
      </c>
    </row>
    <row r="5822" spans="1:17" s="162" customFormat="1" ht="60" x14ac:dyDescent="0.25">
      <c r="A5822" s="48">
        <v>41902</v>
      </c>
      <c r="B5822" s="48">
        <v>41902</v>
      </c>
      <c r="C5822" s="138">
        <v>2014</v>
      </c>
      <c r="D5822" s="351" t="s">
        <v>23</v>
      </c>
      <c r="E5822" s="180" t="s">
        <v>5893</v>
      </c>
      <c r="F5822" s="7" t="s">
        <v>36</v>
      </c>
      <c r="G5822" s="139" t="s">
        <v>4280</v>
      </c>
      <c r="H5822" s="140" t="s">
        <v>8335</v>
      </c>
      <c r="I5822" s="141">
        <v>1</v>
      </c>
      <c r="J5822" s="142">
        <v>3</v>
      </c>
      <c r="K5822" s="142">
        <v>0</v>
      </c>
      <c r="L5822" s="142">
        <v>0</v>
      </c>
      <c r="M5822" s="142">
        <v>0</v>
      </c>
      <c r="N5822" s="142">
        <v>0</v>
      </c>
      <c r="O5822" s="142">
        <v>0</v>
      </c>
      <c r="P5822" s="158">
        <v>0</v>
      </c>
      <c r="Q5822" s="144" t="s">
        <v>154</v>
      </c>
    </row>
    <row r="5823" spans="1:17" s="162" customFormat="1" ht="144" x14ac:dyDescent="0.25">
      <c r="A5823" s="137">
        <v>41910</v>
      </c>
      <c r="B5823" s="137">
        <v>41911</v>
      </c>
      <c r="C5823" s="138">
        <v>2014</v>
      </c>
      <c r="D5823" s="351" t="s">
        <v>23</v>
      </c>
      <c r="E5823" s="22" t="s">
        <v>86</v>
      </c>
      <c r="F5823" s="7" t="s">
        <v>72</v>
      </c>
      <c r="G5823" s="139" t="s">
        <v>8336</v>
      </c>
      <c r="H5823" s="140" t="s">
        <v>8337</v>
      </c>
      <c r="I5823" s="141">
        <v>1</v>
      </c>
      <c r="J5823" s="142">
        <v>5</v>
      </c>
      <c r="K5823" s="142">
        <v>0</v>
      </c>
      <c r="L5823" s="142">
        <v>0</v>
      </c>
      <c r="M5823" s="142">
        <v>0</v>
      </c>
      <c r="N5823" s="142">
        <v>0</v>
      </c>
      <c r="O5823" s="142">
        <v>0</v>
      </c>
      <c r="P5823" s="158">
        <v>0</v>
      </c>
      <c r="Q5823" s="144" t="s">
        <v>154</v>
      </c>
    </row>
    <row r="5824" spans="1:17" s="162" customFormat="1" ht="60" x14ac:dyDescent="0.25">
      <c r="A5824" s="48">
        <v>41927</v>
      </c>
      <c r="B5824" s="48">
        <v>41927</v>
      </c>
      <c r="C5824" s="138">
        <v>2014</v>
      </c>
      <c r="D5824" s="35" t="s">
        <v>17</v>
      </c>
      <c r="E5824" s="180" t="s">
        <v>1597</v>
      </c>
      <c r="F5824" s="7" t="s">
        <v>36</v>
      </c>
      <c r="G5824" s="139" t="s">
        <v>2057</v>
      </c>
      <c r="H5824" s="140" t="s">
        <v>8338</v>
      </c>
      <c r="I5824" s="141">
        <v>1</v>
      </c>
      <c r="J5824" s="142">
        <v>1</v>
      </c>
      <c r="K5824" s="142">
        <v>0</v>
      </c>
      <c r="L5824" s="142">
        <v>0</v>
      </c>
      <c r="M5824" s="142">
        <v>0</v>
      </c>
      <c r="N5824" s="142">
        <v>0</v>
      </c>
      <c r="O5824" s="142">
        <v>0</v>
      </c>
      <c r="P5824" s="158">
        <v>0</v>
      </c>
      <c r="Q5824" s="144" t="s">
        <v>154</v>
      </c>
    </row>
    <row r="5825" spans="1:17" s="162" customFormat="1" ht="84" x14ac:dyDescent="0.25">
      <c r="A5825" s="137">
        <v>41931</v>
      </c>
      <c r="B5825" s="137">
        <v>41931</v>
      </c>
      <c r="C5825" s="138">
        <v>2014</v>
      </c>
      <c r="D5825" s="35" t="s">
        <v>28</v>
      </c>
      <c r="E5825" s="30" t="s">
        <v>125</v>
      </c>
      <c r="F5825" s="7" t="s">
        <v>56</v>
      </c>
      <c r="G5825" s="139" t="s">
        <v>3722</v>
      </c>
      <c r="H5825" s="140" t="s">
        <v>8339</v>
      </c>
      <c r="I5825" s="141">
        <v>1</v>
      </c>
      <c r="J5825" s="142">
        <v>9</v>
      </c>
      <c r="K5825" s="142">
        <v>0</v>
      </c>
      <c r="L5825" s="142">
        <v>0</v>
      </c>
      <c r="M5825" s="142">
        <v>0</v>
      </c>
      <c r="N5825" s="142">
        <v>0</v>
      </c>
      <c r="O5825" s="142">
        <v>0</v>
      </c>
      <c r="P5825" s="158">
        <v>0</v>
      </c>
      <c r="Q5825" s="144" t="s">
        <v>154</v>
      </c>
    </row>
    <row r="5826" spans="1:17" s="162" customFormat="1" ht="72" x14ac:dyDescent="0.25">
      <c r="A5826" s="48">
        <v>41949</v>
      </c>
      <c r="B5826" s="48">
        <v>41949</v>
      </c>
      <c r="C5826" s="138">
        <v>2014</v>
      </c>
      <c r="D5826" s="24" t="s">
        <v>141</v>
      </c>
      <c r="E5826" s="180" t="s">
        <v>1600</v>
      </c>
      <c r="F5826" s="28" t="s">
        <v>157</v>
      </c>
      <c r="G5826" s="139" t="s">
        <v>3340</v>
      </c>
      <c r="H5826" s="140" t="s">
        <v>8340</v>
      </c>
      <c r="I5826" s="141">
        <v>1</v>
      </c>
      <c r="J5826" s="142">
        <v>5</v>
      </c>
      <c r="K5826" s="142">
        <v>0</v>
      </c>
      <c r="L5826" s="142">
        <v>0</v>
      </c>
      <c r="M5826" s="142">
        <v>0</v>
      </c>
      <c r="N5826" s="142">
        <v>0</v>
      </c>
      <c r="O5826" s="142">
        <v>0</v>
      </c>
      <c r="P5826" s="158">
        <v>0</v>
      </c>
      <c r="Q5826" s="144" t="s">
        <v>154</v>
      </c>
    </row>
    <row r="5827" spans="1:17" s="162" customFormat="1" ht="108" x14ac:dyDescent="0.25">
      <c r="A5827" s="137">
        <v>41982</v>
      </c>
      <c r="B5827" s="137">
        <v>41982</v>
      </c>
      <c r="C5827" s="138">
        <v>2014</v>
      </c>
      <c r="D5827" s="24" t="s">
        <v>141</v>
      </c>
      <c r="E5827" s="41" t="s">
        <v>1965</v>
      </c>
      <c r="F5827" s="7" t="s">
        <v>33</v>
      </c>
      <c r="G5827" s="139" t="s">
        <v>247</v>
      </c>
      <c r="H5827" s="140" t="s">
        <v>8341</v>
      </c>
      <c r="I5827" s="141">
        <v>1</v>
      </c>
      <c r="J5827" s="142">
        <v>233</v>
      </c>
      <c r="K5827" s="142">
        <v>0</v>
      </c>
      <c r="L5827" s="142">
        <v>0</v>
      </c>
      <c r="M5827" s="142">
        <v>0</v>
      </c>
      <c r="N5827" s="142">
        <v>1</v>
      </c>
      <c r="O5827" s="142">
        <v>0</v>
      </c>
      <c r="P5827" s="158">
        <v>0</v>
      </c>
      <c r="Q5827" s="144" t="s">
        <v>154</v>
      </c>
    </row>
    <row r="5828" spans="1:17" s="162" customFormat="1" ht="24" x14ac:dyDescent="0.25">
      <c r="A5828" s="190">
        <v>41640</v>
      </c>
      <c r="B5828" s="190">
        <v>41670</v>
      </c>
      <c r="C5828" s="138">
        <v>2014</v>
      </c>
      <c r="D5828" s="351" t="s">
        <v>23</v>
      </c>
      <c r="E5828" s="22" t="s">
        <v>42</v>
      </c>
      <c r="F5828" s="7" t="s">
        <v>49</v>
      </c>
      <c r="G5828" s="192" t="s">
        <v>2109</v>
      </c>
      <c r="H5828" s="192" t="s">
        <v>8342</v>
      </c>
      <c r="I5828" s="191">
        <v>0</v>
      </c>
      <c r="J5828" s="193">
        <v>9</v>
      </c>
      <c r="K5828" s="193">
        <v>0</v>
      </c>
      <c r="L5828" s="193">
        <v>0</v>
      </c>
      <c r="M5828" s="193">
        <v>0</v>
      </c>
      <c r="N5828" s="193">
        <v>0</v>
      </c>
      <c r="O5828" s="193">
        <v>0</v>
      </c>
      <c r="P5828" s="158">
        <v>0</v>
      </c>
      <c r="Q5828" s="191" t="s">
        <v>2218</v>
      </c>
    </row>
    <row r="5829" spans="1:17" s="162" customFormat="1" ht="24" x14ac:dyDescent="0.25">
      <c r="A5829" s="190">
        <v>41640</v>
      </c>
      <c r="B5829" s="190">
        <v>41670</v>
      </c>
      <c r="C5829" s="138">
        <v>2014</v>
      </c>
      <c r="D5829" s="351" t="s">
        <v>23</v>
      </c>
      <c r="E5829" s="22" t="s">
        <v>42</v>
      </c>
      <c r="F5829" s="7" t="s">
        <v>60</v>
      </c>
      <c r="G5829" s="192" t="s">
        <v>2109</v>
      </c>
      <c r="H5829" s="192" t="s">
        <v>8343</v>
      </c>
      <c r="I5829" s="191">
        <v>0</v>
      </c>
      <c r="J5829" s="193">
        <v>3</v>
      </c>
      <c r="K5829" s="193">
        <v>0</v>
      </c>
      <c r="L5829" s="193">
        <v>0</v>
      </c>
      <c r="M5829" s="193">
        <v>0</v>
      </c>
      <c r="N5829" s="193">
        <v>0</v>
      </c>
      <c r="O5829" s="193">
        <v>0</v>
      </c>
      <c r="P5829" s="158">
        <v>0</v>
      </c>
      <c r="Q5829" s="191" t="s">
        <v>2218</v>
      </c>
    </row>
    <row r="5830" spans="1:17" s="162" customFormat="1" ht="24" x14ac:dyDescent="0.25">
      <c r="A5830" s="190">
        <v>41640</v>
      </c>
      <c r="B5830" s="190">
        <v>41670</v>
      </c>
      <c r="C5830" s="138">
        <v>2014</v>
      </c>
      <c r="D5830" s="351" t="s">
        <v>23</v>
      </c>
      <c r="E5830" s="22" t="s">
        <v>42</v>
      </c>
      <c r="F5830" s="28" t="s">
        <v>160</v>
      </c>
      <c r="G5830" s="192" t="s">
        <v>2109</v>
      </c>
      <c r="H5830" s="192" t="s">
        <v>8344</v>
      </c>
      <c r="I5830" s="191">
        <v>0</v>
      </c>
      <c r="J5830" s="193">
        <v>5</v>
      </c>
      <c r="K5830" s="193">
        <v>0</v>
      </c>
      <c r="L5830" s="193">
        <v>0</v>
      </c>
      <c r="M5830" s="193">
        <v>0</v>
      </c>
      <c r="N5830" s="193">
        <v>0</v>
      </c>
      <c r="O5830" s="193">
        <v>0</v>
      </c>
      <c r="P5830" s="158">
        <v>0</v>
      </c>
      <c r="Q5830" s="191" t="s">
        <v>2218</v>
      </c>
    </row>
    <row r="5831" spans="1:17" s="162" customFormat="1" ht="24" x14ac:dyDescent="0.25">
      <c r="A5831" s="190">
        <v>41640</v>
      </c>
      <c r="B5831" s="190">
        <v>41670</v>
      </c>
      <c r="C5831" s="138">
        <v>2014</v>
      </c>
      <c r="D5831" s="351" t="s">
        <v>23</v>
      </c>
      <c r="E5831" s="22" t="s">
        <v>42</v>
      </c>
      <c r="F5831" s="7" t="s">
        <v>45</v>
      </c>
      <c r="G5831" s="192" t="s">
        <v>2109</v>
      </c>
      <c r="H5831" s="192" t="s">
        <v>8345</v>
      </c>
      <c r="I5831" s="191">
        <v>0</v>
      </c>
      <c r="J5831" s="193">
        <v>1</v>
      </c>
      <c r="K5831" s="193">
        <v>0</v>
      </c>
      <c r="L5831" s="193">
        <v>0</v>
      </c>
      <c r="M5831" s="193">
        <v>0</v>
      </c>
      <c r="N5831" s="193">
        <v>0</v>
      </c>
      <c r="O5831" s="193">
        <v>0</v>
      </c>
      <c r="P5831" s="158">
        <v>0</v>
      </c>
      <c r="Q5831" s="191" t="s">
        <v>2218</v>
      </c>
    </row>
    <row r="5832" spans="1:17" s="162" customFormat="1" ht="24" x14ac:dyDescent="0.25">
      <c r="A5832" s="190">
        <v>41640</v>
      </c>
      <c r="B5832" s="190">
        <v>41670</v>
      </c>
      <c r="C5832" s="138">
        <v>2014</v>
      </c>
      <c r="D5832" s="351" t="s">
        <v>23</v>
      </c>
      <c r="E5832" s="22" t="s">
        <v>42</v>
      </c>
      <c r="F5832" s="7" t="s">
        <v>97</v>
      </c>
      <c r="G5832" s="192" t="s">
        <v>2109</v>
      </c>
      <c r="H5832" s="192" t="s">
        <v>8346</v>
      </c>
      <c r="I5832" s="191">
        <v>0</v>
      </c>
      <c r="J5832" s="193">
        <v>6</v>
      </c>
      <c r="K5832" s="193">
        <v>0</v>
      </c>
      <c r="L5832" s="193">
        <v>0</v>
      </c>
      <c r="M5832" s="193">
        <v>0</v>
      </c>
      <c r="N5832" s="193">
        <v>0</v>
      </c>
      <c r="O5832" s="193">
        <v>0</v>
      </c>
      <c r="P5832" s="158">
        <v>0</v>
      </c>
      <c r="Q5832" s="191" t="s">
        <v>2218</v>
      </c>
    </row>
    <row r="5833" spans="1:17" s="162" customFormat="1" ht="24" x14ac:dyDescent="0.25">
      <c r="A5833" s="190">
        <v>41640</v>
      </c>
      <c r="B5833" s="190">
        <v>41670</v>
      </c>
      <c r="C5833" s="138">
        <v>2014</v>
      </c>
      <c r="D5833" s="351" t="s">
        <v>23</v>
      </c>
      <c r="E5833" s="22" t="s">
        <v>42</v>
      </c>
      <c r="F5833" s="7" t="s">
        <v>30</v>
      </c>
      <c r="G5833" s="192" t="s">
        <v>2109</v>
      </c>
      <c r="H5833" s="192" t="s">
        <v>8347</v>
      </c>
      <c r="I5833" s="191">
        <v>0</v>
      </c>
      <c r="J5833" s="193">
        <v>1</v>
      </c>
      <c r="K5833" s="193">
        <v>0</v>
      </c>
      <c r="L5833" s="193">
        <v>0</v>
      </c>
      <c r="M5833" s="193">
        <v>0</v>
      </c>
      <c r="N5833" s="193">
        <v>0</v>
      </c>
      <c r="O5833" s="193">
        <v>0</v>
      </c>
      <c r="P5833" s="158">
        <v>0</v>
      </c>
      <c r="Q5833" s="191" t="s">
        <v>2218</v>
      </c>
    </row>
    <row r="5834" spans="1:17" s="162" customFormat="1" ht="24" x14ac:dyDescent="0.25">
      <c r="A5834" s="190">
        <v>41640</v>
      </c>
      <c r="B5834" s="190">
        <v>41670</v>
      </c>
      <c r="C5834" s="138">
        <v>2014</v>
      </c>
      <c r="D5834" s="351" t="s">
        <v>23</v>
      </c>
      <c r="E5834" s="28" t="s">
        <v>327</v>
      </c>
      <c r="F5834" s="28" t="s">
        <v>151</v>
      </c>
      <c r="G5834" s="139" t="s">
        <v>26</v>
      </c>
      <c r="H5834" s="140" t="s">
        <v>8348</v>
      </c>
      <c r="I5834" s="141">
        <v>0</v>
      </c>
      <c r="J5834" s="142">
        <v>7</v>
      </c>
      <c r="K5834" s="142">
        <v>0</v>
      </c>
      <c r="L5834" s="142">
        <v>0</v>
      </c>
      <c r="M5834" s="142">
        <v>0</v>
      </c>
      <c r="N5834" s="142">
        <v>0</v>
      </c>
      <c r="O5834" s="142">
        <v>0</v>
      </c>
      <c r="P5834" s="158">
        <v>0</v>
      </c>
      <c r="Q5834" s="191" t="s">
        <v>2218</v>
      </c>
    </row>
    <row r="5835" spans="1:17" s="162" customFormat="1" ht="36" x14ac:dyDescent="0.25">
      <c r="A5835" s="190">
        <v>41640</v>
      </c>
      <c r="B5835" s="190">
        <v>41670</v>
      </c>
      <c r="C5835" s="138">
        <v>2014</v>
      </c>
      <c r="D5835" s="351" t="s">
        <v>23</v>
      </c>
      <c r="E5835" s="28" t="s">
        <v>327</v>
      </c>
      <c r="F5835" s="7" t="s">
        <v>60</v>
      </c>
      <c r="G5835" s="139" t="s">
        <v>26</v>
      </c>
      <c r="H5835" s="187" t="s">
        <v>8349</v>
      </c>
      <c r="I5835" s="179">
        <v>0</v>
      </c>
      <c r="J5835" s="31">
        <v>6</v>
      </c>
      <c r="K5835" s="142">
        <v>0</v>
      </c>
      <c r="L5835" s="142">
        <v>0</v>
      </c>
      <c r="M5835" s="142">
        <v>0</v>
      </c>
      <c r="N5835" s="142">
        <v>0</v>
      </c>
      <c r="O5835" s="142">
        <v>0</v>
      </c>
      <c r="P5835" s="158">
        <v>0</v>
      </c>
      <c r="Q5835" s="191" t="s">
        <v>2218</v>
      </c>
    </row>
    <row r="5836" spans="1:17" s="162" customFormat="1" ht="24" x14ac:dyDescent="0.25">
      <c r="A5836" s="190">
        <v>41640</v>
      </c>
      <c r="B5836" s="190">
        <v>41670</v>
      </c>
      <c r="C5836" s="138">
        <v>2014</v>
      </c>
      <c r="D5836" s="351" t="s">
        <v>23</v>
      </c>
      <c r="E5836" s="28" t="s">
        <v>327</v>
      </c>
      <c r="F5836" s="7" t="s">
        <v>82</v>
      </c>
      <c r="G5836" s="139" t="s">
        <v>26</v>
      </c>
      <c r="H5836" s="187" t="s">
        <v>8350</v>
      </c>
      <c r="I5836" s="179">
        <v>0</v>
      </c>
      <c r="J5836" s="31">
        <v>5</v>
      </c>
      <c r="K5836" s="142">
        <v>0</v>
      </c>
      <c r="L5836" s="142">
        <v>0</v>
      </c>
      <c r="M5836" s="142">
        <v>0</v>
      </c>
      <c r="N5836" s="142">
        <v>0</v>
      </c>
      <c r="O5836" s="142">
        <v>0</v>
      </c>
      <c r="P5836" s="158">
        <v>0</v>
      </c>
      <c r="Q5836" s="191" t="s">
        <v>2218</v>
      </c>
    </row>
    <row r="5837" spans="1:17" s="162" customFormat="1" ht="24" x14ac:dyDescent="0.25">
      <c r="A5837" s="190">
        <v>41640</v>
      </c>
      <c r="B5837" s="190">
        <v>41670</v>
      </c>
      <c r="C5837" s="138">
        <v>2014</v>
      </c>
      <c r="D5837" s="351" t="s">
        <v>23</v>
      </c>
      <c r="E5837" s="28" t="s">
        <v>327</v>
      </c>
      <c r="F5837" s="28" t="s">
        <v>163</v>
      </c>
      <c r="G5837" s="139" t="s">
        <v>26</v>
      </c>
      <c r="H5837" s="187" t="s">
        <v>8351</v>
      </c>
      <c r="I5837" s="179">
        <v>0</v>
      </c>
      <c r="J5837" s="31">
        <v>3</v>
      </c>
      <c r="K5837" s="142">
        <v>0</v>
      </c>
      <c r="L5837" s="142">
        <v>0</v>
      </c>
      <c r="M5837" s="142">
        <v>0</v>
      </c>
      <c r="N5837" s="142">
        <v>0</v>
      </c>
      <c r="O5837" s="142">
        <v>0</v>
      </c>
      <c r="P5837" s="158">
        <v>0</v>
      </c>
      <c r="Q5837" s="191" t="s">
        <v>2218</v>
      </c>
    </row>
    <row r="5838" spans="1:17" s="162" customFormat="1" ht="24" x14ac:dyDescent="0.25">
      <c r="A5838" s="190">
        <v>41640</v>
      </c>
      <c r="B5838" s="190">
        <v>41670</v>
      </c>
      <c r="C5838" s="138">
        <v>2014</v>
      </c>
      <c r="D5838" s="351" t="s">
        <v>23</v>
      </c>
      <c r="E5838" s="28" t="s">
        <v>327</v>
      </c>
      <c r="F5838" s="7" t="s">
        <v>68</v>
      </c>
      <c r="G5838" s="139" t="s">
        <v>26</v>
      </c>
      <c r="H5838" s="187" t="s">
        <v>8351</v>
      </c>
      <c r="I5838" s="179">
        <v>0</v>
      </c>
      <c r="J5838" s="31">
        <v>3</v>
      </c>
      <c r="K5838" s="142">
        <v>0</v>
      </c>
      <c r="L5838" s="142">
        <v>0</v>
      </c>
      <c r="M5838" s="142">
        <v>0</v>
      </c>
      <c r="N5838" s="142">
        <v>0</v>
      </c>
      <c r="O5838" s="142">
        <v>0</v>
      </c>
      <c r="P5838" s="158">
        <v>0</v>
      </c>
      <c r="Q5838" s="191" t="s">
        <v>2218</v>
      </c>
    </row>
    <row r="5839" spans="1:17" s="162" customFormat="1" ht="24" x14ac:dyDescent="0.25">
      <c r="A5839" s="190">
        <v>41640</v>
      </c>
      <c r="B5839" s="190">
        <v>41670</v>
      </c>
      <c r="C5839" s="138">
        <v>2014</v>
      </c>
      <c r="D5839" s="351" t="s">
        <v>23</v>
      </c>
      <c r="E5839" s="28" t="s">
        <v>327</v>
      </c>
      <c r="F5839" s="7" t="s">
        <v>49</v>
      </c>
      <c r="G5839" s="139" t="s">
        <v>26</v>
      </c>
      <c r="H5839" s="187" t="s">
        <v>8352</v>
      </c>
      <c r="I5839" s="179">
        <v>0</v>
      </c>
      <c r="J5839" s="31">
        <v>2</v>
      </c>
      <c r="K5839" s="142">
        <v>0</v>
      </c>
      <c r="L5839" s="142">
        <v>0</v>
      </c>
      <c r="M5839" s="142">
        <v>0</v>
      </c>
      <c r="N5839" s="142">
        <v>0</v>
      </c>
      <c r="O5839" s="142">
        <v>0</v>
      </c>
      <c r="P5839" s="158">
        <v>0</v>
      </c>
      <c r="Q5839" s="191" t="s">
        <v>2218</v>
      </c>
    </row>
    <row r="5840" spans="1:17" s="162" customFormat="1" ht="24" x14ac:dyDescent="0.25">
      <c r="A5840" s="190">
        <v>41640</v>
      </c>
      <c r="B5840" s="190">
        <v>41670</v>
      </c>
      <c r="C5840" s="138">
        <v>2014</v>
      </c>
      <c r="D5840" s="351" t="s">
        <v>23</v>
      </c>
      <c r="E5840" s="28" t="s">
        <v>327</v>
      </c>
      <c r="F5840" s="28" t="s">
        <v>210</v>
      </c>
      <c r="G5840" s="139" t="s">
        <v>26</v>
      </c>
      <c r="H5840" s="187" t="s">
        <v>8353</v>
      </c>
      <c r="I5840" s="179">
        <v>0</v>
      </c>
      <c r="J5840" s="31">
        <v>1</v>
      </c>
      <c r="K5840" s="31">
        <v>0</v>
      </c>
      <c r="L5840" s="31">
        <v>0</v>
      </c>
      <c r="M5840" s="31"/>
      <c r="N5840" s="31">
        <v>0</v>
      </c>
      <c r="O5840" s="142">
        <v>0</v>
      </c>
      <c r="P5840" s="158">
        <v>0</v>
      </c>
      <c r="Q5840" s="191" t="s">
        <v>2218</v>
      </c>
    </row>
    <row r="5841" spans="1:17" s="162" customFormat="1" ht="24" x14ac:dyDescent="0.25">
      <c r="A5841" s="190">
        <v>41640</v>
      </c>
      <c r="B5841" s="190">
        <v>41670</v>
      </c>
      <c r="C5841" s="138">
        <v>2014</v>
      </c>
      <c r="D5841" s="351" t="s">
        <v>23</v>
      </c>
      <c r="E5841" s="28" t="s">
        <v>327</v>
      </c>
      <c r="F5841" s="28" t="s">
        <v>157</v>
      </c>
      <c r="G5841" s="139" t="s">
        <v>26</v>
      </c>
      <c r="H5841" s="187" t="s">
        <v>8354</v>
      </c>
      <c r="I5841" s="179">
        <v>0</v>
      </c>
      <c r="J5841" s="31">
        <v>1</v>
      </c>
      <c r="K5841" s="31">
        <v>0</v>
      </c>
      <c r="L5841" s="31">
        <v>0</v>
      </c>
      <c r="M5841" s="31"/>
      <c r="N5841" s="31">
        <v>0</v>
      </c>
      <c r="O5841" s="142">
        <v>0</v>
      </c>
      <c r="P5841" s="158">
        <v>0</v>
      </c>
      <c r="Q5841" s="191" t="s">
        <v>2218</v>
      </c>
    </row>
    <row r="5842" spans="1:17" s="162" customFormat="1" ht="24" x14ac:dyDescent="0.25">
      <c r="A5842" s="190">
        <v>41640</v>
      </c>
      <c r="B5842" s="190">
        <v>41670</v>
      </c>
      <c r="C5842" s="138">
        <v>2014</v>
      </c>
      <c r="D5842" s="351" t="s">
        <v>23</v>
      </c>
      <c r="E5842" s="28" t="s">
        <v>327</v>
      </c>
      <c r="F5842" s="7" t="s">
        <v>72</v>
      </c>
      <c r="G5842" s="139" t="s">
        <v>26</v>
      </c>
      <c r="H5842" s="187" t="s">
        <v>8353</v>
      </c>
      <c r="I5842" s="179">
        <v>0</v>
      </c>
      <c r="J5842" s="31">
        <v>1</v>
      </c>
      <c r="K5842" s="31">
        <v>0</v>
      </c>
      <c r="L5842" s="31">
        <v>0</v>
      </c>
      <c r="M5842" s="31"/>
      <c r="N5842" s="31">
        <v>0</v>
      </c>
      <c r="O5842" s="142">
        <v>0</v>
      </c>
      <c r="P5842" s="158">
        <v>0</v>
      </c>
      <c r="Q5842" s="191" t="s">
        <v>2218</v>
      </c>
    </row>
    <row r="5843" spans="1:17" s="162" customFormat="1" ht="72" x14ac:dyDescent="0.25">
      <c r="A5843" s="137">
        <v>41647</v>
      </c>
      <c r="B5843" s="137">
        <v>41647</v>
      </c>
      <c r="C5843" s="138">
        <v>2014</v>
      </c>
      <c r="D5843" s="35" t="s">
        <v>28</v>
      </c>
      <c r="E5843" s="30" t="s">
        <v>125</v>
      </c>
      <c r="F5843" s="7" t="s">
        <v>91</v>
      </c>
      <c r="G5843" s="139" t="s">
        <v>2321</v>
      </c>
      <c r="H5843" s="140" t="s">
        <v>8355</v>
      </c>
      <c r="I5843" s="141">
        <v>0</v>
      </c>
      <c r="J5843" s="31">
        <v>200</v>
      </c>
      <c r="K5843" s="142">
        <v>0</v>
      </c>
      <c r="L5843" s="142">
        <v>0</v>
      </c>
      <c r="M5843" s="142">
        <v>0</v>
      </c>
      <c r="N5843" s="142">
        <v>0</v>
      </c>
      <c r="O5843" s="142">
        <v>0</v>
      </c>
      <c r="P5843" s="158">
        <v>0</v>
      </c>
      <c r="Q5843" s="144" t="s">
        <v>154</v>
      </c>
    </row>
    <row r="5844" spans="1:17" s="162" customFormat="1" ht="96" x14ac:dyDescent="0.25">
      <c r="A5844" s="137">
        <v>41653</v>
      </c>
      <c r="B5844" s="137">
        <v>41653</v>
      </c>
      <c r="C5844" s="138">
        <v>2014</v>
      </c>
      <c r="D5844" s="35" t="s">
        <v>28</v>
      </c>
      <c r="E5844" s="30" t="s">
        <v>136</v>
      </c>
      <c r="F5844" s="7" t="s">
        <v>84</v>
      </c>
      <c r="G5844" s="139" t="s">
        <v>3740</v>
      </c>
      <c r="H5844" s="140" t="s">
        <v>8356</v>
      </c>
      <c r="I5844" s="141">
        <v>0</v>
      </c>
      <c r="J5844" s="142">
        <v>479</v>
      </c>
      <c r="K5844" s="142">
        <v>0</v>
      </c>
      <c r="L5844" s="142">
        <v>0</v>
      </c>
      <c r="M5844" s="142">
        <v>0</v>
      </c>
      <c r="N5844" s="142">
        <v>0</v>
      </c>
      <c r="O5844" s="142">
        <v>0</v>
      </c>
      <c r="P5844" s="158">
        <v>0</v>
      </c>
      <c r="Q5844" s="144" t="s">
        <v>154</v>
      </c>
    </row>
    <row r="5845" spans="1:17" s="162" customFormat="1" ht="72" x14ac:dyDescent="0.25">
      <c r="A5845" s="137">
        <v>41657</v>
      </c>
      <c r="B5845" s="137">
        <v>41657</v>
      </c>
      <c r="C5845" s="138">
        <v>2014</v>
      </c>
      <c r="D5845" s="35" t="s">
        <v>28</v>
      </c>
      <c r="E5845" s="30" t="s">
        <v>133</v>
      </c>
      <c r="F5845" s="7" t="s">
        <v>62</v>
      </c>
      <c r="G5845" s="139" t="s">
        <v>1011</v>
      </c>
      <c r="H5845" s="140" t="s">
        <v>8357</v>
      </c>
      <c r="I5845" s="141">
        <v>0</v>
      </c>
      <c r="J5845" s="31">
        <v>20</v>
      </c>
      <c r="K5845" s="142">
        <v>4</v>
      </c>
      <c r="L5845" s="142">
        <v>0</v>
      </c>
      <c r="M5845" s="142">
        <v>0</v>
      </c>
      <c r="N5845" s="142">
        <v>0</v>
      </c>
      <c r="O5845" s="142">
        <v>0</v>
      </c>
      <c r="P5845" s="158">
        <v>0</v>
      </c>
      <c r="Q5845" s="144" t="s">
        <v>154</v>
      </c>
    </row>
    <row r="5846" spans="1:17" s="162" customFormat="1" ht="72" x14ac:dyDescent="0.25">
      <c r="A5846" s="137">
        <v>41658</v>
      </c>
      <c r="B5846" s="137">
        <v>41658</v>
      </c>
      <c r="C5846" s="138">
        <v>2014</v>
      </c>
      <c r="D5846" s="24" t="s">
        <v>141</v>
      </c>
      <c r="E5846" s="30" t="s">
        <v>142</v>
      </c>
      <c r="F5846" s="7" t="s">
        <v>62</v>
      </c>
      <c r="G5846" s="139" t="s">
        <v>474</v>
      </c>
      <c r="H5846" s="140" t="s">
        <v>8358</v>
      </c>
      <c r="I5846" s="141">
        <v>0</v>
      </c>
      <c r="J5846" s="142">
        <v>13</v>
      </c>
      <c r="K5846" s="142">
        <v>0</v>
      </c>
      <c r="L5846" s="142">
        <v>0</v>
      </c>
      <c r="M5846" s="142">
        <v>0</v>
      </c>
      <c r="N5846" s="142">
        <v>0</v>
      </c>
      <c r="O5846" s="142">
        <v>0</v>
      </c>
      <c r="P5846" s="158">
        <v>0</v>
      </c>
      <c r="Q5846" s="144" t="s">
        <v>154</v>
      </c>
    </row>
    <row r="5847" spans="1:17" s="162" customFormat="1" ht="109.5" x14ac:dyDescent="0.25">
      <c r="A5847" s="137">
        <v>41664</v>
      </c>
      <c r="B5847" s="48">
        <v>41665</v>
      </c>
      <c r="C5847" s="138">
        <v>2014</v>
      </c>
      <c r="D5847" s="35" t="s">
        <v>28</v>
      </c>
      <c r="E5847" s="6" t="s">
        <v>149</v>
      </c>
      <c r="F5847" s="28" t="s">
        <v>157</v>
      </c>
      <c r="G5847" s="139" t="s">
        <v>716</v>
      </c>
      <c r="H5847" s="140" t="s">
        <v>8359</v>
      </c>
      <c r="I5847" s="141">
        <v>0</v>
      </c>
      <c r="J5847" s="142">
        <v>2000</v>
      </c>
      <c r="K5847" s="142">
        <v>0</v>
      </c>
      <c r="L5847" s="142">
        <v>0</v>
      </c>
      <c r="M5847" s="142">
        <v>0</v>
      </c>
      <c r="N5847" s="142">
        <v>3</v>
      </c>
      <c r="O5847" s="142">
        <v>0</v>
      </c>
      <c r="P5847" s="158">
        <v>0</v>
      </c>
      <c r="Q5847" s="144" t="s">
        <v>154</v>
      </c>
    </row>
    <row r="5848" spans="1:17" s="162" customFormat="1" ht="120" x14ac:dyDescent="0.25">
      <c r="A5848" s="137">
        <v>41670</v>
      </c>
      <c r="B5848" s="137">
        <v>41670</v>
      </c>
      <c r="C5848" s="138">
        <v>2014</v>
      </c>
      <c r="D5848" s="24" t="s">
        <v>141</v>
      </c>
      <c r="E5848" s="30" t="s">
        <v>142</v>
      </c>
      <c r="F5848" s="7" t="s">
        <v>58</v>
      </c>
      <c r="G5848" s="139" t="s">
        <v>5825</v>
      </c>
      <c r="H5848" s="140" t="s">
        <v>8360</v>
      </c>
      <c r="I5848" s="141">
        <v>0</v>
      </c>
      <c r="J5848" s="142">
        <v>30</v>
      </c>
      <c r="K5848" s="142">
        <v>0</v>
      </c>
      <c r="L5848" s="142">
        <v>0</v>
      </c>
      <c r="M5848" s="142">
        <v>0</v>
      </c>
      <c r="N5848" s="142">
        <v>0</v>
      </c>
      <c r="O5848" s="142">
        <v>0</v>
      </c>
      <c r="P5848" s="158">
        <v>0</v>
      </c>
      <c r="Q5848" s="144" t="s">
        <v>154</v>
      </c>
    </row>
    <row r="5849" spans="1:17" s="162" customFormat="1" ht="60" x14ac:dyDescent="0.25">
      <c r="A5849" s="137">
        <v>41676</v>
      </c>
      <c r="B5849" s="137">
        <v>41676</v>
      </c>
      <c r="C5849" s="138">
        <v>2014</v>
      </c>
      <c r="D5849" s="35" t="s">
        <v>28</v>
      </c>
      <c r="E5849" s="6" t="s">
        <v>149</v>
      </c>
      <c r="F5849" s="7" t="s">
        <v>53</v>
      </c>
      <c r="G5849" s="139" t="s">
        <v>460</v>
      </c>
      <c r="H5849" s="140" t="s">
        <v>8361</v>
      </c>
      <c r="I5849" s="141">
        <v>0</v>
      </c>
      <c r="J5849" s="31">
        <v>502</v>
      </c>
      <c r="K5849" s="142">
        <v>0</v>
      </c>
      <c r="L5849" s="142">
        <v>0</v>
      </c>
      <c r="M5849" s="142">
        <v>0</v>
      </c>
      <c r="N5849" s="142">
        <v>1</v>
      </c>
      <c r="O5849" s="142">
        <v>0</v>
      </c>
      <c r="P5849" s="158">
        <v>0</v>
      </c>
      <c r="Q5849" s="144" t="s">
        <v>154</v>
      </c>
    </row>
    <row r="5850" spans="1:17" s="162" customFormat="1" ht="96" x14ac:dyDescent="0.25">
      <c r="A5850" s="137">
        <v>41677</v>
      </c>
      <c r="B5850" s="137">
        <v>41677</v>
      </c>
      <c r="C5850" s="138">
        <v>2014</v>
      </c>
      <c r="D5850" s="35" t="s">
        <v>28</v>
      </c>
      <c r="E5850" s="30" t="s">
        <v>125</v>
      </c>
      <c r="F5850" s="28" t="s">
        <v>210</v>
      </c>
      <c r="G5850" s="139" t="s">
        <v>921</v>
      </c>
      <c r="H5850" s="140" t="s">
        <v>8362</v>
      </c>
      <c r="I5850" s="141">
        <v>0</v>
      </c>
      <c r="J5850" s="31">
        <v>10</v>
      </c>
      <c r="K5850" s="142">
        <v>0</v>
      </c>
      <c r="L5850" s="142">
        <v>0</v>
      </c>
      <c r="M5850" s="142">
        <v>0</v>
      </c>
      <c r="N5850" s="142">
        <v>1</v>
      </c>
      <c r="O5850" s="142">
        <v>0</v>
      </c>
      <c r="P5850" s="158">
        <v>0</v>
      </c>
      <c r="Q5850" s="144" t="s">
        <v>154</v>
      </c>
    </row>
    <row r="5851" spans="1:17" s="162" customFormat="1" ht="72" x14ac:dyDescent="0.25">
      <c r="A5851" s="137">
        <v>41681</v>
      </c>
      <c r="B5851" s="137">
        <v>41681</v>
      </c>
      <c r="C5851" s="138">
        <v>2014</v>
      </c>
      <c r="D5851" s="35" t="s">
        <v>28</v>
      </c>
      <c r="E5851" s="6" t="s">
        <v>149</v>
      </c>
      <c r="F5851" s="28" t="s">
        <v>210</v>
      </c>
      <c r="G5851" s="139" t="s">
        <v>4513</v>
      </c>
      <c r="H5851" s="140" t="s">
        <v>8363</v>
      </c>
      <c r="I5851" s="179">
        <v>0</v>
      </c>
      <c r="J5851" s="31">
        <v>257</v>
      </c>
      <c r="K5851" s="142">
        <v>0</v>
      </c>
      <c r="L5851" s="142">
        <v>0</v>
      </c>
      <c r="M5851" s="142">
        <v>0</v>
      </c>
      <c r="N5851" s="142">
        <v>1</v>
      </c>
      <c r="O5851" s="142">
        <v>0</v>
      </c>
      <c r="P5851" s="158">
        <v>0</v>
      </c>
      <c r="Q5851" s="144" t="s">
        <v>154</v>
      </c>
    </row>
    <row r="5852" spans="1:17" s="162" customFormat="1" ht="60" x14ac:dyDescent="0.25">
      <c r="A5852" s="137">
        <v>41690</v>
      </c>
      <c r="B5852" s="137">
        <v>41690</v>
      </c>
      <c r="C5852" s="138">
        <v>2014</v>
      </c>
      <c r="D5852" s="24" t="s">
        <v>141</v>
      </c>
      <c r="E5852" s="30" t="s">
        <v>142</v>
      </c>
      <c r="F5852" s="7" t="s">
        <v>53</v>
      </c>
      <c r="G5852" s="139" t="s">
        <v>1236</v>
      </c>
      <c r="H5852" s="140" t="s">
        <v>8364</v>
      </c>
      <c r="I5852" s="179">
        <v>0</v>
      </c>
      <c r="J5852" s="142">
        <v>8</v>
      </c>
      <c r="K5852" s="142">
        <v>0</v>
      </c>
      <c r="L5852" s="142">
        <v>0</v>
      </c>
      <c r="M5852" s="142">
        <v>0</v>
      </c>
      <c r="N5852" s="142">
        <v>0</v>
      </c>
      <c r="O5852" s="142">
        <v>0</v>
      </c>
      <c r="P5852" s="158">
        <v>0</v>
      </c>
      <c r="Q5852" s="144" t="s">
        <v>154</v>
      </c>
    </row>
    <row r="5853" spans="1:17" s="162" customFormat="1" ht="72" x14ac:dyDescent="0.25">
      <c r="A5853" s="137">
        <v>41692</v>
      </c>
      <c r="B5853" s="137">
        <v>41692</v>
      </c>
      <c r="C5853" s="138">
        <v>2014</v>
      </c>
      <c r="D5853" s="35" t="s">
        <v>28</v>
      </c>
      <c r="E5853" s="30" t="s">
        <v>125</v>
      </c>
      <c r="F5853" s="7" t="s">
        <v>75</v>
      </c>
      <c r="G5853" s="139" t="s">
        <v>75</v>
      </c>
      <c r="H5853" s="140" t="s">
        <v>8365</v>
      </c>
      <c r="I5853" s="179">
        <v>0</v>
      </c>
      <c r="J5853" s="142">
        <v>80</v>
      </c>
      <c r="K5853" s="142">
        <v>0</v>
      </c>
      <c r="L5853" s="142">
        <v>0</v>
      </c>
      <c r="M5853" s="142">
        <v>0</v>
      </c>
      <c r="N5853" s="142">
        <v>0</v>
      </c>
      <c r="O5853" s="142">
        <v>0</v>
      </c>
      <c r="P5853" s="158">
        <v>0</v>
      </c>
      <c r="Q5853" s="144" t="s">
        <v>154</v>
      </c>
    </row>
    <row r="5854" spans="1:17" s="162" customFormat="1" ht="72" x14ac:dyDescent="0.25">
      <c r="A5854" s="137">
        <v>41701</v>
      </c>
      <c r="B5854" s="137">
        <v>41701</v>
      </c>
      <c r="C5854" s="138">
        <v>2014</v>
      </c>
      <c r="D5854" s="24" t="s">
        <v>141</v>
      </c>
      <c r="E5854" s="30" t="s">
        <v>142</v>
      </c>
      <c r="F5854" s="7" t="s">
        <v>68</v>
      </c>
      <c r="G5854" s="139" t="s">
        <v>2512</v>
      </c>
      <c r="H5854" s="140" t="s">
        <v>8366</v>
      </c>
      <c r="I5854" s="179">
        <v>0</v>
      </c>
      <c r="J5854" s="142">
        <v>4</v>
      </c>
      <c r="K5854" s="142">
        <v>0</v>
      </c>
      <c r="L5854" s="142">
        <v>0</v>
      </c>
      <c r="M5854" s="142">
        <v>0</v>
      </c>
      <c r="N5854" s="142">
        <v>0</v>
      </c>
      <c r="O5854" s="142">
        <v>0</v>
      </c>
      <c r="P5854" s="158">
        <v>0</v>
      </c>
      <c r="Q5854" s="144" t="s">
        <v>154</v>
      </c>
    </row>
    <row r="5855" spans="1:17" s="162" customFormat="1" ht="48" x14ac:dyDescent="0.25">
      <c r="A5855" s="137">
        <v>41703</v>
      </c>
      <c r="B5855" s="137">
        <v>41703</v>
      </c>
      <c r="C5855" s="138">
        <v>2014</v>
      </c>
      <c r="D5855" s="35" t="s">
        <v>28</v>
      </c>
      <c r="E5855" s="6" t="s">
        <v>149</v>
      </c>
      <c r="F5855" s="28" t="s">
        <v>157</v>
      </c>
      <c r="G5855" s="139" t="s">
        <v>8367</v>
      </c>
      <c r="H5855" s="140" t="s">
        <v>8368</v>
      </c>
      <c r="I5855" s="179">
        <v>0</v>
      </c>
      <c r="J5855" s="142">
        <v>1</v>
      </c>
      <c r="K5855" s="142">
        <v>0</v>
      </c>
      <c r="L5855" s="142">
        <v>0</v>
      </c>
      <c r="M5855" s="142">
        <v>0</v>
      </c>
      <c r="N5855" s="142">
        <v>1</v>
      </c>
      <c r="O5855" s="142">
        <v>0</v>
      </c>
      <c r="P5855" s="158">
        <v>0</v>
      </c>
      <c r="Q5855" s="144" t="s">
        <v>154</v>
      </c>
    </row>
    <row r="5856" spans="1:17" s="162" customFormat="1" ht="84" x14ac:dyDescent="0.25">
      <c r="A5856" s="137">
        <v>41703</v>
      </c>
      <c r="B5856" s="137">
        <v>41703</v>
      </c>
      <c r="C5856" s="138">
        <v>2014</v>
      </c>
      <c r="D5856" s="24" t="s">
        <v>141</v>
      </c>
      <c r="E5856" s="41" t="s">
        <v>1965</v>
      </c>
      <c r="F5856" s="28" t="s">
        <v>157</v>
      </c>
      <c r="G5856" s="139" t="s">
        <v>6058</v>
      </c>
      <c r="H5856" s="140" t="s">
        <v>8369</v>
      </c>
      <c r="I5856" s="179">
        <v>0</v>
      </c>
      <c r="J5856" s="142">
        <v>4</v>
      </c>
      <c r="K5856" s="142">
        <v>0</v>
      </c>
      <c r="L5856" s="142">
        <v>0</v>
      </c>
      <c r="M5856" s="142">
        <v>0</v>
      </c>
      <c r="N5856" s="142">
        <v>0</v>
      </c>
      <c r="O5856" s="142">
        <v>0</v>
      </c>
      <c r="P5856" s="158">
        <v>0</v>
      </c>
      <c r="Q5856" s="144" t="s">
        <v>154</v>
      </c>
    </row>
    <row r="5857" spans="1:17" s="162" customFormat="1" ht="120" x14ac:dyDescent="0.25">
      <c r="A5857" s="137">
        <v>41704</v>
      </c>
      <c r="B5857" s="137">
        <v>41704</v>
      </c>
      <c r="C5857" s="138">
        <v>2014</v>
      </c>
      <c r="D5857" s="35" t="s">
        <v>28</v>
      </c>
      <c r="E5857" s="30" t="s">
        <v>125</v>
      </c>
      <c r="F5857" s="7" t="s">
        <v>65</v>
      </c>
      <c r="G5857" s="139" t="s">
        <v>1632</v>
      </c>
      <c r="H5857" s="140" t="s">
        <v>8370</v>
      </c>
      <c r="I5857" s="179">
        <v>0</v>
      </c>
      <c r="J5857" s="142">
        <v>6</v>
      </c>
      <c r="K5857" s="142">
        <v>0</v>
      </c>
      <c r="L5857" s="142">
        <v>0</v>
      </c>
      <c r="M5857" s="142">
        <v>0</v>
      </c>
      <c r="N5857" s="142">
        <v>0</v>
      </c>
      <c r="O5857" s="142">
        <v>0</v>
      </c>
      <c r="P5857" s="158">
        <v>0</v>
      </c>
      <c r="Q5857" s="144" t="s">
        <v>154</v>
      </c>
    </row>
    <row r="5858" spans="1:17" s="162" customFormat="1" ht="96" x14ac:dyDescent="0.25">
      <c r="A5858" s="137">
        <v>41711</v>
      </c>
      <c r="B5858" s="137">
        <v>41711</v>
      </c>
      <c r="C5858" s="138">
        <v>2014</v>
      </c>
      <c r="D5858" s="24" t="s">
        <v>141</v>
      </c>
      <c r="E5858" s="30" t="s">
        <v>142</v>
      </c>
      <c r="F5858" s="7" t="s">
        <v>60</v>
      </c>
      <c r="G5858" s="139" t="s">
        <v>8371</v>
      </c>
      <c r="H5858" s="140" t="s">
        <v>8372</v>
      </c>
      <c r="I5858" s="179">
        <v>0</v>
      </c>
      <c r="J5858" s="31">
        <v>19</v>
      </c>
      <c r="K5858" s="142">
        <v>0</v>
      </c>
      <c r="L5858" s="142">
        <v>0</v>
      </c>
      <c r="M5858" s="142">
        <v>0</v>
      </c>
      <c r="N5858" s="142">
        <v>0</v>
      </c>
      <c r="O5858" s="142">
        <v>0</v>
      </c>
      <c r="P5858" s="158">
        <v>0</v>
      </c>
      <c r="Q5858" s="144" t="s">
        <v>154</v>
      </c>
    </row>
    <row r="5859" spans="1:17" s="162" customFormat="1" ht="48" x14ac:dyDescent="0.25">
      <c r="A5859" s="137">
        <v>41719</v>
      </c>
      <c r="B5859" s="137">
        <v>41719</v>
      </c>
      <c r="C5859" s="138">
        <v>2014</v>
      </c>
      <c r="D5859" s="24" t="s">
        <v>141</v>
      </c>
      <c r="E5859" s="30" t="s">
        <v>142</v>
      </c>
      <c r="F5859" s="7" t="s">
        <v>62</v>
      </c>
      <c r="G5859" s="139" t="s">
        <v>3590</v>
      </c>
      <c r="H5859" s="140" t="s">
        <v>8373</v>
      </c>
      <c r="I5859" s="179">
        <v>0</v>
      </c>
      <c r="J5859" s="31">
        <v>6</v>
      </c>
      <c r="K5859" s="142">
        <v>0</v>
      </c>
      <c r="L5859" s="142">
        <v>0</v>
      </c>
      <c r="M5859" s="142">
        <v>0</v>
      </c>
      <c r="N5859" s="142">
        <v>0</v>
      </c>
      <c r="O5859" s="142">
        <v>0</v>
      </c>
      <c r="P5859" s="158">
        <v>0</v>
      </c>
      <c r="Q5859" s="144" t="s">
        <v>154</v>
      </c>
    </row>
    <row r="5860" spans="1:17" s="162" customFormat="1" ht="72" x14ac:dyDescent="0.25">
      <c r="A5860" s="137">
        <v>41720</v>
      </c>
      <c r="B5860" s="137">
        <v>41720</v>
      </c>
      <c r="C5860" s="138">
        <v>2014</v>
      </c>
      <c r="D5860" s="35" t="s">
        <v>28</v>
      </c>
      <c r="E5860" s="6" t="s">
        <v>149</v>
      </c>
      <c r="F5860" s="28" t="s">
        <v>151</v>
      </c>
      <c r="G5860" s="139" t="s">
        <v>8093</v>
      </c>
      <c r="H5860" s="140" t="s">
        <v>8374</v>
      </c>
      <c r="I5860" s="179">
        <v>0</v>
      </c>
      <c r="J5860" s="31">
        <v>107</v>
      </c>
      <c r="K5860" s="142">
        <v>0</v>
      </c>
      <c r="L5860" s="142">
        <v>0</v>
      </c>
      <c r="M5860" s="142">
        <v>0</v>
      </c>
      <c r="N5860" s="142">
        <v>0</v>
      </c>
      <c r="O5860" s="142">
        <v>0</v>
      </c>
      <c r="P5860" s="158">
        <v>0</v>
      </c>
      <c r="Q5860" s="144" t="s">
        <v>154</v>
      </c>
    </row>
    <row r="5861" spans="1:17" s="162" customFormat="1" ht="96" x14ac:dyDescent="0.25">
      <c r="A5861" s="137">
        <v>41752</v>
      </c>
      <c r="B5861" s="137">
        <v>41752</v>
      </c>
      <c r="C5861" s="138">
        <v>2014</v>
      </c>
      <c r="D5861" s="35" t="s">
        <v>28</v>
      </c>
      <c r="E5861" s="6" t="s">
        <v>149</v>
      </c>
      <c r="F5861" s="7" t="s">
        <v>62</v>
      </c>
      <c r="G5861" s="139" t="s">
        <v>3384</v>
      </c>
      <c r="H5861" s="140" t="s">
        <v>8375</v>
      </c>
      <c r="I5861" s="179">
        <v>0</v>
      </c>
      <c r="J5861" s="31">
        <v>877</v>
      </c>
      <c r="K5861" s="142">
        <v>0</v>
      </c>
      <c r="L5861" s="142">
        <v>0</v>
      </c>
      <c r="M5861" s="142">
        <v>0</v>
      </c>
      <c r="N5861" s="142">
        <v>1</v>
      </c>
      <c r="O5861" s="142">
        <v>0</v>
      </c>
      <c r="P5861" s="158">
        <v>0</v>
      </c>
      <c r="Q5861" s="144" t="s">
        <v>154</v>
      </c>
    </row>
    <row r="5862" spans="1:17" s="162" customFormat="1" ht="60" x14ac:dyDescent="0.25">
      <c r="A5862" s="137">
        <v>41763</v>
      </c>
      <c r="B5862" s="137">
        <v>41763</v>
      </c>
      <c r="C5862" s="138">
        <v>2014</v>
      </c>
      <c r="D5862" s="35" t="s">
        <v>28</v>
      </c>
      <c r="E5862" s="6" t="s">
        <v>149</v>
      </c>
      <c r="F5862" s="7" t="s">
        <v>60</v>
      </c>
      <c r="G5862" s="139" t="s">
        <v>908</v>
      </c>
      <c r="H5862" s="140" t="s">
        <v>8376</v>
      </c>
      <c r="I5862" s="179">
        <v>0</v>
      </c>
      <c r="J5862" s="142">
        <v>0</v>
      </c>
      <c r="K5862" s="142">
        <v>0</v>
      </c>
      <c r="L5862" s="142">
        <v>0</v>
      </c>
      <c r="M5862" s="142">
        <v>0</v>
      </c>
      <c r="N5862" s="142">
        <v>500</v>
      </c>
      <c r="O5862" s="142">
        <v>0</v>
      </c>
      <c r="P5862" s="158">
        <v>0</v>
      </c>
      <c r="Q5862" s="144" t="s">
        <v>154</v>
      </c>
    </row>
    <row r="5863" spans="1:17" s="162" customFormat="1" ht="96" x14ac:dyDescent="0.25">
      <c r="A5863" s="137">
        <v>41792</v>
      </c>
      <c r="B5863" s="137">
        <v>41792</v>
      </c>
      <c r="C5863" s="138">
        <v>2014</v>
      </c>
      <c r="D5863" s="35" t="s">
        <v>28</v>
      </c>
      <c r="E5863" s="6" t="s">
        <v>149</v>
      </c>
      <c r="F5863" s="7" t="s">
        <v>77</v>
      </c>
      <c r="G5863" s="139" t="s">
        <v>8377</v>
      </c>
      <c r="H5863" s="140" t="s">
        <v>8378</v>
      </c>
      <c r="I5863" s="179">
        <v>0</v>
      </c>
      <c r="J5863" s="178">
        <v>169</v>
      </c>
      <c r="K5863" s="142">
        <v>0</v>
      </c>
      <c r="L5863" s="142">
        <v>0</v>
      </c>
      <c r="M5863" s="142">
        <v>0</v>
      </c>
      <c r="N5863" s="142">
        <v>1</v>
      </c>
      <c r="O5863" s="142">
        <v>0</v>
      </c>
      <c r="P5863" s="158">
        <v>0</v>
      </c>
      <c r="Q5863" s="144" t="s">
        <v>154</v>
      </c>
    </row>
    <row r="5864" spans="1:17" s="162" customFormat="1" ht="96" x14ac:dyDescent="0.25">
      <c r="A5864" s="137">
        <v>41821</v>
      </c>
      <c r="B5864" s="137">
        <v>41821</v>
      </c>
      <c r="C5864" s="138">
        <v>2014</v>
      </c>
      <c r="D5864" s="24" t="s">
        <v>141</v>
      </c>
      <c r="E5864" s="41" t="s">
        <v>1965</v>
      </c>
      <c r="F5864" s="7" t="s">
        <v>72</v>
      </c>
      <c r="G5864" s="139" t="s">
        <v>7538</v>
      </c>
      <c r="H5864" s="140" t="s">
        <v>8379</v>
      </c>
      <c r="I5864" s="182">
        <v>0</v>
      </c>
      <c r="J5864" s="178">
        <v>5</v>
      </c>
      <c r="K5864" s="142">
        <v>0</v>
      </c>
      <c r="L5864" s="142">
        <v>0</v>
      </c>
      <c r="M5864" s="142">
        <v>0</v>
      </c>
      <c r="N5864" s="142">
        <v>0</v>
      </c>
      <c r="O5864" s="142">
        <v>0</v>
      </c>
      <c r="P5864" s="158">
        <v>0</v>
      </c>
      <c r="Q5864" s="144" t="s">
        <v>154</v>
      </c>
    </row>
    <row r="5865" spans="1:17" s="162" customFormat="1" ht="96" x14ac:dyDescent="0.25">
      <c r="A5865" s="137">
        <v>41829</v>
      </c>
      <c r="B5865" s="137">
        <v>41829</v>
      </c>
      <c r="C5865" s="138">
        <v>2014</v>
      </c>
      <c r="D5865" s="35" t="s">
        <v>28</v>
      </c>
      <c r="E5865" s="30" t="s">
        <v>133</v>
      </c>
      <c r="F5865" s="7" t="s">
        <v>65</v>
      </c>
      <c r="G5865" s="139" t="s">
        <v>1346</v>
      </c>
      <c r="H5865" s="140" t="s">
        <v>8380</v>
      </c>
      <c r="I5865" s="182">
        <v>0</v>
      </c>
      <c r="J5865" s="142">
        <v>5</v>
      </c>
      <c r="K5865" s="142">
        <v>0</v>
      </c>
      <c r="L5865" s="142">
        <v>0</v>
      </c>
      <c r="M5865" s="142">
        <v>0</v>
      </c>
      <c r="N5865" s="142">
        <v>3</v>
      </c>
      <c r="O5865" s="142">
        <v>0</v>
      </c>
      <c r="P5865" s="158">
        <v>0</v>
      </c>
      <c r="Q5865" s="144" t="s">
        <v>154</v>
      </c>
    </row>
    <row r="5866" spans="1:17" s="162" customFormat="1" ht="60" x14ac:dyDescent="0.25">
      <c r="A5866" s="137">
        <v>41842</v>
      </c>
      <c r="B5866" s="137">
        <v>41842</v>
      </c>
      <c r="C5866" s="138">
        <v>2014</v>
      </c>
      <c r="D5866" s="35" t="s">
        <v>28</v>
      </c>
      <c r="E5866" s="30" t="s">
        <v>125</v>
      </c>
      <c r="F5866" s="28" t="s">
        <v>157</v>
      </c>
      <c r="G5866" s="139" t="s">
        <v>3664</v>
      </c>
      <c r="H5866" s="33" t="s">
        <v>8381</v>
      </c>
      <c r="I5866" s="182">
        <v>0</v>
      </c>
      <c r="J5866" s="142">
        <v>7000</v>
      </c>
      <c r="K5866" s="142">
        <v>0</v>
      </c>
      <c r="L5866" s="142">
        <v>0</v>
      </c>
      <c r="M5866" s="142">
        <v>0</v>
      </c>
      <c r="N5866" s="142">
        <v>0</v>
      </c>
      <c r="O5866" s="142">
        <v>0</v>
      </c>
      <c r="P5866" s="158">
        <v>0</v>
      </c>
      <c r="Q5866" s="144" t="s">
        <v>154</v>
      </c>
    </row>
    <row r="5867" spans="1:17" s="162" customFormat="1" ht="96" x14ac:dyDescent="0.25">
      <c r="A5867" s="137">
        <v>41845</v>
      </c>
      <c r="B5867" s="137">
        <v>41845</v>
      </c>
      <c r="C5867" s="138">
        <v>2014</v>
      </c>
      <c r="D5867" s="35" t="s">
        <v>28</v>
      </c>
      <c r="E5867" s="30" t="s">
        <v>125</v>
      </c>
      <c r="F5867" s="7" t="s">
        <v>72</v>
      </c>
      <c r="G5867" s="139" t="s">
        <v>8382</v>
      </c>
      <c r="H5867" s="140" t="s">
        <v>8383</v>
      </c>
      <c r="I5867" s="179">
        <v>0</v>
      </c>
      <c r="J5867" s="142">
        <v>160</v>
      </c>
      <c r="K5867" s="142">
        <v>0</v>
      </c>
      <c r="L5867" s="142">
        <v>0</v>
      </c>
      <c r="M5867" s="142">
        <v>0</v>
      </c>
      <c r="N5867" s="142">
        <v>0</v>
      </c>
      <c r="O5867" s="142">
        <v>0</v>
      </c>
      <c r="P5867" s="158">
        <v>0</v>
      </c>
      <c r="Q5867" s="144" t="s">
        <v>154</v>
      </c>
    </row>
    <row r="5868" spans="1:17" s="162" customFormat="1" ht="72" x14ac:dyDescent="0.25">
      <c r="A5868" s="137">
        <v>41869</v>
      </c>
      <c r="B5868" s="137">
        <v>41869</v>
      </c>
      <c r="C5868" s="138">
        <v>2014</v>
      </c>
      <c r="D5868" s="24" t="s">
        <v>130</v>
      </c>
      <c r="E5868" s="180" t="s">
        <v>139</v>
      </c>
      <c r="F5868" s="7" t="s">
        <v>62</v>
      </c>
      <c r="G5868" s="139" t="s">
        <v>165</v>
      </c>
      <c r="H5868" s="140" t="s">
        <v>8384</v>
      </c>
      <c r="I5868" s="141">
        <v>0</v>
      </c>
      <c r="J5868" s="142">
        <v>17</v>
      </c>
      <c r="K5868" s="142">
        <v>0</v>
      </c>
      <c r="L5868" s="142">
        <v>0</v>
      </c>
      <c r="M5868" s="142">
        <v>0</v>
      </c>
      <c r="N5868" s="142">
        <v>0</v>
      </c>
      <c r="O5868" s="142">
        <v>0</v>
      </c>
      <c r="P5868" s="158">
        <v>0</v>
      </c>
      <c r="Q5868" s="144" t="s">
        <v>154</v>
      </c>
    </row>
    <row r="5869" spans="1:17" s="162" customFormat="1" ht="120" x14ac:dyDescent="0.25">
      <c r="A5869" s="137">
        <v>41887</v>
      </c>
      <c r="B5869" s="137">
        <v>41887</v>
      </c>
      <c r="C5869" s="138">
        <v>2014</v>
      </c>
      <c r="D5869" s="35" t="s">
        <v>28</v>
      </c>
      <c r="E5869" s="30" t="s">
        <v>136</v>
      </c>
      <c r="F5869" s="7" t="s">
        <v>65</v>
      </c>
      <c r="G5869" s="139" t="s">
        <v>1511</v>
      </c>
      <c r="H5869" s="140" t="s">
        <v>8385</v>
      </c>
      <c r="I5869" s="141">
        <v>0</v>
      </c>
      <c r="J5869" s="142">
        <v>562</v>
      </c>
      <c r="K5869" s="142">
        <v>0</v>
      </c>
      <c r="L5869" s="142">
        <v>0</v>
      </c>
      <c r="M5869" s="142">
        <v>0</v>
      </c>
      <c r="N5869" s="142">
        <v>0</v>
      </c>
      <c r="O5869" s="142">
        <v>0</v>
      </c>
      <c r="P5869" s="158">
        <v>0</v>
      </c>
      <c r="Q5869" s="144" t="s">
        <v>154</v>
      </c>
    </row>
    <row r="5870" spans="1:17" s="162" customFormat="1" ht="60" x14ac:dyDescent="0.25">
      <c r="A5870" s="137">
        <v>41890</v>
      </c>
      <c r="B5870" s="137">
        <v>41890</v>
      </c>
      <c r="C5870" s="138">
        <v>2014</v>
      </c>
      <c r="D5870" s="351" t="s">
        <v>23</v>
      </c>
      <c r="E5870" s="22" t="s">
        <v>86</v>
      </c>
      <c r="F5870" s="7" t="s">
        <v>60</v>
      </c>
      <c r="G5870" s="139" t="s">
        <v>8386</v>
      </c>
      <c r="H5870" s="140" t="s">
        <v>8387</v>
      </c>
      <c r="I5870" s="141">
        <v>0</v>
      </c>
      <c r="J5870" s="142">
        <v>2</v>
      </c>
      <c r="K5870" s="142">
        <v>0</v>
      </c>
      <c r="L5870" s="142">
        <v>0</v>
      </c>
      <c r="M5870" s="142">
        <v>0</v>
      </c>
      <c r="N5870" s="142">
        <v>0</v>
      </c>
      <c r="O5870" s="142">
        <v>0</v>
      </c>
      <c r="P5870" s="158">
        <v>0</v>
      </c>
      <c r="Q5870" s="144" t="s">
        <v>154</v>
      </c>
    </row>
    <row r="5871" spans="1:17" s="162" customFormat="1" ht="96" x14ac:dyDescent="0.25">
      <c r="A5871" s="137">
        <v>41892</v>
      </c>
      <c r="B5871" s="137">
        <v>41892</v>
      </c>
      <c r="C5871" s="138">
        <v>2014</v>
      </c>
      <c r="D5871" s="35" t="s">
        <v>28</v>
      </c>
      <c r="E5871" s="30" t="s">
        <v>125</v>
      </c>
      <c r="F5871" s="7" t="s">
        <v>82</v>
      </c>
      <c r="G5871" s="139" t="s">
        <v>3981</v>
      </c>
      <c r="H5871" s="140" t="s">
        <v>8388</v>
      </c>
      <c r="I5871" s="141">
        <v>0</v>
      </c>
      <c r="J5871" s="142">
        <v>1500</v>
      </c>
      <c r="K5871" s="142">
        <v>0</v>
      </c>
      <c r="L5871" s="142">
        <v>0</v>
      </c>
      <c r="M5871" s="142">
        <v>0</v>
      </c>
      <c r="N5871" s="142">
        <v>1</v>
      </c>
      <c r="O5871" s="142">
        <v>0</v>
      </c>
      <c r="P5871" s="158">
        <v>0</v>
      </c>
      <c r="Q5871" s="144" t="s">
        <v>154</v>
      </c>
    </row>
    <row r="5872" spans="1:17" s="162" customFormat="1" ht="72" x14ac:dyDescent="0.25">
      <c r="A5872" s="48">
        <v>41898</v>
      </c>
      <c r="B5872" s="48">
        <v>41898</v>
      </c>
      <c r="C5872" s="138">
        <v>2014</v>
      </c>
      <c r="D5872" s="35" t="s">
        <v>28</v>
      </c>
      <c r="E5872" s="30" t="s">
        <v>133</v>
      </c>
      <c r="F5872" s="7" t="s">
        <v>75</v>
      </c>
      <c r="G5872" s="139" t="s">
        <v>8389</v>
      </c>
      <c r="H5872" s="140" t="s">
        <v>8390</v>
      </c>
      <c r="I5872" s="141">
        <v>0</v>
      </c>
      <c r="J5872" s="142">
        <v>5</v>
      </c>
      <c r="K5872" s="142">
        <v>0</v>
      </c>
      <c r="L5872" s="142">
        <v>0</v>
      </c>
      <c r="M5872" s="142">
        <v>0</v>
      </c>
      <c r="N5872" s="142">
        <v>0</v>
      </c>
      <c r="O5872" s="142">
        <v>0</v>
      </c>
      <c r="P5872" s="158">
        <v>0</v>
      </c>
      <c r="Q5872" s="144" t="s">
        <v>154</v>
      </c>
    </row>
    <row r="5873" spans="1:17" s="162" customFormat="1" ht="84" x14ac:dyDescent="0.25">
      <c r="A5873" s="137">
        <v>41910</v>
      </c>
      <c r="B5873" s="137">
        <v>41910</v>
      </c>
      <c r="C5873" s="138">
        <v>2014</v>
      </c>
      <c r="D5873" s="351" t="s">
        <v>23</v>
      </c>
      <c r="E5873" s="22" t="s">
        <v>86</v>
      </c>
      <c r="F5873" s="28" t="s">
        <v>160</v>
      </c>
      <c r="G5873" s="139" t="s">
        <v>8391</v>
      </c>
      <c r="H5873" s="140" t="s">
        <v>8392</v>
      </c>
      <c r="I5873" s="141">
        <v>0</v>
      </c>
      <c r="J5873" s="142">
        <v>6</v>
      </c>
      <c r="K5873" s="142">
        <v>0</v>
      </c>
      <c r="L5873" s="142">
        <v>0</v>
      </c>
      <c r="M5873" s="142">
        <v>0</v>
      </c>
      <c r="N5873" s="142">
        <v>0</v>
      </c>
      <c r="O5873" s="142">
        <v>0</v>
      </c>
      <c r="P5873" s="158">
        <v>0</v>
      </c>
      <c r="Q5873" s="144" t="s">
        <v>154</v>
      </c>
    </row>
    <row r="5874" spans="1:17" s="162" customFormat="1" ht="240" x14ac:dyDescent="0.25">
      <c r="A5874" s="137">
        <v>41919</v>
      </c>
      <c r="B5874" s="137">
        <v>41920</v>
      </c>
      <c r="C5874" s="138">
        <v>2014</v>
      </c>
      <c r="D5874" s="351" t="s">
        <v>23</v>
      </c>
      <c r="E5874" s="22" t="s">
        <v>86</v>
      </c>
      <c r="F5874" s="28" t="s">
        <v>210</v>
      </c>
      <c r="G5874" s="139" t="s">
        <v>5050</v>
      </c>
      <c r="H5874" s="140" t="s">
        <v>8393</v>
      </c>
      <c r="I5874" s="141">
        <v>0</v>
      </c>
      <c r="J5874" s="142">
        <v>285</v>
      </c>
      <c r="K5874" s="142">
        <v>57</v>
      </c>
      <c r="L5874" s="142">
        <v>1</v>
      </c>
      <c r="M5874" s="142">
        <v>0</v>
      </c>
      <c r="N5874" s="142">
        <v>1</v>
      </c>
      <c r="O5874" s="142">
        <v>0</v>
      </c>
      <c r="P5874" s="158">
        <v>0</v>
      </c>
      <c r="Q5874" s="144" t="s">
        <v>154</v>
      </c>
    </row>
    <row r="5875" spans="1:17" s="162" customFormat="1" ht="36" x14ac:dyDescent="0.25">
      <c r="A5875" s="48">
        <v>41937</v>
      </c>
      <c r="B5875" s="48">
        <v>41937</v>
      </c>
      <c r="C5875" s="138">
        <v>2014</v>
      </c>
      <c r="D5875" s="35" t="s">
        <v>28</v>
      </c>
      <c r="E5875" s="30" t="s">
        <v>125</v>
      </c>
      <c r="F5875" s="28" t="s">
        <v>157</v>
      </c>
      <c r="G5875" s="139" t="s">
        <v>716</v>
      </c>
      <c r="H5875" s="140" t="s">
        <v>8394</v>
      </c>
      <c r="I5875" s="141">
        <v>0</v>
      </c>
      <c r="J5875" s="142">
        <v>1</v>
      </c>
      <c r="K5875" s="142">
        <v>0</v>
      </c>
      <c r="L5875" s="142">
        <v>0</v>
      </c>
      <c r="M5875" s="142">
        <v>0</v>
      </c>
      <c r="N5875" s="142">
        <v>0</v>
      </c>
      <c r="O5875" s="142">
        <v>0</v>
      </c>
      <c r="P5875" s="158">
        <v>0</v>
      </c>
      <c r="Q5875" s="144" t="s">
        <v>154</v>
      </c>
    </row>
    <row r="5876" spans="1:17" s="162" customFormat="1" ht="108" x14ac:dyDescent="0.25">
      <c r="A5876" s="48">
        <v>41937</v>
      </c>
      <c r="B5876" s="48">
        <v>41937</v>
      </c>
      <c r="C5876" s="138">
        <v>2014</v>
      </c>
      <c r="D5876" s="24" t="s">
        <v>141</v>
      </c>
      <c r="E5876" s="30" t="s">
        <v>142</v>
      </c>
      <c r="F5876" s="28" t="s">
        <v>157</v>
      </c>
      <c r="G5876" s="139" t="s">
        <v>1190</v>
      </c>
      <c r="H5876" s="140" t="s">
        <v>8395</v>
      </c>
      <c r="I5876" s="141">
        <v>0</v>
      </c>
      <c r="J5876" s="142">
        <v>1</v>
      </c>
      <c r="K5876" s="142">
        <v>0</v>
      </c>
      <c r="L5876" s="142">
        <v>0</v>
      </c>
      <c r="M5876" s="142">
        <v>0</v>
      </c>
      <c r="N5876" s="142">
        <v>0</v>
      </c>
      <c r="O5876" s="142">
        <v>0</v>
      </c>
      <c r="P5876" s="158">
        <v>0</v>
      </c>
      <c r="Q5876" s="144" t="s">
        <v>154</v>
      </c>
    </row>
    <row r="5877" spans="1:17" s="162" customFormat="1" ht="108" x14ac:dyDescent="0.25">
      <c r="A5877" s="48">
        <v>41939</v>
      </c>
      <c r="B5877" s="48">
        <v>41939</v>
      </c>
      <c r="C5877" s="138">
        <v>2014</v>
      </c>
      <c r="D5877" s="24" t="s">
        <v>141</v>
      </c>
      <c r="E5877" s="30" t="s">
        <v>142</v>
      </c>
      <c r="F5877" s="7" t="s">
        <v>68</v>
      </c>
      <c r="G5877" s="139" t="s">
        <v>4249</v>
      </c>
      <c r="H5877" s="140" t="s">
        <v>8396</v>
      </c>
      <c r="I5877" s="141">
        <v>0</v>
      </c>
      <c r="J5877" s="142">
        <v>34</v>
      </c>
      <c r="K5877" s="142">
        <v>0</v>
      </c>
      <c r="L5877" s="142">
        <v>0</v>
      </c>
      <c r="M5877" s="142">
        <v>0</v>
      </c>
      <c r="N5877" s="142">
        <v>0</v>
      </c>
      <c r="O5877" s="142">
        <v>0</v>
      </c>
      <c r="P5877" s="158">
        <v>0</v>
      </c>
      <c r="Q5877" s="144" t="s">
        <v>154</v>
      </c>
    </row>
    <row r="5878" spans="1:17" s="162" customFormat="1" ht="96" x14ac:dyDescent="0.25">
      <c r="A5878" s="48">
        <v>41967</v>
      </c>
      <c r="B5878" s="48">
        <v>41967</v>
      </c>
      <c r="C5878" s="138">
        <v>2014</v>
      </c>
      <c r="D5878" s="35" t="s">
        <v>28</v>
      </c>
      <c r="E5878" s="6" t="s">
        <v>149</v>
      </c>
      <c r="F5878" s="28" t="s">
        <v>157</v>
      </c>
      <c r="G5878" s="139" t="s">
        <v>4820</v>
      </c>
      <c r="H5878" s="140" t="s">
        <v>8397</v>
      </c>
      <c r="I5878" s="141">
        <v>0</v>
      </c>
      <c r="J5878" s="142">
        <v>300</v>
      </c>
      <c r="K5878" s="142">
        <v>0</v>
      </c>
      <c r="L5878" s="142">
        <v>0</v>
      </c>
      <c r="M5878" s="142">
        <v>1</v>
      </c>
      <c r="N5878" s="142">
        <v>0</v>
      </c>
      <c r="O5878" s="142">
        <v>0</v>
      </c>
      <c r="P5878" s="158">
        <v>0</v>
      </c>
      <c r="Q5878" s="144" t="s">
        <v>154</v>
      </c>
    </row>
    <row r="5879" spans="1:17" s="162" customFormat="1" ht="60" x14ac:dyDescent="0.25">
      <c r="A5879" s="48">
        <v>41968</v>
      </c>
      <c r="B5879" s="48">
        <v>41968</v>
      </c>
      <c r="C5879" s="138">
        <v>2014</v>
      </c>
      <c r="D5879" s="35" t="s">
        <v>28</v>
      </c>
      <c r="E5879" s="6" t="s">
        <v>149</v>
      </c>
      <c r="F5879" s="7" t="s">
        <v>45</v>
      </c>
      <c r="G5879" s="139" t="s">
        <v>577</v>
      </c>
      <c r="H5879" s="140" t="s">
        <v>8398</v>
      </c>
      <c r="I5879" s="141">
        <v>0</v>
      </c>
      <c r="J5879" s="142">
        <v>50</v>
      </c>
      <c r="K5879" s="142">
        <v>0</v>
      </c>
      <c r="L5879" s="142">
        <v>0</v>
      </c>
      <c r="M5879" s="142">
        <v>0</v>
      </c>
      <c r="N5879" s="142">
        <v>1</v>
      </c>
      <c r="O5879" s="142">
        <v>0</v>
      </c>
      <c r="P5879" s="158">
        <v>0</v>
      </c>
      <c r="Q5879" s="144" t="s">
        <v>154</v>
      </c>
    </row>
    <row r="5880" spans="1:17" s="162" customFormat="1" ht="72" x14ac:dyDescent="0.25">
      <c r="A5880" s="137">
        <v>41971</v>
      </c>
      <c r="B5880" s="137">
        <v>41971</v>
      </c>
      <c r="C5880" s="138">
        <v>2014</v>
      </c>
      <c r="D5880" s="35" t="s">
        <v>28</v>
      </c>
      <c r="E5880" s="6" t="s">
        <v>149</v>
      </c>
      <c r="F5880" s="7" t="s">
        <v>58</v>
      </c>
      <c r="G5880" s="139" t="s">
        <v>168</v>
      </c>
      <c r="H5880" s="140" t="s">
        <v>8399</v>
      </c>
      <c r="I5880" s="141">
        <v>0</v>
      </c>
      <c r="J5880" s="142">
        <v>2</v>
      </c>
      <c r="K5880" s="142">
        <v>1</v>
      </c>
      <c r="L5880" s="142">
        <v>0</v>
      </c>
      <c r="M5880" s="142">
        <v>0</v>
      </c>
      <c r="N5880" s="142">
        <v>0</v>
      </c>
      <c r="O5880" s="142">
        <v>0</v>
      </c>
      <c r="P5880" s="158">
        <v>0</v>
      </c>
      <c r="Q5880" s="144" t="s">
        <v>154</v>
      </c>
    </row>
    <row r="5881" spans="1:17" s="162" customFormat="1" ht="60" x14ac:dyDescent="0.25">
      <c r="A5881" s="137">
        <v>41971</v>
      </c>
      <c r="B5881" s="137">
        <v>41971</v>
      </c>
      <c r="C5881" s="138">
        <v>2014</v>
      </c>
      <c r="D5881" s="24" t="s">
        <v>141</v>
      </c>
      <c r="E5881" s="30" t="s">
        <v>142</v>
      </c>
      <c r="F5881" s="7" t="s">
        <v>72</v>
      </c>
      <c r="G5881" s="139" t="s">
        <v>8400</v>
      </c>
      <c r="H5881" s="140" t="s">
        <v>8401</v>
      </c>
      <c r="I5881" s="141">
        <v>0</v>
      </c>
      <c r="J5881" s="142">
        <v>14</v>
      </c>
      <c r="K5881" s="142">
        <v>0</v>
      </c>
      <c r="L5881" s="142">
        <v>0</v>
      </c>
      <c r="M5881" s="142">
        <v>0</v>
      </c>
      <c r="N5881" s="142">
        <v>0</v>
      </c>
      <c r="O5881" s="142">
        <v>0</v>
      </c>
      <c r="P5881" s="158">
        <v>0</v>
      </c>
      <c r="Q5881" s="144" t="s">
        <v>154</v>
      </c>
    </row>
    <row r="5882" spans="1:17" s="162" customFormat="1" ht="132" x14ac:dyDescent="0.25">
      <c r="A5882" s="48">
        <v>41974</v>
      </c>
      <c r="B5882" s="48">
        <v>41974</v>
      </c>
      <c r="C5882" s="138">
        <v>2014</v>
      </c>
      <c r="D5882" s="24" t="s">
        <v>141</v>
      </c>
      <c r="E5882" s="41" t="s">
        <v>1958</v>
      </c>
      <c r="F5882" s="7" t="s">
        <v>65</v>
      </c>
      <c r="G5882" s="139" t="s">
        <v>1346</v>
      </c>
      <c r="H5882" s="140" t="s">
        <v>8402</v>
      </c>
      <c r="I5882" s="141">
        <v>0</v>
      </c>
      <c r="J5882" s="142">
        <v>88</v>
      </c>
      <c r="K5882" s="142">
        <v>0</v>
      </c>
      <c r="L5882" s="142">
        <v>0</v>
      </c>
      <c r="M5882" s="142">
        <v>0</v>
      </c>
      <c r="N5882" s="142">
        <v>0</v>
      </c>
      <c r="O5882" s="142">
        <v>0</v>
      </c>
      <c r="P5882" s="158">
        <v>0</v>
      </c>
      <c r="Q5882" s="144" t="s">
        <v>154</v>
      </c>
    </row>
    <row r="5883" spans="1:17" s="162" customFormat="1" ht="48" x14ac:dyDescent="0.25">
      <c r="A5883" s="137">
        <v>41974</v>
      </c>
      <c r="B5883" s="137">
        <v>41975</v>
      </c>
      <c r="C5883" s="138">
        <v>2014</v>
      </c>
      <c r="D5883" s="35" t="s">
        <v>28</v>
      </c>
      <c r="E5883" s="30" t="s">
        <v>125</v>
      </c>
      <c r="F5883" s="7" t="s">
        <v>56</v>
      </c>
      <c r="G5883" s="139" t="s">
        <v>351</v>
      </c>
      <c r="H5883" s="140" t="s">
        <v>8403</v>
      </c>
      <c r="I5883" s="141">
        <v>0</v>
      </c>
      <c r="J5883" s="142">
        <v>0</v>
      </c>
      <c r="K5883" s="142">
        <v>0</v>
      </c>
      <c r="L5883" s="142">
        <v>0</v>
      </c>
      <c r="M5883" s="142">
        <v>0</v>
      </c>
      <c r="N5883" s="142">
        <v>0</v>
      </c>
      <c r="O5883" s="142">
        <v>0</v>
      </c>
      <c r="P5883" s="158">
        <v>0</v>
      </c>
      <c r="Q5883" s="144" t="s">
        <v>154</v>
      </c>
    </row>
    <row r="5884" spans="1:17" s="162" customFormat="1" ht="72" x14ac:dyDescent="0.25">
      <c r="A5884" s="137">
        <v>41978</v>
      </c>
      <c r="B5884" s="137">
        <v>41978</v>
      </c>
      <c r="C5884" s="138">
        <v>2014</v>
      </c>
      <c r="D5884" s="35" t="s">
        <v>28</v>
      </c>
      <c r="E5884" s="30" t="s">
        <v>133</v>
      </c>
      <c r="F5884" s="7" t="s">
        <v>53</v>
      </c>
      <c r="G5884" s="139" t="s">
        <v>451</v>
      </c>
      <c r="H5884" s="140" t="s">
        <v>8404</v>
      </c>
      <c r="I5884" s="141">
        <v>0</v>
      </c>
      <c r="J5884" s="142">
        <v>1</v>
      </c>
      <c r="K5884" s="142">
        <v>1</v>
      </c>
      <c r="L5884" s="142">
        <v>0</v>
      </c>
      <c r="M5884" s="142">
        <v>0</v>
      </c>
      <c r="N5884" s="142">
        <v>0</v>
      </c>
      <c r="O5884" s="142">
        <v>0</v>
      </c>
      <c r="P5884" s="158">
        <v>0</v>
      </c>
      <c r="Q5884" s="144" t="s">
        <v>154</v>
      </c>
    </row>
    <row r="5885" spans="1:17" s="162" customFormat="1" ht="84" x14ac:dyDescent="0.25">
      <c r="A5885" s="48">
        <v>41980</v>
      </c>
      <c r="B5885" s="48">
        <v>41980</v>
      </c>
      <c r="C5885" s="138">
        <v>2014</v>
      </c>
      <c r="D5885" s="35" t="s">
        <v>28</v>
      </c>
      <c r="E5885" s="6" t="s">
        <v>149</v>
      </c>
      <c r="F5885" s="7" t="s">
        <v>77</v>
      </c>
      <c r="G5885" s="139" t="s">
        <v>3679</v>
      </c>
      <c r="H5885" s="140" t="s">
        <v>8405</v>
      </c>
      <c r="I5885" s="141">
        <v>0</v>
      </c>
      <c r="J5885" s="142">
        <v>120</v>
      </c>
      <c r="K5885" s="142">
        <v>0</v>
      </c>
      <c r="L5885" s="142">
        <v>0</v>
      </c>
      <c r="M5885" s="142">
        <v>0</v>
      </c>
      <c r="N5885" s="142">
        <v>1</v>
      </c>
      <c r="O5885" s="142">
        <v>0</v>
      </c>
      <c r="P5885" s="158">
        <v>0</v>
      </c>
      <c r="Q5885" s="144" t="s">
        <v>154</v>
      </c>
    </row>
    <row r="5886" spans="1:17" s="162" customFormat="1" ht="144" x14ac:dyDescent="0.25">
      <c r="A5886" s="48">
        <v>41983</v>
      </c>
      <c r="B5886" s="48">
        <v>41983</v>
      </c>
      <c r="C5886" s="138">
        <v>2014</v>
      </c>
      <c r="D5886" s="24" t="s">
        <v>141</v>
      </c>
      <c r="E5886" s="6" t="s">
        <v>333</v>
      </c>
      <c r="F5886" s="28" t="s">
        <v>157</v>
      </c>
      <c r="G5886" s="139" t="s">
        <v>1029</v>
      </c>
      <c r="H5886" s="140" t="s">
        <v>8406</v>
      </c>
      <c r="I5886" s="141">
        <v>0</v>
      </c>
      <c r="J5886" s="142">
        <v>120</v>
      </c>
      <c r="K5886" s="142">
        <v>0</v>
      </c>
      <c r="L5886" s="142">
        <v>0</v>
      </c>
      <c r="M5886" s="142">
        <v>0</v>
      </c>
      <c r="N5886" s="142">
        <v>1</v>
      </c>
      <c r="O5886" s="142">
        <v>0</v>
      </c>
      <c r="P5886" s="158">
        <v>0</v>
      </c>
      <c r="Q5886" s="144" t="s">
        <v>154</v>
      </c>
    </row>
    <row r="5887" spans="1:17" s="162" customFormat="1" ht="72" x14ac:dyDescent="0.25">
      <c r="A5887" s="48">
        <v>41983</v>
      </c>
      <c r="B5887" s="48">
        <v>41984</v>
      </c>
      <c r="C5887" s="138">
        <v>2014</v>
      </c>
      <c r="D5887" s="35" t="s">
        <v>28</v>
      </c>
      <c r="E5887" s="6" t="s">
        <v>369</v>
      </c>
      <c r="F5887" s="25" t="s">
        <v>781</v>
      </c>
      <c r="G5887" s="139" t="s">
        <v>2337</v>
      </c>
      <c r="H5887" s="140" t="s">
        <v>8407</v>
      </c>
      <c r="I5887" s="141">
        <v>0</v>
      </c>
      <c r="J5887" s="142">
        <v>0</v>
      </c>
      <c r="K5887" s="142">
        <v>0</v>
      </c>
      <c r="L5887" s="142">
        <v>0</v>
      </c>
      <c r="M5887" s="142">
        <v>0</v>
      </c>
      <c r="N5887" s="142">
        <v>0</v>
      </c>
      <c r="O5887" s="142">
        <v>0</v>
      </c>
      <c r="P5887" s="32">
        <v>0</v>
      </c>
      <c r="Q5887" s="144" t="s">
        <v>154</v>
      </c>
    </row>
    <row r="5888" spans="1:17" s="162" customFormat="1" ht="60" x14ac:dyDescent="0.25">
      <c r="A5888" s="137">
        <v>41983</v>
      </c>
      <c r="B5888" s="137">
        <v>41983</v>
      </c>
      <c r="C5888" s="138">
        <v>2014</v>
      </c>
      <c r="D5888" s="35" t="s">
        <v>28</v>
      </c>
      <c r="E5888" s="6" t="s">
        <v>149</v>
      </c>
      <c r="F5888" s="28" t="s">
        <v>157</v>
      </c>
      <c r="G5888" s="139" t="s">
        <v>206</v>
      </c>
      <c r="H5888" s="140" t="s">
        <v>8408</v>
      </c>
      <c r="I5888" s="141">
        <v>0</v>
      </c>
      <c r="J5888" s="142">
        <v>0</v>
      </c>
      <c r="K5888" s="142">
        <v>0</v>
      </c>
      <c r="L5888" s="142">
        <v>0</v>
      </c>
      <c r="M5888" s="142">
        <v>0</v>
      </c>
      <c r="N5888" s="142">
        <v>1</v>
      </c>
      <c r="O5888" s="142">
        <v>0</v>
      </c>
      <c r="P5888" s="158">
        <v>0</v>
      </c>
      <c r="Q5888" s="144" t="s">
        <v>154</v>
      </c>
    </row>
    <row r="5889" spans="1:17" s="162" customFormat="1" ht="60" x14ac:dyDescent="0.25">
      <c r="A5889" s="48">
        <v>41985</v>
      </c>
      <c r="B5889" s="48">
        <v>41985</v>
      </c>
      <c r="C5889" s="138">
        <v>2014</v>
      </c>
      <c r="D5889" s="35" t="s">
        <v>28</v>
      </c>
      <c r="E5889" s="6" t="s">
        <v>369</v>
      </c>
      <c r="F5889" s="7" t="s">
        <v>75</v>
      </c>
      <c r="G5889" s="139" t="s">
        <v>4971</v>
      </c>
      <c r="H5889" s="140" t="s">
        <v>8409</v>
      </c>
      <c r="I5889" s="141">
        <v>0</v>
      </c>
      <c r="J5889" s="142">
        <v>0</v>
      </c>
      <c r="K5889" s="142">
        <v>0</v>
      </c>
      <c r="L5889" s="142">
        <v>0</v>
      </c>
      <c r="M5889" s="142">
        <v>0</v>
      </c>
      <c r="N5889" s="142">
        <v>0</v>
      </c>
      <c r="O5889" s="142">
        <v>0</v>
      </c>
      <c r="P5889" s="158">
        <v>0</v>
      </c>
      <c r="Q5889" s="144" t="s">
        <v>154</v>
      </c>
    </row>
    <row r="5890" spans="1:17" s="162" customFormat="1" ht="72" x14ac:dyDescent="0.25">
      <c r="A5890" s="48">
        <v>41992</v>
      </c>
      <c r="B5890" s="48">
        <v>41992</v>
      </c>
      <c r="C5890" s="138">
        <v>2014</v>
      </c>
      <c r="D5890" s="35" t="s">
        <v>28</v>
      </c>
      <c r="E5890" s="30" t="s">
        <v>125</v>
      </c>
      <c r="F5890" s="7" t="s">
        <v>60</v>
      </c>
      <c r="G5890" s="139" t="s">
        <v>1424</v>
      </c>
      <c r="H5890" s="140" t="s">
        <v>8410</v>
      </c>
      <c r="I5890" s="141">
        <v>0</v>
      </c>
      <c r="J5890" s="142">
        <v>1</v>
      </c>
      <c r="K5890" s="142">
        <v>0</v>
      </c>
      <c r="L5890" s="142">
        <v>1</v>
      </c>
      <c r="M5890" s="142">
        <v>0</v>
      </c>
      <c r="N5890" s="142">
        <v>0</v>
      </c>
      <c r="O5890" s="142">
        <v>0</v>
      </c>
      <c r="P5890" s="158">
        <v>0</v>
      </c>
      <c r="Q5890" s="144" t="s">
        <v>154</v>
      </c>
    </row>
    <row r="5891" spans="1:17" s="162" customFormat="1" ht="84" x14ac:dyDescent="0.25">
      <c r="A5891" s="137">
        <v>41993</v>
      </c>
      <c r="B5891" s="137">
        <v>41993</v>
      </c>
      <c r="C5891" s="138">
        <v>2014</v>
      </c>
      <c r="D5891" s="35" t="s">
        <v>28</v>
      </c>
      <c r="E5891" s="6" t="s">
        <v>369</v>
      </c>
      <c r="F5891" s="25" t="s">
        <v>781</v>
      </c>
      <c r="G5891" s="139" t="s">
        <v>2337</v>
      </c>
      <c r="H5891" s="140" t="s">
        <v>8411</v>
      </c>
      <c r="I5891" s="141">
        <v>0</v>
      </c>
      <c r="J5891" s="142">
        <v>0</v>
      </c>
      <c r="K5891" s="142">
        <v>0</v>
      </c>
      <c r="L5891" s="142">
        <v>0</v>
      </c>
      <c r="M5891" s="142">
        <v>0</v>
      </c>
      <c r="N5891" s="142">
        <v>0</v>
      </c>
      <c r="O5891" s="142">
        <v>0</v>
      </c>
      <c r="P5891" s="158">
        <v>0</v>
      </c>
      <c r="Q5891" s="144" t="s">
        <v>154</v>
      </c>
    </row>
    <row r="5892" spans="1:17" s="162" customFormat="1" ht="96" x14ac:dyDescent="0.25">
      <c r="A5892" s="48">
        <v>41994</v>
      </c>
      <c r="B5892" s="48">
        <v>41994</v>
      </c>
      <c r="C5892" s="138">
        <v>2014</v>
      </c>
      <c r="D5892" s="35" t="s">
        <v>28</v>
      </c>
      <c r="E5892" s="6" t="s">
        <v>149</v>
      </c>
      <c r="F5892" s="7" t="s">
        <v>77</v>
      </c>
      <c r="G5892" s="139" t="s">
        <v>7177</v>
      </c>
      <c r="H5892" s="140" t="s">
        <v>8412</v>
      </c>
      <c r="I5892" s="141">
        <v>0</v>
      </c>
      <c r="J5892" s="142">
        <v>0</v>
      </c>
      <c r="K5892" s="142">
        <v>0</v>
      </c>
      <c r="L5892" s="142">
        <v>0</v>
      </c>
      <c r="M5892" s="142">
        <v>0</v>
      </c>
      <c r="N5892" s="142">
        <v>14</v>
      </c>
      <c r="O5892" s="142">
        <v>0</v>
      </c>
      <c r="P5892" s="158">
        <v>0</v>
      </c>
      <c r="Q5892" s="144" t="s">
        <v>154</v>
      </c>
    </row>
    <row r="5893" spans="1:17" s="162" customFormat="1" ht="84" x14ac:dyDescent="0.25">
      <c r="A5893" s="48">
        <v>41995</v>
      </c>
      <c r="B5893" s="48">
        <v>41995</v>
      </c>
      <c r="C5893" s="138">
        <v>2014</v>
      </c>
      <c r="D5893" s="35" t="s">
        <v>28</v>
      </c>
      <c r="E5893" s="30" t="s">
        <v>125</v>
      </c>
      <c r="F5893" s="7" t="s">
        <v>84</v>
      </c>
      <c r="G5893" s="139" t="s">
        <v>1170</v>
      </c>
      <c r="H5893" s="140" t="s">
        <v>8413</v>
      </c>
      <c r="I5893" s="141">
        <v>0</v>
      </c>
      <c r="J5893" s="142">
        <v>650</v>
      </c>
      <c r="K5893" s="142">
        <v>0</v>
      </c>
      <c r="L5893" s="142">
        <v>0</v>
      </c>
      <c r="M5893" s="142">
        <v>0</v>
      </c>
      <c r="N5893" s="142">
        <v>0</v>
      </c>
      <c r="O5893" s="142">
        <v>0</v>
      </c>
      <c r="P5893" s="158">
        <v>0</v>
      </c>
      <c r="Q5893" s="144" t="s">
        <v>154</v>
      </c>
    </row>
    <row r="5894" spans="1:17" s="162" customFormat="1" ht="120" x14ac:dyDescent="0.25">
      <c r="A5894" s="48">
        <v>41996</v>
      </c>
      <c r="B5894" s="48">
        <v>41996</v>
      </c>
      <c r="C5894" s="138">
        <v>2014</v>
      </c>
      <c r="D5894" s="35" t="s">
        <v>28</v>
      </c>
      <c r="E5894" s="30" t="s">
        <v>133</v>
      </c>
      <c r="F5894" s="7" t="s">
        <v>53</v>
      </c>
      <c r="G5894" s="139" t="s">
        <v>5082</v>
      </c>
      <c r="H5894" s="140" t="s">
        <v>8414</v>
      </c>
      <c r="I5894" s="141">
        <v>0</v>
      </c>
      <c r="J5894" s="142">
        <v>2000</v>
      </c>
      <c r="K5894" s="142">
        <v>0</v>
      </c>
      <c r="L5894" s="142">
        <v>0</v>
      </c>
      <c r="M5894" s="142">
        <v>0</v>
      </c>
      <c r="N5894" s="142">
        <v>0</v>
      </c>
      <c r="O5894" s="142">
        <v>0</v>
      </c>
      <c r="P5894" s="158">
        <v>0</v>
      </c>
      <c r="Q5894" s="144" t="s">
        <v>154</v>
      </c>
    </row>
    <row r="5895" spans="1:17" s="162" customFormat="1" ht="108" x14ac:dyDescent="0.25">
      <c r="A5895" s="48">
        <v>41996</v>
      </c>
      <c r="B5895" s="48">
        <v>41996</v>
      </c>
      <c r="C5895" s="138">
        <v>2014</v>
      </c>
      <c r="D5895" s="35" t="s">
        <v>28</v>
      </c>
      <c r="E5895" s="6" t="s">
        <v>149</v>
      </c>
      <c r="F5895" s="28" t="s">
        <v>157</v>
      </c>
      <c r="G5895" s="139" t="s">
        <v>1029</v>
      </c>
      <c r="H5895" s="140" t="s">
        <v>8415</v>
      </c>
      <c r="I5895" s="141">
        <v>0</v>
      </c>
      <c r="J5895" s="142">
        <v>40</v>
      </c>
      <c r="K5895" s="142">
        <v>0</v>
      </c>
      <c r="L5895" s="142">
        <v>0</v>
      </c>
      <c r="M5895" s="142">
        <v>0</v>
      </c>
      <c r="N5895" s="142">
        <v>1</v>
      </c>
      <c r="O5895" s="142">
        <v>0</v>
      </c>
      <c r="P5895" s="158">
        <v>0</v>
      </c>
      <c r="Q5895" s="144" t="s">
        <v>154</v>
      </c>
    </row>
    <row r="5896" spans="1:17" s="162" customFormat="1" ht="48" x14ac:dyDescent="0.25">
      <c r="A5896" s="194">
        <v>42005</v>
      </c>
      <c r="B5896" s="194">
        <v>42369</v>
      </c>
      <c r="C5896" s="195">
        <v>2015</v>
      </c>
      <c r="D5896" s="351" t="s">
        <v>23</v>
      </c>
      <c r="E5896" s="28" t="s">
        <v>327</v>
      </c>
      <c r="F5896" s="28" t="s">
        <v>210</v>
      </c>
      <c r="G5896" s="146" t="s">
        <v>26</v>
      </c>
      <c r="H5896" s="196" t="s">
        <v>8416</v>
      </c>
      <c r="I5896" s="197">
        <v>2</v>
      </c>
      <c r="J5896" s="20">
        <v>44</v>
      </c>
      <c r="K5896" s="20">
        <v>0</v>
      </c>
      <c r="L5896" s="20">
        <v>0</v>
      </c>
      <c r="M5896" s="20">
        <v>0</v>
      </c>
      <c r="N5896" s="20">
        <v>0</v>
      </c>
      <c r="O5896" s="20">
        <v>0</v>
      </c>
      <c r="P5896" s="26">
        <v>0</v>
      </c>
      <c r="Q5896" s="198" t="s">
        <v>2218</v>
      </c>
    </row>
    <row r="5897" spans="1:17" s="162" customFormat="1" ht="48" x14ac:dyDescent="0.25">
      <c r="A5897" s="194">
        <v>42005</v>
      </c>
      <c r="B5897" s="194">
        <v>42369</v>
      </c>
      <c r="C5897" s="195">
        <v>2015</v>
      </c>
      <c r="D5897" s="351" t="s">
        <v>23</v>
      </c>
      <c r="E5897" s="28" t="s">
        <v>327</v>
      </c>
      <c r="F5897" s="7" t="s">
        <v>30</v>
      </c>
      <c r="G5897" s="146" t="s">
        <v>26</v>
      </c>
      <c r="H5897" s="196" t="s">
        <v>8417</v>
      </c>
      <c r="I5897" s="197">
        <v>12</v>
      </c>
      <c r="J5897" s="20">
        <v>66</v>
      </c>
      <c r="K5897" s="20">
        <v>0</v>
      </c>
      <c r="L5897" s="20">
        <v>0</v>
      </c>
      <c r="M5897" s="20">
        <v>0</v>
      </c>
      <c r="N5897" s="20">
        <v>0</v>
      </c>
      <c r="O5897" s="20">
        <v>0</v>
      </c>
      <c r="P5897" s="26">
        <v>0</v>
      </c>
      <c r="Q5897" s="198" t="s">
        <v>2218</v>
      </c>
    </row>
    <row r="5898" spans="1:17" s="162" customFormat="1" ht="48" x14ac:dyDescent="0.25">
      <c r="A5898" s="194">
        <v>42005</v>
      </c>
      <c r="B5898" s="194">
        <v>42369</v>
      </c>
      <c r="C5898" s="195">
        <v>2015</v>
      </c>
      <c r="D5898" s="351" t="s">
        <v>23</v>
      </c>
      <c r="E5898" s="28" t="s">
        <v>327</v>
      </c>
      <c r="F5898" s="28" t="s">
        <v>163</v>
      </c>
      <c r="G5898" s="146" t="s">
        <v>26</v>
      </c>
      <c r="H5898" s="196" t="s">
        <v>8418</v>
      </c>
      <c r="I5898" s="197">
        <v>1</v>
      </c>
      <c r="J5898" s="20">
        <v>5</v>
      </c>
      <c r="K5898" s="20">
        <v>0</v>
      </c>
      <c r="L5898" s="20">
        <v>0</v>
      </c>
      <c r="M5898" s="20">
        <v>0</v>
      </c>
      <c r="N5898" s="20">
        <v>0</v>
      </c>
      <c r="O5898" s="20">
        <v>0</v>
      </c>
      <c r="P5898" s="26">
        <v>0</v>
      </c>
      <c r="Q5898" s="198" t="s">
        <v>2218</v>
      </c>
    </row>
    <row r="5899" spans="1:17" s="162" customFormat="1" ht="36" x14ac:dyDescent="0.25">
      <c r="A5899" s="194">
        <v>42005</v>
      </c>
      <c r="B5899" s="194">
        <v>42369</v>
      </c>
      <c r="C5899" s="195">
        <v>2015</v>
      </c>
      <c r="D5899" s="351" t="s">
        <v>23</v>
      </c>
      <c r="E5899" s="28" t="s">
        <v>327</v>
      </c>
      <c r="F5899" s="7" t="s">
        <v>80</v>
      </c>
      <c r="G5899" s="146" t="s">
        <v>26</v>
      </c>
      <c r="H5899" s="196" t="s">
        <v>8419</v>
      </c>
      <c r="I5899" s="197">
        <v>2</v>
      </c>
      <c r="J5899" s="20">
        <v>12</v>
      </c>
      <c r="K5899" s="20">
        <v>0</v>
      </c>
      <c r="L5899" s="20">
        <v>0</v>
      </c>
      <c r="M5899" s="20">
        <v>0</v>
      </c>
      <c r="N5899" s="20">
        <v>0</v>
      </c>
      <c r="O5899" s="20">
        <v>0</v>
      </c>
      <c r="P5899" s="26">
        <v>0</v>
      </c>
      <c r="Q5899" s="198" t="s">
        <v>2218</v>
      </c>
    </row>
    <row r="5900" spans="1:17" s="162" customFormat="1" ht="48" x14ac:dyDescent="0.25">
      <c r="A5900" s="194">
        <v>42005</v>
      </c>
      <c r="B5900" s="194">
        <v>42369</v>
      </c>
      <c r="C5900" s="195">
        <v>2015</v>
      </c>
      <c r="D5900" s="351" t="s">
        <v>23</v>
      </c>
      <c r="E5900" s="28" t="s">
        <v>327</v>
      </c>
      <c r="F5900" s="7" t="s">
        <v>40</v>
      </c>
      <c r="G5900" s="146" t="s">
        <v>26</v>
      </c>
      <c r="H5900" s="196" t="s">
        <v>8420</v>
      </c>
      <c r="I5900" s="197">
        <v>1</v>
      </c>
      <c r="J5900" s="20">
        <v>37</v>
      </c>
      <c r="K5900" s="20">
        <v>0</v>
      </c>
      <c r="L5900" s="20">
        <v>0</v>
      </c>
      <c r="M5900" s="20">
        <v>0</v>
      </c>
      <c r="N5900" s="20">
        <v>0</v>
      </c>
      <c r="O5900" s="20">
        <v>0</v>
      </c>
      <c r="P5900" s="26">
        <v>0</v>
      </c>
      <c r="Q5900" s="198" t="s">
        <v>2218</v>
      </c>
    </row>
    <row r="5901" spans="1:17" s="162" customFormat="1" ht="48" x14ac:dyDescent="0.25">
      <c r="A5901" s="194">
        <v>42005</v>
      </c>
      <c r="B5901" s="194">
        <v>42369</v>
      </c>
      <c r="C5901" s="195">
        <v>2015</v>
      </c>
      <c r="D5901" s="351" t="s">
        <v>23</v>
      </c>
      <c r="E5901" s="28" t="s">
        <v>327</v>
      </c>
      <c r="F5901" s="7" t="s">
        <v>87</v>
      </c>
      <c r="G5901" s="146" t="s">
        <v>26</v>
      </c>
      <c r="H5901" s="196" t="s">
        <v>8421</v>
      </c>
      <c r="I5901" s="197">
        <v>8</v>
      </c>
      <c r="J5901" s="20">
        <v>362</v>
      </c>
      <c r="K5901" s="20">
        <v>0</v>
      </c>
      <c r="L5901" s="20">
        <v>0</v>
      </c>
      <c r="M5901" s="20">
        <v>0</v>
      </c>
      <c r="N5901" s="20">
        <v>0</v>
      </c>
      <c r="O5901" s="20">
        <v>0</v>
      </c>
      <c r="P5901" s="26">
        <v>0</v>
      </c>
      <c r="Q5901" s="198" t="s">
        <v>2218</v>
      </c>
    </row>
    <row r="5902" spans="1:17" s="162" customFormat="1" ht="36" x14ac:dyDescent="0.25">
      <c r="A5902" s="194">
        <v>42005</v>
      </c>
      <c r="B5902" s="194">
        <v>42369</v>
      </c>
      <c r="C5902" s="195">
        <v>2015</v>
      </c>
      <c r="D5902" s="351" t="s">
        <v>23</v>
      </c>
      <c r="E5902" s="28" t="s">
        <v>327</v>
      </c>
      <c r="F5902" s="7" t="s">
        <v>84</v>
      </c>
      <c r="G5902" s="146" t="s">
        <v>26</v>
      </c>
      <c r="H5902" s="196" t="s">
        <v>8422</v>
      </c>
      <c r="I5902" s="197">
        <v>1</v>
      </c>
      <c r="J5902" s="20">
        <v>6</v>
      </c>
      <c r="K5902" s="20">
        <v>0</v>
      </c>
      <c r="L5902" s="20">
        <v>0</v>
      </c>
      <c r="M5902" s="20">
        <v>0</v>
      </c>
      <c r="N5902" s="20">
        <v>0</v>
      </c>
      <c r="O5902" s="20">
        <v>0</v>
      </c>
      <c r="P5902" s="26">
        <v>0</v>
      </c>
      <c r="Q5902" s="198" t="s">
        <v>2218</v>
      </c>
    </row>
    <row r="5903" spans="1:17" s="162" customFormat="1" ht="48" x14ac:dyDescent="0.25">
      <c r="A5903" s="194">
        <v>42005</v>
      </c>
      <c r="B5903" s="194">
        <v>42369</v>
      </c>
      <c r="C5903" s="195">
        <v>2015</v>
      </c>
      <c r="D5903" s="351" t="s">
        <v>23</v>
      </c>
      <c r="E5903" s="28" t="s">
        <v>327</v>
      </c>
      <c r="F5903" s="28" t="s">
        <v>151</v>
      </c>
      <c r="G5903" s="146" t="s">
        <v>26</v>
      </c>
      <c r="H5903" s="196" t="s">
        <v>8423</v>
      </c>
      <c r="I5903" s="197">
        <v>1</v>
      </c>
      <c r="J5903" s="20">
        <v>13</v>
      </c>
      <c r="K5903" s="20">
        <v>0</v>
      </c>
      <c r="L5903" s="20">
        <v>0</v>
      </c>
      <c r="M5903" s="20">
        <v>0</v>
      </c>
      <c r="N5903" s="20">
        <v>0</v>
      </c>
      <c r="O5903" s="20">
        <v>0</v>
      </c>
      <c r="P5903" s="26">
        <v>0</v>
      </c>
      <c r="Q5903" s="198" t="s">
        <v>2218</v>
      </c>
    </row>
    <row r="5904" spans="1:17" s="162" customFormat="1" ht="36" x14ac:dyDescent="0.25">
      <c r="A5904" s="194">
        <v>42005</v>
      </c>
      <c r="B5904" s="194">
        <v>42369</v>
      </c>
      <c r="C5904" s="195">
        <v>2015</v>
      </c>
      <c r="D5904" s="351" t="s">
        <v>23</v>
      </c>
      <c r="E5904" s="28" t="s">
        <v>327</v>
      </c>
      <c r="F5904" s="25" t="s">
        <v>781</v>
      </c>
      <c r="G5904" s="146" t="s">
        <v>26</v>
      </c>
      <c r="H5904" s="196" t="s">
        <v>8424</v>
      </c>
      <c r="I5904" s="197">
        <v>1</v>
      </c>
      <c r="J5904" s="20">
        <v>2</v>
      </c>
      <c r="K5904" s="20">
        <v>0</v>
      </c>
      <c r="L5904" s="20">
        <v>0</v>
      </c>
      <c r="M5904" s="20">
        <v>0</v>
      </c>
      <c r="N5904" s="20">
        <v>0</v>
      </c>
      <c r="O5904" s="20">
        <v>0</v>
      </c>
      <c r="P5904" s="26">
        <v>0</v>
      </c>
      <c r="Q5904" s="198" t="s">
        <v>2218</v>
      </c>
    </row>
    <row r="5905" spans="1:17" s="162" customFormat="1" ht="24" x14ac:dyDescent="0.25">
      <c r="A5905" s="194">
        <v>42005</v>
      </c>
      <c r="B5905" s="194">
        <v>42369</v>
      </c>
      <c r="C5905" s="195">
        <v>2015</v>
      </c>
      <c r="D5905" s="351" t="s">
        <v>23</v>
      </c>
      <c r="E5905" s="28" t="s">
        <v>327</v>
      </c>
      <c r="F5905" s="7" t="s">
        <v>60</v>
      </c>
      <c r="G5905" s="146" t="s">
        <v>26</v>
      </c>
      <c r="H5905" s="196" t="s">
        <v>8425</v>
      </c>
      <c r="I5905" s="197">
        <v>0</v>
      </c>
      <c r="J5905" s="20">
        <v>17</v>
      </c>
      <c r="K5905" s="20">
        <v>0</v>
      </c>
      <c r="L5905" s="20">
        <v>0</v>
      </c>
      <c r="M5905" s="20">
        <v>0</v>
      </c>
      <c r="N5905" s="20">
        <v>0</v>
      </c>
      <c r="O5905" s="20">
        <v>0</v>
      </c>
      <c r="P5905" s="26">
        <v>0</v>
      </c>
      <c r="Q5905" s="198" t="s">
        <v>2218</v>
      </c>
    </row>
    <row r="5906" spans="1:17" s="162" customFormat="1" ht="24" x14ac:dyDescent="0.25">
      <c r="A5906" s="194">
        <v>42005</v>
      </c>
      <c r="B5906" s="194">
        <v>42369</v>
      </c>
      <c r="C5906" s="195">
        <v>2015</v>
      </c>
      <c r="D5906" s="351" t="s">
        <v>23</v>
      </c>
      <c r="E5906" s="28" t="s">
        <v>327</v>
      </c>
      <c r="F5906" s="7" t="s">
        <v>45</v>
      </c>
      <c r="G5906" s="146" t="s">
        <v>26</v>
      </c>
      <c r="H5906" s="196" t="s">
        <v>8426</v>
      </c>
      <c r="I5906" s="197">
        <v>0</v>
      </c>
      <c r="J5906" s="20">
        <v>7</v>
      </c>
      <c r="K5906" s="20">
        <v>0</v>
      </c>
      <c r="L5906" s="20">
        <v>0</v>
      </c>
      <c r="M5906" s="20">
        <v>0</v>
      </c>
      <c r="N5906" s="20">
        <v>0</v>
      </c>
      <c r="O5906" s="20">
        <v>0</v>
      </c>
      <c r="P5906" s="26">
        <v>0</v>
      </c>
      <c r="Q5906" s="198" t="s">
        <v>2218</v>
      </c>
    </row>
    <row r="5907" spans="1:17" s="162" customFormat="1" ht="24" x14ac:dyDescent="0.25">
      <c r="A5907" s="194">
        <v>42005</v>
      </c>
      <c r="B5907" s="194">
        <v>42369</v>
      </c>
      <c r="C5907" s="195">
        <v>2015</v>
      </c>
      <c r="D5907" s="351" t="s">
        <v>23</v>
      </c>
      <c r="E5907" s="28" t="s">
        <v>327</v>
      </c>
      <c r="F5907" s="7" t="s">
        <v>67</v>
      </c>
      <c r="G5907" s="146" t="s">
        <v>26</v>
      </c>
      <c r="H5907" s="196" t="s">
        <v>8427</v>
      </c>
      <c r="I5907" s="197">
        <v>0</v>
      </c>
      <c r="J5907" s="20">
        <v>8</v>
      </c>
      <c r="K5907" s="20">
        <v>0</v>
      </c>
      <c r="L5907" s="20">
        <v>0</v>
      </c>
      <c r="M5907" s="20">
        <v>0</v>
      </c>
      <c r="N5907" s="20">
        <v>0</v>
      </c>
      <c r="O5907" s="20">
        <v>0</v>
      </c>
      <c r="P5907" s="26">
        <v>0</v>
      </c>
      <c r="Q5907" s="198" t="s">
        <v>2218</v>
      </c>
    </row>
    <row r="5908" spans="1:17" s="162" customFormat="1" ht="24" x14ac:dyDescent="0.25">
      <c r="A5908" s="194">
        <v>42005</v>
      </c>
      <c r="B5908" s="194">
        <v>42369</v>
      </c>
      <c r="C5908" s="195">
        <v>2015</v>
      </c>
      <c r="D5908" s="351" t="s">
        <v>23</v>
      </c>
      <c r="E5908" s="28" t="s">
        <v>327</v>
      </c>
      <c r="F5908" s="7" t="s">
        <v>25</v>
      </c>
      <c r="G5908" s="146" t="s">
        <v>26</v>
      </c>
      <c r="H5908" s="196" t="s">
        <v>8428</v>
      </c>
      <c r="I5908" s="197">
        <v>0</v>
      </c>
      <c r="J5908" s="20">
        <v>1</v>
      </c>
      <c r="K5908" s="20">
        <v>0</v>
      </c>
      <c r="L5908" s="20">
        <v>0</v>
      </c>
      <c r="M5908" s="20">
        <v>0</v>
      </c>
      <c r="N5908" s="20">
        <v>0</v>
      </c>
      <c r="O5908" s="20">
        <v>0</v>
      </c>
      <c r="P5908" s="26">
        <v>0</v>
      </c>
      <c r="Q5908" s="198" t="s">
        <v>2218</v>
      </c>
    </row>
    <row r="5909" spans="1:17" s="162" customFormat="1" ht="24" x14ac:dyDescent="0.25">
      <c r="A5909" s="194">
        <v>42005</v>
      </c>
      <c r="B5909" s="194">
        <v>42369</v>
      </c>
      <c r="C5909" s="195">
        <v>2015</v>
      </c>
      <c r="D5909" s="351" t="s">
        <v>23</v>
      </c>
      <c r="E5909" s="28" t="s">
        <v>327</v>
      </c>
      <c r="F5909" s="7" t="s">
        <v>58</v>
      </c>
      <c r="G5909" s="146" t="s">
        <v>26</v>
      </c>
      <c r="H5909" s="196" t="s">
        <v>8428</v>
      </c>
      <c r="I5909" s="197">
        <v>0</v>
      </c>
      <c r="J5909" s="20">
        <v>1</v>
      </c>
      <c r="K5909" s="20">
        <v>0</v>
      </c>
      <c r="L5909" s="20">
        <v>0</v>
      </c>
      <c r="M5909" s="20">
        <v>0</v>
      </c>
      <c r="N5909" s="20">
        <v>0</v>
      </c>
      <c r="O5909" s="20">
        <v>0</v>
      </c>
      <c r="P5909" s="26">
        <v>0</v>
      </c>
      <c r="Q5909" s="198" t="s">
        <v>2218</v>
      </c>
    </row>
    <row r="5910" spans="1:17" s="162" customFormat="1" ht="24" x14ac:dyDescent="0.25">
      <c r="A5910" s="194">
        <v>42005</v>
      </c>
      <c r="B5910" s="194">
        <v>42369</v>
      </c>
      <c r="C5910" s="195">
        <v>2015</v>
      </c>
      <c r="D5910" s="351" t="s">
        <v>23</v>
      </c>
      <c r="E5910" s="28" t="s">
        <v>327</v>
      </c>
      <c r="F5910" s="7" t="s">
        <v>56</v>
      </c>
      <c r="G5910" s="146" t="s">
        <v>26</v>
      </c>
      <c r="H5910" s="196" t="s">
        <v>8429</v>
      </c>
      <c r="I5910" s="197">
        <v>0</v>
      </c>
      <c r="J5910" s="20">
        <v>3</v>
      </c>
      <c r="K5910" s="20">
        <v>0</v>
      </c>
      <c r="L5910" s="20">
        <v>0</v>
      </c>
      <c r="M5910" s="20">
        <v>0</v>
      </c>
      <c r="N5910" s="20">
        <v>0</v>
      </c>
      <c r="O5910" s="20">
        <v>0</v>
      </c>
      <c r="P5910" s="26">
        <v>0</v>
      </c>
      <c r="Q5910" s="198" t="s">
        <v>2218</v>
      </c>
    </row>
    <row r="5911" spans="1:17" s="162" customFormat="1" ht="24" x14ac:dyDescent="0.25">
      <c r="A5911" s="194">
        <v>42005</v>
      </c>
      <c r="B5911" s="194">
        <v>42369</v>
      </c>
      <c r="C5911" s="195">
        <v>2015</v>
      </c>
      <c r="D5911" s="351" t="s">
        <v>23</v>
      </c>
      <c r="E5911" s="28" t="s">
        <v>327</v>
      </c>
      <c r="F5911" s="7" t="s">
        <v>82</v>
      </c>
      <c r="G5911" s="146" t="s">
        <v>26</v>
      </c>
      <c r="H5911" s="196" t="s">
        <v>8428</v>
      </c>
      <c r="I5911" s="197">
        <v>0</v>
      </c>
      <c r="J5911" s="20">
        <v>1</v>
      </c>
      <c r="K5911" s="20">
        <v>0</v>
      </c>
      <c r="L5911" s="20">
        <v>0</v>
      </c>
      <c r="M5911" s="20">
        <v>0</v>
      </c>
      <c r="N5911" s="20">
        <v>0</v>
      </c>
      <c r="O5911" s="20">
        <v>0</v>
      </c>
      <c r="P5911" s="26">
        <v>0</v>
      </c>
      <c r="Q5911" s="198" t="s">
        <v>2218</v>
      </c>
    </row>
    <row r="5912" spans="1:17" s="162" customFormat="1" ht="24" x14ac:dyDescent="0.25">
      <c r="A5912" s="194">
        <v>42005</v>
      </c>
      <c r="B5912" s="194">
        <v>42369</v>
      </c>
      <c r="C5912" s="195">
        <v>2015</v>
      </c>
      <c r="D5912" s="351" t="s">
        <v>23</v>
      </c>
      <c r="E5912" s="28" t="s">
        <v>327</v>
      </c>
      <c r="F5912" s="7" t="s">
        <v>91</v>
      </c>
      <c r="G5912" s="146" t="s">
        <v>26</v>
      </c>
      <c r="H5912" s="196" t="s">
        <v>8428</v>
      </c>
      <c r="I5912" s="197">
        <v>0</v>
      </c>
      <c r="J5912" s="20">
        <v>1</v>
      </c>
      <c r="K5912" s="20">
        <v>0</v>
      </c>
      <c r="L5912" s="20">
        <v>0</v>
      </c>
      <c r="M5912" s="20">
        <v>0</v>
      </c>
      <c r="N5912" s="20">
        <v>0</v>
      </c>
      <c r="O5912" s="20">
        <v>0</v>
      </c>
      <c r="P5912" s="26">
        <v>0</v>
      </c>
      <c r="Q5912" s="198" t="s">
        <v>2218</v>
      </c>
    </row>
    <row r="5913" spans="1:17" s="162" customFormat="1" ht="36" x14ac:dyDescent="0.25">
      <c r="A5913" s="194">
        <v>42005</v>
      </c>
      <c r="B5913" s="194">
        <v>42369</v>
      </c>
      <c r="C5913" s="195">
        <v>2015</v>
      </c>
      <c r="D5913" s="351" t="s">
        <v>23</v>
      </c>
      <c r="E5913" s="28" t="s">
        <v>327</v>
      </c>
      <c r="F5913" s="7" t="s">
        <v>33</v>
      </c>
      <c r="G5913" s="146" t="s">
        <v>26</v>
      </c>
      <c r="H5913" s="196" t="s">
        <v>8430</v>
      </c>
      <c r="I5913" s="197">
        <v>0</v>
      </c>
      <c r="J5913" s="20">
        <v>2</v>
      </c>
      <c r="K5913" s="20">
        <v>0</v>
      </c>
      <c r="L5913" s="20">
        <v>0</v>
      </c>
      <c r="M5913" s="20">
        <v>0</v>
      </c>
      <c r="N5913" s="20">
        <v>0</v>
      </c>
      <c r="O5913" s="20">
        <v>0</v>
      </c>
      <c r="P5913" s="26">
        <v>0</v>
      </c>
      <c r="Q5913" s="198" t="s">
        <v>2218</v>
      </c>
    </row>
    <row r="5914" spans="1:17" s="162" customFormat="1" ht="36" x14ac:dyDescent="0.25">
      <c r="A5914" s="199">
        <v>42005</v>
      </c>
      <c r="B5914" s="199">
        <v>42369</v>
      </c>
      <c r="C5914" s="195">
        <v>2015</v>
      </c>
      <c r="D5914" s="35" t="s">
        <v>28</v>
      </c>
      <c r="E5914" s="14" t="s">
        <v>29</v>
      </c>
      <c r="F5914" s="7" t="s">
        <v>25</v>
      </c>
      <c r="G5914" s="200" t="s">
        <v>2109</v>
      </c>
      <c r="H5914" s="201" t="s">
        <v>8431</v>
      </c>
      <c r="I5914" s="202">
        <v>0</v>
      </c>
      <c r="J5914" s="31">
        <v>0</v>
      </c>
      <c r="K5914" s="203">
        <v>0</v>
      </c>
      <c r="L5914" s="203">
        <v>0</v>
      </c>
      <c r="M5914" s="67">
        <v>0</v>
      </c>
      <c r="N5914" s="67">
        <v>0</v>
      </c>
      <c r="O5914" s="67">
        <v>608.79999999999995</v>
      </c>
      <c r="P5914" s="87">
        <f t="shared" ref="P5914:P5945" si="17">(O5914*1000)/1000000</f>
        <v>0.60880000000000001</v>
      </c>
      <c r="Q5914" s="35" t="s">
        <v>3556</v>
      </c>
    </row>
    <row r="5915" spans="1:17" s="162" customFormat="1" ht="48" x14ac:dyDescent="0.25">
      <c r="A5915" s="2">
        <v>42005</v>
      </c>
      <c r="B5915" s="2">
        <v>42369</v>
      </c>
      <c r="C5915" s="195">
        <v>2015</v>
      </c>
      <c r="D5915" s="35" t="s">
        <v>28</v>
      </c>
      <c r="E5915" s="14" t="s">
        <v>29</v>
      </c>
      <c r="F5915" s="7" t="s">
        <v>30</v>
      </c>
      <c r="G5915" s="200" t="s">
        <v>26</v>
      </c>
      <c r="H5915" s="201" t="s">
        <v>8432</v>
      </c>
      <c r="I5915" s="202">
        <v>0</v>
      </c>
      <c r="J5915" s="31">
        <v>0</v>
      </c>
      <c r="K5915" s="203">
        <v>0</v>
      </c>
      <c r="L5915" s="203">
        <v>0</v>
      </c>
      <c r="M5915" s="67">
        <v>0</v>
      </c>
      <c r="N5915" s="67">
        <v>0</v>
      </c>
      <c r="O5915" s="67">
        <v>18589.43</v>
      </c>
      <c r="P5915" s="87">
        <f t="shared" si="17"/>
        <v>18.58943</v>
      </c>
      <c r="Q5915" s="35" t="s">
        <v>3556</v>
      </c>
    </row>
    <row r="5916" spans="1:17" s="162" customFormat="1" ht="48" x14ac:dyDescent="0.25">
      <c r="A5916" s="199">
        <v>42005</v>
      </c>
      <c r="B5916" s="199">
        <v>42369</v>
      </c>
      <c r="C5916" s="195">
        <v>2015</v>
      </c>
      <c r="D5916" s="35" t="s">
        <v>28</v>
      </c>
      <c r="E5916" s="14" t="s">
        <v>29</v>
      </c>
      <c r="F5916" s="7" t="s">
        <v>33</v>
      </c>
      <c r="G5916" s="200" t="s">
        <v>26</v>
      </c>
      <c r="H5916" s="201" t="s">
        <v>8433</v>
      </c>
      <c r="I5916" s="202">
        <v>0</v>
      </c>
      <c r="J5916" s="31">
        <v>0</v>
      </c>
      <c r="K5916" s="203">
        <v>0</v>
      </c>
      <c r="L5916" s="203">
        <v>0</v>
      </c>
      <c r="M5916" s="67">
        <v>0</v>
      </c>
      <c r="N5916" s="67">
        <v>0</v>
      </c>
      <c r="O5916" s="67">
        <v>1940.83</v>
      </c>
      <c r="P5916" s="87">
        <f t="shared" si="17"/>
        <v>1.9408300000000001</v>
      </c>
      <c r="Q5916" s="35" t="s">
        <v>3556</v>
      </c>
    </row>
    <row r="5917" spans="1:17" s="162" customFormat="1" ht="48" x14ac:dyDescent="0.25">
      <c r="A5917" s="2">
        <v>42005</v>
      </c>
      <c r="B5917" s="2">
        <v>42369</v>
      </c>
      <c r="C5917" s="195">
        <v>2015</v>
      </c>
      <c r="D5917" s="35" t="s">
        <v>28</v>
      </c>
      <c r="E5917" s="14" t="s">
        <v>29</v>
      </c>
      <c r="F5917" s="28" t="s">
        <v>151</v>
      </c>
      <c r="G5917" s="200" t="s">
        <v>26</v>
      </c>
      <c r="H5917" s="201" t="s">
        <v>8434</v>
      </c>
      <c r="I5917" s="202">
        <v>0</v>
      </c>
      <c r="J5917" s="31">
        <v>0</v>
      </c>
      <c r="K5917" s="203">
        <v>0</v>
      </c>
      <c r="L5917" s="203">
        <v>0</v>
      </c>
      <c r="M5917" s="67">
        <v>0</v>
      </c>
      <c r="N5917" s="67">
        <v>0</v>
      </c>
      <c r="O5917" s="67">
        <v>6530</v>
      </c>
      <c r="P5917" s="87">
        <f t="shared" si="17"/>
        <v>6.53</v>
      </c>
      <c r="Q5917" s="35" t="s">
        <v>3556</v>
      </c>
    </row>
    <row r="5918" spans="1:17" s="162" customFormat="1" ht="48" x14ac:dyDescent="0.25">
      <c r="A5918" s="2">
        <v>42005</v>
      </c>
      <c r="B5918" s="2">
        <v>42369</v>
      </c>
      <c r="C5918" s="195">
        <v>2015</v>
      </c>
      <c r="D5918" s="35" t="s">
        <v>28</v>
      </c>
      <c r="E5918" s="14" t="s">
        <v>29</v>
      </c>
      <c r="F5918" s="7" t="s">
        <v>36</v>
      </c>
      <c r="G5918" s="200" t="s">
        <v>26</v>
      </c>
      <c r="H5918" s="201" t="s">
        <v>8435</v>
      </c>
      <c r="I5918" s="202">
        <v>0</v>
      </c>
      <c r="J5918" s="31">
        <v>0</v>
      </c>
      <c r="K5918" s="203">
        <v>0</v>
      </c>
      <c r="L5918" s="203">
        <v>0</v>
      </c>
      <c r="M5918" s="67">
        <v>0</v>
      </c>
      <c r="N5918" s="67">
        <v>0</v>
      </c>
      <c r="O5918" s="67">
        <v>5104.6499999999996</v>
      </c>
      <c r="P5918" s="87">
        <f t="shared" si="17"/>
        <v>5.1046500000000004</v>
      </c>
      <c r="Q5918" s="35" t="s">
        <v>3556</v>
      </c>
    </row>
    <row r="5919" spans="1:17" s="162" customFormat="1" ht="48" x14ac:dyDescent="0.25">
      <c r="A5919" s="2">
        <v>42005</v>
      </c>
      <c r="B5919" s="2">
        <v>42369</v>
      </c>
      <c r="C5919" s="195">
        <v>2015</v>
      </c>
      <c r="D5919" s="35" t="s">
        <v>28</v>
      </c>
      <c r="E5919" s="14" t="s">
        <v>29</v>
      </c>
      <c r="F5919" s="7" t="s">
        <v>40</v>
      </c>
      <c r="G5919" s="200" t="s">
        <v>26</v>
      </c>
      <c r="H5919" s="201" t="s">
        <v>8436</v>
      </c>
      <c r="I5919" s="202">
        <v>0</v>
      </c>
      <c r="J5919" s="31">
        <v>0</v>
      </c>
      <c r="K5919" s="203">
        <v>0</v>
      </c>
      <c r="L5919" s="203">
        <v>0</v>
      </c>
      <c r="M5919" s="67">
        <v>0</v>
      </c>
      <c r="N5919" s="67">
        <v>0</v>
      </c>
      <c r="O5919" s="67">
        <v>1974.05</v>
      </c>
      <c r="P5919" s="87">
        <f t="shared" si="17"/>
        <v>1.9740500000000001</v>
      </c>
      <c r="Q5919" s="35" t="s">
        <v>3556</v>
      </c>
    </row>
    <row r="5920" spans="1:17" s="162" customFormat="1" ht="36" x14ac:dyDescent="0.25">
      <c r="A5920" s="2">
        <v>42005</v>
      </c>
      <c r="B5920" s="2">
        <v>42369</v>
      </c>
      <c r="C5920" s="195">
        <v>2015</v>
      </c>
      <c r="D5920" s="35" t="s">
        <v>28</v>
      </c>
      <c r="E5920" s="14" t="s">
        <v>29</v>
      </c>
      <c r="F5920" s="7" t="s">
        <v>45</v>
      </c>
      <c r="G5920" s="200" t="s">
        <v>26</v>
      </c>
      <c r="H5920" s="201" t="s">
        <v>8437</v>
      </c>
      <c r="I5920" s="202">
        <v>0</v>
      </c>
      <c r="J5920" s="31">
        <v>0</v>
      </c>
      <c r="K5920" s="203">
        <v>0</v>
      </c>
      <c r="L5920" s="203">
        <v>0</v>
      </c>
      <c r="M5920" s="67">
        <v>0</v>
      </c>
      <c r="N5920" s="67">
        <v>0</v>
      </c>
      <c r="O5920" s="67">
        <v>724.54</v>
      </c>
      <c r="P5920" s="87">
        <f t="shared" si="17"/>
        <v>0.72453999999999996</v>
      </c>
      <c r="Q5920" s="35" t="s">
        <v>3556</v>
      </c>
    </row>
    <row r="5921" spans="1:17" s="162" customFormat="1" ht="36" x14ac:dyDescent="0.25">
      <c r="A5921" s="2">
        <v>42005</v>
      </c>
      <c r="B5921" s="2">
        <v>42369</v>
      </c>
      <c r="C5921" s="195">
        <v>2015</v>
      </c>
      <c r="D5921" s="35" t="s">
        <v>28</v>
      </c>
      <c r="E5921" s="14" t="s">
        <v>29</v>
      </c>
      <c r="F5921" s="7" t="s">
        <v>47</v>
      </c>
      <c r="G5921" s="200" t="s">
        <v>26</v>
      </c>
      <c r="H5921" s="201" t="s">
        <v>8438</v>
      </c>
      <c r="I5921" s="202">
        <v>0</v>
      </c>
      <c r="J5921" s="31">
        <v>0</v>
      </c>
      <c r="K5921" s="203">
        <v>0</v>
      </c>
      <c r="L5921" s="203">
        <v>0</v>
      </c>
      <c r="M5921" s="67">
        <v>0</v>
      </c>
      <c r="N5921" s="67">
        <v>0</v>
      </c>
      <c r="O5921" s="67">
        <v>115.51</v>
      </c>
      <c r="P5921" s="87">
        <f t="shared" si="17"/>
        <v>0.11551</v>
      </c>
      <c r="Q5921" s="35" t="s">
        <v>3556</v>
      </c>
    </row>
    <row r="5922" spans="1:17" s="162" customFormat="1" ht="48" x14ac:dyDescent="0.25">
      <c r="A5922" s="199">
        <v>42005</v>
      </c>
      <c r="B5922" s="199">
        <v>42369</v>
      </c>
      <c r="C5922" s="195">
        <v>2015</v>
      </c>
      <c r="D5922" s="35" t="s">
        <v>28</v>
      </c>
      <c r="E5922" s="14" t="s">
        <v>29</v>
      </c>
      <c r="F5922" s="28" t="s">
        <v>157</v>
      </c>
      <c r="G5922" s="200" t="s">
        <v>26</v>
      </c>
      <c r="H5922" s="201" t="s">
        <v>8439</v>
      </c>
      <c r="I5922" s="202">
        <v>0</v>
      </c>
      <c r="J5922" s="31">
        <v>0</v>
      </c>
      <c r="K5922" s="203">
        <v>0</v>
      </c>
      <c r="L5922" s="203">
        <v>0</v>
      </c>
      <c r="M5922" s="203">
        <v>0</v>
      </c>
      <c r="N5922" s="203">
        <v>0</v>
      </c>
      <c r="O5922" s="67">
        <v>787.68</v>
      </c>
      <c r="P5922" s="87">
        <f t="shared" si="17"/>
        <v>0.78768000000000005</v>
      </c>
      <c r="Q5922" s="204" t="s">
        <v>3556</v>
      </c>
    </row>
    <row r="5923" spans="1:17" s="162" customFormat="1" ht="48" x14ac:dyDescent="0.25">
      <c r="A5923" s="2">
        <v>42005</v>
      </c>
      <c r="B5923" s="2">
        <v>42369</v>
      </c>
      <c r="C5923" s="195">
        <v>2015</v>
      </c>
      <c r="D5923" s="35" t="s">
        <v>28</v>
      </c>
      <c r="E5923" s="14" t="s">
        <v>29</v>
      </c>
      <c r="F5923" s="7" t="s">
        <v>49</v>
      </c>
      <c r="G5923" s="200" t="s">
        <v>26</v>
      </c>
      <c r="H5923" s="201" t="s">
        <v>8440</v>
      </c>
      <c r="I5923" s="202">
        <v>0</v>
      </c>
      <c r="J5923" s="31">
        <v>0</v>
      </c>
      <c r="K5923" s="203">
        <v>0</v>
      </c>
      <c r="L5923" s="203">
        <v>0</v>
      </c>
      <c r="M5923" s="67">
        <v>0</v>
      </c>
      <c r="N5923" s="67">
        <v>0</v>
      </c>
      <c r="O5923" s="67">
        <v>658.56</v>
      </c>
      <c r="P5923" s="87">
        <f t="shared" si="17"/>
        <v>0.65856000000000003</v>
      </c>
      <c r="Q5923" s="35" t="s">
        <v>3556</v>
      </c>
    </row>
    <row r="5924" spans="1:17" s="162" customFormat="1" ht="36" x14ac:dyDescent="0.25">
      <c r="A5924" s="199">
        <v>42005</v>
      </c>
      <c r="B5924" s="199">
        <v>42369</v>
      </c>
      <c r="C5924" s="195">
        <v>2015</v>
      </c>
      <c r="D5924" s="35" t="s">
        <v>28</v>
      </c>
      <c r="E5924" s="14" t="s">
        <v>29</v>
      </c>
      <c r="F5924" s="7" t="s">
        <v>56</v>
      </c>
      <c r="G5924" s="200" t="s">
        <v>26</v>
      </c>
      <c r="H5924" s="201" t="s">
        <v>8441</v>
      </c>
      <c r="I5924" s="202">
        <v>0</v>
      </c>
      <c r="J5924" s="31">
        <v>0</v>
      </c>
      <c r="K5924" s="203">
        <v>0</v>
      </c>
      <c r="L5924" s="203">
        <v>0</v>
      </c>
      <c r="M5924" s="67">
        <v>0</v>
      </c>
      <c r="N5924" s="67">
        <v>0</v>
      </c>
      <c r="O5924" s="67">
        <v>676.98</v>
      </c>
      <c r="P5924" s="87">
        <f t="shared" si="17"/>
        <v>0.67698000000000003</v>
      </c>
      <c r="Q5924" s="35" t="s">
        <v>3556</v>
      </c>
    </row>
    <row r="5925" spans="1:17" s="162" customFormat="1" ht="48" x14ac:dyDescent="0.25">
      <c r="A5925" s="2">
        <v>42005</v>
      </c>
      <c r="B5925" s="2">
        <v>42369</v>
      </c>
      <c r="C5925" s="195">
        <v>2015</v>
      </c>
      <c r="D5925" s="35" t="s">
        <v>28</v>
      </c>
      <c r="E5925" s="14" t="s">
        <v>29</v>
      </c>
      <c r="F5925" s="7" t="s">
        <v>58</v>
      </c>
      <c r="G5925" s="200" t="s">
        <v>26</v>
      </c>
      <c r="H5925" s="201" t="s">
        <v>8442</v>
      </c>
      <c r="I5925" s="202">
        <v>0</v>
      </c>
      <c r="J5925" s="31">
        <v>0</v>
      </c>
      <c r="K5925" s="203">
        <v>0</v>
      </c>
      <c r="L5925" s="203">
        <v>0</v>
      </c>
      <c r="M5925" s="67">
        <v>0</v>
      </c>
      <c r="N5925" s="67">
        <v>0</v>
      </c>
      <c r="O5925" s="67">
        <v>5487.08</v>
      </c>
      <c r="P5925" s="87">
        <f t="shared" si="17"/>
        <v>5.4870799999999997</v>
      </c>
      <c r="Q5925" s="35" t="s">
        <v>3556</v>
      </c>
    </row>
    <row r="5926" spans="1:17" s="162" customFormat="1" ht="36" x14ac:dyDescent="0.25">
      <c r="A5926" s="2">
        <v>42005</v>
      </c>
      <c r="B5926" s="2">
        <v>42369</v>
      </c>
      <c r="C5926" s="195">
        <v>2015</v>
      </c>
      <c r="D5926" s="35" t="s">
        <v>28</v>
      </c>
      <c r="E5926" s="14" t="s">
        <v>29</v>
      </c>
      <c r="F5926" s="28" t="s">
        <v>160</v>
      </c>
      <c r="G5926" s="200" t="s">
        <v>26</v>
      </c>
      <c r="H5926" s="201" t="s">
        <v>8443</v>
      </c>
      <c r="I5926" s="202">
        <v>0</v>
      </c>
      <c r="J5926" s="31">
        <v>0</v>
      </c>
      <c r="K5926" s="203">
        <v>0</v>
      </c>
      <c r="L5926" s="203">
        <v>0</v>
      </c>
      <c r="M5926" s="67">
        <v>0</v>
      </c>
      <c r="N5926" s="67">
        <v>0</v>
      </c>
      <c r="O5926" s="67">
        <v>112.65</v>
      </c>
      <c r="P5926" s="87">
        <f t="shared" si="17"/>
        <v>0.11265</v>
      </c>
      <c r="Q5926" s="35" t="s">
        <v>3556</v>
      </c>
    </row>
    <row r="5927" spans="1:17" s="162" customFormat="1" ht="48" x14ac:dyDescent="0.25">
      <c r="A5927" s="2">
        <v>42005</v>
      </c>
      <c r="B5927" s="2">
        <v>42369</v>
      </c>
      <c r="C5927" s="195">
        <v>2015</v>
      </c>
      <c r="D5927" s="35" t="s">
        <v>28</v>
      </c>
      <c r="E5927" s="14" t="s">
        <v>29</v>
      </c>
      <c r="F5927" s="7" t="s">
        <v>60</v>
      </c>
      <c r="G5927" s="200" t="s">
        <v>26</v>
      </c>
      <c r="H5927" s="201" t="s">
        <v>8444</v>
      </c>
      <c r="I5927" s="202">
        <v>0</v>
      </c>
      <c r="J5927" s="31">
        <v>0</v>
      </c>
      <c r="K5927" s="203">
        <v>0</v>
      </c>
      <c r="L5927" s="203">
        <v>0</v>
      </c>
      <c r="M5927" s="67">
        <v>0</v>
      </c>
      <c r="N5927" s="67">
        <v>0</v>
      </c>
      <c r="O5927" s="67">
        <v>8018.5</v>
      </c>
      <c r="P5927" s="87">
        <f t="shared" si="17"/>
        <v>8.0184999999999995</v>
      </c>
      <c r="Q5927" s="35" t="s">
        <v>3556</v>
      </c>
    </row>
    <row r="5928" spans="1:17" s="162" customFormat="1" ht="48" x14ac:dyDescent="0.25">
      <c r="A5928" s="2">
        <v>42005</v>
      </c>
      <c r="B5928" s="2">
        <v>42369</v>
      </c>
      <c r="C5928" s="195">
        <v>2015</v>
      </c>
      <c r="D5928" s="35" t="s">
        <v>28</v>
      </c>
      <c r="E5928" s="14" t="s">
        <v>29</v>
      </c>
      <c r="F5928" s="7" t="s">
        <v>53</v>
      </c>
      <c r="G5928" s="200" t="s">
        <v>26</v>
      </c>
      <c r="H5928" s="201" t="s">
        <v>8445</v>
      </c>
      <c r="I5928" s="202">
        <v>0</v>
      </c>
      <c r="J5928" s="31">
        <v>0</v>
      </c>
      <c r="K5928" s="203">
        <v>0</v>
      </c>
      <c r="L5928" s="203">
        <v>0</v>
      </c>
      <c r="M5928" s="67">
        <v>0</v>
      </c>
      <c r="N5928" s="67">
        <v>0</v>
      </c>
      <c r="O5928" s="67">
        <v>1387.48</v>
      </c>
      <c r="P5928" s="87">
        <f t="shared" si="17"/>
        <v>1.38748</v>
      </c>
      <c r="Q5928" s="35" t="s">
        <v>3556</v>
      </c>
    </row>
    <row r="5929" spans="1:17" s="162" customFormat="1" ht="48" x14ac:dyDescent="0.25">
      <c r="A5929" s="2">
        <v>42005</v>
      </c>
      <c r="B5929" s="2">
        <v>42369</v>
      </c>
      <c r="C5929" s="195">
        <v>2015</v>
      </c>
      <c r="D5929" s="35" t="s">
        <v>28</v>
      </c>
      <c r="E5929" s="14" t="s">
        <v>29</v>
      </c>
      <c r="F5929" s="7" t="s">
        <v>62</v>
      </c>
      <c r="G5929" s="200" t="s">
        <v>26</v>
      </c>
      <c r="H5929" s="201" t="s">
        <v>8446</v>
      </c>
      <c r="I5929" s="202">
        <v>0</v>
      </c>
      <c r="J5929" s="31">
        <v>0</v>
      </c>
      <c r="K5929" s="203">
        <v>0</v>
      </c>
      <c r="L5929" s="203">
        <v>0</v>
      </c>
      <c r="M5929" s="67">
        <v>0</v>
      </c>
      <c r="N5929" s="67">
        <v>0</v>
      </c>
      <c r="O5929" s="67">
        <v>1366.17</v>
      </c>
      <c r="P5929" s="87">
        <f t="shared" si="17"/>
        <v>1.3661700000000001</v>
      </c>
      <c r="Q5929" s="35" t="s">
        <v>3556</v>
      </c>
    </row>
    <row r="5930" spans="1:17" s="162" customFormat="1" ht="36" x14ac:dyDescent="0.25">
      <c r="A5930" s="2">
        <v>42005</v>
      </c>
      <c r="B5930" s="2">
        <v>42369</v>
      </c>
      <c r="C5930" s="195">
        <v>2015</v>
      </c>
      <c r="D5930" s="35" t="s">
        <v>28</v>
      </c>
      <c r="E5930" s="14" t="s">
        <v>29</v>
      </c>
      <c r="F5930" s="7" t="s">
        <v>65</v>
      </c>
      <c r="G5930" s="200" t="s">
        <v>26</v>
      </c>
      <c r="H5930" s="201" t="s">
        <v>8447</v>
      </c>
      <c r="I5930" s="202">
        <v>0</v>
      </c>
      <c r="J5930" s="31">
        <v>0</v>
      </c>
      <c r="K5930" s="203">
        <v>0</v>
      </c>
      <c r="L5930" s="203">
        <v>0</v>
      </c>
      <c r="M5930" s="67">
        <v>0</v>
      </c>
      <c r="N5930" s="67">
        <v>0</v>
      </c>
      <c r="O5930" s="67">
        <v>384.55</v>
      </c>
      <c r="P5930" s="87">
        <f t="shared" si="17"/>
        <v>0.38455</v>
      </c>
      <c r="Q5930" s="35" t="s">
        <v>3556</v>
      </c>
    </row>
    <row r="5931" spans="1:17" s="162" customFormat="1" ht="36" x14ac:dyDescent="0.25">
      <c r="A5931" s="2">
        <v>42005</v>
      </c>
      <c r="B5931" s="2">
        <v>42369</v>
      </c>
      <c r="C5931" s="195">
        <v>2015</v>
      </c>
      <c r="D5931" s="35" t="s">
        <v>28</v>
      </c>
      <c r="E5931" s="14" t="s">
        <v>29</v>
      </c>
      <c r="F5931" s="7" t="s">
        <v>67</v>
      </c>
      <c r="G5931" s="200" t="s">
        <v>26</v>
      </c>
      <c r="H5931" s="201" t="s">
        <v>8448</v>
      </c>
      <c r="I5931" s="202">
        <v>0</v>
      </c>
      <c r="J5931" s="31">
        <v>0</v>
      </c>
      <c r="K5931" s="203">
        <v>0</v>
      </c>
      <c r="L5931" s="203">
        <v>0</v>
      </c>
      <c r="M5931" s="67">
        <v>0</v>
      </c>
      <c r="N5931" s="67">
        <v>0</v>
      </c>
      <c r="O5931" s="67">
        <v>453</v>
      </c>
      <c r="P5931" s="87">
        <f t="shared" si="17"/>
        <v>0.45300000000000001</v>
      </c>
      <c r="Q5931" s="35" t="s">
        <v>3556</v>
      </c>
    </row>
    <row r="5932" spans="1:17" s="162" customFormat="1" ht="36" x14ac:dyDescent="0.25">
      <c r="A5932" s="2">
        <v>42005</v>
      </c>
      <c r="B5932" s="2">
        <v>42369</v>
      </c>
      <c r="C5932" s="195">
        <v>2015</v>
      </c>
      <c r="D5932" s="35" t="s">
        <v>28</v>
      </c>
      <c r="E5932" s="14" t="s">
        <v>29</v>
      </c>
      <c r="F5932" s="7" t="s">
        <v>68</v>
      </c>
      <c r="G5932" s="200" t="s">
        <v>26</v>
      </c>
      <c r="H5932" s="201" t="s">
        <v>8449</v>
      </c>
      <c r="I5932" s="202">
        <v>0</v>
      </c>
      <c r="J5932" s="31">
        <v>0</v>
      </c>
      <c r="K5932" s="203">
        <v>0</v>
      </c>
      <c r="L5932" s="203">
        <v>0</v>
      </c>
      <c r="M5932" s="67">
        <v>0</v>
      </c>
      <c r="N5932" s="67">
        <v>0</v>
      </c>
      <c r="O5932" s="67">
        <v>81.290000000000006</v>
      </c>
      <c r="P5932" s="87">
        <f t="shared" si="17"/>
        <v>8.1290000000000001E-2</v>
      </c>
      <c r="Q5932" s="35" t="s">
        <v>3556</v>
      </c>
    </row>
    <row r="5933" spans="1:17" s="162" customFormat="1" ht="48" x14ac:dyDescent="0.25">
      <c r="A5933" s="2">
        <v>42005</v>
      </c>
      <c r="B5933" s="2">
        <v>42369</v>
      </c>
      <c r="C5933" s="195">
        <v>2015</v>
      </c>
      <c r="D5933" s="35" t="s">
        <v>28</v>
      </c>
      <c r="E5933" s="14" t="s">
        <v>29</v>
      </c>
      <c r="F5933" s="7" t="s">
        <v>72</v>
      </c>
      <c r="G5933" s="200" t="s">
        <v>26</v>
      </c>
      <c r="H5933" s="201" t="s">
        <v>8450</v>
      </c>
      <c r="I5933" s="202">
        <v>0</v>
      </c>
      <c r="J5933" s="31">
        <v>0</v>
      </c>
      <c r="K5933" s="203">
        <v>0</v>
      </c>
      <c r="L5933" s="203">
        <v>0</v>
      </c>
      <c r="M5933" s="67">
        <v>0</v>
      </c>
      <c r="N5933" s="67">
        <v>0</v>
      </c>
      <c r="O5933" s="67">
        <v>11175.8</v>
      </c>
      <c r="P5933" s="87">
        <f t="shared" si="17"/>
        <v>11.175800000000001</v>
      </c>
      <c r="Q5933" s="35" t="s">
        <v>3556</v>
      </c>
    </row>
    <row r="5934" spans="1:17" s="162" customFormat="1" ht="48" x14ac:dyDescent="0.25">
      <c r="A5934" s="2">
        <v>42005</v>
      </c>
      <c r="B5934" s="2">
        <v>42369</v>
      </c>
      <c r="C5934" s="195">
        <v>2015</v>
      </c>
      <c r="D5934" s="35" t="s">
        <v>28</v>
      </c>
      <c r="E5934" s="14" t="s">
        <v>29</v>
      </c>
      <c r="F5934" s="7" t="s">
        <v>75</v>
      </c>
      <c r="G5934" s="200" t="s">
        <v>26</v>
      </c>
      <c r="H5934" s="201" t="s">
        <v>8451</v>
      </c>
      <c r="I5934" s="202">
        <v>0</v>
      </c>
      <c r="J5934" s="31">
        <v>0</v>
      </c>
      <c r="K5934" s="203">
        <v>0</v>
      </c>
      <c r="L5934" s="203">
        <v>0</v>
      </c>
      <c r="M5934" s="67">
        <v>0</v>
      </c>
      <c r="N5934" s="67">
        <v>0</v>
      </c>
      <c r="O5934" s="67">
        <v>2117.9</v>
      </c>
      <c r="P5934" s="87">
        <f t="shared" si="17"/>
        <v>2.1179000000000001</v>
      </c>
      <c r="Q5934" s="35" t="s">
        <v>3556</v>
      </c>
    </row>
    <row r="5935" spans="1:17" s="162" customFormat="1" ht="36" x14ac:dyDescent="0.25">
      <c r="A5935" s="2">
        <v>42005</v>
      </c>
      <c r="B5935" s="2">
        <v>42369</v>
      </c>
      <c r="C5935" s="195">
        <v>2015</v>
      </c>
      <c r="D5935" s="35" t="s">
        <v>28</v>
      </c>
      <c r="E5935" s="14" t="s">
        <v>29</v>
      </c>
      <c r="F5935" s="7" t="s">
        <v>77</v>
      </c>
      <c r="G5935" s="200" t="s">
        <v>26</v>
      </c>
      <c r="H5935" s="201" t="s">
        <v>8452</v>
      </c>
      <c r="I5935" s="202">
        <v>0</v>
      </c>
      <c r="J5935" s="31">
        <v>0</v>
      </c>
      <c r="K5935" s="203">
        <v>0</v>
      </c>
      <c r="L5935" s="203">
        <v>0</v>
      </c>
      <c r="M5935" s="67">
        <v>0</v>
      </c>
      <c r="N5935" s="67">
        <v>0</v>
      </c>
      <c r="O5935" s="67">
        <v>58.25</v>
      </c>
      <c r="P5935" s="87">
        <f t="shared" si="17"/>
        <v>5.8250000000000003E-2</v>
      </c>
      <c r="Q5935" s="35" t="s">
        <v>3556</v>
      </c>
    </row>
    <row r="5936" spans="1:17" s="162" customFormat="1" ht="36" x14ac:dyDescent="0.25">
      <c r="A5936" s="205">
        <v>42005</v>
      </c>
      <c r="B5936" s="205">
        <v>42369</v>
      </c>
      <c r="C5936" s="195">
        <v>2015</v>
      </c>
      <c r="D5936" s="35" t="s">
        <v>28</v>
      </c>
      <c r="E5936" s="14" t="s">
        <v>29</v>
      </c>
      <c r="F5936" s="7" t="s">
        <v>80</v>
      </c>
      <c r="G5936" s="200" t="s">
        <v>26</v>
      </c>
      <c r="H5936" s="201" t="s">
        <v>8453</v>
      </c>
      <c r="I5936" s="202">
        <v>0</v>
      </c>
      <c r="J5936" s="31">
        <v>0</v>
      </c>
      <c r="K5936" s="203">
        <v>0</v>
      </c>
      <c r="L5936" s="203">
        <v>0</v>
      </c>
      <c r="M5936" s="67">
        <v>0</v>
      </c>
      <c r="N5936" s="67">
        <v>0</v>
      </c>
      <c r="O5936" s="67">
        <v>5572.17</v>
      </c>
      <c r="P5936" s="87">
        <f t="shared" si="17"/>
        <v>5.5721699999999998</v>
      </c>
      <c r="Q5936" s="35" t="s">
        <v>3556</v>
      </c>
    </row>
    <row r="5937" spans="1:17" s="162" customFormat="1" ht="36" x14ac:dyDescent="0.25">
      <c r="A5937" s="2">
        <v>42005</v>
      </c>
      <c r="B5937" s="2">
        <v>42369</v>
      </c>
      <c r="C5937" s="195">
        <v>2015</v>
      </c>
      <c r="D5937" s="35" t="s">
        <v>28</v>
      </c>
      <c r="E5937" s="14" t="s">
        <v>29</v>
      </c>
      <c r="F5937" s="7" t="s">
        <v>82</v>
      </c>
      <c r="G5937" s="200" t="s">
        <v>26</v>
      </c>
      <c r="H5937" s="201" t="s">
        <v>8454</v>
      </c>
      <c r="I5937" s="202">
        <v>0</v>
      </c>
      <c r="J5937" s="31">
        <v>0</v>
      </c>
      <c r="K5937" s="203">
        <v>0</v>
      </c>
      <c r="L5937" s="203">
        <v>0</v>
      </c>
      <c r="M5937" s="67">
        <v>0</v>
      </c>
      <c r="N5937" s="67">
        <v>0</v>
      </c>
      <c r="O5937" s="67">
        <v>379.1</v>
      </c>
      <c r="P5937" s="87">
        <f t="shared" si="17"/>
        <v>0.37909999999999999</v>
      </c>
      <c r="Q5937" s="35" t="s">
        <v>3556</v>
      </c>
    </row>
    <row r="5938" spans="1:17" s="162" customFormat="1" ht="48" x14ac:dyDescent="0.25">
      <c r="A5938" s="2">
        <v>42005</v>
      </c>
      <c r="B5938" s="2">
        <v>42369</v>
      </c>
      <c r="C5938" s="195">
        <v>2015</v>
      </c>
      <c r="D5938" s="35" t="s">
        <v>28</v>
      </c>
      <c r="E5938" s="14" t="s">
        <v>29</v>
      </c>
      <c r="F5938" s="7" t="s">
        <v>84</v>
      </c>
      <c r="G5938" s="200" t="s">
        <v>26</v>
      </c>
      <c r="H5938" s="201" t="s">
        <v>8455</v>
      </c>
      <c r="I5938" s="202">
        <v>0</v>
      </c>
      <c r="J5938" s="31">
        <v>0</v>
      </c>
      <c r="K5938" s="203">
        <v>0</v>
      </c>
      <c r="L5938" s="203">
        <v>0</v>
      </c>
      <c r="M5938" s="67">
        <v>0</v>
      </c>
      <c r="N5938" s="67">
        <v>0</v>
      </c>
      <c r="O5938" s="67">
        <v>502.03</v>
      </c>
      <c r="P5938" s="87">
        <f t="shared" si="17"/>
        <v>0.50202999999999998</v>
      </c>
      <c r="Q5938" s="35" t="s">
        <v>3556</v>
      </c>
    </row>
    <row r="5939" spans="1:17" s="162" customFormat="1" ht="36" x14ac:dyDescent="0.25">
      <c r="A5939" s="2">
        <v>42005</v>
      </c>
      <c r="B5939" s="2">
        <v>42369</v>
      </c>
      <c r="C5939" s="195">
        <v>2015</v>
      </c>
      <c r="D5939" s="35" t="s">
        <v>28</v>
      </c>
      <c r="E5939" s="14" t="s">
        <v>29</v>
      </c>
      <c r="F5939" s="7" t="s">
        <v>87</v>
      </c>
      <c r="G5939" s="200" t="s">
        <v>26</v>
      </c>
      <c r="H5939" s="201" t="s">
        <v>8456</v>
      </c>
      <c r="I5939" s="202">
        <v>0</v>
      </c>
      <c r="J5939" s="31">
        <v>0</v>
      </c>
      <c r="K5939" s="203">
        <v>0</v>
      </c>
      <c r="L5939" s="203">
        <v>0</v>
      </c>
      <c r="M5939" s="67">
        <v>0</v>
      </c>
      <c r="N5939" s="67">
        <v>0</v>
      </c>
      <c r="O5939" s="67">
        <v>1959.7</v>
      </c>
      <c r="P5939" s="87">
        <f t="shared" si="17"/>
        <v>1.9597</v>
      </c>
      <c r="Q5939" s="35" t="s">
        <v>3556</v>
      </c>
    </row>
    <row r="5940" spans="1:17" s="162" customFormat="1" ht="36" x14ac:dyDescent="0.25">
      <c r="A5940" s="2">
        <v>42005</v>
      </c>
      <c r="B5940" s="2">
        <v>42369</v>
      </c>
      <c r="C5940" s="195">
        <v>2015</v>
      </c>
      <c r="D5940" s="35" t="s">
        <v>28</v>
      </c>
      <c r="E5940" s="14" t="s">
        <v>29</v>
      </c>
      <c r="F5940" s="25" t="s">
        <v>781</v>
      </c>
      <c r="G5940" s="200" t="s">
        <v>26</v>
      </c>
      <c r="H5940" s="201" t="s">
        <v>8457</v>
      </c>
      <c r="I5940" s="202">
        <v>0</v>
      </c>
      <c r="J5940" s="31">
        <v>0</v>
      </c>
      <c r="K5940" s="203">
        <v>0</v>
      </c>
      <c r="L5940" s="203">
        <v>0</v>
      </c>
      <c r="M5940" s="67">
        <v>0</v>
      </c>
      <c r="N5940" s="67">
        <v>0</v>
      </c>
      <c r="O5940" s="67">
        <v>695.7</v>
      </c>
      <c r="P5940" s="87">
        <f t="shared" si="17"/>
        <v>0.69569999999999999</v>
      </c>
      <c r="Q5940" s="35" t="s">
        <v>3556</v>
      </c>
    </row>
    <row r="5941" spans="1:17" s="162" customFormat="1" ht="48" x14ac:dyDescent="0.25">
      <c r="A5941" s="2">
        <v>42005</v>
      </c>
      <c r="B5941" s="2">
        <v>42369</v>
      </c>
      <c r="C5941" s="195">
        <v>2015</v>
      </c>
      <c r="D5941" s="35" t="s">
        <v>28</v>
      </c>
      <c r="E5941" s="14" t="s">
        <v>29</v>
      </c>
      <c r="F5941" s="7" t="s">
        <v>91</v>
      </c>
      <c r="G5941" s="200" t="s">
        <v>26</v>
      </c>
      <c r="H5941" s="201" t="s">
        <v>8458</v>
      </c>
      <c r="I5941" s="202">
        <v>0</v>
      </c>
      <c r="J5941" s="31">
        <v>0</v>
      </c>
      <c r="K5941" s="203">
        <v>0</v>
      </c>
      <c r="L5941" s="203">
        <v>0</v>
      </c>
      <c r="M5941" s="67">
        <v>0</v>
      </c>
      <c r="N5941" s="67">
        <v>0</v>
      </c>
      <c r="O5941" s="67">
        <v>228.25</v>
      </c>
      <c r="P5941" s="87">
        <f t="shared" si="17"/>
        <v>0.22825000000000001</v>
      </c>
      <c r="Q5941" s="35" t="s">
        <v>3556</v>
      </c>
    </row>
    <row r="5942" spans="1:17" s="162" customFormat="1" ht="48" x14ac:dyDescent="0.25">
      <c r="A5942" s="2">
        <v>42005</v>
      </c>
      <c r="B5942" s="2">
        <v>42369</v>
      </c>
      <c r="C5942" s="195">
        <v>2015</v>
      </c>
      <c r="D5942" s="35" t="s">
        <v>28</v>
      </c>
      <c r="E5942" s="14" t="s">
        <v>29</v>
      </c>
      <c r="F5942" s="7" t="s">
        <v>97</v>
      </c>
      <c r="G5942" s="200" t="s">
        <v>26</v>
      </c>
      <c r="H5942" s="201" t="s">
        <v>8459</v>
      </c>
      <c r="I5942" s="202">
        <v>0</v>
      </c>
      <c r="J5942" s="31">
        <v>0</v>
      </c>
      <c r="K5942" s="203">
        <v>0</v>
      </c>
      <c r="L5942" s="203">
        <v>0</v>
      </c>
      <c r="M5942" s="67">
        <v>0</v>
      </c>
      <c r="N5942" s="67">
        <v>0</v>
      </c>
      <c r="O5942" s="67">
        <v>266.75</v>
      </c>
      <c r="P5942" s="87">
        <f t="shared" si="17"/>
        <v>0.26674999999999999</v>
      </c>
      <c r="Q5942" s="35" t="s">
        <v>3556</v>
      </c>
    </row>
    <row r="5943" spans="1:17" s="162" customFormat="1" ht="48" x14ac:dyDescent="0.25">
      <c r="A5943" s="2">
        <v>42005</v>
      </c>
      <c r="B5943" s="2">
        <v>42369</v>
      </c>
      <c r="C5943" s="195">
        <v>2015</v>
      </c>
      <c r="D5943" s="35" t="s">
        <v>28</v>
      </c>
      <c r="E5943" s="14" t="s">
        <v>29</v>
      </c>
      <c r="F5943" s="28" t="s">
        <v>210</v>
      </c>
      <c r="G5943" s="200" t="s">
        <v>26</v>
      </c>
      <c r="H5943" s="201" t="s">
        <v>8460</v>
      </c>
      <c r="I5943" s="202">
        <v>0</v>
      </c>
      <c r="J5943" s="31">
        <v>0</v>
      </c>
      <c r="K5943" s="203">
        <v>0</v>
      </c>
      <c r="L5943" s="203">
        <v>0</v>
      </c>
      <c r="M5943" s="67">
        <v>0</v>
      </c>
      <c r="N5943" s="67">
        <v>0</v>
      </c>
      <c r="O5943" s="67">
        <v>1155.6199999999999</v>
      </c>
      <c r="P5943" s="87">
        <f t="shared" si="17"/>
        <v>1.1556200000000001</v>
      </c>
      <c r="Q5943" s="35" t="s">
        <v>3556</v>
      </c>
    </row>
    <row r="5944" spans="1:17" s="162" customFormat="1" ht="48" x14ac:dyDescent="0.25">
      <c r="A5944" s="199">
        <v>42005</v>
      </c>
      <c r="B5944" s="199">
        <v>42369</v>
      </c>
      <c r="C5944" s="195">
        <v>2015</v>
      </c>
      <c r="D5944" s="35" t="s">
        <v>28</v>
      </c>
      <c r="E5944" s="14" t="s">
        <v>29</v>
      </c>
      <c r="F5944" s="28" t="s">
        <v>163</v>
      </c>
      <c r="G5944" s="200" t="s">
        <v>26</v>
      </c>
      <c r="H5944" s="201" t="s">
        <v>8461</v>
      </c>
      <c r="I5944" s="202">
        <v>0</v>
      </c>
      <c r="J5944" s="31">
        <v>0</v>
      </c>
      <c r="K5944" s="203">
        <v>0</v>
      </c>
      <c r="L5944" s="203">
        <v>0</v>
      </c>
      <c r="M5944" s="67">
        <v>0</v>
      </c>
      <c r="N5944" s="67">
        <v>0</v>
      </c>
      <c r="O5944" s="67">
        <v>8646.25</v>
      </c>
      <c r="P5944" s="87">
        <f t="shared" si="17"/>
        <v>8.6462500000000002</v>
      </c>
      <c r="Q5944" s="35" t="s">
        <v>3556</v>
      </c>
    </row>
    <row r="5945" spans="1:17" s="162" customFormat="1" ht="36" x14ac:dyDescent="0.25">
      <c r="A5945" s="2">
        <v>42005</v>
      </c>
      <c r="B5945" s="2">
        <v>42369</v>
      </c>
      <c r="C5945" s="195">
        <v>2015</v>
      </c>
      <c r="D5945" s="35" t="s">
        <v>28</v>
      </c>
      <c r="E5945" s="14" t="s">
        <v>29</v>
      </c>
      <c r="F5945" s="7" t="s">
        <v>101</v>
      </c>
      <c r="G5945" s="200" t="s">
        <v>26</v>
      </c>
      <c r="H5945" s="201" t="s">
        <v>8462</v>
      </c>
      <c r="I5945" s="202">
        <v>0</v>
      </c>
      <c r="J5945" s="31">
        <v>0</v>
      </c>
      <c r="K5945" s="203">
        <v>0</v>
      </c>
      <c r="L5945" s="203">
        <v>0</v>
      </c>
      <c r="M5945" s="67">
        <v>0</v>
      </c>
      <c r="N5945" s="67">
        <v>0</v>
      </c>
      <c r="O5945" s="67">
        <v>778.87</v>
      </c>
      <c r="P5945" s="87">
        <f t="shared" si="17"/>
        <v>0.77886999999999995</v>
      </c>
      <c r="Q5945" s="35" t="s">
        <v>3556</v>
      </c>
    </row>
    <row r="5946" spans="1:17" s="162" customFormat="1" ht="48" x14ac:dyDescent="0.25">
      <c r="A5946" s="194">
        <v>42005</v>
      </c>
      <c r="B5946" s="194">
        <v>42369</v>
      </c>
      <c r="C5946" s="195">
        <v>2015</v>
      </c>
      <c r="D5946" s="351" t="s">
        <v>23</v>
      </c>
      <c r="E5946" s="22" t="s">
        <v>42</v>
      </c>
      <c r="F5946" s="7" t="s">
        <v>45</v>
      </c>
      <c r="G5946" s="206" t="s">
        <v>2109</v>
      </c>
      <c r="H5946" s="206" t="s">
        <v>8463</v>
      </c>
      <c r="I5946" s="198">
        <v>3</v>
      </c>
      <c r="J5946" s="207">
        <v>17</v>
      </c>
      <c r="K5946" s="207">
        <v>0</v>
      </c>
      <c r="L5946" s="207">
        <v>0</v>
      </c>
      <c r="M5946" s="207">
        <v>0</v>
      </c>
      <c r="N5946" s="207">
        <v>0</v>
      </c>
      <c r="O5946" s="207">
        <v>0</v>
      </c>
      <c r="P5946" s="26">
        <v>0</v>
      </c>
      <c r="Q5946" s="198" t="s">
        <v>2218</v>
      </c>
    </row>
    <row r="5947" spans="1:17" s="162" customFormat="1" ht="72" x14ac:dyDescent="0.25">
      <c r="A5947" s="194">
        <v>42005</v>
      </c>
      <c r="B5947" s="194">
        <v>42369</v>
      </c>
      <c r="C5947" s="195">
        <v>2015</v>
      </c>
      <c r="D5947" s="351" t="s">
        <v>23</v>
      </c>
      <c r="E5947" s="22" t="s">
        <v>42</v>
      </c>
      <c r="F5947" s="7" t="s">
        <v>40</v>
      </c>
      <c r="G5947" s="206" t="s">
        <v>2109</v>
      </c>
      <c r="H5947" s="208" t="s">
        <v>8464</v>
      </c>
      <c r="I5947" s="198">
        <v>7</v>
      </c>
      <c r="J5947" s="207">
        <v>175</v>
      </c>
      <c r="K5947" s="207">
        <v>0</v>
      </c>
      <c r="L5947" s="207">
        <v>0</v>
      </c>
      <c r="M5947" s="207">
        <v>0</v>
      </c>
      <c r="N5947" s="207">
        <v>0</v>
      </c>
      <c r="O5947" s="207">
        <v>0</v>
      </c>
      <c r="P5947" s="26">
        <v>0</v>
      </c>
      <c r="Q5947" s="198" t="s">
        <v>2218</v>
      </c>
    </row>
    <row r="5948" spans="1:17" s="162" customFormat="1" ht="36" x14ac:dyDescent="0.25">
      <c r="A5948" s="194">
        <v>42005</v>
      </c>
      <c r="B5948" s="194">
        <v>42369</v>
      </c>
      <c r="C5948" s="195">
        <v>2015</v>
      </c>
      <c r="D5948" s="351" t="s">
        <v>23</v>
      </c>
      <c r="E5948" s="22" t="s">
        <v>42</v>
      </c>
      <c r="F5948" s="7" t="s">
        <v>82</v>
      </c>
      <c r="G5948" s="206" t="s">
        <v>2109</v>
      </c>
      <c r="H5948" s="208" t="s">
        <v>8465</v>
      </c>
      <c r="I5948" s="198">
        <v>2</v>
      </c>
      <c r="J5948" s="207">
        <v>2</v>
      </c>
      <c r="K5948" s="207">
        <v>0</v>
      </c>
      <c r="L5948" s="207">
        <v>0</v>
      </c>
      <c r="M5948" s="207">
        <v>0</v>
      </c>
      <c r="N5948" s="207">
        <v>0</v>
      </c>
      <c r="O5948" s="207">
        <v>0</v>
      </c>
      <c r="P5948" s="26">
        <v>0</v>
      </c>
      <c r="Q5948" s="198" t="s">
        <v>2218</v>
      </c>
    </row>
    <row r="5949" spans="1:17" s="162" customFormat="1" ht="48" x14ac:dyDescent="0.25">
      <c r="A5949" s="194">
        <v>42005</v>
      </c>
      <c r="B5949" s="194">
        <v>42369</v>
      </c>
      <c r="C5949" s="195">
        <v>2015</v>
      </c>
      <c r="D5949" s="351" t="s">
        <v>23</v>
      </c>
      <c r="E5949" s="22" t="s">
        <v>42</v>
      </c>
      <c r="F5949" s="7" t="s">
        <v>68</v>
      </c>
      <c r="G5949" s="206" t="s">
        <v>2109</v>
      </c>
      <c r="H5949" s="208" t="s">
        <v>8466</v>
      </c>
      <c r="I5949" s="198">
        <v>8</v>
      </c>
      <c r="J5949" s="207">
        <v>11</v>
      </c>
      <c r="K5949" s="207">
        <v>0</v>
      </c>
      <c r="L5949" s="207">
        <v>0</v>
      </c>
      <c r="M5949" s="207">
        <v>0</v>
      </c>
      <c r="N5949" s="207">
        <v>0</v>
      </c>
      <c r="O5949" s="207">
        <v>0</v>
      </c>
      <c r="P5949" s="26">
        <v>0</v>
      </c>
      <c r="Q5949" s="198" t="s">
        <v>2218</v>
      </c>
    </row>
    <row r="5950" spans="1:17" s="162" customFormat="1" ht="48" x14ac:dyDescent="0.25">
      <c r="A5950" s="194">
        <v>42005</v>
      </c>
      <c r="B5950" s="194">
        <v>42369</v>
      </c>
      <c r="C5950" s="195">
        <v>2015</v>
      </c>
      <c r="D5950" s="351" t="s">
        <v>23</v>
      </c>
      <c r="E5950" s="22" t="s">
        <v>42</v>
      </c>
      <c r="F5950" s="7" t="s">
        <v>75</v>
      </c>
      <c r="G5950" s="206" t="s">
        <v>2109</v>
      </c>
      <c r="H5950" s="208" t="s">
        <v>8467</v>
      </c>
      <c r="I5950" s="198">
        <v>2</v>
      </c>
      <c r="J5950" s="207">
        <v>12</v>
      </c>
      <c r="K5950" s="207">
        <v>0</v>
      </c>
      <c r="L5950" s="207">
        <v>0</v>
      </c>
      <c r="M5950" s="207">
        <v>0</v>
      </c>
      <c r="N5950" s="207">
        <v>0</v>
      </c>
      <c r="O5950" s="207">
        <v>0</v>
      </c>
      <c r="P5950" s="26">
        <v>0</v>
      </c>
      <c r="Q5950" s="198" t="s">
        <v>2218</v>
      </c>
    </row>
    <row r="5951" spans="1:17" s="162" customFormat="1" ht="72" x14ac:dyDescent="0.25">
      <c r="A5951" s="194">
        <v>42005</v>
      </c>
      <c r="B5951" s="194">
        <v>42369</v>
      </c>
      <c r="C5951" s="195">
        <v>2015</v>
      </c>
      <c r="D5951" s="351" t="s">
        <v>23</v>
      </c>
      <c r="E5951" s="22" t="s">
        <v>42</v>
      </c>
      <c r="F5951" s="28" t="s">
        <v>160</v>
      </c>
      <c r="G5951" s="206" t="s">
        <v>2109</v>
      </c>
      <c r="H5951" s="208" t="s">
        <v>8468</v>
      </c>
      <c r="I5951" s="198">
        <v>2</v>
      </c>
      <c r="J5951" s="207">
        <v>2</v>
      </c>
      <c r="K5951" s="207">
        <v>0</v>
      </c>
      <c r="L5951" s="207">
        <v>0</v>
      </c>
      <c r="M5951" s="207">
        <v>0</v>
      </c>
      <c r="N5951" s="207">
        <v>0</v>
      </c>
      <c r="O5951" s="207">
        <v>0</v>
      </c>
      <c r="P5951" s="26">
        <v>0</v>
      </c>
      <c r="Q5951" s="198" t="s">
        <v>8469</v>
      </c>
    </row>
    <row r="5952" spans="1:17" s="162" customFormat="1" ht="72" x14ac:dyDescent="0.25">
      <c r="A5952" s="194">
        <v>42005</v>
      </c>
      <c r="B5952" s="194">
        <v>42369</v>
      </c>
      <c r="C5952" s="195">
        <v>2015</v>
      </c>
      <c r="D5952" s="351" t="s">
        <v>23</v>
      </c>
      <c r="E5952" s="22" t="s">
        <v>42</v>
      </c>
      <c r="F5952" s="7" t="s">
        <v>87</v>
      </c>
      <c r="G5952" s="206" t="s">
        <v>2109</v>
      </c>
      <c r="H5952" s="208" t="s">
        <v>8470</v>
      </c>
      <c r="I5952" s="198">
        <v>10</v>
      </c>
      <c r="J5952" s="207">
        <v>54</v>
      </c>
      <c r="K5952" s="207">
        <v>0</v>
      </c>
      <c r="L5952" s="207">
        <v>0</v>
      </c>
      <c r="M5952" s="207">
        <v>0</v>
      </c>
      <c r="N5952" s="207">
        <v>0</v>
      </c>
      <c r="O5952" s="207">
        <v>0</v>
      </c>
      <c r="P5952" s="26">
        <v>0</v>
      </c>
      <c r="Q5952" s="198" t="s">
        <v>2218</v>
      </c>
    </row>
    <row r="5953" spans="1:17" s="162" customFormat="1" ht="48" x14ac:dyDescent="0.25">
      <c r="A5953" s="194">
        <v>42005</v>
      </c>
      <c r="B5953" s="194">
        <v>42369</v>
      </c>
      <c r="C5953" s="195">
        <v>2015</v>
      </c>
      <c r="D5953" s="351" t="s">
        <v>23</v>
      </c>
      <c r="E5953" s="22" t="s">
        <v>42</v>
      </c>
      <c r="F5953" s="7" t="s">
        <v>49</v>
      </c>
      <c r="G5953" s="206" t="s">
        <v>2109</v>
      </c>
      <c r="H5953" s="208" t="s">
        <v>8471</v>
      </c>
      <c r="I5953" s="198">
        <v>4</v>
      </c>
      <c r="J5953" s="207">
        <v>13</v>
      </c>
      <c r="K5953" s="207">
        <v>0</v>
      </c>
      <c r="L5953" s="207">
        <v>0</v>
      </c>
      <c r="M5953" s="207">
        <v>0</v>
      </c>
      <c r="N5953" s="207">
        <v>0</v>
      </c>
      <c r="O5953" s="207">
        <v>0</v>
      </c>
      <c r="P5953" s="26">
        <v>0</v>
      </c>
      <c r="Q5953" s="198" t="s">
        <v>2218</v>
      </c>
    </row>
    <row r="5954" spans="1:17" s="162" customFormat="1" ht="36" x14ac:dyDescent="0.25">
      <c r="A5954" s="194">
        <v>42005</v>
      </c>
      <c r="B5954" s="194">
        <v>42369</v>
      </c>
      <c r="C5954" s="195">
        <v>2015</v>
      </c>
      <c r="D5954" s="351" t="s">
        <v>23</v>
      </c>
      <c r="E5954" s="22" t="s">
        <v>42</v>
      </c>
      <c r="F5954" s="7" t="s">
        <v>91</v>
      </c>
      <c r="G5954" s="206" t="s">
        <v>2109</v>
      </c>
      <c r="H5954" s="208" t="s">
        <v>8472</v>
      </c>
      <c r="I5954" s="198">
        <v>1</v>
      </c>
      <c r="J5954" s="207">
        <v>14</v>
      </c>
      <c r="K5954" s="207">
        <v>0</v>
      </c>
      <c r="L5954" s="207">
        <v>0</v>
      </c>
      <c r="M5954" s="207">
        <v>0</v>
      </c>
      <c r="N5954" s="207">
        <v>0</v>
      </c>
      <c r="O5954" s="207">
        <v>0</v>
      </c>
      <c r="P5954" s="26">
        <v>0</v>
      </c>
      <c r="Q5954" s="198" t="s">
        <v>2218</v>
      </c>
    </row>
    <row r="5955" spans="1:17" s="162" customFormat="1" ht="36" x14ac:dyDescent="0.25">
      <c r="A5955" s="194">
        <v>42005</v>
      </c>
      <c r="B5955" s="194">
        <v>42369</v>
      </c>
      <c r="C5955" s="195">
        <v>2015</v>
      </c>
      <c r="D5955" s="351" t="s">
        <v>23</v>
      </c>
      <c r="E5955" s="22" t="s">
        <v>42</v>
      </c>
      <c r="F5955" s="28" t="s">
        <v>210</v>
      </c>
      <c r="G5955" s="206" t="s">
        <v>2109</v>
      </c>
      <c r="H5955" s="208" t="s">
        <v>8473</v>
      </c>
      <c r="I5955" s="198">
        <v>1</v>
      </c>
      <c r="J5955" s="207">
        <v>7</v>
      </c>
      <c r="K5955" s="207">
        <v>0</v>
      </c>
      <c r="L5955" s="207">
        <v>0</v>
      </c>
      <c r="M5955" s="207">
        <v>0</v>
      </c>
      <c r="N5955" s="207">
        <v>0</v>
      </c>
      <c r="O5955" s="207">
        <v>0</v>
      </c>
      <c r="P5955" s="26">
        <v>0</v>
      </c>
      <c r="Q5955" s="198" t="s">
        <v>2218</v>
      </c>
    </row>
    <row r="5956" spans="1:17" s="162" customFormat="1" ht="24" x14ac:dyDescent="0.25">
      <c r="A5956" s="194">
        <v>42005</v>
      </c>
      <c r="B5956" s="194">
        <v>42369</v>
      </c>
      <c r="C5956" s="195">
        <v>2015</v>
      </c>
      <c r="D5956" s="351" t="s">
        <v>23</v>
      </c>
      <c r="E5956" s="22" t="s">
        <v>42</v>
      </c>
      <c r="F5956" s="7" t="s">
        <v>53</v>
      </c>
      <c r="G5956" s="206" t="s">
        <v>2109</v>
      </c>
      <c r="H5956" s="208" t="s">
        <v>8474</v>
      </c>
      <c r="I5956" s="198">
        <v>1</v>
      </c>
      <c r="J5956" s="207">
        <v>0</v>
      </c>
      <c r="K5956" s="207">
        <v>0</v>
      </c>
      <c r="L5956" s="207">
        <v>0</v>
      </c>
      <c r="M5956" s="207">
        <v>0</v>
      </c>
      <c r="N5956" s="207">
        <v>0</v>
      </c>
      <c r="O5956" s="207">
        <v>0</v>
      </c>
      <c r="P5956" s="26">
        <v>0</v>
      </c>
      <c r="Q5956" s="198" t="s">
        <v>2218</v>
      </c>
    </row>
    <row r="5957" spans="1:17" s="162" customFormat="1" ht="36" x14ac:dyDescent="0.25">
      <c r="A5957" s="194">
        <v>42005</v>
      </c>
      <c r="B5957" s="194">
        <v>42369</v>
      </c>
      <c r="C5957" s="195">
        <v>2015</v>
      </c>
      <c r="D5957" s="351" t="s">
        <v>23</v>
      </c>
      <c r="E5957" s="22" t="s">
        <v>42</v>
      </c>
      <c r="F5957" s="7" t="s">
        <v>36</v>
      </c>
      <c r="G5957" s="206" t="s">
        <v>2109</v>
      </c>
      <c r="H5957" s="208" t="s">
        <v>8475</v>
      </c>
      <c r="I5957" s="198">
        <v>1</v>
      </c>
      <c r="J5957" s="207">
        <v>5</v>
      </c>
      <c r="K5957" s="207">
        <v>0</v>
      </c>
      <c r="L5957" s="207">
        <v>0</v>
      </c>
      <c r="M5957" s="207">
        <v>0</v>
      </c>
      <c r="N5957" s="207">
        <v>0</v>
      </c>
      <c r="O5957" s="207">
        <v>0</v>
      </c>
      <c r="P5957" s="26">
        <v>0</v>
      </c>
      <c r="Q5957" s="198" t="s">
        <v>2218</v>
      </c>
    </row>
    <row r="5958" spans="1:17" s="162" customFormat="1" ht="36" x14ac:dyDescent="0.25">
      <c r="A5958" s="194">
        <v>42005</v>
      </c>
      <c r="B5958" s="194">
        <v>42369</v>
      </c>
      <c r="C5958" s="195">
        <v>2015</v>
      </c>
      <c r="D5958" s="351" t="s">
        <v>23</v>
      </c>
      <c r="E5958" s="22" t="s">
        <v>42</v>
      </c>
      <c r="F5958" s="7" t="s">
        <v>97</v>
      </c>
      <c r="G5958" s="206" t="s">
        <v>2109</v>
      </c>
      <c r="H5958" s="208" t="s">
        <v>8476</v>
      </c>
      <c r="I5958" s="198">
        <v>1</v>
      </c>
      <c r="J5958" s="207">
        <v>3</v>
      </c>
      <c r="K5958" s="207">
        <v>0</v>
      </c>
      <c r="L5958" s="207">
        <v>0</v>
      </c>
      <c r="M5958" s="207">
        <v>0</v>
      </c>
      <c r="N5958" s="207">
        <v>0</v>
      </c>
      <c r="O5958" s="207">
        <v>0</v>
      </c>
      <c r="P5958" s="26">
        <v>0</v>
      </c>
      <c r="Q5958" s="198" t="s">
        <v>2218</v>
      </c>
    </row>
    <row r="5959" spans="1:17" s="162" customFormat="1" ht="24" x14ac:dyDescent="0.25">
      <c r="A5959" s="194">
        <v>42005</v>
      </c>
      <c r="B5959" s="194">
        <v>42369</v>
      </c>
      <c r="C5959" s="195">
        <v>2015</v>
      </c>
      <c r="D5959" s="351" t="s">
        <v>23</v>
      </c>
      <c r="E5959" s="22" t="s">
        <v>42</v>
      </c>
      <c r="F5959" s="28" t="s">
        <v>157</v>
      </c>
      <c r="G5959" s="206" t="s">
        <v>2109</v>
      </c>
      <c r="H5959" s="208" t="s">
        <v>8477</v>
      </c>
      <c r="I5959" s="198">
        <v>0</v>
      </c>
      <c r="J5959" s="207">
        <v>1</v>
      </c>
      <c r="K5959" s="207">
        <v>0</v>
      </c>
      <c r="L5959" s="207">
        <v>0</v>
      </c>
      <c r="M5959" s="207">
        <v>0</v>
      </c>
      <c r="N5959" s="207">
        <v>0</v>
      </c>
      <c r="O5959" s="207">
        <v>0</v>
      </c>
      <c r="P5959" s="26">
        <v>0</v>
      </c>
      <c r="Q5959" s="198" t="s">
        <v>2218</v>
      </c>
    </row>
    <row r="5960" spans="1:17" s="162" customFormat="1" ht="72" x14ac:dyDescent="0.25">
      <c r="A5960" s="199">
        <v>42006</v>
      </c>
      <c r="B5960" s="199">
        <v>42006</v>
      </c>
      <c r="C5960" s="195">
        <v>2015</v>
      </c>
      <c r="D5960" s="24" t="s">
        <v>141</v>
      </c>
      <c r="E5960" s="30" t="s">
        <v>142</v>
      </c>
      <c r="F5960" s="7" t="s">
        <v>75</v>
      </c>
      <c r="G5960" s="200" t="s">
        <v>6624</v>
      </c>
      <c r="H5960" s="196" t="s">
        <v>8478</v>
      </c>
      <c r="I5960" s="209">
        <v>1</v>
      </c>
      <c r="J5960" s="210">
        <v>4</v>
      </c>
      <c r="K5960" s="210">
        <v>0</v>
      </c>
      <c r="L5960" s="210">
        <v>0</v>
      </c>
      <c r="M5960" s="210">
        <v>0</v>
      </c>
      <c r="N5960" s="210">
        <v>0</v>
      </c>
      <c r="O5960" s="210">
        <v>0</v>
      </c>
      <c r="P5960" s="211">
        <v>0.32800000000000001</v>
      </c>
      <c r="Q5960" s="204" t="s">
        <v>154</v>
      </c>
    </row>
    <row r="5961" spans="1:17" s="162" customFormat="1" ht="48" x14ac:dyDescent="0.25">
      <c r="A5961" s="199">
        <v>42006</v>
      </c>
      <c r="B5961" s="199">
        <v>42007</v>
      </c>
      <c r="C5961" s="195">
        <v>2015</v>
      </c>
      <c r="D5961" s="24" t="s">
        <v>141</v>
      </c>
      <c r="E5961" s="6" t="s">
        <v>333</v>
      </c>
      <c r="F5961" s="7" t="s">
        <v>68</v>
      </c>
      <c r="G5961" s="200" t="s">
        <v>160</v>
      </c>
      <c r="H5961" s="196" t="s">
        <v>8479</v>
      </c>
      <c r="I5961" s="209">
        <v>1</v>
      </c>
      <c r="J5961" s="210">
        <v>1</v>
      </c>
      <c r="K5961" s="210">
        <v>0</v>
      </c>
      <c r="L5961" s="210">
        <v>0</v>
      </c>
      <c r="M5961" s="210">
        <v>0</v>
      </c>
      <c r="N5961" s="210">
        <v>0</v>
      </c>
      <c r="O5961" s="210">
        <v>0</v>
      </c>
      <c r="P5961" s="211"/>
      <c r="Q5961" s="204" t="s">
        <v>154</v>
      </c>
    </row>
    <row r="5962" spans="1:17" s="162" customFormat="1" ht="72" x14ac:dyDescent="0.25">
      <c r="A5962" s="3">
        <v>42008</v>
      </c>
      <c r="B5962" s="3">
        <v>42011</v>
      </c>
      <c r="C5962" s="195">
        <v>2015</v>
      </c>
      <c r="D5962" s="351" t="s">
        <v>23</v>
      </c>
      <c r="E5962" s="22" t="s">
        <v>86</v>
      </c>
      <c r="F5962" s="28" t="s">
        <v>210</v>
      </c>
      <c r="G5962" s="200" t="s">
        <v>8480</v>
      </c>
      <c r="H5962" s="212" t="s">
        <v>8481</v>
      </c>
      <c r="I5962" s="213">
        <v>0</v>
      </c>
      <c r="J5962" s="31">
        <v>17163</v>
      </c>
      <c r="K5962" s="214">
        <v>0</v>
      </c>
      <c r="L5962" s="214">
        <v>0</v>
      </c>
      <c r="M5962" s="214">
        <v>0</v>
      </c>
      <c r="N5962" s="214">
        <v>0</v>
      </c>
      <c r="O5962" s="214">
        <v>0</v>
      </c>
      <c r="P5962" s="26">
        <v>11.316000000000001</v>
      </c>
      <c r="Q5962" s="172" t="s">
        <v>186</v>
      </c>
    </row>
    <row r="5963" spans="1:17" s="162" customFormat="1" ht="132" x14ac:dyDescent="0.25">
      <c r="A5963" s="199">
        <v>42009</v>
      </c>
      <c r="B5963" s="199">
        <v>42009</v>
      </c>
      <c r="C5963" s="195">
        <v>2015</v>
      </c>
      <c r="D5963" s="351" t="s">
        <v>23</v>
      </c>
      <c r="E5963" s="22" t="s">
        <v>86</v>
      </c>
      <c r="F5963" s="7" t="s">
        <v>36</v>
      </c>
      <c r="G5963" s="200" t="s">
        <v>8482</v>
      </c>
      <c r="H5963" s="196" t="s">
        <v>8483</v>
      </c>
      <c r="I5963" s="209">
        <v>0</v>
      </c>
      <c r="J5963" s="210">
        <v>295</v>
      </c>
      <c r="K5963" s="210">
        <v>59</v>
      </c>
      <c r="L5963" s="210">
        <v>0</v>
      </c>
      <c r="M5963" s="210">
        <v>0</v>
      </c>
      <c r="N5963" s="210">
        <v>0</v>
      </c>
      <c r="O5963" s="210">
        <v>0</v>
      </c>
      <c r="P5963" s="211">
        <v>0</v>
      </c>
      <c r="Q5963" s="204" t="s">
        <v>154</v>
      </c>
    </row>
    <row r="5964" spans="1:17" s="162" customFormat="1" ht="180" x14ac:dyDescent="0.25">
      <c r="A5964" s="23">
        <v>42013</v>
      </c>
      <c r="B5964" s="23">
        <v>42016</v>
      </c>
      <c r="C5964" s="195">
        <v>2015</v>
      </c>
      <c r="D5964" s="351" t="s">
        <v>23</v>
      </c>
      <c r="E5964" s="22" t="s">
        <v>42</v>
      </c>
      <c r="F5964" s="7" t="s">
        <v>40</v>
      </c>
      <c r="G5964" s="200" t="s">
        <v>8484</v>
      </c>
      <c r="H5964" s="212" t="s">
        <v>8485</v>
      </c>
      <c r="I5964" s="213">
        <v>0</v>
      </c>
      <c r="J5964" s="31">
        <v>123883</v>
      </c>
      <c r="K5964" s="214">
        <v>0</v>
      </c>
      <c r="L5964" s="214">
        <v>0</v>
      </c>
      <c r="M5964" s="214">
        <v>0</v>
      </c>
      <c r="N5964" s="214">
        <v>0</v>
      </c>
      <c r="O5964" s="214">
        <v>0</v>
      </c>
      <c r="P5964" s="26">
        <v>50.11</v>
      </c>
      <c r="Q5964" s="172" t="s">
        <v>186</v>
      </c>
    </row>
    <row r="5965" spans="1:17" s="162" customFormat="1" ht="72" x14ac:dyDescent="0.25">
      <c r="A5965" s="3">
        <v>42013</v>
      </c>
      <c r="B5965" s="3">
        <v>42016</v>
      </c>
      <c r="C5965" s="195">
        <v>2015</v>
      </c>
      <c r="D5965" s="351" t="s">
        <v>23</v>
      </c>
      <c r="E5965" s="22" t="s">
        <v>42</v>
      </c>
      <c r="F5965" s="7" t="s">
        <v>91</v>
      </c>
      <c r="G5965" s="200" t="s">
        <v>8486</v>
      </c>
      <c r="H5965" s="84" t="s">
        <v>8487</v>
      </c>
      <c r="I5965" s="213">
        <v>0</v>
      </c>
      <c r="J5965" s="31">
        <v>17798</v>
      </c>
      <c r="K5965" s="214">
        <v>0</v>
      </c>
      <c r="L5965" s="214">
        <v>0</v>
      </c>
      <c r="M5965" s="214">
        <v>0</v>
      </c>
      <c r="N5965" s="214">
        <v>0</v>
      </c>
      <c r="O5965" s="214">
        <v>0</v>
      </c>
      <c r="P5965" s="26">
        <v>5.8769999999999998</v>
      </c>
      <c r="Q5965" s="172" t="s">
        <v>186</v>
      </c>
    </row>
    <row r="5966" spans="1:17" s="162" customFormat="1" ht="84" x14ac:dyDescent="0.25">
      <c r="A5966" s="3">
        <v>42013</v>
      </c>
      <c r="B5966" s="3">
        <v>42016</v>
      </c>
      <c r="C5966" s="195">
        <v>2015</v>
      </c>
      <c r="D5966" s="351" t="s">
        <v>23</v>
      </c>
      <c r="E5966" s="22" t="s">
        <v>42</v>
      </c>
      <c r="F5966" s="7" t="s">
        <v>87</v>
      </c>
      <c r="G5966" s="200" t="s">
        <v>8488</v>
      </c>
      <c r="H5966" s="212" t="s">
        <v>8489</v>
      </c>
      <c r="I5966" s="213">
        <v>0</v>
      </c>
      <c r="J5966" s="31">
        <v>9893</v>
      </c>
      <c r="K5966" s="214">
        <v>0</v>
      </c>
      <c r="L5966" s="214">
        <v>0</v>
      </c>
      <c r="M5966" s="214">
        <v>0</v>
      </c>
      <c r="N5966" s="214">
        <v>0</v>
      </c>
      <c r="O5966" s="214">
        <v>0</v>
      </c>
      <c r="P5966" s="26">
        <v>3.38</v>
      </c>
      <c r="Q5966" s="172" t="s">
        <v>186</v>
      </c>
    </row>
    <row r="5967" spans="1:17" s="162" customFormat="1" ht="96" x14ac:dyDescent="0.25">
      <c r="A5967" s="3">
        <v>42013</v>
      </c>
      <c r="B5967" s="3">
        <v>42016</v>
      </c>
      <c r="C5967" s="195">
        <v>2015</v>
      </c>
      <c r="D5967" s="351" t="s">
        <v>23</v>
      </c>
      <c r="E5967" s="22" t="s">
        <v>42</v>
      </c>
      <c r="F5967" s="7" t="s">
        <v>49</v>
      </c>
      <c r="G5967" s="200" t="s">
        <v>8490</v>
      </c>
      <c r="H5967" s="212" t="s">
        <v>8491</v>
      </c>
      <c r="I5967" s="213">
        <v>0</v>
      </c>
      <c r="J5967" s="31">
        <v>32918</v>
      </c>
      <c r="K5967" s="214">
        <v>0</v>
      </c>
      <c r="L5967" s="214">
        <v>0</v>
      </c>
      <c r="M5967" s="214">
        <v>0</v>
      </c>
      <c r="N5967" s="214">
        <v>0</v>
      </c>
      <c r="O5967" s="214">
        <v>0</v>
      </c>
      <c r="P5967" s="26">
        <v>11.249000000000001</v>
      </c>
      <c r="Q5967" s="172" t="s">
        <v>186</v>
      </c>
    </row>
    <row r="5968" spans="1:17" s="162" customFormat="1" ht="84" x14ac:dyDescent="0.25">
      <c r="A5968" s="3">
        <v>42013</v>
      </c>
      <c r="B5968" s="3">
        <v>42016</v>
      </c>
      <c r="C5968" s="195">
        <v>2015</v>
      </c>
      <c r="D5968" s="351" t="s">
        <v>23</v>
      </c>
      <c r="E5968" s="22" t="s">
        <v>42</v>
      </c>
      <c r="F5968" s="7" t="s">
        <v>82</v>
      </c>
      <c r="G5968" s="200" t="s">
        <v>8492</v>
      </c>
      <c r="H5968" s="212" t="s">
        <v>8493</v>
      </c>
      <c r="I5968" s="213">
        <v>0</v>
      </c>
      <c r="J5968" s="31">
        <v>5314</v>
      </c>
      <c r="K5968" s="214">
        <v>0</v>
      </c>
      <c r="L5968" s="214">
        <v>0</v>
      </c>
      <c r="M5968" s="214">
        <v>0</v>
      </c>
      <c r="N5968" s="214">
        <v>0</v>
      </c>
      <c r="O5968" s="214">
        <v>0</v>
      </c>
      <c r="P5968" s="26">
        <v>1.8149999999999999</v>
      </c>
      <c r="Q5968" s="172" t="s">
        <v>186</v>
      </c>
    </row>
    <row r="5969" spans="1:17" s="162" customFormat="1" ht="72" x14ac:dyDescent="0.25">
      <c r="A5969" s="3">
        <v>42013</v>
      </c>
      <c r="B5969" s="3">
        <v>42016</v>
      </c>
      <c r="C5969" s="195">
        <v>2015</v>
      </c>
      <c r="D5969" s="351" t="s">
        <v>23</v>
      </c>
      <c r="E5969" s="22" t="s">
        <v>42</v>
      </c>
      <c r="F5969" s="7" t="s">
        <v>62</v>
      </c>
      <c r="G5969" s="200" t="s">
        <v>8494</v>
      </c>
      <c r="H5969" s="212" t="s">
        <v>8495</v>
      </c>
      <c r="I5969" s="213">
        <v>0</v>
      </c>
      <c r="J5969" s="31">
        <v>43400</v>
      </c>
      <c r="K5969" s="214">
        <v>0</v>
      </c>
      <c r="L5969" s="214">
        <v>0</v>
      </c>
      <c r="M5969" s="214">
        <v>0</v>
      </c>
      <c r="N5969" s="214">
        <v>0</v>
      </c>
      <c r="O5969" s="214">
        <v>0</v>
      </c>
      <c r="P5969" s="26">
        <v>14.831950000000001</v>
      </c>
      <c r="Q5969" s="172" t="s">
        <v>186</v>
      </c>
    </row>
    <row r="5970" spans="1:17" s="162" customFormat="1" ht="108" x14ac:dyDescent="0.25">
      <c r="A5970" s="3">
        <v>42013</v>
      </c>
      <c r="B5970" s="3">
        <v>42016</v>
      </c>
      <c r="C5970" s="195">
        <v>2015</v>
      </c>
      <c r="D5970" s="351" t="s">
        <v>23</v>
      </c>
      <c r="E5970" s="22" t="s">
        <v>42</v>
      </c>
      <c r="F5970" s="7" t="s">
        <v>53</v>
      </c>
      <c r="G5970" s="200" t="s">
        <v>8496</v>
      </c>
      <c r="H5970" s="212" t="s">
        <v>8497</v>
      </c>
      <c r="I5970" s="213">
        <v>0</v>
      </c>
      <c r="J5970" s="31">
        <v>54480</v>
      </c>
      <c r="K5970" s="214">
        <v>0</v>
      </c>
      <c r="L5970" s="214">
        <v>0</v>
      </c>
      <c r="M5970" s="214">
        <v>0</v>
      </c>
      <c r="N5970" s="214">
        <v>0</v>
      </c>
      <c r="O5970" s="214">
        <v>0</v>
      </c>
      <c r="P5970" s="26">
        <v>18.619</v>
      </c>
      <c r="Q5970" s="172" t="s">
        <v>186</v>
      </c>
    </row>
    <row r="5971" spans="1:17" s="162" customFormat="1" ht="72" x14ac:dyDescent="0.25">
      <c r="A5971" s="3">
        <v>42013</v>
      </c>
      <c r="B5971" s="3">
        <v>42016</v>
      </c>
      <c r="C5971" s="195">
        <v>2015</v>
      </c>
      <c r="D5971" s="351" t="s">
        <v>23</v>
      </c>
      <c r="E5971" s="22" t="s">
        <v>42</v>
      </c>
      <c r="F5971" s="7" t="s">
        <v>68</v>
      </c>
      <c r="G5971" s="200" t="s">
        <v>8498</v>
      </c>
      <c r="H5971" s="212" t="s">
        <v>8499</v>
      </c>
      <c r="I5971" s="213">
        <v>0</v>
      </c>
      <c r="J5971" s="31">
        <v>6493</v>
      </c>
      <c r="K5971" s="214">
        <v>0</v>
      </c>
      <c r="L5971" s="214">
        <v>0</v>
      </c>
      <c r="M5971" s="214">
        <v>0</v>
      </c>
      <c r="N5971" s="214">
        <v>0</v>
      </c>
      <c r="O5971" s="214">
        <v>0</v>
      </c>
      <c r="P5971" s="26">
        <v>2.2189199999999998</v>
      </c>
      <c r="Q5971" s="172" t="s">
        <v>186</v>
      </c>
    </row>
    <row r="5972" spans="1:17" s="162" customFormat="1" ht="96" x14ac:dyDescent="0.25">
      <c r="A5972" s="3">
        <v>42013</v>
      </c>
      <c r="B5972" s="3">
        <v>42016</v>
      </c>
      <c r="C5972" s="195">
        <v>2015</v>
      </c>
      <c r="D5972" s="351" t="s">
        <v>23</v>
      </c>
      <c r="E5972" s="22" t="s">
        <v>42</v>
      </c>
      <c r="F5972" s="7" t="s">
        <v>45</v>
      </c>
      <c r="G5972" s="200" t="s">
        <v>8500</v>
      </c>
      <c r="H5972" s="212" t="s">
        <v>8501</v>
      </c>
      <c r="I5972" s="213">
        <v>0</v>
      </c>
      <c r="J5972" s="31">
        <v>41117</v>
      </c>
      <c r="K5972" s="214">
        <v>0</v>
      </c>
      <c r="L5972" s="214">
        <v>0</v>
      </c>
      <c r="M5972" s="214">
        <v>0</v>
      </c>
      <c r="N5972" s="214">
        <v>0</v>
      </c>
      <c r="O5972" s="214">
        <v>0</v>
      </c>
      <c r="P5972" s="26">
        <v>14.051672</v>
      </c>
      <c r="Q5972" s="172" t="s">
        <v>186</v>
      </c>
    </row>
    <row r="5973" spans="1:17" s="162" customFormat="1" ht="72" x14ac:dyDescent="0.25">
      <c r="A5973" s="3">
        <v>42013</v>
      </c>
      <c r="B5973" s="3">
        <v>42016</v>
      </c>
      <c r="C5973" s="195">
        <v>2015</v>
      </c>
      <c r="D5973" s="351" t="s">
        <v>23</v>
      </c>
      <c r="E5973" s="22" t="s">
        <v>42</v>
      </c>
      <c r="F5973" s="7" t="s">
        <v>25</v>
      </c>
      <c r="G5973" s="200" t="s">
        <v>8502</v>
      </c>
      <c r="H5973" s="212" t="s">
        <v>8503</v>
      </c>
      <c r="I5973" s="213">
        <v>0</v>
      </c>
      <c r="J5973" s="31">
        <v>2357</v>
      </c>
      <c r="K5973" s="214">
        <v>0</v>
      </c>
      <c r="L5973" s="214">
        <v>0</v>
      </c>
      <c r="M5973" s="214">
        <v>0</v>
      </c>
      <c r="N5973" s="214">
        <v>0</v>
      </c>
      <c r="O5973" s="214">
        <v>0</v>
      </c>
      <c r="P5973" s="26">
        <v>0.80544199999999999</v>
      </c>
      <c r="Q5973" s="172" t="s">
        <v>186</v>
      </c>
    </row>
    <row r="5974" spans="1:17" s="162" customFormat="1" ht="84" x14ac:dyDescent="0.25">
      <c r="A5974" s="3">
        <v>42013</v>
      </c>
      <c r="B5974" s="3">
        <v>42016</v>
      </c>
      <c r="C5974" s="195">
        <v>2015</v>
      </c>
      <c r="D5974" s="351" t="s">
        <v>23</v>
      </c>
      <c r="E5974" s="22" t="s">
        <v>42</v>
      </c>
      <c r="F5974" s="7" t="s">
        <v>33</v>
      </c>
      <c r="G5974" s="200" t="s">
        <v>8504</v>
      </c>
      <c r="H5974" s="212" t="s">
        <v>8505</v>
      </c>
      <c r="I5974" s="213">
        <v>0</v>
      </c>
      <c r="J5974" s="31">
        <v>4831</v>
      </c>
      <c r="K5974" s="214">
        <v>0</v>
      </c>
      <c r="L5974" s="214">
        <v>0</v>
      </c>
      <c r="M5974" s="214">
        <v>0</v>
      </c>
      <c r="N5974" s="214">
        <v>0</v>
      </c>
      <c r="O5974" s="214">
        <v>0</v>
      </c>
      <c r="P5974" s="26">
        <v>1.650806</v>
      </c>
      <c r="Q5974" s="172" t="s">
        <v>186</v>
      </c>
    </row>
    <row r="5975" spans="1:17" s="162" customFormat="1" ht="120" x14ac:dyDescent="0.25">
      <c r="A5975" s="3">
        <v>42013</v>
      </c>
      <c r="B5975" s="3">
        <v>42016</v>
      </c>
      <c r="C5975" s="195">
        <v>2015</v>
      </c>
      <c r="D5975" s="351" t="s">
        <v>23</v>
      </c>
      <c r="E5975" s="22" t="s">
        <v>42</v>
      </c>
      <c r="F5975" s="28" t="s">
        <v>160</v>
      </c>
      <c r="G5975" s="200" t="s">
        <v>8506</v>
      </c>
      <c r="H5975" s="212" t="s">
        <v>8507</v>
      </c>
      <c r="I5975" s="213">
        <v>0</v>
      </c>
      <c r="J5975" s="31">
        <v>18415</v>
      </c>
      <c r="K5975" s="214">
        <v>0</v>
      </c>
      <c r="L5975" s="214">
        <v>0</v>
      </c>
      <c r="M5975" s="214">
        <v>0</v>
      </c>
      <c r="N5975" s="214">
        <v>0</v>
      </c>
      <c r="O5975" s="214">
        <v>0</v>
      </c>
      <c r="P5975" s="26">
        <v>6.2930000000000001</v>
      </c>
      <c r="Q5975" s="172" t="s">
        <v>186</v>
      </c>
    </row>
    <row r="5976" spans="1:17" s="162" customFormat="1" ht="72" x14ac:dyDescent="0.25">
      <c r="A5976" s="3">
        <v>42013</v>
      </c>
      <c r="B5976" s="3">
        <v>42016</v>
      </c>
      <c r="C5976" s="195">
        <v>2015</v>
      </c>
      <c r="D5976" s="351" t="s">
        <v>23</v>
      </c>
      <c r="E5976" s="22" t="s">
        <v>42</v>
      </c>
      <c r="F5976" s="7" t="s">
        <v>77</v>
      </c>
      <c r="G5976" s="200" t="s">
        <v>8508</v>
      </c>
      <c r="H5976" s="212" t="s">
        <v>8509</v>
      </c>
      <c r="I5976" s="213">
        <v>0</v>
      </c>
      <c r="J5976" s="31">
        <v>4832</v>
      </c>
      <c r="K5976" s="214">
        <v>0</v>
      </c>
      <c r="L5976" s="214">
        <v>0</v>
      </c>
      <c r="M5976" s="214">
        <v>0</v>
      </c>
      <c r="N5976" s="214">
        <v>0</v>
      </c>
      <c r="O5976" s="214">
        <v>0</v>
      </c>
      <c r="P5976" s="26">
        <v>1.6513359999999999</v>
      </c>
      <c r="Q5976" s="172" t="s">
        <v>186</v>
      </c>
    </row>
    <row r="5977" spans="1:17" s="162" customFormat="1" ht="108" x14ac:dyDescent="0.25">
      <c r="A5977" s="3">
        <v>42013</v>
      </c>
      <c r="B5977" s="3">
        <v>42016</v>
      </c>
      <c r="C5977" s="195">
        <v>2015</v>
      </c>
      <c r="D5977" s="351" t="s">
        <v>23</v>
      </c>
      <c r="E5977" s="22" t="s">
        <v>42</v>
      </c>
      <c r="F5977" s="7" t="s">
        <v>75</v>
      </c>
      <c r="G5977" s="200" t="s">
        <v>8510</v>
      </c>
      <c r="H5977" s="212" t="s">
        <v>8511</v>
      </c>
      <c r="I5977" s="213">
        <v>0</v>
      </c>
      <c r="J5977" s="31">
        <v>40415</v>
      </c>
      <c r="K5977" s="214">
        <v>0</v>
      </c>
      <c r="L5977" s="214">
        <v>0</v>
      </c>
      <c r="M5977" s="214">
        <v>0</v>
      </c>
      <c r="N5977" s="214">
        <v>0</v>
      </c>
      <c r="O5977" s="214">
        <v>0</v>
      </c>
      <c r="P5977" s="26">
        <v>13.811999999999999</v>
      </c>
      <c r="Q5977" s="172" t="s">
        <v>186</v>
      </c>
    </row>
    <row r="5978" spans="1:17" s="162" customFormat="1" ht="72" x14ac:dyDescent="0.25">
      <c r="A5978" s="3">
        <v>42013</v>
      </c>
      <c r="B5978" s="3">
        <v>42016</v>
      </c>
      <c r="C5978" s="195">
        <v>2015</v>
      </c>
      <c r="D5978" s="351" t="s">
        <v>23</v>
      </c>
      <c r="E5978" s="22" t="s">
        <v>42</v>
      </c>
      <c r="F5978" s="7" t="s">
        <v>101</v>
      </c>
      <c r="G5978" s="200" t="s">
        <v>8512</v>
      </c>
      <c r="H5978" s="212" t="s">
        <v>8513</v>
      </c>
      <c r="I5978" s="213">
        <v>0</v>
      </c>
      <c r="J5978" s="31">
        <v>5524</v>
      </c>
      <c r="K5978" s="214">
        <v>0</v>
      </c>
      <c r="L5978" s="214">
        <v>0</v>
      </c>
      <c r="M5978" s="214">
        <v>0</v>
      </c>
      <c r="N5978" s="214">
        <v>0</v>
      </c>
      <c r="O5978" s="214">
        <v>0</v>
      </c>
      <c r="P5978" s="26">
        <v>1.8878269999999999</v>
      </c>
      <c r="Q5978" s="172" t="s">
        <v>186</v>
      </c>
    </row>
    <row r="5979" spans="1:17" s="162" customFormat="1" ht="84" x14ac:dyDescent="0.25">
      <c r="A5979" s="3">
        <v>42013</v>
      </c>
      <c r="B5979" s="3">
        <v>42016</v>
      </c>
      <c r="C5979" s="195">
        <v>2015</v>
      </c>
      <c r="D5979" s="351" t="s">
        <v>23</v>
      </c>
      <c r="E5979" s="22" t="s">
        <v>42</v>
      </c>
      <c r="F5979" s="7" t="s">
        <v>30</v>
      </c>
      <c r="G5979" s="200" t="s">
        <v>395</v>
      </c>
      <c r="H5979" s="212" t="s">
        <v>8514</v>
      </c>
      <c r="I5979" s="213">
        <v>0</v>
      </c>
      <c r="J5979" s="31">
        <v>45604</v>
      </c>
      <c r="K5979" s="214">
        <v>0</v>
      </c>
      <c r="L5979" s="214">
        <v>0</v>
      </c>
      <c r="M5979" s="214">
        <v>0</v>
      </c>
      <c r="N5979" s="214">
        <v>0</v>
      </c>
      <c r="O5979" s="214">
        <v>0</v>
      </c>
      <c r="P5979" s="26">
        <v>155.80000000000001</v>
      </c>
      <c r="Q5979" s="172" t="s">
        <v>186</v>
      </c>
    </row>
    <row r="5980" spans="1:17" s="162" customFormat="1" ht="96" x14ac:dyDescent="0.25">
      <c r="A5980" s="3">
        <v>42013</v>
      </c>
      <c r="B5980" s="3">
        <v>42016</v>
      </c>
      <c r="C5980" s="195">
        <v>2015</v>
      </c>
      <c r="D5980" s="351" t="s">
        <v>23</v>
      </c>
      <c r="E5980" s="22" t="s">
        <v>42</v>
      </c>
      <c r="F5980" s="7" t="s">
        <v>97</v>
      </c>
      <c r="G5980" s="200" t="s">
        <v>8515</v>
      </c>
      <c r="H5980" s="212" t="s">
        <v>8516</v>
      </c>
      <c r="I5980" s="213">
        <v>0</v>
      </c>
      <c r="J5980" s="31">
        <v>5257</v>
      </c>
      <c r="K5980" s="214">
        <v>0</v>
      </c>
      <c r="L5980" s="214">
        <v>0</v>
      </c>
      <c r="M5980" s="214">
        <v>0</v>
      </c>
      <c r="N5980" s="214">
        <v>0</v>
      </c>
      <c r="O5980" s="214">
        <v>0</v>
      </c>
      <c r="P5980" s="26">
        <v>1.7969999999999999</v>
      </c>
      <c r="Q5980" s="172" t="s">
        <v>186</v>
      </c>
    </row>
    <row r="5981" spans="1:17" s="162" customFormat="1" ht="72" x14ac:dyDescent="0.25">
      <c r="A5981" s="3">
        <v>42013</v>
      </c>
      <c r="B5981" s="3">
        <v>42016</v>
      </c>
      <c r="C5981" s="195">
        <v>2015</v>
      </c>
      <c r="D5981" s="351" t="s">
        <v>23</v>
      </c>
      <c r="E5981" s="22" t="s">
        <v>42</v>
      </c>
      <c r="F5981" s="7" t="s">
        <v>84</v>
      </c>
      <c r="G5981" s="200" t="s">
        <v>8517</v>
      </c>
      <c r="H5981" s="212" t="s">
        <v>8518</v>
      </c>
      <c r="I5981" s="213">
        <v>0</v>
      </c>
      <c r="J5981" s="31">
        <v>11191</v>
      </c>
      <c r="K5981" s="214">
        <v>0</v>
      </c>
      <c r="L5981" s="214">
        <v>0</v>
      </c>
      <c r="M5981" s="214">
        <v>0</v>
      </c>
      <c r="N5981" s="214">
        <v>0</v>
      </c>
      <c r="O5981" s="214">
        <v>0</v>
      </c>
      <c r="P5981" s="26">
        <v>3.8243360000000002</v>
      </c>
      <c r="Q5981" s="172" t="s">
        <v>186</v>
      </c>
    </row>
    <row r="5982" spans="1:17" s="162" customFormat="1" ht="84" x14ac:dyDescent="0.25">
      <c r="A5982" s="118">
        <v>42013</v>
      </c>
      <c r="B5982" s="118">
        <v>42013</v>
      </c>
      <c r="C5982" s="195">
        <v>2015</v>
      </c>
      <c r="D5982" s="351" t="s">
        <v>23</v>
      </c>
      <c r="E5982" s="215" t="s">
        <v>5893</v>
      </c>
      <c r="F5982" s="7" t="s">
        <v>82</v>
      </c>
      <c r="G5982" s="146" t="s">
        <v>82</v>
      </c>
      <c r="H5982" s="147" t="s">
        <v>8519</v>
      </c>
      <c r="I5982" s="213">
        <v>0</v>
      </c>
      <c r="J5982" s="216">
        <v>77</v>
      </c>
      <c r="K5982" s="216">
        <v>0</v>
      </c>
      <c r="L5982" s="216">
        <v>0</v>
      </c>
      <c r="M5982" s="216">
        <v>0</v>
      </c>
      <c r="N5982" s="216">
        <v>0</v>
      </c>
      <c r="O5982" s="216">
        <v>329.5</v>
      </c>
      <c r="P5982" s="26">
        <v>40.970999999999997</v>
      </c>
      <c r="Q5982" s="172" t="s">
        <v>4663</v>
      </c>
    </row>
    <row r="5983" spans="1:17" s="162" customFormat="1" ht="60" x14ac:dyDescent="0.25">
      <c r="A5983" s="199">
        <v>42016</v>
      </c>
      <c r="B5983" s="199">
        <v>42016</v>
      </c>
      <c r="C5983" s="195">
        <v>2015</v>
      </c>
      <c r="D5983" s="24" t="s">
        <v>141</v>
      </c>
      <c r="E5983" s="30" t="s">
        <v>142</v>
      </c>
      <c r="F5983" s="7" t="s">
        <v>75</v>
      </c>
      <c r="G5983" s="200" t="s">
        <v>5046</v>
      </c>
      <c r="H5983" s="196" t="s">
        <v>8520</v>
      </c>
      <c r="I5983" s="209">
        <v>2</v>
      </c>
      <c r="J5983" s="210">
        <v>17</v>
      </c>
      <c r="K5983" s="210">
        <v>0</v>
      </c>
      <c r="L5983" s="210">
        <v>0</v>
      </c>
      <c r="M5983" s="210">
        <v>0</v>
      </c>
      <c r="N5983" s="210">
        <v>0</v>
      </c>
      <c r="O5983" s="210">
        <v>0</v>
      </c>
      <c r="P5983" s="211">
        <v>0.46</v>
      </c>
      <c r="Q5983" s="204" t="s">
        <v>154</v>
      </c>
    </row>
    <row r="5984" spans="1:17" s="162" customFormat="1" ht="120" x14ac:dyDescent="0.25">
      <c r="A5984" s="199">
        <v>42017</v>
      </c>
      <c r="B5984" s="199">
        <v>42017</v>
      </c>
      <c r="C5984" s="195">
        <v>2015</v>
      </c>
      <c r="D5984" s="24" t="s">
        <v>141</v>
      </c>
      <c r="E5984" s="30" t="s">
        <v>142</v>
      </c>
      <c r="F5984" s="7" t="s">
        <v>53</v>
      </c>
      <c r="G5984" s="200" t="s">
        <v>7797</v>
      </c>
      <c r="H5984" s="196" t="s">
        <v>8521</v>
      </c>
      <c r="I5984" s="209">
        <v>0</v>
      </c>
      <c r="J5984" s="210">
        <v>1</v>
      </c>
      <c r="K5984" s="210">
        <v>0</v>
      </c>
      <c r="L5984" s="210">
        <v>0</v>
      </c>
      <c r="M5984" s="210">
        <v>0</v>
      </c>
      <c r="N5984" s="210">
        <v>0</v>
      </c>
      <c r="O5984" s="210">
        <v>0</v>
      </c>
      <c r="P5984" s="211">
        <v>0.28899999999999998</v>
      </c>
      <c r="Q5984" s="204" t="s">
        <v>154</v>
      </c>
    </row>
    <row r="5985" spans="1:17" s="162" customFormat="1" ht="84" x14ac:dyDescent="0.25">
      <c r="A5985" s="199">
        <v>42020</v>
      </c>
      <c r="B5985" s="199">
        <v>42020</v>
      </c>
      <c r="C5985" s="195">
        <v>2015</v>
      </c>
      <c r="D5985" s="35" t="s">
        <v>28</v>
      </c>
      <c r="E5985" s="30" t="s">
        <v>125</v>
      </c>
      <c r="F5985" s="28" t="s">
        <v>157</v>
      </c>
      <c r="G5985" s="200" t="s">
        <v>1190</v>
      </c>
      <c r="H5985" s="196" t="s">
        <v>8522</v>
      </c>
      <c r="I5985" s="209">
        <v>0</v>
      </c>
      <c r="J5985" s="210">
        <v>0</v>
      </c>
      <c r="K5985" s="210">
        <v>0</v>
      </c>
      <c r="L5985" s="210">
        <v>0</v>
      </c>
      <c r="M5985" s="210">
        <v>0</v>
      </c>
      <c r="N5985" s="210">
        <v>0</v>
      </c>
      <c r="O5985" s="210">
        <v>0</v>
      </c>
      <c r="P5985" s="211">
        <v>0</v>
      </c>
      <c r="Q5985" s="204" t="s">
        <v>154</v>
      </c>
    </row>
    <row r="5986" spans="1:17" s="162" customFormat="1" ht="96" x14ac:dyDescent="0.25">
      <c r="A5986" s="199">
        <v>42026</v>
      </c>
      <c r="B5986" s="199">
        <v>42026</v>
      </c>
      <c r="C5986" s="195">
        <v>2015</v>
      </c>
      <c r="D5986" s="24" t="s">
        <v>141</v>
      </c>
      <c r="E5986" s="30" t="s">
        <v>142</v>
      </c>
      <c r="F5986" s="7" t="s">
        <v>87</v>
      </c>
      <c r="G5986" s="200" t="s">
        <v>936</v>
      </c>
      <c r="H5986" s="196" t="s">
        <v>8523</v>
      </c>
      <c r="I5986" s="209">
        <v>16</v>
      </c>
      <c r="J5986" s="210">
        <v>36</v>
      </c>
      <c r="K5986" s="210">
        <v>0</v>
      </c>
      <c r="L5986" s="210">
        <v>0</v>
      </c>
      <c r="M5986" s="210">
        <v>0</v>
      </c>
      <c r="N5986" s="210">
        <v>0</v>
      </c>
      <c r="O5986" s="210">
        <v>0</v>
      </c>
      <c r="P5986" s="211">
        <v>0.70899999999999996</v>
      </c>
      <c r="Q5986" s="204" t="s">
        <v>154</v>
      </c>
    </row>
    <row r="5987" spans="1:17" s="162" customFormat="1" ht="84" x14ac:dyDescent="0.25">
      <c r="A5987" s="199">
        <v>42026</v>
      </c>
      <c r="B5987" s="199">
        <v>42026</v>
      </c>
      <c r="C5987" s="195">
        <v>2015</v>
      </c>
      <c r="D5987" s="24" t="s">
        <v>141</v>
      </c>
      <c r="E5987" s="30" t="s">
        <v>142</v>
      </c>
      <c r="F5987" s="7" t="s">
        <v>58</v>
      </c>
      <c r="G5987" s="200" t="s">
        <v>5285</v>
      </c>
      <c r="H5987" s="196" t="s">
        <v>8524</v>
      </c>
      <c r="I5987" s="209">
        <v>2</v>
      </c>
      <c r="J5987" s="210">
        <v>8</v>
      </c>
      <c r="K5987" s="210">
        <v>0</v>
      </c>
      <c r="L5987" s="210">
        <v>0</v>
      </c>
      <c r="M5987" s="210">
        <v>0</v>
      </c>
      <c r="N5987" s="210">
        <v>0</v>
      </c>
      <c r="O5987" s="210">
        <v>0</v>
      </c>
      <c r="P5987" s="211">
        <v>0.28899999999999998</v>
      </c>
      <c r="Q5987" s="204" t="s">
        <v>154</v>
      </c>
    </row>
    <row r="5988" spans="1:17" s="162" customFormat="1" ht="48" x14ac:dyDescent="0.25">
      <c r="A5988" s="199">
        <v>42026</v>
      </c>
      <c r="B5988" s="199">
        <v>42026</v>
      </c>
      <c r="C5988" s="195">
        <v>2015</v>
      </c>
      <c r="D5988" s="35" t="s">
        <v>28</v>
      </c>
      <c r="E5988" s="30" t="s">
        <v>125</v>
      </c>
      <c r="F5988" s="28" t="s">
        <v>157</v>
      </c>
      <c r="G5988" s="200" t="s">
        <v>1190</v>
      </c>
      <c r="H5988" s="196" t="s">
        <v>8525</v>
      </c>
      <c r="I5988" s="202">
        <v>0</v>
      </c>
      <c r="J5988" s="203">
        <v>0</v>
      </c>
      <c r="K5988" s="203">
        <v>0</v>
      </c>
      <c r="L5988" s="203">
        <v>0</v>
      </c>
      <c r="M5988" s="203">
        <v>0</v>
      </c>
      <c r="N5988" s="203">
        <v>0</v>
      </c>
      <c r="O5988" s="203">
        <v>0</v>
      </c>
      <c r="P5988" s="211">
        <v>0</v>
      </c>
      <c r="Q5988" s="204" t="s">
        <v>154</v>
      </c>
    </row>
    <row r="5989" spans="1:17" s="162" customFormat="1" ht="84" x14ac:dyDescent="0.25">
      <c r="A5989" s="199">
        <v>42026</v>
      </c>
      <c r="B5989" s="199">
        <v>42026</v>
      </c>
      <c r="C5989" s="195">
        <v>2015</v>
      </c>
      <c r="D5989" s="35" t="s">
        <v>28</v>
      </c>
      <c r="E5989" s="30" t="s">
        <v>142</v>
      </c>
      <c r="F5989" s="7" t="s">
        <v>87</v>
      </c>
      <c r="G5989" s="200" t="s">
        <v>2608</v>
      </c>
      <c r="H5989" s="196" t="s">
        <v>8526</v>
      </c>
      <c r="I5989" s="202">
        <v>0</v>
      </c>
      <c r="J5989" s="203">
        <v>0</v>
      </c>
      <c r="K5989" s="203">
        <v>0</v>
      </c>
      <c r="L5989" s="203">
        <v>0</v>
      </c>
      <c r="M5989" s="203">
        <v>0</v>
      </c>
      <c r="N5989" s="203">
        <v>0</v>
      </c>
      <c r="O5989" s="203">
        <v>0</v>
      </c>
      <c r="P5989" s="211">
        <v>0.47299999999999998</v>
      </c>
      <c r="Q5989" s="204" t="s">
        <v>154</v>
      </c>
    </row>
    <row r="5990" spans="1:17" s="162" customFormat="1" ht="60" x14ac:dyDescent="0.25">
      <c r="A5990" s="199">
        <v>42027</v>
      </c>
      <c r="B5990" s="199">
        <v>42027</v>
      </c>
      <c r="C5990" s="195">
        <v>2015</v>
      </c>
      <c r="D5990" s="24" t="s">
        <v>141</v>
      </c>
      <c r="E5990" s="30" t="s">
        <v>142</v>
      </c>
      <c r="F5990" s="7" t="s">
        <v>60</v>
      </c>
      <c r="G5990" s="200" t="s">
        <v>8527</v>
      </c>
      <c r="H5990" s="196" t="s">
        <v>8528</v>
      </c>
      <c r="I5990" s="202">
        <v>0</v>
      </c>
      <c r="J5990" s="203">
        <v>0</v>
      </c>
      <c r="K5990" s="203">
        <v>0</v>
      </c>
      <c r="L5990" s="203">
        <v>0</v>
      </c>
      <c r="M5990" s="203">
        <v>0</v>
      </c>
      <c r="N5990" s="203">
        <v>0</v>
      </c>
      <c r="O5990" s="203">
        <v>0</v>
      </c>
      <c r="P5990" s="211">
        <v>0.94099999999999995</v>
      </c>
      <c r="Q5990" s="204" t="s">
        <v>154</v>
      </c>
    </row>
    <row r="5991" spans="1:17" s="162" customFormat="1" ht="96" x14ac:dyDescent="0.25">
      <c r="A5991" s="199">
        <v>42028</v>
      </c>
      <c r="B5991" s="199">
        <v>42028</v>
      </c>
      <c r="C5991" s="195">
        <v>2015</v>
      </c>
      <c r="D5991" s="35" t="s">
        <v>28</v>
      </c>
      <c r="E5991" s="217" t="s">
        <v>8529</v>
      </c>
      <c r="F5991" s="28" t="s">
        <v>160</v>
      </c>
      <c r="G5991" s="200" t="s">
        <v>5780</v>
      </c>
      <c r="H5991" s="196" t="s">
        <v>8530</v>
      </c>
      <c r="I5991" s="202">
        <v>2</v>
      </c>
      <c r="J5991" s="203">
        <v>10</v>
      </c>
      <c r="K5991" s="203">
        <v>1</v>
      </c>
      <c r="L5991" s="203">
        <v>0</v>
      </c>
      <c r="M5991" s="203">
        <v>0</v>
      </c>
      <c r="N5991" s="203">
        <v>0</v>
      </c>
      <c r="O5991" s="203">
        <v>0</v>
      </c>
      <c r="P5991" s="211">
        <v>0.12</v>
      </c>
      <c r="Q5991" s="204" t="s">
        <v>154</v>
      </c>
    </row>
    <row r="5992" spans="1:17" s="162" customFormat="1" ht="60" x14ac:dyDescent="0.25">
      <c r="A5992" s="199">
        <v>42030</v>
      </c>
      <c r="B5992" s="199">
        <v>42030</v>
      </c>
      <c r="C5992" s="195">
        <v>2015</v>
      </c>
      <c r="D5992" s="24" t="s">
        <v>141</v>
      </c>
      <c r="E5992" s="30" t="s">
        <v>142</v>
      </c>
      <c r="F5992" s="7" t="s">
        <v>60</v>
      </c>
      <c r="G5992" s="200" t="s">
        <v>1605</v>
      </c>
      <c r="H5992" s="196" t="s">
        <v>8531</v>
      </c>
      <c r="I5992" s="202">
        <v>0</v>
      </c>
      <c r="J5992" s="203">
        <v>23</v>
      </c>
      <c r="K5992" s="203">
        <v>0</v>
      </c>
      <c r="L5992" s="203">
        <v>0</v>
      </c>
      <c r="M5992" s="203">
        <v>0</v>
      </c>
      <c r="N5992" s="203">
        <v>0</v>
      </c>
      <c r="O5992" s="203">
        <v>0</v>
      </c>
      <c r="P5992" s="211">
        <v>0</v>
      </c>
      <c r="Q5992" s="204" t="s">
        <v>154</v>
      </c>
    </row>
    <row r="5993" spans="1:17" s="162" customFormat="1" ht="72" x14ac:dyDescent="0.25">
      <c r="A5993" s="199">
        <v>42031</v>
      </c>
      <c r="B5993" s="199">
        <v>42031</v>
      </c>
      <c r="C5993" s="195">
        <v>2015</v>
      </c>
      <c r="D5993" s="24" t="s">
        <v>141</v>
      </c>
      <c r="E5993" s="30" t="s">
        <v>142</v>
      </c>
      <c r="F5993" s="7" t="s">
        <v>40</v>
      </c>
      <c r="G5993" s="200" t="s">
        <v>6686</v>
      </c>
      <c r="H5993" s="196" t="s">
        <v>8532</v>
      </c>
      <c r="I5993" s="202">
        <v>0</v>
      </c>
      <c r="J5993" s="203">
        <v>0</v>
      </c>
      <c r="K5993" s="203">
        <v>0</v>
      </c>
      <c r="L5993" s="203">
        <v>0</v>
      </c>
      <c r="M5993" s="203">
        <v>0</v>
      </c>
      <c r="N5993" s="203">
        <v>0</v>
      </c>
      <c r="O5993" s="203">
        <v>0</v>
      </c>
      <c r="P5993" s="211">
        <v>0.42599999999999999</v>
      </c>
      <c r="Q5993" s="204" t="s">
        <v>154</v>
      </c>
    </row>
    <row r="5994" spans="1:17" s="162" customFormat="1" ht="96" x14ac:dyDescent="0.25">
      <c r="A5994" s="199">
        <v>42032</v>
      </c>
      <c r="B5994" s="199">
        <v>42032</v>
      </c>
      <c r="C5994" s="195">
        <v>2015</v>
      </c>
      <c r="D5994" s="35" t="s">
        <v>28</v>
      </c>
      <c r="E5994" s="30" t="s">
        <v>125</v>
      </c>
      <c r="F5994" s="28" t="s">
        <v>157</v>
      </c>
      <c r="G5994" s="200" t="s">
        <v>5443</v>
      </c>
      <c r="H5994" s="196" t="s">
        <v>8533</v>
      </c>
      <c r="I5994" s="202">
        <v>0</v>
      </c>
      <c r="J5994" s="203">
        <v>1000</v>
      </c>
      <c r="K5994" s="203">
        <v>0</v>
      </c>
      <c r="L5994" s="203">
        <v>0</v>
      </c>
      <c r="M5994" s="203">
        <v>0</v>
      </c>
      <c r="N5994" s="203">
        <v>0</v>
      </c>
      <c r="O5994" s="203">
        <v>0</v>
      </c>
      <c r="P5994" s="211">
        <v>0</v>
      </c>
      <c r="Q5994" s="204" t="s">
        <v>154</v>
      </c>
    </row>
    <row r="5995" spans="1:17" s="162" customFormat="1" ht="60" x14ac:dyDescent="0.25">
      <c r="A5995" s="3">
        <v>42032</v>
      </c>
      <c r="B5995" s="3">
        <v>42032</v>
      </c>
      <c r="C5995" s="195">
        <v>2015</v>
      </c>
      <c r="D5995" s="351" t="s">
        <v>23</v>
      </c>
      <c r="E5995" s="22" t="s">
        <v>42</v>
      </c>
      <c r="F5995" s="7" t="s">
        <v>53</v>
      </c>
      <c r="G5995" s="200" t="s">
        <v>3040</v>
      </c>
      <c r="H5995" s="212" t="s">
        <v>8534</v>
      </c>
      <c r="I5995" s="213">
        <v>0</v>
      </c>
      <c r="J5995" s="31">
        <v>15178</v>
      </c>
      <c r="K5995" s="214">
        <v>0</v>
      </c>
      <c r="L5995" s="214">
        <v>0</v>
      </c>
      <c r="M5995" s="214">
        <v>0</v>
      </c>
      <c r="N5995" s="214">
        <v>0</v>
      </c>
      <c r="O5995" s="214">
        <v>0</v>
      </c>
      <c r="P5995" s="26">
        <v>3.742</v>
      </c>
      <c r="Q5995" s="172" t="s">
        <v>186</v>
      </c>
    </row>
    <row r="5996" spans="1:17" s="162" customFormat="1" ht="96" x14ac:dyDescent="0.25">
      <c r="A5996" s="199">
        <v>42033</v>
      </c>
      <c r="B5996" s="199">
        <v>42033</v>
      </c>
      <c r="C5996" s="195">
        <v>2015</v>
      </c>
      <c r="D5996" s="35" t="s">
        <v>28</v>
      </c>
      <c r="E5996" s="30" t="s">
        <v>125</v>
      </c>
      <c r="F5996" s="7" t="s">
        <v>56</v>
      </c>
      <c r="G5996" s="200" t="s">
        <v>646</v>
      </c>
      <c r="H5996" s="196" t="s">
        <v>8535</v>
      </c>
      <c r="I5996" s="202">
        <v>0</v>
      </c>
      <c r="J5996" s="203">
        <v>2669</v>
      </c>
      <c r="K5996" s="203">
        <v>0</v>
      </c>
      <c r="L5996" s="203">
        <v>0</v>
      </c>
      <c r="M5996" s="203">
        <v>0</v>
      </c>
      <c r="N5996" s="203">
        <v>1</v>
      </c>
      <c r="O5996" s="203">
        <v>0</v>
      </c>
      <c r="P5996" s="211">
        <v>0</v>
      </c>
      <c r="Q5996" s="204" t="s">
        <v>154</v>
      </c>
    </row>
    <row r="5997" spans="1:17" s="162" customFormat="1" ht="180" x14ac:dyDescent="0.25">
      <c r="A5997" s="199">
        <v>42033</v>
      </c>
      <c r="B5997" s="199">
        <v>42033</v>
      </c>
      <c r="C5997" s="195">
        <v>2015</v>
      </c>
      <c r="D5997" s="35" t="s">
        <v>28</v>
      </c>
      <c r="E5997" s="30" t="s">
        <v>125</v>
      </c>
      <c r="F5997" s="28" t="s">
        <v>157</v>
      </c>
      <c r="G5997" s="200" t="s">
        <v>1609</v>
      </c>
      <c r="H5997" s="196" t="s">
        <v>8536</v>
      </c>
      <c r="I5997" s="202">
        <v>5</v>
      </c>
      <c r="J5997" s="203">
        <v>542</v>
      </c>
      <c r="K5997" s="203">
        <v>91</v>
      </c>
      <c r="L5997" s="203">
        <v>0</v>
      </c>
      <c r="M5997" s="203">
        <v>1</v>
      </c>
      <c r="N5997" s="203">
        <v>0</v>
      </c>
      <c r="O5997" s="203">
        <v>0</v>
      </c>
      <c r="P5997" s="211">
        <v>146.9</v>
      </c>
      <c r="Q5997" s="204" t="s">
        <v>154</v>
      </c>
    </row>
    <row r="5998" spans="1:17" s="162" customFormat="1" ht="72" x14ac:dyDescent="0.25">
      <c r="A5998" s="3">
        <v>42034</v>
      </c>
      <c r="B5998" s="3">
        <v>42038</v>
      </c>
      <c r="C5998" s="195">
        <v>2015</v>
      </c>
      <c r="D5998" s="351" t="s">
        <v>23</v>
      </c>
      <c r="E5998" s="22" t="s">
        <v>86</v>
      </c>
      <c r="F5998" s="7" t="s">
        <v>49</v>
      </c>
      <c r="G5998" s="200" t="s">
        <v>8537</v>
      </c>
      <c r="H5998" s="212" t="s">
        <v>8538</v>
      </c>
      <c r="I5998" s="213">
        <v>0</v>
      </c>
      <c r="J5998" s="31">
        <v>14826</v>
      </c>
      <c r="K5998" s="214">
        <v>0</v>
      </c>
      <c r="L5998" s="214">
        <v>0</v>
      </c>
      <c r="M5998" s="214">
        <v>0</v>
      </c>
      <c r="N5998" s="214">
        <v>0</v>
      </c>
      <c r="O5998" s="214">
        <v>0</v>
      </c>
      <c r="P5998" s="26">
        <v>5.9969999999999999</v>
      </c>
      <c r="Q5998" s="172" t="s">
        <v>186</v>
      </c>
    </row>
    <row r="5999" spans="1:17" s="162" customFormat="1" ht="60" x14ac:dyDescent="0.25">
      <c r="A5999" s="199">
        <v>42036</v>
      </c>
      <c r="B5999" s="199">
        <v>42036</v>
      </c>
      <c r="C5999" s="195">
        <v>2015</v>
      </c>
      <c r="D5999" s="35" t="s">
        <v>28</v>
      </c>
      <c r="E5999" s="30" t="s">
        <v>125</v>
      </c>
      <c r="F5999" s="28" t="s">
        <v>210</v>
      </c>
      <c r="G5999" s="200" t="s">
        <v>893</v>
      </c>
      <c r="H5999" s="196" t="s">
        <v>8539</v>
      </c>
      <c r="I5999" s="202">
        <v>1</v>
      </c>
      <c r="J5999" s="203">
        <v>10</v>
      </c>
      <c r="K5999" s="203">
        <v>2</v>
      </c>
      <c r="L5999" s="203">
        <v>0</v>
      </c>
      <c r="M5999" s="203">
        <v>0</v>
      </c>
      <c r="N5999" s="203">
        <v>0</v>
      </c>
      <c r="O5999" s="203">
        <v>0</v>
      </c>
      <c r="P5999" s="211">
        <v>0.24</v>
      </c>
      <c r="Q5999" s="204" t="s">
        <v>154</v>
      </c>
    </row>
    <row r="6000" spans="1:17" s="162" customFormat="1" ht="108" x14ac:dyDescent="0.25">
      <c r="A6000" s="199">
        <v>42037</v>
      </c>
      <c r="B6000" s="199">
        <v>42037</v>
      </c>
      <c r="C6000" s="195">
        <v>2015</v>
      </c>
      <c r="D6000" s="351" t="s">
        <v>23</v>
      </c>
      <c r="E6000" s="22" t="s">
        <v>42</v>
      </c>
      <c r="F6000" s="7" t="s">
        <v>49</v>
      </c>
      <c r="G6000" s="200" t="s">
        <v>8540</v>
      </c>
      <c r="H6000" s="196" t="s">
        <v>8541</v>
      </c>
      <c r="I6000" s="202">
        <v>0</v>
      </c>
      <c r="J6000" s="203">
        <v>20</v>
      </c>
      <c r="K6000" s="214">
        <v>0</v>
      </c>
      <c r="L6000" s="203">
        <v>0</v>
      </c>
      <c r="M6000" s="203">
        <v>0</v>
      </c>
      <c r="N6000" s="203">
        <v>0</v>
      </c>
      <c r="O6000" s="203">
        <v>0</v>
      </c>
      <c r="P6000" s="211">
        <v>0</v>
      </c>
      <c r="Q6000" s="204" t="s">
        <v>154</v>
      </c>
    </row>
    <row r="6001" spans="1:17" s="162" customFormat="1" ht="84" x14ac:dyDescent="0.25">
      <c r="A6001" s="199">
        <v>42039</v>
      </c>
      <c r="B6001" s="199">
        <v>42039</v>
      </c>
      <c r="C6001" s="195">
        <v>2015</v>
      </c>
      <c r="D6001" s="351" t="s">
        <v>23</v>
      </c>
      <c r="E6001" s="22" t="s">
        <v>86</v>
      </c>
      <c r="F6001" s="7" t="s">
        <v>49</v>
      </c>
      <c r="G6001" s="200" t="s">
        <v>8542</v>
      </c>
      <c r="H6001" s="196" t="s">
        <v>8543</v>
      </c>
      <c r="I6001" s="202">
        <v>0</v>
      </c>
      <c r="J6001" s="203">
        <v>0</v>
      </c>
      <c r="K6001" s="203">
        <v>120</v>
      </c>
      <c r="L6001" s="203">
        <v>0</v>
      </c>
      <c r="M6001" s="203">
        <v>0</v>
      </c>
      <c r="N6001" s="203">
        <v>0</v>
      </c>
      <c r="O6001" s="203">
        <v>0</v>
      </c>
      <c r="P6001" s="211">
        <v>7.3999999999999996E-2</v>
      </c>
      <c r="Q6001" s="204" t="s">
        <v>154</v>
      </c>
    </row>
    <row r="6002" spans="1:17" s="162" customFormat="1" ht="72" x14ac:dyDescent="0.25">
      <c r="A6002" s="199">
        <v>42039</v>
      </c>
      <c r="B6002" s="199">
        <v>42039</v>
      </c>
      <c r="C6002" s="195">
        <v>2015</v>
      </c>
      <c r="D6002" s="35" t="s">
        <v>28</v>
      </c>
      <c r="E6002" s="6" t="s">
        <v>149</v>
      </c>
      <c r="F6002" s="7" t="s">
        <v>87</v>
      </c>
      <c r="G6002" s="200" t="s">
        <v>8544</v>
      </c>
      <c r="H6002" s="196" t="s">
        <v>8545</v>
      </c>
      <c r="I6002" s="202">
        <v>1</v>
      </c>
      <c r="J6002" s="203">
        <v>2</v>
      </c>
      <c r="K6002" s="203">
        <v>1</v>
      </c>
      <c r="L6002" s="203">
        <v>0</v>
      </c>
      <c r="M6002" s="203">
        <v>0</v>
      </c>
      <c r="N6002" s="203">
        <v>0</v>
      </c>
      <c r="O6002" s="203">
        <v>0</v>
      </c>
      <c r="P6002" s="211">
        <v>0.12</v>
      </c>
      <c r="Q6002" s="204" t="s">
        <v>154</v>
      </c>
    </row>
    <row r="6003" spans="1:17" s="162" customFormat="1" ht="84" x14ac:dyDescent="0.25">
      <c r="A6003" s="199">
        <v>42040</v>
      </c>
      <c r="B6003" s="199">
        <v>42040</v>
      </c>
      <c r="C6003" s="195">
        <v>2015</v>
      </c>
      <c r="D6003" s="24" t="s">
        <v>141</v>
      </c>
      <c r="E6003" s="30" t="s">
        <v>142</v>
      </c>
      <c r="F6003" s="7" t="s">
        <v>75</v>
      </c>
      <c r="G6003" s="200" t="s">
        <v>269</v>
      </c>
      <c r="H6003" s="196" t="s">
        <v>8546</v>
      </c>
      <c r="I6003" s="202">
        <v>0</v>
      </c>
      <c r="J6003" s="203">
        <v>7</v>
      </c>
      <c r="K6003" s="203">
        <v>0</v>
      </c>
      <c r="L6003" s="203">
        <v>0</v>
      </c>
      <c r="M6003" s="203">
        <v>0</v>
      </c>
      <c r="N6003" s="203">
        <v>0</v>
      </c>
      <c r="O6003" s="203">
        <v>0</v>
      </c>
      <c r="P6003" s="211">
        <v>0.42</v>
      </c>
      <c r="Q6003" s="204" t="s">
        <v>154</v>
      </c>
    </row>
    <row r="6004" spans="1:17" s="162" customFormat="1" ht="108" x14ac:dyDescent="0.25">
      <c r="A6004" s="199">
        <v>42040</v>
      </c>
      <c r="B6004" s="199">
        <v>42040</v>
      </c>
      <c r="C6004" s="195">
        <v>2015</v>
      </c>
      <c r="D6004" s="35" t="s">
        <v>28</v>
      </c>
      <c r="E6004" s="30" t="s">
        <v>133</v>
      </c>
      <c r="F6004" s="7" t="s">
        <v>62</v>
      </c>
      <c r="G6004" s="200" t="s">
        <v>1533</v>
      </c>
      <c r="H6004" s="196" t="s">
        <v>8547</v>
      </c>
      <c r="I6004" s="202">
        <v>3</v>
      </c>
      <c r="J6004" s="203">
        <v>3</v>
      </c>
      <c r="K6004" s="203">
        <v>0</v>
      </c>
      <c r="L6004" s="203">
        <v>0</v>
      </c>
      <c r="M6004" s="203">
        <v>0</v>
      </c>
      <c r="N6004" s="203">
        <v>0</v>
      </c>
      <c r="O6004" s="203">
        <v>0</v>
      </c>
      <c r="P6004" s="211">
        <v>0</v>
      </c>
      <c r="Q6004" s="204" t="s">
        <v>154</v>
      </c>
    </row>
    <row r="6005" spans="1:17" s="162" customFormat="1" ht="84" x14ac:dyDescent="0.25">
      <c r="A6005" s="199">
        <v>42041</v>
      </c>
      <c r="B6005" s="199">
        <v>42041</v>
      </c>
      <c r="C6005" s="195">
        <v>2015</v>
      </c>
      <c r="D6005" s="24" t="s">
        <v>141</v>
      </c>
      <c r="E6005" s="30" t="s">
        <v>142</v>
      </c>
      <c r="F6005" s="7" t="s">
        <v>56</v>
      </c>
      <c r="G6005" s="200" t="s">
        <v>711</v>
      </c>
      <c r="H6005" s="196" t="s">
        <v>8548</v>
      </c>
      <c r="I6005" s="202">
        <v>0</v>
      </c>
      <c r="J6005" s="203">
        <v>18</v>
      </c>
      <c r="K6005" s="203">
        <v>0</v>
      </c>
      <c r="L6005" s="203">
        <v>0</v>
      </c>
      <c r="M6005" s="203">
        <v>0</v>
      </c>
      <c r="N6005" s="203">
        <v>0</v>
      </c>
      <c r="O6005" s="203">
        <v>0</v>
      </c>
      <c r="P6005" s="211">
        <v>0.42</v>
      </c>
      <c r="Q6005" s="204" t="s">
        <v>154</v>
      </c>
    </row>
    <row r="6006" spans="1:17" s="162" customFormat="1" ht="108" x14ac:dyDescent="0.25">
      <c r="A6006" s="199">
        <v>42041</v>
      </c>
      <c r="B6006" s="199">
        <v>42041</v>
      </c>
      <c r="C6006" s="195">
        <v>2015</v>
      </c>
      <c r="D6006" s="24" t="s">
        <v>141</v>
      </c>
      <c r="E6006" s="30" t="s">
        <v>142</v>
      </c>
      <c r="F6006" s="7" t="s">
        <v>62</v>
      </c>
      <c r="G6006" s="200" t="s">
        <v>959</v>
      </c>
      <c r="H6006" s="196" t="s">
        <v>8549</v>
      </c>
      <c r="I6006" s="202">
        <v>0</v>
      </c>
      <c r="J6006" s="203">
        <v>0</v>
      </c>
      <c r="K6006" s="203">
        <v>0</v>
      </c>
      <c r="L6006" s="203">
        <v>0</v>
      </c>
      <c r="M6006" s="203">
        <v>0</v>
      </c>
      <c r="N6006" s="203">
        <v>0</v>
      </c>
      <c r="O6006" s="203">
        <v>0</v>
      </c>
      <c r="P6006" s="211">
        <v>0.88</v>
      </c>
      <c r="Q6006" s="204" t="s">
        <v>154</v>
      </c>
    </row>
    <row r="6007" spans="1:17" s="162" customFormat="1" ht="72" x14ac:dyDescent="0.25">
      <c r="A6007" s="199">
        <v>42041</v>
      </c>
      <c r="B6007" s="199">
        <v>42041</v>
      </c>
      <c r="C6007" s="195">
        <v>2015</v>
      </c>
      <c r="D6007" s="35" t="s">
        <v>28</v>
      </c>
      <c r="E6007" s="6" t="s">
        <v>149</v>
      </c>
      <c r="F6007" s="7" t="s">
        <v>87</v>
      </c>
      <c r="G6007" s="200" t="s">
        <v>2608</v>
      </c>
      <c r="H6007" s="196" t="s">
        <v>8550</v>
      </c>
      <c r="I6007" s="202">
        <v>0</v>
      </c>
      <c r="J6007" s="203">
        <v>150</v>
      </c>
      <c r="K6007" s="203">
        <v>0</v>
      </c>
      <c r="L6007" s="203">
        <v>0</v>
      </c>
      <c r="M6007" s="203">
        <v>0</v>
      </c>
      <c r="N6007" s="203">
        <v>3</v>
      </c>
      <c r="O6007" s="203">
        <v>0</v>
      </c>
      <c r="P6007" s="211">
        <v>0</v>
      </c>
      <c r="Q6007" s="204" t="s">
        <v>154</v>
      </c>
    </row>
    <row r="6008" spans="1:17" s="162" customFormat="1" ht="60" x14ac:dyDescent="0.25">
      <c r="A6008" s="199">
        <v>42041</v>
      </c>
      <c r="B6008" s="199">
        <v>42041</v>
      </c>
      <c r="C6008" s="195">
        <v>2015</v>
      </c>
      <c r="D6008" s="35" t="s">
        <v>28</v>
      </c>
      <c r="E6008" s="6" t="s">
        <v>149</v>
      </c>
      <c r="F6008" s="7" t="s">
        <v>68</v>
      </c>
      <c r="G6008" s="200" t="s">
        <v>1121</v>
      </c>
      <c r="H6008" s="196" t="s">
        <v>8551</v>
      </c>
      <c r="I6008" s="202">
        <v>0</v>
      </c>
      <c r="J6008" s="203">
        <v>6</v>
      </c>
      <c r="K6008" s="203">
        <v>0</v>
      </c>
      <c r="L6008" s="203">
        <v>0</v>
      </c>
      <c r="M6008" s="203">
        <v>0</v>
      </c>
      <c r="N6008" s="203">
        <v>1</v>
      </c>
      <c r="O6008" s="203">
        <v>0</v>
      </c>
      <c r="P6008" s="211">
        <v>0</v>
      </c>
      <c r="Q6008" s="204" t="s">
        <v>154</v>
      </c>
    </row>
    <row r="6009" spans="1:17" s="162" customFormat="1" ht="48" x14ac:dyDescent="0.25">
      <c r="A6009" s="23">
        <v>42043</v>
      </c>
      <c r="B6009" s="23">
        <v>42045</v>
      </c>
      <c r="C6009" s="195">
        <v>2015</v>
      </c>
      <c r="D6009" s="351" t="s">
        <v>23</v>
      </c>
      <c r="E6009" s="22" t="s">
        <v>42</v>
      </c>
      <c r="F6009" s="28" t="s">
        <v>210</v>
      </c>
      <c r="G6009" s="146" t="s">
        <v>5762</v>
      </c>
      <c r="H6009" s="44" t="s">
        <v>8552</v>
      </c>
      <c r="I6009" s="213">
        <v>0</v>
      </c>
      <c r="J6009" s="31">
        <v>2154</v>
      </c>
      <c r="K6009" s="214">
        <v>0</v>
      </c>
      <c r="L6009" s="214">
        <v>0</v>
      </c>
      <c r="M6009" s="214">
        <v>0</v>
      </c>
      <c r="N6009" s="214">
        <v>0</v>
      </c>
      <c r="O6009" s="214">
        <v>0</v>
      </c>
      <c r="P6009" s="26">
        <v>0.871</v>
      </c>
      <c r="Q6009" s="172" t="s">
        <v>186</v>
      </c>
    </row>
    <row r="6010" spans="1:17" s="162" customFormat="1" ht="60" x14ac:dyDescent="0.25">
      <c r="A6010" s="199">
        <v>42044</v>
      </c>
      <c r="B6010" s="199">
        <v>42044</v>
      </c>
      <c r="C6010" s="195">
        <v>2015</v>
      </c>
      <c r="D6010" s="24" t="s">
        <v>141</v>
      </c>
      <c r="E6010" s="30" t="s">
        <v>142</v>
      </c>
      <c r="F6010" s="7" t="s">
        <v>62</v>
      </c>
      <c r="G6010" s="200" t="s">
        <v>8553</v>
      </c>
      <c r="H6010" s="196" t="s">
        <v>8554</v>
      </c>
      <c r="I6010" s="202">
        <v>2</v>
      </c>
      <c r="J6010" s="203">
        <v>12</v>
      </c>
      <c r="K6010" s="203">
        <v>0</v>
      </c>
      <c r="L6010" s="203">
        <v>0</v>
      </c>
      <c r="M6010" s="203">
        <v>0</v>
      </c>
      <c r="N6010" s="203">
        <v>0</v>
      </c>
      <c r="O6010" s="203">
        <v>0</v>
      </c>
      <c r="P6010" s="211">
        <v>0.42</v>
      </c>
      <c r="Q6010" s="204" t="s">
        <v>154</v>
      </c>
    </row>
    <row r="6011" spans="1:17" s="162" customFormat="1" ht="72" x14ac:dyDescent="0.25">
      <c r="A6011" s="199">
        <v>42045</v>
      </c>
      <c r="B6011" s="199">
        <v>42045</v>
      </c>
      <c r="C6011" s="195">
        <v>2015</v>
      </c>
      <c r="D6011" s="35" t="s">
        <v>17</v>
      </c>
      <c r="E6011" s="217" t="s">
        <v>1597</v>
      </c>
      <c r="F6011" s="7" t="s">
        <v>53</v>
      </c>
      <c r="G6011" s="200" t="s">
        <v>1236</v>
      </c>
      <c r="H6011" s="196" t="s">
        <v>8555</v>
      </c>
      <c r="I6011" s="202">
        <v>0</v>
      </c>
      <c r="J6011" s="203">
        <v>1</v>
      </c>
      <c r="K6011" s="203">
        <v>0</v>
      </c>
      <c r="L6011" s="203">
        <v>0</v>
      </c>
      <c r="M6011" s="203">
        <v>0</v>
      </c>
      <c r="N6011" s="203">
        <v>1</v>
      </c>
      <c r="O6011" s="203">
        <v>0</v>
      </c>
      <c r="P6011" s="211">
        <v>0</v>
      </c>
      <c r="Q6011" s="204" t="s">
        <v>154</v>
      </c>
    </row>
    <row r="6012" spans="1:17" s="162" customFormat="1" ht="84" x14ac:dyDescent="0.25">
      <c r="A6012" s="199">
        <v>42045</v>
      </c>
      <c r="B6012" s="199">
        <v>42045</v>
      </c>
      <c r="C6012" s="195">
        <v>2015</v>
      </c>
      <c r="D6012" s="24" t="s">
        <v>141</v>
      </c>
      <c r="E6012" s="30" t="s">
        <v>142</v>
      </c>
      <c r="F6012" s="7" t="s">
        <v>77</v>
      </c>
      <c r="G6012" s="200" t="s">
        <v>7177</v>
      </c>
      <c r="H6012" s="196" t="s">
        <v>8556</v>
      </c>
      <c r="I6012" s="202">
        <v>0</v>
      </c>
      <c r="J6012" s="203">
        <v>18</v>
      </c>
      <c r="K6012" s="203">
        <v>0</v>
      </c>
      <c r="L6012" s="203">
        <v>0</v>
      </c>
      <c r="M6012" s="203">
        <v>0</v>
      </c>
      <c r="N6012" s="203">
        <v>0</v>
      </c>
      <c r="O6012" s="203">
        <v>0</v>
      </c>
      <c r="P6012" s="211">
        <v>0</v>
      </c>
      <c r="Q6012" s="204" t="s">
        <v>154</v>
      </c>
    </row>
    <row r="6013" spans="1:17" s="162" customFormat="1" ht="96" x14ac:dyDescent="0.25">
      <c r="A6013" s="3">
        <v>42046</v>
      </c>
      <c r="B6013" s="3">
        <v>42048</v>
      </c>
      <c r="C6013" s="195">
        <v>2015</v>
      </c>
      <c r="D6013" s="351" t="s">
        <v>23</v>
      </c>
      <c r="E6013" s="22" t="s">
        <v>42</v>
      </c>
      <c r="F6013" s="7" t="s">
        <v>40</v>
      </c>
      <c r="G6013" s="200" t="s">
        <v>8557</v>
      </c>
      <c r="H6013" s="212" t="s">
        <v>8558</v>
      </c>
      <c r="I6013" s="213">
        <v>0</v>
      </c>
      <c r="J6013" s="31">
        <v>14025</v>
      </c>
      <c r="K6013" s="214">
        <v>0</v>
      </c>
      <c r="L6013" s="214">
        <v>0</v>
      </c>
      <c r="M6013" s="214">
        <v>0</v>
      </c>
      <c r="N6013" s="214">
        <v>0</v>
      </c>
      <c r="O6013" s="214">
        <v>0</v>
      </c>
      <c r="P6013" s="26">
        <v>7.4020000000000001</v>
      </c>
      <c r="Q6013" s="172" t="s">
        <v>186</v>
      </c>
    </row>
    <row r="6014" spans="1:17" s="162" customFormat="1" ht="96" x14ac:dyDescent="0.25">
      <c r="A6014" s="199">
        <v>42048</v>
      </c>
      <c r="B6014" s="199">
        <v>42048</v>
      </c>
      <c r="C6014" s="195">
        <v>2015</v>
      </c>
      <c r="D6014" s="24" t="s">
        <v>141</v>
      </c>
      <c r="E6014" s="30" t="s">
        <v>142</v>
      </c>
      <c r="F6014" s="7" t="s">
        <v>68</v>
      </c>
      <c r="G6014" s="200" t="s">
        <v>556</v>
      </c>
      <c r="H6014" s="196" t="s">
        <v>8559</v>
      </c>
      <c r="I6014" s="202">
        <v>21</v>
      </c>
      <c r="J6014" s="203">
        <v>51</v>
      </c>
      <c r="K6014" s="203">
        <v>0</v>
      </c>
      <c r="L6014" s="203">
        <v>0</v>
      </c>
      <c r="M6014" s="203">
        <v>0</v>
      </c>
      <c r="N6014" s="203">
        <v>0</v>
      </c>
      <c r="O6014" s="203">
        <v>0</v>
      </c>
      <c r="P6014" s="211">
        <v>0.42</v>
      </c>
      <c r="Q6014" s="204" t="s">
        <v>154</v>
      </c>
    </row>
    <row r="6015" spans="1:17" s="162" customFormat="1" ht="108" x14ac:dyDescent="0.25">
      <c r="A6015" s="199">
        <v>42048</v>
      </c>
      <c r="B6015" s="199">
        <v>42048</v>
      </c>
      <c r="C6015" s="195">
        <v>2015</v>
      </c>
      <c r="D6015" s="351" t="s">
        <v>23</v>
      </c>
      <c r="E6015" s="215" t="s">
        <v>5893</v>
      </c>
      <c r="F6015" s="7" t="s">
        <v>58</v>
      </c>
      <c r="G6015" s="200" t="s">
        <v>8560</v>
      </c>
      <c r="H6015" s="196" t="s">
        <v>8561</v>
      </c>
      <c r="I6015" s="202">
        <v>0</v>
      </c>
      <c r="J6015" s="203">
        <v>90</v>
      </c>
      <c r="K6015" s="203">
        <v>20</v>
      </c>
      <c r="L6015" s="203">
        <v>0</v>
      </c>
      <c r="M6015" s="203">
        <v>0</v>
      </c>
      <c r="N6015" s="203">
        <v>0</v>
      </c>
      <c r="O6015" s="203">
        <v>0</v>
      </c>
      <c r="P6015" s="211">
        <v>0.94699999999999995</v>
      </c>
      <c r="Q6015" s="204" t="s">
        <v>154</v>
      </c>
    </row>
    <row r="6016" spans="1:17" s="162" customFormat="1" ht="48" x14ac:dyDescent="0.25">
      <c r="A6016" s="199">
        <v>42051</v>
      </c>
      <c r="B6016" s="199">
        <v>42051</v>
      </c>
      <c r="C6016" s="195">
        <v>2015</v>
      </c>
      <c r="D6016" s="24" t="s">
        <v>141</v>
      </c>
      <c r="E6016" s="30" t="s">
        <v>142</v>
      </c>
      <c r="F6016" s="7" t="s">
        <v>45</v>
      </c>
      <c r="G6016" s="200" t="s">
        <v>577</v>
      </c>
      <c r="H6016" s="196" t="s">
        <v>8562</v>
      </c>
      <c r="I6016" s="202">
        <v>0</v>
      </c>
      <c r="J6016" s="203">
        <v>1</v>
      </c>
      <c r="K6016" s="203">
        <v>0</v>
      </c>
      <c r="L6016" s="203">
        <v>0</v>
      </c>
      <c r="M6016" s="203">
        <v>0</v>
      </c>
      <c r="N6016" s="203">
        <v>0</v>
      </c>
      <c r="O6016" s="203">
        <v>0</v>
      </c>
      <c r="P6016" s="211">
        <v>0.47299999999999998</v>
      </c>
      <c r="Q6016" s="204" t="s">
        <v>154</v>
      </c>
    </row>
    <row r="6017" spans="1:17" s="162" customFormat="1" ht="132" x14ac:dyDescent="0.25">
      <c r="A6017" s="199">
        <v>42056</v>
      </c>
      <c r="B6017" s="199">
        <v>42056</v>
      </c>
      <c r="C6017" s="195">
        <v>2015</v>
      </c>
      <c r="D6017" s="24" t="s">
        <v>141</v>
      </c>
      <c r="E6017" s="30" t="s">
        <v>142</v>
      </c>
      <c r="F6017" s="25" t="s">
        <v>781</v>
      </c>
      <c r="G6017" s="200" t="s">
        <v>3061</v>
      </c>
      <c r="H6017" s="196" t="s">
        <v>8563</v>
      </c>
      <c r="I6017" s="202">
        <v>0</v>
      </c>
      <c r="J6017" s="203">
        <v>1</v>
      </c>
      <c r="K6017" s="203">
        <v>0</v>
      </c>
      <c r="L6017" s="203">
        <v>0</v>
      </c>
      <c r="M6017" s="203">
        <v>0</v>
      </c>
      <c r="N6017" s="203">
        <v>0</v>
      </c>
      <c r="O6017" s="203">
        <v>0</v>
      </c>
      <c r="P6017" s="211">
        <v>1.2230000000000001</v>
      </c>
      <c r="Q6017" s="204" t="s">
        <v>154</v>
      </c>
    </row>
    <row r="6018" spans="1:17" s="162" customFormat="1" ht="120" x14ac:dyDescent="0.25">
      <c r="A6018" s="199">
        <v>42058</v>
      </c>
      <c r="B6018" s="199">
        <v>42058</v>
      </c>
      <c r="C6018" s="195">
        <v>2015</v>
      </c>
      <c r="D6018" s="35" t="s">
        <v>28</v>
      </c>
      <c r="E6018" s="6" t="s">
        <v>149</v>
      </c>
      <c r="F6018" s="7" t="s">
        <v>58</v>
      </c>
      <c r="G6018" s="200" t="s">
        <v>6775</v>
      </c>
      <c r="H6018" s="196" t="s">
        <v>8564</v>
      </c>
      <c r="I6018" s="202">
        <v>0</v>
      </c>
      <c r="J6018" s="203">
        <v>2</v>
      </c>
      <c r="K6018" s="203">
        <v>0</v>
      </c>
      <c r="L6018" s="203">
        <v>0</v>
      </c>
      <c r="M6018" s="203">
        <v>1</v>
      </c>
      <c r="N6018" s="203">
        <v>0</v>
      </c>
      <c r="O6018" s="203">
        <v>0</v>
      </c>
      <c r="P6018" s="211">
        <v>0</v>
      </c>
      <c r="Q6018" s="204" t="s">
        <v>154</v>
      </c>
    </row>
    <row r="6019" spans="1:17" s="162" customFormat="1" ht="84" x14ac:dyDescent="0.25">
      <c r="A6019" s="199">
        <v>42059</v>
      </c>
      <c r="B6019" s="199">
        <v>42059</v>
      </c>
      <c r="C6019" s="195">
        <v>2015</v>
      </c>
      <c r="D6019" s="24" t="s">
        <v>141</v>
      </c>
      <c r="E6019" s="30" t="s">
        <v>142</v>
      </c>
      <c r="F6019" s="28" t="s">
        <v>157</v>
      </c>
      <c r="G6019" s="200" t="s">
        <v>1609</v>
      </c>
      <c r="H6019" s="196" t="s">
        <v>8565</v>
      </c>
      <c r="I6019" s="202">
        <v>0</v>
      </c>
      <c r="J6019" s="203">
        <v>0</v>
      </c>
      <c r="K6019" s="203">
        <v>0</v>
      </c>
      <c r="L6019" s="203">
        <v>0</v>
      </c>
      <c r="M6019" s="203">
        <v>0</v>
      </c>
      <c r="N6019" s="203">
        <v>0</v>
      </c>
      <c r="O6019" s="203">
        <v>0</v>
      </c>
      <c r="P6019" s="211">
        <v>0.47299999999999998</v>
      </c>
      <c r="Q6019" s="204" t="s">
        <v>154</v>
      </c>
    </row>
    <row r="6020" spans="1:17" s="162" customFormat="1" ht="84" x14ac:dyDescent="0.25">
      <c r="A6020" s="199">
        <v>42063</v>
      </c>
      <c r="B6020" s="199">
        <v>42063</v>
      </c>
      <c r="C6020" s="195">
        <v>2015</v>
      </c>
      <c r="D6020" s="24" t="s">
        <v>141</v>
      </c>
      <c r="E6020" s="30" t="s">
        <v>142</v>
      </c>
      <c r="F6020" s="7" t="s">
        <v>56</v>
      </c>
      <c r="G6020" s="200" t="s">
        <v>218</v>
      </c>
      <c r="H6020" s="196" t="s">
        <v>8566</v>
      </c>
      <c r="I6020" s="202">
        <v>2</v>
      </c>
      <c r="J6020" s="203">
        <v>26</v>
      </c>
      <c r="K6020" s="203">
        <v>0</v>
      </c>
      <c r="L6020" s="203">
        <v>0</v>
      </c>
      <c r="M6020" s="203">
        <v>0</v>
      </c>
      <c r="N6020" s="203">
        <v>0</v>
      </c>
      <c r="O6020" s="203">
        <v>0</v>
      </c>
      <c r="P6020" s="211">
        <v>0.46</v>
      </c>
      <c r="Q6020" s="204" t="s">
        <v>154</v>
      </c>
    </row>
    <row r="6021" spans="1:17" s="162" customFormat="1" ht="108" x14ac:dyDescent="0.25">
      <c r="A6021" s="199">
        <v>42064</v>
      </c>
      <c r="B6021" s="199">
        <v>42064</v>
      </c>
      <c r="C6021" s="195">
        <v>2015</v>
      </c>
      <c r="D6021" s="24" t="s">
        <v>141</v>
      </c>
      <c r="E6021" s="30" t="s">
        <v>142</v>
      </c>
      <c r="F6021" s="7" t="s">
        <v>30</v>
      </c>
      <c r="G6021" s="200" t="s">
        <v>395</v>
      </c>
      <c r="H6021" s="196" t="s">
        <v>8567</v>
      </c>
      <c r="I6021" s="202">
        <v>0</v>
      </c>
      <c r="J6021" s="203">
        <v>1</v>
      </c>
      <c r="K6021" s="203">
        <v>0</v>
      </c>
      <c r="L6021" s="203">
        <v>0</v>
      </c>
      <c r="M6021" s="203">
        <v>0</v>
      </c>
      <c r="N6021" s="203">
        <v>0</v>
      </c>
      <c r="O6021" s="203">
        <v>0</v>
      </c>
      <c r="P6021" s="211">
        <v>0.47299999999999998</v>
      </c>
      <c r="Q6021" s="204" t="s">
        <v>154</v>
      </c>
    </row>
    <row r="6022" spans="1:17" s="162" customFormat="1" ht="108" x14ac:dyDescent="0.25">
      <c r="A6022" s="199">
        <v>42064</v>
      </c>
      <c r="B6022" s="199">
        <v>42064</v>
      </c>
      <c r="C6022" s="195">
        <v>2015</v>
      </c>
      <c r="D6022" s="24" t="s">
        <v>141</v>
      </c>
      <c r="E6022" s="30" t="s">
        <v>142</v>
      </c>
      <c r="F6022" s="7" t="s">
        <v>36</v>
      </c>
      <c r="G6022" s="200" t="s">
        <v>744</v>
      </c>
      <c r="H6022" s="196" t="s">
        <v>8568</v>
      </c>
      <c r="I6022" s="202">
        <v>3</v>
      </c>
      <c r="J6022" s="203">
        <v>13</v>
      </c>
      <c r="K6022" s="203">
        <v>0</v>
      </c>
      <c r="L6022" s="203">
        <v>0</v>
      </c>
      <c r="M6022" s="203">
        <v>0</v>
      </c>
      <c r="N6022" s="203">
        <v>0</v>
      </c>
      <c r="O6022" s="203">
        <v>0</v>
      </c>
      <c r="P6022" s="211">
        <v>0.04</v>
      </c>
      <c r="Q6022" s="204" t="s">
        <v>154</v>
      </c>
    </row>
    <row r="6023" spans="1:17" s="162" customFormat="1" ht="60" x14ac:dyDescent="0.25">
      <c r="A6023" s="3">
        <v>42067</v>
      </c>
      <c r="B6023" s="3">
        <v>42069</v>
      </c>
      <c r="C6023" s="195">
        <v>2015</v>
      </c>
      <c r="D6023" s="351" t="s">
        <v>23</v>
      </c>
      <c r="E6023" s="218" t="s">
        <v>323</v>
      </c>
      <c r="F6023" s="28" t="s">
        <v>210</v>
      </c>
      <c r="G6023" s="200" t="s">
        <v>8569</v>
      </c>
      <c r="H6023" s="212" t="s">
        <v>8570</v>
      </c>
      <c r="I6023" s="213">
        <v>0</v>
      </c>
      <c r="J6023" s="31">
        <v>18380</v>
      </c>
      <c r="K6023" s="214">
        <v>0</v>
      </c>
      <c r="L6023" s="214">
        <v>0</v>
      </c>
      <c r="M6023" s="214">
        <v>0</v>
      </c>
      <c r="N6023" s="214">
        <v>0</v>
      </c>
      <c r="O6023" s="214">
        <v>0</v>
      </c>
      <c r="P6023" s="26">
        <v>10.477</v>
      </c>
      <c r="Q6023" s="172" t="s">
        <v>186</v>
      </c>
    </row>
    <row r="6024" spans="1:17" s="162" customFormat="1" ht="72" x14ac:dyDescent="0.25">
      <c r="A6024" s="199">
        <v>42068</v>
      </c>
      <c r="B6024" s="199">
        <v>42068</v>
      </c>
      <c r="C6024" s="195">
        <v>2015</v>
      </c>
      <c r="D6024" s="35" t="s">
        <v>17</v>
      </c>
      <c r="E6024" s="217" t="s">
        <v>1597</v>
      </c>
      <c r="F6024" s="7" t="s">
        <v>65</v>
      </c>
      <c r="G6024" s="200" t="s">
        <v>1632</v>
      </c>
      <c r="H6024" s="196" t="s">
        <v>8571</v>
      </c>
      <c r="I6024" s="202">
        <v>2</v>
      </c>
      <c r="J6024" s="203">
        <v>5</v>
      </c>
      <c r="K6024" s="203">
        <v>0</v>
      </c>
      <c r="L6024" s="203">
        <v>0</v>
      </c>
      <c r="M6024" s="203">
        <v>0</v>
      </c>
      <c r="N6024" s="203">
        <v>0</v>
      </c>
      <c r="O6024" s="203">
        <v>0</v>
      </c>
      <c r="P6024" s="211">
        <v>0</v>
      </c>
      <c r="Q6024" s="204" t="s">
        <v>154</v>
      </c>
    </row>
    <row r="6025" spans="1:17" s="162" customFormat="1" ht="48" x14ac:dyDescent="0.25">
      <c r="A6025" s="199">
        <v>42069</v>
      </c>
      <c r="B6025" s="199">
        <v>42069</v>
      </c>
      <c r="C6025" s="195">
        <v>2015</v>
      </c>
      <c r="D6025" s="24" t="s">
        <v>141</v>
      </c>
      <c r="E6025" s="30" t="s">
        <v>142</v>
      </c>
      <c r="F6025" s="7" t="s">
        <v>36</v>
      </c>
      <c r="G6025" s="200" t="s">
        <v>744</v>
      </c>
      <c r="H6025" s="196" t="s">
        <v>8572</v>
      </c>
      <c r="I6025" s="202">
        <v>2</v>
      </c>
      <c r="J6025" s="203">
        <v>26</v>
      </c>
      <c r="K6025" s="203">
        <v>0</v>
      </c>
      <c r="L6025" s="203">
        <v>0</v>
      </c>
      <c r="M6025" s="203">
        <v>0</v>
      </c>
      <c r="N6025" s="203">
        <v>0</v>
      </c>
      <c r="O6025" s="203">
        <v>0</v>
      </c>
      <c r="P6025" s="211">
        <v>0.42</v>
      </c>
      <c r="Q6025" s="204" t="s">
        <v>154</v>
      </c>
    </row>
    <row r="6026" spans="1:17" s="162" customFormat="1" ht="48" x14ac:dyDescent="0.25">
      <c r="A6026" s="199">
        <v>42069</v>
      </c>
      <c r="B6026" s="199">
        <v>42069</v>
      </c>
      <c r="C6026" s="195">
        <v>2015</v>
      </c>
      <c r="D6026" s="35" t="s">
        <v>28</v>
      </c>
      <c r="E6026" s="30" t="s">
        <v>133</v>
      </c>
      <c r="F6026" s="28" t="s">
        <v>210</v>
      </c>
      <c r="G6026" s="200" t="s">
        <v>865</v>
      </c>
      <c r="H6026" s="196" t="s">
        <v>8573</v>
      </c>
      <c r="I6026" s="202">
        <v>1</v>
      </c>
      <c r="J6026" s="203">
        <v>1</v>
      </c>
      <c r="K6026" s="203">
        <v>0</v>
      </c>
      <c r="L6026" s="203">
        <v>0</v>
      </c>
      <c r="M6026" s="203">
        <v>0</v>
      </c>
      <c r="N6026" s="203">
        <v>0</v>
      </c>
      <c r="O6026" s="203">
        <v>0</v>
      </c>
      <c r="P6026" s="211">
        <v>0.75700000000000001</v>
      </c>
      <c r="Q6026" s="204" t="s">
        <v>154</v>
      </c>
    </row>
    <row r="6027" spans="1:17" s="162" customFormat="1" ht="108" x14ac:dyDescent="0.25">
      <c r="A6027" s="199">
        <v>42070</v>
      </c>
      <c r="B6027" s="199">
        <v>42071</v>
      </c>
      <c r="C6027" s="195">
        <v>2015</v>
      </c>
      <c r="D6027" s="24" t="s">
        <v>141</v>
      </c>
      <c r="E6027" s="30" t="s">
        <v>142</v>
      </c>
      <c r="F6027" s="7" t="s">
        <v>56</v>
      </c>
      <c r="G6027" s="200" t="s">
        <v>4348</v>
      </c>
      <c r="H6027" s="196" t="s">
        <v>8574</v>
      </c>
      <c r="I6027" s="202">
        <v>0</v>
      </c>
      <c r="J6027" s="203">
        <v>0</v>
      </c>
      <c r="K6027" s="203">
        <v>0</v>
      </c>
      <c r="L6027" s="203">
        <v>0</v>
      </c>
      <c r="M6027" s="203">
        <v>0</v>
      </c>
      <c r="N6027" s="203">
        <v>0</v>
      </c>
      <c r="O6027" s="203">
        <v>0</v>
      </c>
      <c r="P6027" s="211">
        <v>0.28899999999999998</v>
      </c>
      <c r="Q6027" s="204" t="s">
        <v>154</v>
      </c>
    </row>
    <row r="6028" spans="1:17" s="162" customFormat="1" ht="72" x14ac:dyDescent="0.25">
      <c r="A6028" s="199">
        <v>42071</v>
      </c>
      <c r="B6028" s="199">
        <v>42071</v>
      </c>
      <c r="C6028" s="195">
        <v>2015</v>
      </c>
      <c r="D6028" s="24" t="s">
        <v>141</v>
      </c>
      <c r="E6028" s="30" t="s">
        <v>142</v>
      </c>
      <c r="F6028" s="7" t="s">
        <v>60</v>
      </c>
      <c r="G6028" s="200" t="s">
        <v>2508</v>
      </c>
      <c r="H6028" s="196" t="s">
        <v>8575</v>
      </c>
      <c r="I6028" s="202">
        <v>7</v>
      </c>
      <c r="J6028" s="203">
        <v>7</v>
      </c>
      <c r="K6028" s="203">
        <v>0</v>
      </c>
      <c r="L6028" s="203">
        <v>0</v>
      </c>
      <c r="M6028" s="203">
        <v>0</v>
      </c>
      <c r="N6028" s="203">
        <v>0</v>
      </c>
      <c r="O6028" s="203">
        <v>0</v>
      </c>
      <c r="P6028" s="211">
        <v>0.04</v>
      </c>
      <c r="Q6028" s="204" t="s">
        <v>154</v>
      </c>
    </row>
    <row r="6029" spans="1:17" s="162" customFormat="1" ht="60" x14ac:dyDescent="0.25">
      <c r="A6029" s="199">
        <v>42071</v>
      </c>
      <c r="B6029" s="199">
        <v>42071</v>
      </c>
      <c r="C6029" s="195">
        <v>2015</v>
      </c>
      <c r="D6029" s="24" t="s">
        <v>141</v>
      </c>
      <c r="E6029" s="30" t="s">
        <v>142</v>
      </c>
      <c r="F6029" s="7" t="s">
        <v>67</v>
      </c>
      <c r="G6029" s="200" t="s">
        <v>2973</v>
      </c>
      <c r="H6029" s="196" t="s">
        <v>8576</v>
      </c>
      <c r="I6029" s="202">
        <v>1</v>
      </c>
      <c r="J6029" s="203">
        <v>5</v>
      </c>
      <c r="K6029" s="203">
        <v>0</v>
      </c>
      <c r="L6029" s="203">
        <v>0</v>
      </c>
      <c r="M6029" s="203">
        <v>0</v>
      </c>
      <c r="N6029" s="203">
        <v>0</v>
      </c>
      <c r="O6029" s="203">
        <v>0</v>
      </c>
      <c r="P6029" s="211">
        <v>0.04</v>
      </c>
      <c r="Q6029" s="204" t="s">
        <v>154</v>
      </c>
    </row>
    <row r="6030" spans="1:17" s="162" customFormat="1" ht="72" x14ac:dyDescent="0.25">
      <c r="A6030" s="199">
        <v>42073</v>
      </c>
      <c r="B6030" s="199">
        <v>42073</v>
      </c>
      <c r="C6030" s="195">
        <v>2015</v>
      </c>
      <c r="D6030" s="24" t="s">
        <v>141</v>
      </c>
      <c r="E6030" s="30" t="s">
        <v>142</v>
      </c>
      <c r="F6030" s="7" t="s">
        <v>53</v>
      </c>
      <c r="G6030" s="200" t="s">
        <v>3073</v>
      </c>
      <c r="H6030" s="196" t="s">
        <v>8577</v>
      </c>
      <c r="I6030" s="202">
        <v>0</v>
      </c>
      <c r="J6030" s="203">
        <v>0</v>
      </c>
      <c r="K6030" s="203">
        <v>0</v>
      </c>
      <c r="L6030" s="203">
        <v>0</v>
      </c>
      <c r="M6030" s="203">
        <v>0</v>
      </c>
      <c r="N6030" s="203">
        <v>0</v>
      </c>
      <c r="O6030" s="203">
        <v>0</v>
      </c>
      <c r="P6030" s="211">
        <v>0.47299999999999998</v>
      </c>
      <c r="Q6030" s="204" t="s">
        <v>154</v>
      </c>
    </row>
    <row r="6031" spans="1:17" s="162" customFormat="1" ht="72" x14ac:dyDescent="0.25">
      <c r="A6031" s="199">
        <v>42073</v>
      </c>
      <c r="B6031" s="199">
        <v>42073</v>
      </c>
      <c r="C6031" s="195">
        <v>2015</v>
      </c>
      <c r="D6031" s="35" t="s">
        <v>28</v>
      </c>
      <c r="E6031" s="30" t="s">
        <v>133</v>
      </c>
      <c r="F6031" s="7" t="s">
        <v>68</v>
      </c>
      <c r="G6031" s="200" t="s">
        <v>2786</v>
      </c>
      <c r="H6031" s="196" t="s">
        <v>8578</v>
      </c>
      <c r="I6031" s="202">
        <v>2</v>
      </c>
      <c r="J6031" s="203">
        <v>6</v>
      </c>
      <c r="K6031" s="203">
        <v>0</v>
      </c>
      <c r="L6031" s="203">
        <v>0</v>
      </c>
      <c r="M6031" s="203">
        <v>0</v>
      </c>
      <c r="N6031" s="203">
        <v>1</v>
      </c>
      <c r="O6031" s="203">
        <v>0</v>
      </c>
      <c r="P6031" s="211">
        <v>0</v>
      </c>
      <c r="Q6031" s="204" t="s">
        <v>154</v>
      </c>
    </row>
    <row r="6032" spans="1:17" s="162" customFormat="1" ht="96" x14ac:dyDescent="0.25">
      <c r="A6032" s="3">
        <v>42073</v>
      </c>
      <c r="B6032" s="3">
        <v>42082</v>
      </c>
      <c r="C6032" s="195">
        <v>2015</v>
      </c>
      <c r="D6032" s="351" t="s">
        <v>23</v>
      </c>
      <c r="E6032" s="22" t="s">
        <v>86</v>
      </c>
      <c r="F6032" s="7" t="s">
        <v>45</v>
      </c>
      <c r="G6032" s="200" t="s">
        <v>8579</v>
      </c>
      <c r="H6032" s="212" t="s">
        <v>8580</v>
      </c>
      <c r="I6032" s="202">
        <v>0</v>
      </c>
      <c r="J6032" s="31">
        <v>37490</v>
      </c>
      <c r="K6032" s="203">
        <v>513</v>
      </c>
      <c r="L6032" s="203">
        <v>0</v>
      </c>
      <c r="M6032" s="203">
        <v>0</v>
      </c>
      <c r="N6032" s="203">
        <v>0</v>
      </c>
      <c r="O6032" s="203">
        <v>0</v>
      </c>
      <c r="P6032" s="26">
        <f>4.622+56.668</f>
        <v>61.29</v>
      </c>
      <c r="Q6032" s="172" t="s">
        <v>186</v>
      </c>
    </row>
    <row r="6033" spans="1:17" s="162" customFormat="1" ht="120" x14ac:dyDescent="0.25">
      <c r="A6033" s="3">
        <v>42074</v>
      </c>
      <c r="B6033" s="3">
        <v>42075</v>
      </c>
      <c r="C6033" s="195">
        <v>2015</v>
      </c>
      <c r="D6033" s="351" t="s">
        <v>23</v>
      </c>
      <c r="E6033" s="215" t="s">
        <v>5893</v>
      </c>
      <c r="F6033" s="7" t="s">
        <v>101</v>
      </c>
      <c r="G6033" s="200" t="s">
        <v>8581</v>
      </c>
      <c r="H6033" s="212" t="s">
        <v>8582</v>
      </c>
      <c r="I6033" s="213">
        <v>0</v>
      </c>
      <c r="J6033" s="31">
        <v>7451</v>
      </c>
      <c r="K6033" s="214">
        <v>300</v>
      </c>
      <c r="L6033" s="214">
        <v>0</v>
      </c>
      <c r="M6033" s="214">
        <v>0</v>
      </c>
      <c r="N6033" s="214">
        <v>0</v>
      </c>
      <c r="O6033" s="214">
        <v>0</v>
      </c>
      <c r="P6033" s="26">
        <f>0.099+5.709</f>
        <v>5.8079999999999998</v>
      </c>
      <c r="Q6033" s="144" t="s">
        <v>7883</v>
      </c>
    </row>
    <row r="6034" spans="1:17" s="162" customFormat="1" ht="120" x14ac:dyDescent="0.25">
      <c r="A6034" s="3">
        <v>42074</v>
      </c>
      <c r="B6034" s="3">
        <v>42075</v>
      </c>
      <c r="C6034" s="195">
        <v>2015</v>
      </c>
      <c r="D6034" s="351" t="s">
        <v>23</v>
      </c>
      <c r="E6034" s="22" t="s">
        <v>86</v>
      </c>
      <c r="F6034" s="28" t="s">
        <v>210</v>
      </c>
      <c r="G6034" s="200" t="s">
        <v>8583</v>
      </c>
      <c r="H6034" s="212" t="s">
        <v>8584</v>
      </c>
      <c r="I6034" s="213">
        <v>0</v>
      </c>
      <c r="J6034" s="31">
        <v>29231</v>
      </c>
      <c r="K6034" s="214">
        <v>45</v>
      </c>
      <c r="L6034" s="214">
        <v>0</v>
      </c>
      <c r="M6034" s="214">
        <v>0</v>
      </c>
      <c r="N6034" s="214">
        <v>0</v>
      </c>
      <c r="O6034" s="214">
        <v>0</v>
      </c>
      <c r="P6034" s="26">
        <f>21.491+287.55</f>
        <v>309.041</v>
      </c>
      <c r="Q6034" s="172" t="s">
        <v>186</v>
      </c>
    </row>
    <row r="6035" spans="1:17" s="162" customFormat="1" ht="204" x14ac:dyDescent="0.25">
      <c r="A6035" s="3">
        <v>42074</v>
      </c>
      <c r="B6035" s="3">
        <v>42080</v>
      </c>
      <c r="C6035" s="195">
        <v>2015</v>
      </c>
      <c r="D6035" s="351" t="s">
        <v>23</v>
      </c>
      <c r="E6035" s="22" t="s">
        <v>86</v>
      </c>
      <c r="F6035" s="7" t="s">
        <v>49</v>
      </c>
      <c r="G6035" s="200" t="s">
        <v>8585</v>
      </c>
      <c r="H6035" s="212" t="s">
        <v>8586</v>
      </c>
      <c r="I6035" s="213">
        <v>0</v>
      </c>
      <c r="J6035" s="31">
        <v>44577</v>
      </c>
      <c r="K6035" s="214">
        <v>677</v>
      </c>
      <c r="L6035" s="214">
        <v>0</v>
      </c>
      <c r="M6035" s="214">
        <v>0</v>
      </c>
      <c r="N6035" s="214">
        <v>0</v>
      </c>
      <c r="O6035" s="214">
        <v>0</v>
      </c>
      <c r="P6035" s="26">
        <f>25.354+571.45</f>
        <v>596.80400000000009</v>
      </c>
      <c r="Q6035" s="172" t="s">
        <v>186</v>
      </c>
    </row>
    <row r="6036" spans="1:17" s="162" customFormat="1" ht="72" x14ac:dyDescent="0.25">
      <c r="A6036" s="3">
        <v>42074</v>
      </c>
      <c r="B6036" s="3">
        <v>42082</v>
      </c>
      <c r="C6036" s="195">
        <v>2015</v>
      </c>
      <c r="D6036" s="351" t="s">
        <v>23</v>
      </c>
      <c r="E6036" s="22" t="s">
        <v>42</v>
      </c>
      <c r="F6036" s="7" t="s">
        <v>49</v>
      </c>
      <c r="G6036" s="200" t="s">
        <v>8587</v>
      </c>
      <c r="H6036" s="212" t="s">
        <v>8588</v>
      </c>
      <c r="I6036" s="213">
        <v>0</v>
      </c>
      <c r="J6036" s="31">
        <v>2170</v>
      </c>
      <c r="K6036" s="214">
        <v>0</v>
      </c>
      <c r="L6036" s="214">
        <v>0</v>
      </c>
      <c r="M6036" s="214">
        <v>0</v>
      </c>
      <c r="N6036" s="214">
        <v>0</v>
      </c>
      <c r="O6036" s="214">
        <v>0</v>
      </c>
      <c r="P6036" s="26">
        <v>1.2929999999999999</v>
      </c>
      <c r="Q6036" s="172" t="s">
        <v>186</v>
      </c>
    </row>
    <row r="6037" spans="1:17" s="162" customFormat="1" ht="168" x14ac:dyDescent="0.25">
      <c r="A6037" s="199">
        <v>42076</v>
      </c>
      <c r="B6037" s="199">
        <v>42076</v>
      </c>
      <c r="C6037" s="195">
        <v>2015</v>
      </c>
      <c r="D6037" s="24" t="s">
        <v>141</v>
      </c>
      <c r="E6037" s="30" t="s">
        <v>142</v>
      </c>
      <c r="F6037" s="7" t="s">
        <v>56</v>
      </c>
      <c r="G6037" s="200" t="s">
        <v>711</v>
      </c>
      <c r="H6037" s="196" t="s">
        <v>8589</v>
      </c>
      <c r="I6037" s="202">
        <v>0</v>
      </c>
      <c r="J6037" s="203">
        <v>1021</v>
      </c>
      <c r="K6037" s="203">
        <v>0</v>
      </c>
      <c r="L6037" s="203">
        <v>0</v>
      </c>
      <c r="M6037" s="203">
        <v>0</v>
      </c>
      <c r="N6037" s="203">
        <v>0</v>
      </c>
      <c r="O6037" s="203">
        <v>0</v>
      </c>
      <c r="P6037" s="211">
        <v>3.9E-2</v>
      </c>
      <c r="Q6037" s="204" t="s">
        <v>154</v>
      </c>
    </row>
    <row r="6038" spans="1:17" s="162" customFormat="1" ht="156" x14ac:dyDescent="0.25">
      <c r="A6038" s="23">
        <v>42076</v>
      </c>
      <c r="B6038" s="118">
        <v>42080</v>
      </c>
      <c r="C6038" s="195">
        <v>2015</v>
      </c>
      <c r="D6038" s="351" t="s">
        <v>23</v>
      </c>
      <c r="E6038" s="22" t="s">
        <v>86</v>
      </c>
      <c r="F6038" s="7" t="s">
        <v>47</v>
      </c>
      <c r="G6038" s="146" t="s">
        <v>8590</v>
      </c>
      <c r="H6038" s="147" t="s">
        <v>8591</v>
      </c>
      <c r="I6038" s="202">
        <v>0</v>
      </c>
      <c r="J6038" s="216">
        <v>1322</v>
      </c>
      <c r="K6038" s="210">
        <v>0</v>
      </c>
      <c r="L6038" s="210">
        <v>0</v>
      </c>
      <c r="M6038" s="210">
        <v>0</v>
      </c>
      <c r="N6038" s="210">
        <v>0</v>
      </c>
      <c r="O6038" s="216">
        <v>5772.14</v>
      </c>
      <c r="P6038" s="211">
        <f>105.073+324.398</f>
        <v>429.471</v>
      </c>
      <c r="Q6038" s="204" t="s">
        <v>8592</v>
      </c>
    </row>
    <row r="6039" spans="1:17" s="162" customFormat="1" ht="204" x14ac:dyDescent="0.25">
      <c r="A6039" s="199">
        <v>42077</v>
      </c>
      <c r="B6039" s="199">
        <v>42078</v>
      </c>
      <c r="C6039" s="195">
        <v>2015</v>
      </c>
      <c r="D6039" s="351" t="s">
        <v>23</v>
      </c>
      <c r="E6039" s="22" t="s">
        <v>86</v>
      </c>
      <c r="F6039" s="7" t="s">
        <v>62</v>
      </c>
      <c r="G6039" s="200" t="s">
        <v>8593</v>
      </c>
      <c r="H6039" s="196" t="s">
        <v>8594</v>
      </c>
      <c r="I6039" s="202">
        <v>3</v>
      </c>
      <c r="J6039" s="210">
        <v>3603</v>
      </c>
      <c r="K6039" s="203">
        <v>972</v>
      </c>
      <c r="L6039" s="203">
        <v>0</v>
      </c>
      <c r="M6039" s="203">
        <v>0</v>
      </c>
      <c r="N6039" s="203">
        <v>0</v>
      </c>
      <c r="O6039" s="203">
        <v>0</v>
      </c>
      <c r="P6039" s="211">
        <v>1.091</v>
      </c>
      <c r="Q6039" s="204" t="s">
        <v>154</v>
      </c>
    </row>
    <row r="6040" spans="1:17" s="162" customFormat="1" ht="84" x14ac:dyDescent="0.25">
      <c r="A6040" s="199">
        <v>42077</v>
      </c>
      <c r="B6040" s="199">
        <v>42077</v>
      </c>
      <c r="C6040" s="195">
        <v>2015</v>
      </c>
      <c r="D6040" s="24" t="s">
        <v>141</v>
      </c>
      <c r="E6040" s="30" t="s">
        <v>142</v>
      </c>
      <c r="F6040" s="7" t="s">
        <v>40</v>
      </c>
      <c r="G6040" s="200" t="s">
        <v>8595</v>
      </c>
      <c r="H6040" s="196" t="s">
        <v>8596</v>
      </c>
      <c r="I6040" s="202">
        <v>5</v>
      </c>
      <c r="J6040" s="203">
        <v>5</v>
      </c>
      <c r="K6040" s="203">
        <v>0</v>
      </c>
      <c r="L6040" s="203">
        <v>0</v>
      </c>
      <c r="M6040" s="203">
        <v>0</v>
      </c>
      <c r="N6040" s="203">
        <v>0</v>
      </c>
      <c r="O6040" s="203">
        <v>0</v>
      </c>
      <c r="P6040" s="211">
        <v>2.375</v>
      </c>
      <c r="Q6040" s="204" t="s">
        <v>154</v>
      </c>
    </row>
    <row r="6041" spans="1:17" s="162" customFormat="1" ht="132" x14ac:dyDescent="0.25">
      <c r="A6041" s="219">
        <v>42078</v>
      </c>
      <c r="B6041" s="219">
        <v>42078</v>
      </c>
      <c r="C6041" s="195">
        <v>2015</v>
      </c>
      <c r="D6041" s="351" t="s">
        <v>23</v>
      </c>
      <c r="E6041" s="22" t="s">
        <v>86</v>
      </c>
      <c r="F6041" s="7" t="s">
        <v>58</v>
      </c>
      <c r="G6041" s="200" t="s">
        <v>8597</v>
      </c>
      <c r="H6041" s="196" t="s">
        <v>8598</v>
      </c>
      <c r="I6041" s="202">
        <v>0</v>
      </c>
      <c r="J6041" s="210">
        <v>945</v>
      </c>
      <c r="K6041" s="203">
        <v>189</v>
      </c>
      <c r="L6041" s="203">
        <v>0</v>
      </c>
      <c r="M6041" s="203">
        <v>0</v>
      </c>
      <c r="N6041" s="203">
        <v>0</v>
      </c>
      <c r="O6041" s="203">
        <v>0</v>
      </c>
      <c r="P6041" s="211">
        <v>0.20200000000000001</v>
      </c>
      <c r="Q6041" s="204" t="s">
        <v>154</v>
      </c>
    </row>
    <row r="6042" spans="1:17" s="162" customFormat="1" ht="84" x14ac:dyDescent="0.25">
      <c r="A6042" s="219">
        <v>42078</v>
      </c>
      <c r="B6042" s="219">
        <v>42078</v>
      </c>
      <c r="C6042" s="195">
        <v>2015</v>
      </c>
      <c r="D6042" s="351" t="s">
        <v>23</v>
      </c>
      <c r="E6042" s="22" t="s">
        <v>86</v>
      </c>
      <c r="F6042" s="7" t="s">
        <v>56</v>
      </c>
      <c r="G6042" s="200" t="s">
        <v>8599</v>
      </c>
      <c r="H6042" s="196" t="s">
        <v>8600</v>
      </c>
      <c r="I6042" s="202">
        <v>0</v>
      </c>
      <c r="J6042" s="210">
        <v>6</v>
      </c>
      <c r="K6042" s="203">
        <v>0</v>
      </c>
      <c r="L6042" s="203">
        <v>0</v>
      </c>
      <c r="M6042" s="203">
        <v>0</v>
      </c>
      <c r="N6042" s="203">
        <v>0</v>
      </c>
      <c r="O6042" s="203">
        <v>0</v>
      </c>
      <c r="P6042" s="211">
        <v>0</v>
      </c>
      <c r="Q6042" s="204" t="s">
        <v>154</v>
      </c>
    </row>
    <row r="6043" spans="1:17" s="162" customFormat="1" ht="72" x14ac:dyDescent="0.25">
      <c r="A6043" s="199">
        <v>42078</v>
      </c>
      <c r="B6043" s="199">
        <v>42078</v>
      </c>
      <c r="C6043" s="195">
        <v>2015</v>
      </c>
      <c r="D6043" s="24" t="s">
        <v>141</v>
      </c>
      <c r="E6043" s="30" t="s">
        <v>142</v>
      </c>
      <c r="F6043" s="7" t="s">
        <v>84</v>
      </c>
      <c r="G6043" s="200" t="s">
        <v>1802</v>
      </c>
      <c r="H6043" s="196" t="s">
        <v>8601</v>
      </c>
      <c r="I6043" s="202">
        <v>0</v>
      </c>
      <c r="J6043" s="203">
        <v>1</v>
      </c>
      <c r="K6043" s="203">
        <v>0</v>
      </c>
      <c r="L6043" s="203">
        <v>0</v>
      </c>
      <c r="M6043" s="203">
        <v>0</v>
      </c>
      <c r="N6043" s="203">
        <v>0</v>
      </c>
      <c r="O6043" s="203">
        <v>0</v>
      </c>
      <c r="P6043" s="211">
        <v>0</v>
      </c>
      <c r="Q6043" s="204" t="s">
        <v>154</v>
      </c>
    </row>
    <row r="6044" spans="1:17" s="162" customFormat="1" ht="228" x14ac:dyDescent="0.25">
      <c r="A6044" s="3">
        <v>42078</v>
      </c>
      <c r="B6044" s="3">
        <v>42079</v>
      </c>
      <c r="C6044" s="195">
        <v>2015</v>
      </c>
      <c r="D6044" s="351" t="s">
        <v>23</v>
      </c>
      <c r="E6044" s="22" t="s">
        <v>86</v>
      </c>
      <c r="F6044" s="7" t="s">
        <v>60</v>
      </c>
      <c r="G6044" s="200" t="s">
        <v>8602</v>
      </c>
      <c r="H6044" s="212" t="s">
        <v>8603</v>
      </c>
      <c r="I6044" s="213">
        <v>0</v>
      </c>
      <c r="J6044" s="31">
        <v>15755</v>
      </c>
      <c r="K6044" s="214">
        <v>672</v>
      </c>
      <c r="L6044" s="214">
        <v>9</v>
      </c>
      <c r="M6044" s="214">
        <v>0</v>
      </c>
      <c r="N6044" s="214">
        <v>0</v>
      </c>
      <c r="O6044" s="214">
        <v>0</v>
      </c>
      <c r="P6044" s="26">
        <f>5.189+797.53</f>
        <v>802.71899999999994</v>
      </c>
      <c r="Q6044" s="144" t="s">
        <v>7883</v>
      </c>
    </row>
    <row r="6045" spans="1:17" s="162" customFormat="1" ht="72" x14ac:dyDescent="0.25">
      <c r="A6045" s="199">
        <v>42079</v>
      </c>
      <c r="B6045" s="199">
        <v>42079</v>
      </c>
      <c r="C6045" s="195">
        <v>2015</v>
      </c>
      <c r="D6045" s="24" t="s">
        <v>141</v>
      </c>
      <c r="E6045" s="30" t="s">
        <v>142</v>
      </c>
      <c r="F6045" s="7" t="s">
        <v>40</v>
      </c>
      <c r="G6045" s="200" t="s">
        <v>8604</v>
      </c>
      <c r="H6045" s="196" t="s">
        <v>8605</v>
      </c>
      <c r="I6045" s="202">
        <v>1</v>
      </c>
      <c r="J6045" s="203">
        <v>8</v>
      </c>
      <c r="K6045" s="203">
        <v>0</v>
      </c>
      <c r="L6045" s="203">
        <v>0</v>
      </c>
      <c r="M6045" s="203">
        <v>0</v>
      </c>
      <c r="N6045" s="203">
        <v>0</v>
      </c>
      <c r="O6045" s="203">
        <v>0</v>
      </c>
      <c r="P6045" s="211">
        <v>0.42</v>
      </c>
      <c r="Q6045" s="204" t="s">
        <v>154</v>
      </c>
    </row>
    <row r="6046" spans="1:17" s="162" customFormat="1" ht="36" x14ac:dyDescent="0.25">
      <c r="A6046" s="199">
        <v>42080</v>
      </c>
      <c r="B6046" s="199">
        <v>42080</v>
      </c>
      <c r="C6046" s="195">
        <v>2015</v>
      </c>
      <c r="D6046" s="351" t="s">
        <v>23</v>
      </c>
      <c r="E6046" s="22" t="s">
        <v>86</v>
      </c>
      <c r="F6046" s="7" t="s">
        <v>67</v>
      </c>
      <c r="G6046" s="200" t="s">
        <v>8606</v>
      </c>
      <c r="H6046" s="196" t="s">
        <v>8607</v>
      </c>
      <c r="I6046" s="202">
        <v>0</v>
      </c>
      <c r="J6046" s="210">
        <v>70</v>
      </c>
      <c r="K6046" s="203">
        <v>0</v>
      </c>
      <c r="L6046" s="203">
        <v>0</v>
      </c>
      <c r="M6046" s="203">
        <v>0</v>
      </c>
      <c r="N6046" s="203">
        <v>0</v>
      </c>
      <c r="O6046" s="203">
        <v>0</v>
      </c>
      <c r="P6046" s="211">
        <v>2.1000000000000001E-2</v>
      </c>
      <c r="Q6046" s="204" t="s">
        <v>154</v>
      </c>
    </row>
    <row r="6047" spans="1:17" s="162" customFormat="1" ht="96" x14ac:dyDescent="0.25">
      <c r="A6047" s="199">
        <v>42080</v>
      </c>
      <c r="B6047" s="199">
        <v>42080</v>
      </c>
      <c r="C6047" s="195">
        <v>2015</v>
      </c>
      <c r="D6047" s="35" t="s">
        <v>28</v>
      </c>
      <c r="E6047" s="30" t="s">
        <v>133</v>
      </c>
      <c r="F6047" s="7" t="s">
        <v>77</v>
      </c>
      <c r="G6047" s="200" t="s">
        <v>2954</v>
      </c>
      <c r="H6047" s="196" t="s">
        <v>8608</v>
      </c>
      <c r="I6047" s="202">
        <v>2</v>
      </c>
      <c r="J6047" s="210">
        <v>12</v>
      </c>
      <c r="K6047" s="203">
        <v>3</v>
      </c>
      <c r="L6047" s="203">
        <v>0</v>
      </c>
      <c r="M6047" s="203">
        <v>0</v>
      </c>
      <c r="N6047" s="203">
        <v>0</v>
      </c>
      <c r="O6047" s="203">
        <v>0</v>
      </c>
      <c r="P6047" s="211">
        <v>0.124</v>
      </c>
      <c r="Q6047" s="204" t="s">
        <v>154</v>
      </c>
    </row>
    <row r="6048" spans="1:17" s="162" customFormat="1" ht="276" x14ac:dyDescent="0.25">
      <c r="A6048" s="2">
        <v>42084</v>
      </c>
      <c r="B6048" s="2">
        <v>42090</v>
      </c>
      <c r="C6048" s="195">
        <v>2015</v>
      </c>
      <c r="D6048" s="351" t="s">
        <v>23</v>
      </c>
      <c r="E6048" s="22" t="s">
        <v>86</v>
      </c>
      <c r="F6048" s="28" t="s">
        <v>210</v>
      </c>
      <c r="G6048" s="200" t="s">
        <v>8609</v>
      </c>
      <c r="H6048" s="212" t="s">
        <v>8610</v>
      </c>
      <c r="I6048" s="213">
        <v>5</v>
      </c>
      <c r="J6048" s="31">
        <v>61381</v>
      </c>
      <c r="K6048" s="214">
        <v>165</v>
      </c>
      <c r="L6048" s="214">
        <v>86</v>
      </c>
      <c r="M6048" s="214">
        <v>0</v>
      </c>
      <c r="N6048" s="214">
        <v>0</v>
      </c>
      <c r="O6048" s="214">
        <v>0</v>
      </c>
      <c r="P6048" s="26">
        <f>11.421+42.584+2278.35</f>
        <v>2332.355</v>
      </c>
      <c r="Q6048" s="144" t="s">
        <v>7883</v>
      </c>
    </row>
    <row r="6049" spans="1:17" s="162" customFormat="1" ht="72" x14ac:dyDescent="0.25">
      <c r="A6049" s="199">
        <v>42089</v>
      </c>
      <c r="B6049" s="199">
        <v>42089</v>
      </c>
      <c r="C6049" s="195">
        <v>2015</v>
      </c>
      <c r="D6049" s="24" t="s">
        <v>141</v>
      </c>
      <c r="E6049" s="30" t="s">
        <v>142</v>
      </c>
      <c r="F6049" s="7" t="s">
        <v>36</v>
      </c>
      <c r="G6049" s="200" t="s">
        <v>8611</v>
      </c>
      <c r="H6049" s="196" t="s">
        <v>8612</v>
      </c>
      <c r="I6049" s="202">
        <v>0</v>
      </c>
      <c r="J6049" s="203">
        <v>19</v>
      </c>
      <c r="K6049" s="203">
        <v>0</v>
      </c>
      <c r="L6049" s="203">
        <v>0</v>
      </c>
      <c r="M6049" s="203">
        <v>0</v>
      </c>
      <c r="N6049" s="203">
        <v>0</v>
      </c>
      <c r="O6049" s="203">
        <v>0</v>
      </c>
      <c r="P6049" s="211">
        <v>1.42</v>
      </c>
      <c r="Q6049" s="204" t="s">
        <v>154</v>
      </c>
    </row>
    <row r="6050" spans="1:17" s="162" customFormat="1" ht="120" x14ac:dyDescent="0.25">
      <c r="A6050" s="199">
        <v>42089</v>
      </c>
      <c r="B6050" s="199">
        <v>42089</v>
      </c>
      <c r="C6050" s="195">
        <v>2015</v>
      </c>
      <c r="D6050" s="35" t="s">
        <v>28</v>
      </c>
      <c r="E6050" s="30" t="s">
        <v>125</v>
      </c>
      <c r="F6050" s="25" t="s">
        <v>781</v>
      </c>
      <c r="G6050" s="200" t="s">
        <v>2337</v>
      </c>
      <c r="H6050" s="196" t="s">
        <v>8613</v>
      </c>
      <c r="I6050" s="202">
        <v>22</v>
      </c>
      <c r="J6050" s="203">
        <v>22</v>
      </c>
      <c r="K6050" s="203">
        <v>0</v>
      </c>
      <c r="L6050" s="203">
        <v>0</v>
      </c>
      <c r="M6050" s="203">
        <v>0</v>
      </c>
      <c r="N6050" s="203">
        <v>0</v>
      </c>
      <c r="O6050" s="203">
        <v>0</v>
      </c>
      <c r="P6050" s="211">
        <v>0.47299999999999998</v>
      </c>
      <c r="Q6050" s="204" t="s">
        <v>7878</v>
      </c>
    </row>
    <row r="6051" spans="1:17" s="162" customFormat="1" ht="48" x14ac:dyDescent="0.25">
      <c r="A6051" s="199">
        <v>42090</v>
      </c>
      <c r="B6051" s="199">
        <v>42090</v>
      </c>
      <c r="C6051" s="195">
        <v>2015</v>
      </c>
      <c r="D6051" s="24" t="s">
        <v>141</v>
      </c>
      <c r="E6051" s="30" t="s">
        <v>142</v>
      </c>
      <c r="F6051" s="7" t="s">
        <v>72</v>
      </c>
      <c r="G6051" s="200" t="s">
        <v>4936</v>
      </c>
      <c r="H6051" s="196" t="s">
        <v>8614</v>
      </c>
      <c r="I6051" s="202">
        <v>4</v>
      </c>
      <c r="J6051" s="203">
        <v>4</v>
      </c>
      <c r="K6051" s="203">
        <v>0</v>
      </c>
      <c r="L6051" s="203">
        <v>0</v>
      </c>
      <c r="M6051" s="203">
        <v>0</v>
      </c>
      <c r="N6051" s="203">
        <v>0</v>
      </c>
      <c r="O6051" s="203">
        <v>0</v>
      </c>
      <c r="P6051" s="211">
        <v>0</v>
      </c>
      <c r="Q6051" s="204" t="s">
        <v>8615</v>
      </c>
    </row>
    <row r="6052" spans="1:17" s="162" customFormat="1" ht="72" x14ac:dyDescent="0.25">
      <c r="A6052" s="199">
        <v>42093</v>
      </c>
      <c r="B6052" s="199">
        <v>42093</v>
      </c>
      <c r="C6052" s="195">
        <v>2015</v>
      </c>
      <c r="D6052" s="24" t="s">
        <v>141</v>
      </c>
      <c r="E6052" s="30" t="s">
        <v>142</v>
      </c>
      <c r="F6052" s="7" t="s">
        <v>62</v>
      </c>
      <c r="G6052" s="200" t="s">
        <v>474</v>
      </c>
      <c r="H6052" s="196" t="s">
        <v>8616</v>
      </c>
      <c r="I6052" s="202">
        <v>1</v>
      </c>
      <c r="J6052" s="210">
        <v>15</v>
      </c>
      <c r="K6052" s="203">
        <v>0</v>
      </c>
      <c r="L6052" s="203">
        <v>0</v>
      </c>
      <c r="M6052" s="203">
        <v>0</v>
      </c>
      <c r="N6052" s="203">
        <v>0</v>
      </c>
      <c r="O6052" s="203">
        <v>0</v>
      </c>
      <c r="P6052" s="211">
        <v>0.46</v>
      </c>
      <c r="Q6052" s="204" t="s">
        <v>154</v>
      </c>
    </row>
    <row r="6053" spans="1:17" s="162" customFormat="1" ht="108" x14ac:dyDescent="0.25">
      <c r="A6053" s="199">
        <v>42095</v>
      </c>
      <c r="B6053" s="199">
        <v>42095</v>
      </c>
      <c r="C6053" s="195">
        <v>2015</v>
      </c>
      <c r="D6053" s="35" t="s">
        <v>28</v>
      </c>
      <c r="E6053" s="6" t="s">
        <v>149</v>
      </c>
      <c r="F6053" s="28" t="s">
        <v>151</v>
      </c>
      <c r="G6053" s="200" t="s">
        <v>5506</v>
      </c>
      <c r="H6053" s="196" t="s">
        <v>8617</v>
      </c>
      <c r="I6053" s="202">
        <v>4</v>
      </c>
      <c r="J6053" s="210">
        <v>19</v>
      </c>
      <c r="K6053" s="203">
        <v>0</v>
      </c>
      <c r="L6053" s="203">
        <v>0</v>
      </c>
      <c r="M6053" s="203">
        <v>0</v>
      </c>
      <c r="N6053" s="203">
        <v>1</v>
      </c>
      <c r="O6053" s="203">
        <v>0</v>
      </c>
      <c r="P6053" s="211">
        <v>0</v>
      </c>
      <c r="Q6053" s="204" t="s">
        <v>154</v>
      </c>
    </row>
    <row r="6054" spans="1:17" s="162" customFormat="1" ht="96" x14ac:dyDescent="0.25">
      <c r="A6054" s="118">
        <v>42095</v>
      </c>
      <c r="B6054" s="118">
        <v>42118</v>
      </c>
      <c r="C6054" s="195">
        <v>2015</v>
      </c>
      <c r="D6054" s="351" t="s">
        <v>23</v>
      </c>
      <c r="E6054" s="22" t="s">
        <v>86</v>
      </c>
      <c r="F6054" s="7" t="s">
        <v>68</v>
      </c>
      <c r="G6054" s="146" t="s">
        <v>8618</v>
      </c>
      <c r="H6054" s="147" t="s">
        <v>8619</v>
      </c>
      <c r="I6054" s="213">
        <v>0</v>
      </c>
      <c r="J6054" s="216">
        <v>85</v>
      </c>
      <c r="K6054" s="216">
        <v>0</v>
      </c>
      <c r="L6054" s="216">
        <v>0</v>
      </c>
      <c r="M6054" s="216">
        <v>0</v>
      </c>
      <c r="N6054" s="216">
        <v>0</v>
      </c>
      <c r="O6054" s="216">
        <v>692</v>
      </c>
      <c r="P6054" s="26">
        <v>30.282</v>
      </c>
      <c r="Q6054" s="172" t="s">
        <v>4663</v>
      </c>
    </row>
    <row r="6055" spans="1:17" s="162" customFormat="1" ht="60" x14ac:dyDescent="0.25">
      <c r="A6055" s="199">
        <v>42099</v>
      </c>
      <c r="B6055" s="199">
        <v>42099</v>
      </c>
      <c r="C6055" s="195">
        <v>2015</v>
      </c>
      <c r="D6055" s="24" t="s">
        <v>141</v>
      </c>
      <c r="E6055" s="30" t="s">
        <v>142</v>
      </c>
      <c r="F6055" s="7" t="s">
        <v>72</v>
      </c>
      <c r="G6055" s="200" t="s">
        <v>8620</v>
      </c>
      <c r="H6055" s="196" t="s">
        <v>8621</v>
      </c>
      <c r="I6055" s="202">
        <v>5</v>
      </c>
      <c r="J6055" s="210">
        <v>14</v>
      </c>
      <c r="K6055" s="203">
        <v>0</v>
      </c>
      <c r="L6055" s="203">
        <v>0</v>
      </c>
      <c r="M6055" s="203">
        <v>0</v>
      </c>
      <c r="N6055" s="203">
        <v>0</v>
      </c>
      <c r="O6055" s="203">
        <v>0</v>
      </c>
      <c r="P6055" s="211">
        <v>0.04</v>
      </c>
      <c r="Q6055" s="204" t="s">
        <v>154</v>
      </c>
    </row>
    <row r="6056" spans="1:17" s="162" customFormat="1" ht="48" x14ac:dyDescent="0.25">
      <c r="A6056" s="199">
        <v>42100</v>
      </c>
      <c r="B6056" s="199">
        <v>42100</v>
      </c>
      <c r="C6056" s="195">
        <v>2015</v>
      </c>
      <c r="D6056" s="24" t="s">
        <v>141</v>
      </c>
      <c r="E6056" s="30" t="s">
        <v>142</v>
      </c>
      <c r="F6056" s="7" t="s">
        <v>87</v>
      </c>
      <c r="G6056" s="200" t="s">
        <v>3647</v>
      </c>
      <c r="H6056" s="196" t="s">
        <v>8622</v>
      </c>
      <c r="I6056" s="202">
        <v>0</v>
      </c>
      <c r="J6056" s="210">
        <v>28</v>
      </c>
      <c r="K6056" s="203">
        <v>0</v>
      </c>
      <c r="L6056" s="203">
        <v>0</v>
      </c>
      <c r="M6056" s="203">
        <v>0</v>
      </c>
      <c r="N6056" s="203">
        <v>0</v>
      </c>
      <c r="O6056" s="203">
        <v>0</v>
      </c>
      <c r="P6056" s="211">
        <v>0.42</v>
      </c>
      <c r="Q6056" s="204" t="s">
        <v>154</v>
      </c>
    </row>
    <row r="6057" spans="1:17" s="162" customFormat="1" ht="120" x14ac:dyDescent="0.25">
      <c r="A6057" s="199">
        <v>42101</v>
      </c>
      <c r="B6057" s="199">
        <v>42101</v>
      </c>
      <c r="C6057" s="195">
        <v>2015</v>
      </c>
      <c r="D6057" s="35" t="s">
        <v>28</v>
      </c>
      <c r="E6057" s="6" t="s">
        <v>149</v>
      </c>
      <c r="F6057" s="7" t="s">
        <v>68</v>
      </c>
      <c r="G6057" s="200" t="s">
        <v>752</v>
      </c>
      <c r="H6057" s="196" t="s">
        <v>8623</v>
      </c>
      <c r="I6057" s="202">
        <v>1</v>
      </c>
      <c r="J6057" s="210">
        <v>2</v>
      </c>
      <c r="K6057" s="203">
        <v>0</v>
      </c>
      <c r="L6057" s="203">
        <v>0</v>
      </c>
      <c r="M6057" s="203">
        <v>0</v>
      </c>
      <c r="N6057" s="203">
        <v>0</v>
      </c>
      <c r="O6057" s="203">
        <v>0</v>
      </c>
      <c r="P6057" s="211">
        <v>0</v>
      </c>
      <c r="Q6057" s="204" t="s">
        <v>154</v>
      </c>
    </row>
    <row r="6058" spans="1:17" s="162" customFormat="1" ht="84" x14ac:dyDescent="0.25">
      <c r="A6058" s="199">
        <v>42101</v>
      </c>
      <c r="B6058" s="199">
        <v>42101</v>
      </c>
      <c r="C6058" s="195">
        <v>2015</v>
      </c>
      <c r="D6058" s="35" t="s">
        <v>28</v>
      </c>
      <c r="E6058" s="6" t="s">
        <v>149</v>
      </c>
      <c r="F6058" s="28" t="s">
        <v>157</v>
      </c>
      <c r="G6058" s="200" t="s">
        <v>206</v>
      </c>
      <c r="H6058" s="196" t="s">
        <v>8624</v>
      </c>
      <c r="I6058" s="202">
        <v>0</v>
      </c>
      <c r="J6058" s="203">
        <v>2</v>
      </c>
      <c r="K6058" s="203">
        <v>0</v>
      </c>
      <c r="L6058" s="203">
        <v>0</v>
      </c>
      <c r="M6058" s="203">
        <v>0</v>
      </c>
      <c r="N6058" s="203">
        <v>3</v>
      </c>
      <c r="O6058" s="203">
        <v>0</v>
      </c>
      <c r="P6058" s="211">
        <v>0</v>
      </c>
      <c r="Q6058" s="204" t="s">
        <v>154</v>
      </c>
    </row>
    <row r="6059" spans="1:17" s="162" customFormat="1" ht="72" x14ac:dyDescent="0.25">
      <c r="A6059" s="2">
        <v>42106</v>
      </c>
      <c r="B6059" s="2">
        <v>42106</v>
      </c>
      <c r="C6059" s="195">
        <v>2015</v>
      </c>
      <c r="D6059" s="351" t="s">
        <v>23</v>
      </c>
      <c r="E6059" s="22" t="s">
        <v>42</v>
      </c>
      <c r="F6059" s="7" t="s">
        <v>40</v>
      </c>
      <c r="G6059" s="200" t="s">
        <v>8625</v>
      </c>
      <c r="H6059" s="212" t="s">
        <v>8626</v>
      </c>
      <c r="I6059" s="213">
        <v>0</v>
      </c>
      <c r="J6059" s="31">
        <v>10785</v>
      </c>
      <c r="K6059" s="214">
        <v>0</v>
      </c>
      <c r="L6059" s="214">
        <v>0</v>
      </c>
      <c r="M6059" s="214">
        <v>0</v>
      </c>
      <c r="N6059" s="214">
        <v>0</v>
      </c>
      <c r="O6059" s="214">
        <v>0</v>
      </c>
      <c r="P6059" s="26">
        <v>10.195</v>
      </c>
      <c r="Q6059" s="172" t="s">
        <v>186</v>
      </c>
    </row>
    <row r="6060" spans="1:17" s="162" customFormat="1" ht="60" x14ac:dyDescent="0.25">
      <c r="A6060" s="2">
        <v>42107</v>
      </c>
      <c r="B6060" s="2">
        <v>42109</v>
      </c>
      <c r="C6060" s="195">
        <v>2015</v>
      </c>
      <c r="D6060" s="351" t="s">
        <v>23</v>
      </c>
      <c r="E6060" s="215" t="s">
        <v>5893</v>
      </c>
      <c r="F6060" s="28" t="s">
        <v>210</v>
      </c>
      <c r="G6060" s="200" t="s">
        <v>8627</v>
      </c>
      <c r="H6060" s="212" t="s">
        <v>8628</v>
      </c>
      <c r="I6060" s="213">
        <v>0</v>
      </c>
      <c r="J6060" s="31">
        <v>8880</v>
      </c>
      <c r="K6060" s="214">
        <v>0</v>
      </c>
      <c r="L6060" s="214">
        <v>0</v>
      </c>
      <c r="M6060" s="214">
        <v>0</v>
      </c>
      <c r="N6060" s="214">
        <v>0</v>
      </c>
      <c r="O6060" s="214">
        <v>0</v>
      </c>
      <c r="P6060" s="26">
        <v>7.1619999999999999</v>
      </c>
      <c r="Q6060" s="172" t="s">
        <v>186</v>
      </c>
    </row>
    <row r="6061" spans="1:17" s="162" customFormat="1" ht="120" x14ac:dyDescent="0.25">
      <c r="A6061" s="199">
        <v>42108</v>
      </c>
      <c r="B6061" s="199">
        <v>42108</v>
      </c>
      <c r="C6061" s="195">
        <v>2015</v>
      </c>
      <c r="D6061" s="24" t="s">
        <v>141</v>
      </c>
      <c r="E6061" s="30" t="s">
        <v>142</v>
      </c>
      <c r="F6061" s="7" t="s">
        <v>25</v>
      </c>
      <c r="G6061" s="200" t="s">
        <v>25</v>
      </c>
      <c r="H6061" s="196" t="s">
        <v>8629</v>
      </c>
      <c r="I6061" s="202">
        <v>0</v>
      </c>
      <c r="J6061" s="210">
        <v>300</v>
      </c>
      <c r="K6061" s="203">
        <v>0</v>
      </c>
      <c r="L6061" s="203">
        <v>0</v>
      </c>
      <c r="M6061" s="203">
        <v>0</v>
      </c>
      <c r="N6061" s="203">
        <v>0</v>
      </c>
      <c r="O6061" s="203">
        <v>0</v>
      </c>
      <c r="P6061" s="211">
        <v>1.2869999999999999</v>
      </c>
      <c r="Q6061" s="204" t="s">
        <v>154</v>
      </c>
    </row>
    <row r="6062" spans="1:17" s="162" customFormat="1" ht="84" x14ac:dyDescent="0.25">
      <c r="A6062" s="199">
        <v>42108</v>
      </c>
      <c r="B6062" s="199">
        <v>42108</v>
      </c>
      <c r="C6062" s="195">
        <v>2015</v>
      </c>
      <c r="D6062" s="35" t="s">
        <v>28</v>
      </c>
      <c r="E6062" s="6" t="s">
        <v>149</v>
      </c>
      <c r="F6062" s="25" t="s">
        <v>781</v>
      </c>
      <c r="G6062" s="200" t="s">
        <v>5007</v>
      </c>
      <c r="H6062" s="196" t="s">
        <v>8630</v>
      </c>
      <c r="I6062" s="202">
        <v>0</v>
      </c>
      <c r="J6062" s="210">
        <v>0</v>
      </c>
      <c r="K6062" s="203">
        <v>0</v>
      </c>
      <c r="L6062" s="203">
        <v>0</v>
      </c>
      <c r="M6062" s="203">
        <v>0</v>
      </c>
      <c r="N6062" s="203">
        <v>1</v>
      </c>
      <c r="O6062" s="203">
        <v>0</v>
      </c>
      <c r="P6062" s="211">
        <v>0</v>
      </c>
      <c r="Q6062" s="204" t="s">
        <v>154</v>
      </c>
    </row>
    <row r="6063" spans="1:17" s="162" customFormat="1" ht="72" x14ac:dyDescent="0.25">
      <c r="A6063" s="199">
        <v>42111</v>
      </c>
      <c r="B6063" s="199">
        <v>42111</v>
      </c>
      <c r="C6063" s="195">
        <v>2015</v>
      </c>
      <c r="D6063" s="35" t="s">
        <v>28</v>
      </c>
      <c r="E6063" s="6" t="s">
        <v>149</v>
      </c>
      <c r="F6063" s="7" t="s">
        <v>58</v>
      </c>
      <c r="G6063" s="200" t="s">
        <v>1194</v>
      </c>
      <c r="H6063" s="196" t="s">
        <v>8631</v>
      </c>
      <c r="I6063" s="202">
        <v>0</v>
      </c>
      <c r="J6063" s="210">
        <v>1</v>
      </c>
      <c r="K6063" s="203">
        <v>0</v>
      </c>
      <c r="L6063" s="203">
        <v>0</v>
      </c>
      <c r="M6063" s="203">
        <v>0</v>
      </c>
      <c r="N6063" s="203">
        <v>4</v>
      </c>
      <c r="O6063" s="203">
        <v>0</v>
      </c>
      <c r="P6063" s="211">
        <v>0</v>
      </c>
      <c r="Q6063" s="204" t="s">
        <v>154</v>
      </c>
    </row>
    <row r="6064" spans="1:17" s="162" customFormat="1" ht="132" x14ac:dyDescent="0.25">
      <c r="A6064" s="199">
        <v>42113</v>
      </c>
      <c r="B6064" s="199">
        <v>42113</v>
      </c>
      <c r="C6064" s="195">
        <v>2015</v>
      </c>
      <c r="D6064" s="35" t="s">
        <v>28</v>
      </c>
      <c r="E6064" s="6" t="s">
        <v>149</v>
      </c>
      <c r="F6064" s="28" t="s">
        <v>157</v>
      </c>
      <c r="G6064" s="200" t="s">
        <v>1190</v>
      </c>
      <c r="H6064" s="196" t="s">
        <v>8632</v>
      </c>
      <c r="I6064" s="202">
        <v>0</v>
      </c>
      <c r="J6064" s="210">
        <v>6</v>
      </c>
      <c r="K6064" s="203">
        <v>0</v>
      </c>
      <c r="L6064" s="203">
        <v>0</v>
      </c>
      <c r="M6064" s="203">
        <v>0</v>
      </c>
      <c r="N6064" s="203">
        <v>1</v>
      </c>
      <c r="O6064" s="203">
        <v>0</v>
      </c>
      <c r="P6064" s="211">
        <v>0</v>
      </c>
      <c r="Q6064" s="204" t="s">
        <v>154</v>
      </c>
    </row>
    <row r="6065" spans="1:17" s="162" customFormat="1" ht="96" x14ac:dyDescent="0.25">
      <c r="A6065" s="199">
        <v>42118</v>
      </c>
      <c r="B6065" s="199">
        <v>42119</v>
      </c>
      <c r="C6065" s="195">
        <v>2015</v>
      </c>
      <c r="D6065" s="351" t="s">
        <v>23</v>
      </c>
      <c r="E6065" s="218" t="s">
        <v>323</v>
      </c>
      <c r="F6065" s="7" t="s">
        <v>91</v>
      </c>
      <c r="G6065" s="200" t="s">
        <v>8633</v>
      </c>
      <c r="H6065" s="196" t="s">
        <v>8634</v>
      </c>
      <c r="I6065" s="202">
        <v>0</v>
      </c>
      <c r="J6065" s="210">
        <v>350</v>
      </c>
      <c r="K6065" s="203">
        <v>70</v>
      </c>
      <c r="L6065" s="203">
        <v>0</v>
      </c>
      <c r="M6065" s="203">
        <v>0</v>
      </c>
      <c r="N6065" s="203">
        <v>1</v>
      </c>
      <c r="O6065" s="203">
        <v>0</v>
      </c>
      <c r="P6065" s="211">
        <v>2.3E-2</v>
      </c>
      <c r="Q6065" s="204" t="s">
        <v>154</v>
      </c>
    </row>
    <row r="6066" spans="1:17" s="162" customFormat="1" ht="96" x14ac:dyDescent="0.25">
      <c r="A6066" s="199">
        <v>42119</v>
      </c>
      <c r="B6066" s="199">
        <v>42119</v>
      </c>
      <c r="C6066" s="195">
        <v>2015</v>
      </c>
      <c r="D6066" s="35" t="s">
        <v>28</v>
      </c>
      <c r="E6066" s="30" t="s">
        <v>133</v>
      </c>
      <c r="F6066" s="7" t="s">
        <v>60</v>
      </c>
      <c r="G6066" s="200" t="s">
        <v>8635</v>
      </c>
      <c r="H6066" s="196" t="s">
        <v>8636</v>
      </c>
      <c r="I6066" s="202">
        <v>0</v>
      </c>
      <c r="J6066" s="210">
        <v>15</v>
      </c>
      <c r="K6066" s="203">
        <v>0</v>
      </c>
      <c r="L6066" s="203">
        <v>0</v>
      </c>
      <c r="M6066" s="203">
        <v>0</v>
      </c>
      <c r="N6066" s="203">
        <v>0</v>
      </c>
      <c r="O6066" s="203">
        <v>0</v>
      </c>
      <c r="P6066" s="211">
        <v>0</v>
      </c>
      <c r="Q6066" s="204" t="s">
        <v>154</v>
      </c>
    </row>
    <row r="6067" spans="1:17" s="162" customFormat="1" ht="60" x14ac:dyDescent="0.25">
      <c r="A6067" s="2">
        <v>42120</v>
      </c>
      <c r="B6067" s="2">
        <v>42120</v>
      </c>
      <c r="C6067" s="195">
        <v>2015</v>
      </c>
      <c r="D6067" s="351" t="s">
        <v>23</v>
      </c>
      <c r="E6067" s="215" t="s">
        <v>5893</v>
      </c>
      <c r="F6067" s="28" t="s">
        <v>210</v>
      </c>
      <c r="G6067" s="200" t="s">
        <v>8637</v>
      </c>
      <c r="H6067" s="212" t="s">
        <v>8638</v>
      </c>
      <c r="I6067" s="213">
        <v>0</v>
      </c>
      <c r="J6067" s="31">
        <v>973</v>
      </c>
      <c r="K6067" s="214">
        <v>0</v>
      </c>
      <c r="L6067" s="214">
        <v>0</v>
      </c>
      <c r="M6067" s="214">
        <v>0</v>
      </c>
      <c r="N6067" s="214">
        <v>0</v>
      </c>
      <c r="O6067" s="214">
        <v>0</v>
      </c>
      <c r="P6067" s="26">
        <v>1.006</v>
      </c>
      <c r="Q6067" s="172" t="s">
        <v>186</v>
      </c>
    </row>
    <row r="6068" spans="1:17" s="162" customFormat="1" ht="72" x14ac:dyDescent="0.25">
      <c r="A6068" s="2">
        <v>42122</v>
      </c>
      <c r="B6068" s="2">
        <v>42122</v>
      </c>
      <c r="C6068" s="195">
        <v>2015</v>
      </c>
      <c r="D6068" s="351" t="s">
        <v>23</v>
      </c>
      <c r="E6068" s="22" t="s">
        <v>86</v>
      </c>
      <c r="F6068" s="28" t="s">
        <v>210</v>
      </c>
      <c r="G6068" s="200" t="s">
        <v>8639</v>
      </c>
      <c r="H6068" s="212" t="s">
        <v>8640</v>
      </c>
      <c r="I6068" s="213">
        <v>0</v>
      </c>
      <c r="J6068" s="31">
        <v>10320</v>
      </c>
      <c r="K6068" s="214">
        <v>0</v>
      </c>
      <c r="L6068" s="214">
        <v>0</v>
      </c>
      <c r="M6068" s="214">
        <v>0</v>
      </c>
      <c r="N6068" s="214">
        <v>0</v>
      </c>
      <c r="O6068" s="214">
        <v>0</v>
      </c>
      <c r="P6068" s="26">
        <v>5.2409999999999997</v>
      </c>
      <c r="Q6068" s="172" t="s">
        <v>186</v>
      </c>
    </row>
    <row r="6069" spans="1:17" s="162" customFormat="1" ht="168" x14ac:dyDescent="0.25">
      <c r="A6069" s="199">
        <v>42125</v>
      </c>
      <c r="B6069" s="199">
        <v>42125</v>
      </c>
      <c r="C6069" s="195">
        <v>2015</v>
      </c>
      <c r="D6069" s="35" t="s">
        <v>28</v>
      </c>
      <c r="E6069" s="6" t="s">
        <v>149</v>
      </c>
      <c r="F6069" s="7" t="s">
        <v>30</v>
      </c>
      <c r="G6069" s="200" t="s">
        <v>395</v>
      </c>
      <c r="H6069" s="196" t="s">
        <v>8641</v>
      </c>
      <c r="I6069" s="202">
        <v>0</v>
      </c>
      <c r="J6069" s="210">
        <v>5</v>
      </c>
      <c r="K6069" s="203">
        <v>0</v>
      </c>
      <c r="L6069" s="203">
        <v>0</v>
      </c>
      <c r="M6069" s="203">
        <v>0</v>
      </c>
      <c r="N6069" s="203">
        <v>1</v>
      </c>
      <c r="O6069" s="203">
        <v>0</v>
      </c>
      <c r="P6069" s="211">
        <v>0.59199999999999997</v>
      </c>
      <c r="Q6069" s="204" t="s">
        <v>154</v>
      </c>
    </row>
    <row r="6070" spans="1:17" s="162" customFormat="1" ht="84" x14ac:dyDescent="0.25">
      <c r="A6070" s="199">
        <v>42125</v>
      </c>
      <c r="B6070" s="199">
        <v>42125</v>
      </c>
      <c r="C6070" s="195">
        <v>2015</v>
      </c>
      <c r="D6070" s="24" t="s">
        <v>141</v>
      </c>
      <c r="E6070" s="30" t="s">
        <v>142</v>
      </c>
      <c r="F6070" s="7" t="s">
        <v>53</v>
      </c>
      <c r="G6070" s="200" t="s">
        <v>1502</v>
      </c>
      <c r="H6070" s="196" t="s">
        <v>8642</v>
      </c>
      <c r="I6070" s="202">
        <v>1</v>
      </c>
      <c r="J6070" s="203">
        <v>24</v>
      </c>
      <c r="K6070" s="203">
        <v>0</v>
      </c>
      <c r="L6070" s="203">
        <v>0</v>
      </c>
      <c r="M6070" s="203">
        <v>0</v>
      </c>
      <c r="N6070" s="203">
        <v>0</v>
      </c>
      <c r="O6070" s="203">
        <v>0</v>
      </c>
      <c r="P6070" s="211">
        <v>0.42</v>
      </c>
      <c r="Q6070" s="204" t="s">
        <v>154</v>
      </c>
    </row>
    <row r="6071" spans="1:17" s="162" customFormat="1" ht="300" x14ac:dyDescent="0.25">
      <c r="A6071" s="2">
        <v>42126</v>
      </c>
      <c r="B6071" s="2">
        <v>42128</v>
      </c>
      <c r="C6071" s="195">
        <v>2015</v>
      </c>
      <c r="D6071" s="351" t="s">
        <v>23</v>
      </c>
      <c r="E6071" s="16" t="s">
        <v>8643</v>
      </c>
      <c r="F6071" s="7" t="s">
        <v>58</v>
      </c>
      <c r="G6071" s="200" t="s">
        <v>8644</v>
      </c>
      <c r="H6071" s="212" t="s">
        <v>8645</v>
      </c>
      <c r="I6071" s="213">
        <v>3</v>
      </c>
      <c r="J6071" s="31">
        <v>26719</v>
      </c>
      <c r="K6071" s="203">
        <v>695</v>
      </c>
      <c r="L6071" s="203">
        <v>4</v>
      </c>
      <c r="M6071" s="203">
        <v>0</v>
      </c>
      <c r="N6071" s="203">
        <v>645</v>
      </c>
      <c r="O6071" s="203">
        <v>0</v>
      </c>
      <c r="P6071" s="26">
        <f>0.73+12.179+26.43</f>
        <v>39.338999999999999</v>
      </c>
      <c r="Q6071" s="144" t="s">
        <v>7883</v>
      </c>
    </row>
    <row r="6072" spans="1:17" s="162" customFormat="1" ht="144" x14ac:dyDescent="0.25">
      <c r="A6072" s="2">
        <v>42126</v>
      </c>
      <c r="B6072" s="2">
        <v>42128</v>
      </c>
      <c r="C6072" s="195">
        <v>2015</v>
      </c>
      <c r="D6072" s="351" t="s">
        <v>23</v>
      </c>
      <c r="E6072" s="16" t="s">
        <v>8643</v>
      </c>
      <c r="F6072" s="7" t="s">
        <v>72</v>
      </c>
      <c r="G6072" s="200" t="s">
        <v>8646</v>
      </c>
      <c r="H6072" s="212" t="s">
        <v>8647</v>
      </c>
      <c r="I6072" s="202">
        <v>1</v>
      </c>
      <c r="J6072" s="31">
        <v>10624</v>
      </c>
      <c r="K6072" s="203">
        <v>73</v>
      </c>
      <c r="L6072" s="203">
        <v>0</v>
      </c>
      <c r="M6072" s="203">
        <v>0</v>
      </c>
      <c r="N6072" s="203">
        <v>363</v>
      </c>
      <c r="O6072" s="203">
        <v>0</v>
      </c>
      <c r="P6072" s="26">
        <f>0.077+4.1</f>
        <v>4.1769999999999996</v>
      </c>
      <c r="Q6072" s="144" t="s">
        <v>7883</v>
      </c>
    </row>
    <row r="6073" spans="1:17" s="162" customFormat="1" ht="108" x14ac:dyDescent="0.25">
      <c r="A6073" s="199">
        <v>42128</v>
      </c>
      <c r="B6073" s="199">
        <v>42128</v>
      </c>
      <c r="C6073" s="195">
        <v>2015</v>
      </c>
      <c r="D6073" s="24" t="s">
        <v>141</v>
      </c>
      <c r="E6073" s="30" t="s">
        <v>142</v>
      </c>
      <c r="F6073" s="28" t="s">
        <v>157</v>
      </c>
      <c r="G6073" s="200" t="s">
        <v>716</v>
      </c>
      <c r="H6073" s="196" t="s">
        <v>8648</v>
      </c>
      <c r="I6073" s="202">
        <v>1</v>
      </c>
      <c r="J6073" s="210">
        <v>1000</v>
      </c>
      <c r="K6073" s="203">
        <v>0</v>
      </c>
      <c r="L6073" s="203">
        <v>0</v>
      </c>
      <c r="M6073" s="203">
        <v>0</v>
      </c>
      <c r="N6073" s="203">
        <v>0</v>
      </c>
      <c r="O6073" s="203">
        <v>0</v>
      </c>
      <c r="P6073" s="211">
        <v>0.20799999999999999</v>
      </c>
      <c r="Q6073" s="204" t="s">
        <v>154</v>
      </c>
    </row>
    <row r="6074" spans="1:17" s="162" customFormat="1" ht="84" x14ac:dyDescent="0.25">
      <c r="A6074" s="199">
        <v>42131</v>
      </c>
      <c r="B6074" s="199">
        <v>42131</v>
      </c>
      <c r="C6074" s="195">
        <v>2015</v>
      </c>
      <c r="D6074" s="24" t="s">
        <v>141</v>
      </c>
      <c r="E6074" s="30" t="s">
        <v>142</v>
      </c>
      <c r="F6074" s="7" t="s">
        <v>60</v>
      </c>
      <c r="G6074" s="200" t="s">
        <v>307</v>
      </c>
      <c r="H6074" s="196" t="s">
        <v>8649</v>
      </c>
      <c r="I6074" s="202">
        <v>2</v>
      </c>
      <c r="J6074" s="210">
        <v>5</v>
      </c>
      <c r="K6074" s="203">
        <v>0</v>
      </c>
      <c r="L6074" s="203">
        <v>0</v>
      </c>
      <c r="M6074" s="203">
        <v>0</v>
      </c>
      <c r="N6074" s="203">
        <v>0</v>
      </c>
      <c r="O6074" s="203">
        <v>0</v>
      </c>
      <c r="P6074" s="211">
        <v>2.375</v>
      </c>
      <c r="Q6074" s="204" t="s">
        <v>154</v>
      </c>
    </row>
    <row r="6075" spans="1:17" s="162" customFormat="1" ht="96" x14ac:dyDescent="0.25">
      <c r="A6075" s="199">
        <v>42132</v>
      </c>
      <c r="B6075" s="199">
        <v>42133</v>
      </c>
      <c r="C6075" s="195">
        <v>2015</v>
      </c>
      <c r="D6075" s="24" t="s">
        <v>130</v>
      </c>
      <c r="E6075" s="217" t="s">
        <v>39</v>
      </c>
      <c r="F6075" s="7" t="s">
        <v>36</v>
      </c>
      <c r="G6075" s="200" t="s">
        <v>2753</v>
      </c>
      <c r="H6075" s="196" t="s">
        <v>8650</v>
      </c>
      <c r="I6075" s="202">
        <v>2</v>
      </c>
      <c r="J6075" s="210">
        <v>31</v>
      </c>
      <c r="K6075" s="203">
        <v>0</v>
      </c>
      <c r="L6075" s="203">
        <v>0</v>
      </c>
      <c r="M6075" s="203">
        <v>0</v>
      </c>
      <c r="N6075" s="203">
        <v>0</v>
      </c>
      <c r="O6075" s="203">
        <v>0</v>
      </c>
      <c r="P6075" s="211">
        <v>0</v>
      </c>
      <c r="Q6075" s="204" t="s">
        <v>154</v>
      </c>
    </row>
    <row r="6076" spans="1:17" s="162" customFormat="1" ht="72" x14ac:dyDescent="0.25">
      <c r="A6076" s="199">
        <v>42132</v>
      </c>
      <c r="B6076" s="199">
        <v>42132</v>
      </c>
      <c r="C6076" s="195">
        <v>2015</v>
      </c>
      <c r="D6076" s="351" t="s">
        <v>23</v>
      </c>
      <c r="E6076" s="217" t="s">
        <v>8643</v>
      </c>
      <c r="F6076" s="7" t="s">
        <v>36</v>
      </c>
      <c r="G6076" s="200" t="s">
        <v>232</v>
      </c>
      <c r="H6076" s="196" t="s">
        <v>8651</v>
      </c>
      <c r="I6076" s="202">
        <v>0</v>
      </c>
      <c r="J6076" s="203">
        <v>65</v>
      </c>
      <c r="K6076" s="203">
        <v>13</v>
      </c>
      <c r="L6076" s="203">
        <v>0</v>
      </c>
      <c r="M6076" s="203">
        <v>0</v>
      </c>
      <c r="N6076" s="203">
        <v>59</v>
      </c>
      <c r="O6076" s="203">
        <v>0</v>
      </c>
      <c r="P6076" s="211">
        <v>1.5</v>
      </c>
      <c r="Q6076" s="204" t="s">
        <v>154</v>
      </c>
    </row>
    <row r="6077" spans="1:17" s="162" customFormat="1" ht="72" x14ac:dyDescent="0.25">
      <c r="A6077" s="199">
        <v>42133</v>
      </c>
      <c r="B6077" s="199">
        <v>42133</v>
      </c>
      <c r="C6077" s="195">
        <v>2015</v>
      </c>
      <c r="D6077" s="35" t="s">
        <v>28</v>
      </c>
      <c r="E6077" s="6" t="s">
        <v>149</v>
      </c>
      <c r="F6077" s="7" t="s">
        <v>58</v>
      </c>
      <c r="G6077" s="200" t="s">
        <v>168</v>
      </c>
      <c r="H6077" s="196" t="s">
        <v>8652</v>
      </c>
      <c r="I6077" s="202">
        <v>0</v>
      </c>
      <c r="J6077" s="210">
        <v>500</v>
      </c>
      <c r="K6077" s="203">
        <v>0</v>
      </c>
      <c r="L6077" s="203">
        <v>0</v>
      </c>
      <c r="M6077" s="203">
        <v>1</v>
      </c>
      <c r="N6077" s="203">
        <v>0</v>
      </c>
      <c r="O6077" s="203">
        <v>0</v>
      </c>
      <c r="P6077" s="211">
        <v>0</v>
      </c>
      <c r="Q6077" s="204" t="s">
        <v>154</v>
      </c>
    </row>
    <row r="6078" spans="1:17" s="162" customFormat="1" ht="120" x14ac:dyDescent="0.25">
      <c r="A6078" s="2">
        <v>42135</v>
      </c>
      <c r="B6078" s="2">
        <v>42136</v>
      </c>
      <c r="C6078" s="195">
        <v>2015</v>
      </c>
      <c r="D6078" s="351" t="s">
        <v>23</v>
      </c>
      <c r="E6078" s="22" t="s">
        <v>86</v>
      </c>
      <c r="F6078" s="7" t="s">
        <v>91</v>
      </c>
      <c r="G6078" s="200" t="s">
        <v>8653</v>
      </c>
      <c r="H6078" s="212" t="s">
        <v>8654</v>
      </c>
      <c r="I6078" s="213">
        <v>0</v>
      </c>
      <c r="J6078" s="31">
        <v>1615</v>
      </c>
      <c r="K6078" s="203">
        <v>3</v>
      </c>
      <c r="L6078" s="203">
        <v>0</v>
      </c>
      <c r="M6078" s="203">
        <v>4</v>
      </c>
      <c r="N6078" s="203">
        <v>0</v>
      </c>
      <c r="O6078" s="203">
        <v>0</v>
      </c>
      <c r="P6078" s="26">
        <f>1.6+68.2</f>
        <v>69.8</v>
      </c>
      <c r="Q6078" s="172" t="s">
        <v>186</v>
      </c>
    </row>
    <row r="6079" spans="1:17" s="162" customFormat="1" ht="84" x14ac:dyDescent="0.25">
      <c r="A6079" s="2">
        <v>42136</v>
      </c>
      <c r="B6079" s="2">
        <v>42137</v>
      </c>
      <c r="C6079" s="195">
        <v>2015</v>
      </c>
      <c r="D6079" s="351" t="s">
        <v>23</v>
      </c>
      <c r="E6079" s="22" t="s">
        <v>86</v>
      </c>
      <c r="F6079" s="28" t="s">
        <v>210</v>
      </c>
      <c r="G6079" s="200" t="s">
        <v>8655</v>
      </c>
      <c r="H6079" s="212" t="s">
        <v>8656</v>
      </c>
      <c r="I6079" s="213">
        <v>0</v>
      </c>
      <c r="J6079" s="31">
        <v>1066</v>
      </c>
      <c r="K6079" s="203">
        <v>0</v>
      </c>
      <c r="L6079" s="203">
        <v>0</v>
      </c>
      <c r="M6079" s="203">
        <v>0</v>
      </c>
      <c r="N6079" s="203">
        <v>0</v>
      </c>
      <c r="O6079" s="203">
        <v>0</v>
      </c>
      <c r="P6079" s="26">
        <v>0.54400000000000004</v>
      </c>
      <c r="Q6079" s="172" t="s">
        <v>186</v>
      </c>
    </row>
    <row r="6080" spans="1:17" s="162" customFormat="1" ht="120" x14ac:dyDescent="0.25">
      <c r="A6080" s="118">
        <v>42136</v>
      </c>
      <c r="B6080" s="118">
        <v>42140</v>
      </c>
      <c r="C6080" s="195">
        <v>2015</v>
      </c>
      <c r="D6080" s="351" t="s">
        <v>23</v>
      </c>
      <c r="E6080" s="22" t="s">
        <v>86</v>
      </c>
      <c r="F6080" s="7" t="s">
        <v>60</v>
      </c>
      <c r="G6080" s="146" t="s">
        <v>8657</v>
      </c>
      <c r="H6080" s="147" t="s">
        <v>8658</v>
      </c>
      <c r="I6080" s="213">
        <v>0</v>
      </c>
      <c r="J6080" s="216">
        <v>1416</v>
      </c>
      <c r="K6080" s="216">
        <v>0</v>
      </c>
      <c r="L6080" s="216">
        <v>0</v>
      </c>
      <c r="M6080" s="216">
        <v>0</v>
      </c>
      <c r="N6080" s="216">
        <v>0</v>
      </c>
      <c r="O6080" s="216">
        <v>5934.57</v>
      </c>
      <c r="P6080" s="26">
        <v>321.85199999999998</v>
      </c>
      <c r="Q6080" s="172" t="s">
        <v>4663</v>
      </c>
    </row>
    <row r="6081" spans="1:17" s="162" customFormat="1" ht="72" x14ac:dyDescent="0.25">
      <c r="A6081" s="205">
        <v>42139</v>
      </c>
      <c r="B6081" s="205">
        <v>42139</v>
      </c>
      <c r="C6081" s="195">
        <v>2015</v>
      </c>
      <c r="D6081" s="351" t="s">
        <v>23</v>
      </c>
      <c r="E6081" s="14" t="s">
        <v>52</v>
      </c>
      <c r="F6081" s="7" t="s">
        <v>91</v>
      </c>
      <c r="G6081" s="200" t="s">
        <v>2315</v>
      </c>
      <c r="H6081" s="220" t="s">
        <v>8659</v>
      </c>
      <c r="I6081" s="213">
        <v>0</v>
      </c>
      <c r="J6081" s="31">
        <v>4982</v>
      </c>
      <c r="K6081" s="203">
        <v>0</v>
      </c>
      <c r="L6081" s="203">
        <v>0</v>
      </c>
      <c r="M6081" s="203">
        <v>0</v>
      </c>
      <c r="N6081" s="203">
        <v>0</v>
      </c>
      <c r="O6081" s="203">
        <v>0</v>
      </c>
      <c r="P6081" s="26">
        <v>2.6</v>
      </c>
      <c r="Q6081" s="172" t="s">
        <v>186</v>
      </c>
    </row>
    <row r="6082" spans="1:17" s="162" customFormat="1" ht="108" x14ac:dyDescent="0.25">
      <c r="A6082" s="199">
        <v>42143</v>
      </c>
      <c r="B6082" s="199">
        <v>42143</v>
      </c>
      <c r="C6082" s="195">
        <v>2015</v>
      </c>
      <c r="D6082" s="24" t="s">
        <v>141</v>
      </c>
      <c r="E6082" s="30" t="s">
        <v>142</v>
      </c>
      <c r="F6082" s="7" t="s">
        <v>82</v>
      </c>
      <c r="G6082" s="200" t="s">
        <v>8660</v>
      </c>
      <c r="H6082" s="196" t="s">
        <v>8661</v>
      </c>
      <c r="I6082" s="202">
        <v>11</v>
      </c>
      <c r="J6082" s="210">
        <v>12</v>
      </c>
      <c r="K6082" s="203">
        <v>0</v>
      </c>
      <c r="L6082" s="203">
        <v>0</v>
      </c>
      <c r="M6082" s="203">
        <v>0</v>
      </c>
      <c r="N6082" s="203">
        <v>0</v>
      </c>
      <c r="O6082" s="203">
        <v>0</v>
      </c>
      <c r="P6082" s="211">
        <v>0.32800000000000001</v>
      </c>
      <c r="Q6082" s="204" t="s">
        <v>154</v>
      </c>
    </row>
    <row r="6083" spans="1:17" s="162" customFormat="1" ht="132" x14ac:dyDescent="0.25">
      <c r="A6083" s="199">
        <v>42145</v>
      </c>
      <c r="B6083" s="199">
        <v>42146</v>
      </c>
      <c r="C6083" s="195">
        <v>2015</v>
      </c>
      <c r="D6083" s="351" t="s">
        <v>23</v>
      </c>
      <c r="E6083" s="22" t="s">
        <v>86</v>
      </c>
      <c r="F6083" s="28" t="s">
        <v>160</v>
      </c>
      <c r="G6083" s="200" t="s">
        <v>6044</v>
      </c>
      <c r="H6083" s="196" t="s">
        <v>8662</v>
      </c>
      <c r="I6083" s="202">
        <v>1</v>
      </c>
      <c r="J6083" s="210">
        <v>250</v>
      </c>
      <c r="K6083" s="203">
        <v>208</v>
      </c>
      <c r="L6083" s="203">
        <v>0</v>
      </c>
      <c r="M6083" s="203">
        <v>0</v>
      </c>
      <c r="N6083" s="203">
        <v>0</v>
      </c>
      <c r="O6083" s="203">
        <v>0</v>
      </c>
      <c r="P6083" s="211">
        <v>0.51700000000000002</v>
      </c>
      <c r="Q6083" s="204" t="s">
        <v>154</v>
      </c>
    </row>
    <row r="6084" spans="1:17" s="162" customFormat="1" ht="60" x14ac:dyDescent="0.25">
      <c r="A6084" s="48">
        <v>42145</v>
      </c>
      <c r="B6084" s="48">
        <v>42146</v>
      </c>
      <c r="C6084" s="195">
        <v>2015</v>
      </c>
      <c r="D6084" s="351" t="s">
        <v>23</v>
      </c>
      <c r="E6084" s="22" t="s">
        <v>86</v>
      </c>
      <c r="F6084" s="7" t="s">
        <v>82</v>
      </c>
      <c r="G6084" s="200" t="s">
        <v>8663</v>
      </c>
      <c r="H6084" s="220" t="s">
        <v>8664</v>
      </c>
      <c r="I6084" s="213">
        <v>0</v>
      </c>
      <c r="J6084" s="31">
        <v>7535</v>
      </c>
      <c r="K6084" s="203">
        <v>0</v>
      </c>
      <c r="L6084" s="203">
        <v>0</v>
      </c>
      <c r="M6084" s="203">
        <v>0</v>
      </c>
      <c r="N6084" s="203">
        <v>0</v>
      </c>
      <c r="O6084" s="203">
        <v>0</v>
      </c>
      <c r="P6084" s="26">
        <v>0.88200000000000001</v>
      </c>
      <c r="Q6084" s="172" t="s">
        <v>186</v>
      </c>
    </row>
    <row r="6085" spans="1:17" s="162" customFormat="1" ht="48" x14ac:dyDescent="0.25">
      <c r="A6085" s="118">
        <v>42145</v>
      </c>
      <c r="B6085" s="118">
        <v>42145</v>
      </c>
      <c r="C6085" s="195">
        <v>2015</v>
      </c>
      <c r="D6085" s="351" t="s">
        <v>23</v>
      </c>
      <c r="E6085" s="22" t="s">
        <v>86</v>
      </c>
      <c r="F6085" s="28" t="s">
        <v>160</v>
      </c>
      <c r="G6085" s="146" t="s">
        <v>8665</v>
      </c>
      <c r="H6085" s="212" t="s">
        <v>8666</v>
      </c>
      <c r="I6085" s="172">
        <v>0</v>
      </c>
      <c r="J6085" s="20" t="s">
        <v>3339</v>
      </c>
      <c r="K6085" s="20">
        <v>91</v>
      </c>
      <c r="L6085" s="20">
        <v>15</v>
      </c>
      <c r="M6085" s="20">
        <v>0</v>
      </c>
      <c r="N6085" s="20">
        <v>0</v>
      </c>
      <c r="O6085" s="20">
        <v>0</v>
      </c>
      <c r="P6085" s="26">
        <v>386.596</v>
      </c>
      <c r="Q6085" s="172" t="s">
        <v>186</v>
      </c>
    </row>
    <row r="6086" spans="1:17" s="162" customFormat="1" ht="84" x14ac:dyDescent="0.25">
      <c r="A6086" s="199">
        <v>42146</v>
      </c>
      <c r="B6086" s="199">
        <v>42146</v>
      </c>
      <c r="C6086" s="195">
        <v>2015</v>
      </c>
      <c r="D6086" s="35" t="s">
        <v>17</v>
      </c>
      <c r="E6086" s="16" t="s">
        <v>2964</v>
      </c>
      <c r="F6086" s="28" t="s">
        <v>157</v>
      </c>
      <c r="G6086" s="200" t="s">
        <v>857</v>
      </c>
      <c r="H6086" s="196" t="s">
        <v>8667</v>
      </c>
      <c r="I6086" s="202">
        <v>0</v>
      </c>
      <c r="J6086" s="210">
        <v>118</v>
      </c>
      <c r="K6086" s="203">
        <v>20</v>
      </c>
      <c r="L6086" s="203">
        <v>0</v>
      </c>
      <c r="M6086" s="203">
        <v>0</v>
      </c>
      <c r="N6086" s="203">
        <v>0</v>
      </c>
      <c r="O6086" s="203">
        <v>0</v>
      </c>
      <c r="P6086" s="211">
        <v>2.4</v>
      </c>
      <c r="Q6086" s="204" t="s">
        <v>154</v>
      </c>
    </row>
    <row r="6087" spans="1:17" s="162" customFormat="1" ht="36" x14ac:dyDescent="0.25">
      <c r="A6087" s="199">
        <v>42146</v>
      </c>
      <c r="B6087" s="199">
        <v>42146</v>
      </c>
      <c r="C6087" s="195">
        <v>2015</v>
      </c>
      <c r="D6087" s="24" t="s">
        <v>141</v>
      </c>
      <c r="E6087" s="30" t="s">
        <v>142</v>
      </c>
      <c r="F6087" s="7" t="s">
        <v>87</v>
      </c>
      <c r="G6087" s="200" t="s">
        <v>2608</v>
      </c>
      <c r="H6087" s="196" t="s">
        <v>8668</v>
      </c>
      <c r="I6087" s="202">
        <v>0</v>
      </c>
      <c r="J6087" s="210">
        <v>20</v>
      </c>
      <c r="K6087" s="203">
        <v>0</v>
      </c>
      <c r="L6087" s="203">
        <v>0</v>
      </c>
      <c r="M6087" s="203">
        <v>0</v>
      </c>
      <c r="N6087" s="203">
        <v>0</v>
      </c>
      <c r="O6087" s="203">
        <v>0</v>
      </c>
      <c r="P6087" s="211">
        <v>0.42</v>
      </c>
      <c r="Q6087" s="204" t="s">
        <v>154</v>
      </c>
    </row>
    <row r="6088" spans="1:17" s="162" customFormat="1" ht="60" x14ac:dyDescent="0.25">
      <c r="A6088" s="199">
        <v>42147</v>
      </c>
      <c r="B6088" s="199">
        <v>42147</v>
      </c>
      <c r="C6088" s="195">
        <v>2015</v>
      </c>
      <c r="D6088" s="24" t="s">
        <v>141</v>
      </c>
      <c r="E6088" s="30" t="s">
        <v>142</v>
      </c>
      <c r="F6088" s="7" t="s">
        <v>82</v>
      </c>
      <c r="G6088" s="200" t="s">
        <v>8669</v>
      </c>
      <c r="H6088" s="196" t="s">
        <v>8670</v>
      </c>
      <c r="I6088" s="202">
        <v>0</v>
      </c>
      <c r="J6088" s="210">
        <v>14</v>
      </c>
      <c r="K6088" s="203">
        <v>0</v>
      </c>
      <c r="L6088" s="203">
        <v>0</v>
      </c>
      <c r="M6088" s="203">
        <v>0</v>
      </c>
      <c r="N6088" s="203">
        <v>0</v>
      </c>
      <c r="O6088" s="203">
        <v>0</v>
      </c>
      <c r="P6088" s="211">
        <v>0.42</v>
      </c>
      <c r="Q6088" s="204" t="s">
        <v>154</v>
      </c>
    </row>
    <row r="6089" spans="1:17" s="162" customFormat="1" ht="204" x14ac:dyDescent="0.25">
      <c r="A6089" s="48">
        <v>42147</v>
      </c>
      <c r="B6089" s="48">
        <v>42148</v>
      </c>
      <c r="C6089" s="195">
        <v>2015</v>
      </c>
      <c r="D6089" s="35" t="s">
        <v>28</v>
      </c>
      <c r="E6089" s="14" t="s">
        <v>29</v>
      </c>
      <c r="F6089" s="7" t="s">
        <v>33</v>
      </c>
      <c r="G6089" s="200" t="s">
        <v>2595</v>
      </c>
      <c r="H6089" s="212" t="s">
        <v>8671</v>
      </c>
      <c r="I6089" s="213">
        <v>0</v>
      </c>
      <c r="J6089" s="31">
        <v>288</v>
      </c>
      <c r="K6089" s="203">
        <v>38</v>
      </c>
      <c r="L6089" s="203">
        <v>0</v>
      </c>
      <c r="M6089" s="203">
        <v>0</v>
      </c>
      <c r="N6089" s="203">
        <v>0</v>
      </c>
      <c r="O6089" s="203">
        <v>0</v>
      </c>
      <c r="P6089" s="221">
        <f>0.349+3.364</f>
        <v>3.7130000000000001</v>
      </c>
      <c r="Q6089" s="144" t="s">
        <v>7883</v>
      </c>
    </row>
    <row r="6090" spans="1:17" s="162" customFormat="1" ht="48" x14ac:dyDescent="0.25">
      <c r="A6090" s="199">
        <v>42148</v>
      </c>
      <c r="B6090" s="199">
        <v>42148</v>
      </c>
      <c r="C6090" s="195">
        <v>2015</v>
      </c>
      <c r="D6090" s="351" t="s">
        <v>23</v>
      </c>
      <c r="E6090" s="22" t="s">
        <v>86</v>
      </c>
      <c r="F6090" s="7" t="s">
        <v>91</v>
      </c>
      <c r="G6090" s="200" t="s">
        <v>1874</v>
      </c>
      <c r="H6090" s="196" t="s">
        <v>8672</v>
      </c>
      <c r="I6090" s="202">
        <v>0</v>
      </c>
      <c r="J6090" s="210">
        <v>0</v>
      </c>
      <c r="K6090" s="203">
        <v>0</v>
      </c>
      <c r="L6090" s="203">
        <v>0</v>
      </c>
      <c r="M6090" s="203">
        <v>0</v>
      </c>
      <c r="N6090" s="203">
        <v>0</v>
      </c>
      <c r="O6090" s="203">
        <v>0</v>
      </c>
      <c r="P6090" s="211">
        <v>0</v>
      </c>
      <c r="Q6090" s="204" t="s">
        <v>154</v>
      </c>
    </row>
    <row r="6091" spans="1:17" s="162" customFormat="1" ht="132" x14ac:dyDescent="0.25">
      <c r="A6091" s="48">
        <v>42148</v>
      </c>
      <c r="B6091" s="48">
        <v>42148</v>
      </c>
      <c r="C6091" s="195">
        <v>2015</v>
      </c>
      <c r="D6091" s="351" t="s">
        <v>23</v>
      </c>
      <c r="E6091" s="14" t="s">
        <v>52</v>
      </c>
      <c r="F6091" s="7" t="s">
        <v>91</v>
      </c>
      <c r="G6091" s="200" t="s">
        <v>1874</v>
      </c>
      <c r="H6091" s="220" t="s">
        <v>8673</v>
      </c>
      <c r="I6091" s="213">
        <v>0</v>
      </c>
      <c r="J6091" s="31">
        <v>20040</v>
      </c>
      <c r="K6091" s="203">
        <v>2</v>
      </c>
      <c r="L6091" s="203">
        <v>0</v>
      </c>
      <c r="M6091" s="203">
        <v>0</v>
      </c>
      <c r="N6091" s="203">
        <v>0</v>
      </c>
      <c r="O6091" s="203">
        <v>0</v>
      </c>
      <c r="P6091" s="26">
        <f>8.5+35</f>
        <v>43.5</v>
      </c>
      <c r="Q6091" s="144" t="s">
        <v>7883</v>
      </c>
    </row>
    <row r="6092" spans="1:17" s="162" customFormat="1" ht="409.5" x14ac:dyDescent="0.25">
      <c r="A6092" s="23">
        <v>42149</v>
      </c>
      <c r="B6092" s="23">
        <v>42153</v>
      </c>
      <c r="C6092" s="195">
        <v>2015</v>
      </c>
      <c r="D6092" s="351" t="s">
        <v>23</v>
      </c>
      <c r="E6092" s="215" t="s">
        <v>5893</v>
      </c>
      <c r="F6092" s="7" t="s">
        <v>45</v>
      </c>
      <c r="G6092" s="146" t="s">
        <v>6313</v>
      </c>
      <c r="H6092" s="147" t="s">
        <v>8674</v>
      </c>
      <c r="I6092" s="213">
        <v>14</v>
      </c>
      <c r="J6092" s="20">
        <v>6500</v>
      </c>
      <c r="K6092" s="20">
        <v>1800</v>
      </c>
      <c r="L6092" s="214">
        <v>3</v>
      </c>
      <c r="M6092" s="214">
        <v>0</v>
      </c>
      <c r="N6092" s="214">
        <v>44</v>
      </c>
      <c r="O6092" s="214">
        <v>0</v>
      </c>
      <c r="P6092" s="26">
        <v>250.6</v>
      </c>
      <c r="Q6092" s="172" t="s">
        <v>5944</v>
      </c>
    </row>
    <row r="6093" spans="1:17" s="162" customFormat="1" ht="84" x14ac:dyDescent="0.25">
      <c r="A6093" s="199">
        <v>42150</v>
      </c>
      <c r="B6093" s="199">
        <v>42150</v>
      </c>
      <c r="C6093" s="195">
        <v>2015</v>
      </c>
      <c r="D6093" s="351" t="s">
        <v>23</v>
      </c>
      <c r="E6093" s="215" t="s">
        <v>5893</v>
      </c>
      <c r="F6093" s="7" t="s">
        <v>45</v>
      </c>
      <c r="G6093" s="200" t="s">
        <v>259</v>
      </c>
      <c r="H6093" s="196" t="s">
        <v>8675</v>
      </c>
      <c r="I6093" s="202">
        <v>1</v>
      </c>
      <c r="J6093" s="210">
        <v>15</v>
      </c>
      <c r="K6093" s="203">
        <v>0</v>
      </c>
      <c r="L6093" s="203">
        <v>1</v>
      </c>
      <c r="M6093" s="203">
        <v>0</v>
      </c>
      <c r="N6093" s="203">
        <v>0</v>
      </c>
      <c r="O6093" s="203">
        <v>0</v>
      </c>
      <c r="P6093" s="211">
        <v>0</v>
      </c>
      <c r="Q6093" s="204" t="s">
        <v>154</v>
      </c>
    </row>
    <row r="6094" spans="1:17" s="162" customFormat="1" ht="72" x14ac:dyDescent="0.25">
      <c r="A6094" s="48">
        <v>42150</v>
      </c>
      <c r="B6094" s="48">
        <v>42150</v>
      </c>
      <c r="C6094" s="195">
        <v>2015</v>
      </c>
      <c r="D6094" s="351" t="s">
        <v>23</v>
      </c>
      <c r="E6094" s="215" t="s">
        <v>5893</v>
      </c>
      <c r="F6094" s="28" t="s">
        <v>210</v>
      </c>
      <c r="G6094" s="200" t="s">
        <v>8676</v>
      </c>
      <c r="H6094" s="220" t="s">
        <v>8677</v>
      </c>
      <c r="I6094" s="213">
        <v>0</v>
      </c>
      <c r="J6094" s="31">
        <v>4355</v>
      </c>
      <c r="K6094" s="203">
        <v>0</v>
      </c>
      <c r="L6094" s="203">
        <v>0</v>
      </c>
      <c r="M6094" s="203">
        <v>0</v>
      </c>
      <c r="N6094" s="203">
        <v>0</v>
      </c>
      <c r="O6094" s="203">
        <v>0</v>
      </c>
      <c r="P6094" s="26">
        <v>6.68</v>
      </c>
      <c r="Q6094" s="172" t="s">
        <v>186</v>
      </c>
    </row>
    <row r="6095" spans="1:17" s="162" customFormat="1" ht="84" x14ac:dyDescent="0.25">
      <c r="A6095" s="199">
        <v>42151</v>
      </c>
      <c r="B6095" s="199">
        <v>42151</v>
      </c>
      <c r="C6095" s="195">
        <v>2015</v>
      </c>
      <c r="D6095" s="35" t="s">
        <v>28</v>
      </c>
      <c r="E6095" s="30" t="s">
        <v>125</v>
      </c>
      <c r="F6095" s="7" t="s">
        <v>56</v>
      </c>
      <c r="G6095" s="200" t="s">
        <v>1160</v>
      </c>
      <c r="H6095" s="196" t="s">
        <v>8678</v>
      </c>
      <c r="I6095" s="202">
        <v>0</v>
      </c>
      <c r="J6095" s="210">
        <v>19</v>
      </c>
      <c r="K6095" s="203">
        <v>0</v>
      </c>
      <c r="L6095" s="203">
        <v>0</v>
      </c>
      <c r="M6095" s="203">
        <v>0</v>
      </c>
      <c r="N6095" s="203">
        <v>0</v>
      </c>
      <c r="O6095" s="203">
        <v>0</v>
      </c>
      <c r="P6095" s="211">
        <v>0</v>
      </c>
      <c r="Q6095" s="204" t="s">
        <v>154</v>
      </c>
    </row>
    <row r="6096" spans="1:17" s="162" customFormat="1" ht="84" x14ac:dyDescent="0.25">
      <c r="A6096" s="199">
        <v>42153</v>
      </c>
      <c r="B6096" s="199">
        <v>42153</v>
      </c>
      <c r="C6096" s="195">
        <v>2015</v>
      </c>
      <c r="D6096" s="351" t="s">
        <v>23</v>
      </c>
      <c r="E6096" s="22" t="s">
        <v>86</v>
      </c>
      <c r="F6096" s="28" t="s">
        <v>160</v>
      </c>
      <c r="G6096" s="200" t="s">
        <v>8679</v>
      </c>
      <c r="H6096" s="196" t="s">
        <v>8680</v>
      </c>
      <c r="I6096" s="202">
        <v>0</v>
      </c>
      <c r="J6096" s="210">
        <v>31</v>
      </c>
      <c r="K6096" s="203">
        <v>23</v>
      </c>
      <c r="L6096" s="203">
        <v>0</v>
      </c>
      <c r="M6096" s="203">
        <v>0</v>
      </c>
      <c r="N6096" s="203">
        <v>0</v>
      </c>
      <c r="O6096" s="203">
        <v>0</v>
      </c>
      <c r="P6096" s="211">
        <v>0.38100000000000001</v>
      </c>
      <c r="Q6096" s="204" t="s">
        <v>154</v>
      </c>
    </row>
    <row r="6097" spans="1:17" s="162" customFormat="1" ht="48" x14ac:dyDescent="0.25">
      <c r="A6097" s="199">
        <v>42155</v>
      </c>
      <c r="B6097" s="199">
        <v>42155</v>
      </c>
      <c r="C6097" s="195">
        <v>2015</v>
      </c>
      <c r="D6097" s="24" t="s">
        <v>141</v>
      </c>
      <c r="E6097" s="30" t="s">
        <v>142</v>
      </c>
      <c r="F6097" s="7" t="s">
        <v>68</v>
      </c>
      <c r="G6097" s="200" t="s">
        <v>1121</v>
      </c>
      <c r="H6097" s="196" t="s">
        <v>8681</v>
      </c>
      <c r="I6097" s="202">
        <v>6</v>
      </c>
      <c r="J6097" s="210">
        <v>7</v>
      </c>
      <c r="K6097" s="203">
        <v>0</v>
      </c>
      <c r="L6097" s="203">
        <v>0</v>
      </c>
      <c r="M6097" s="203">
        <v>0</v>
      </c>
      <c r="N6097" s="203">
        <v>0</v>
      </c>
      <c r="O6097" s="203">
        <v>0</v>
      </c>
      <c r="P6097" s="211">
        <v>0.32800000000000001</v>
      </c>
      <c r="Q6097" s="204" t="s">
        <v>154</v>
      </c>
    </row>
    <row r="6098" spans="1:17" s="162" customFormat="1" ht="72" x14ac:dyDescent="0.25">
      <c r="A6098" s="199">
        <v>42156</v>
      </c>
      <c r="B6098" s="199">
        <v>42156</v>
      </c>
      <c r="C6098" s="195">
        <v>2015</v>
      </c>
      <c r="D6098" s="24" t="s">
        <v>141</v>
      </c>
      <c r="E6098" s="30" t="s">
        <v>142</v>
      </c>
      <c r="F6098" s="7" t="s">
        <v>75</v>
      </c>
      <c r="G6098" s="200" t="s">
        <v>8682</v>
      </c>
      <c r="H6098" s="196" t="s">
        <v>8683</v>
      </c>
      <c r="I6098" s="202">
        <v>12</v>
      </c>
      <c r="J6098" s="210">
        <v>46</v>
      </c>
      <c r="K6098" s="203">
        <v>0</v>
      </c>
      <c r="L6098" s="203">
        <v>0</v>
      </c>
      <c r="M6098" s="203">
        <v>0</v>
      </c>
      <c r="N6098" s="203">
        <v>0</v>
      </c>
      <c r="O6098" s="203">
        <v>0</v>
      </c>
      <c r="P6098" s="211">
        <v>0.42</v>
      </c>
      <c r="Q6098" s="204" t="s">
        <v>154</v>
      </c>
    </row>
    <row r="6099" spans="1:17" s="162" customFormat="1" ht="96" x14ac:dyDescent="0.25">
      <c r="A6099" s="199">
        <v>42156</v>
      </c>
      <c r="B6099" s="199">
        <v>42156</v>
      </c>
      <c r="C6099" s="195">
        <v>2015</v>
      </c>
      <c r="D6099" s="35" t="s">
        <v>28</v>
      </c>
      <c r="E6099" s="30" t="s">
        <v>133</v>
      </c>
      <c r="F6099" s="7" t="s">
        <v>56</v>
      </c>
      <c r="G6099" s="200" t="s">
        <v>8684</v>
      </c>
      <c r="H6099" s="196" t="s">
        <v>8685</v>
      </c>
      <c r="I6099" s="202">
        <v>0</v>
      </c>
      <c r="J6099" s="210">
        <v>3</v>
      </c>
      <c r="K6099" s="203">
        <v>1</v>
      </c>
      <c r="L6099" s="203">
        <v>0</v>
      </c>
      <c r="M6099" s="203">
        <v>0</v>
      </c>
      <c r="N6099" s="203">
        <v>0</v>
      </c>
      <c r="O6099" s="203">
        <v>0</v>
      </c>
      <c r="P6099" s="211">
        <v>0.12</v>
      </c>
      <c r="Q6099" s="204" t="s">
        <v>154</v>
      </c>
    </row>
    <row r="6100" spans="1:17" s="162" customFormat="1" ht="72" x14ac:dyDescent="0.25">
      <c r="A6100" s="118">
        <v>42156</v>
      </c>
      <c r="B6100" s="118">
        <v>42247</v>
      </c>
      <c r="C6100" s="195">
        <v>2015</v>
      </c>
      <c r="D6100" s="351" t="s">
        <v>23</v>
      </c>
      <c r="E6100" s="14" t="s">
        <v>24</v>
      </c>
      <c r="F6100" s="7" t="s">
        <v>58</v>
      </c>
      <c r="G6100" s="146" t="s">
        <v>8686</v>
      </c>
      <c r="H6100" s="147" t="s">
        <v>8687</v>
      </c>
      <c r="I6100" s="213">
        <v>0</v>
      </c>
      <c r="J6100" s="216">
        <v>8221</v>
      </c>
      <c r="K6100" s="216">
        <v>0</v>
      </c>
      <c r="L6100" s="216">
        <v>0</v>
      </c>
      <c r="M6100" s="216">
        <v>0</v>
      </c>
      <c r="N6100" s="216">
        <v>0</v>
      </c>
      <c r="O6100" s="216">
        <v>17022</v>
      </c>
      <c r="P6100" s="26">
        <v>426.42899999999997</v>
      </c>
      <c r="Q6100" s="172" t="s">
        <v>4663</v>
      </c>
    </row>
    <row r="6101" spans="1:17" s="162" customFormat="1" ht="72" x14ac:dyDescent="0.25">
      <c r="A6101" s="199">
        <v>42157</v>
      </c>
      <c r="B6101" s="199">
        <v>42157</v>
      </c>
      <c r="C6101" s="195">
        <v>2015</v>
      </c>
      <c r="D6101" s="24" t="s">
        <v>141</v>
      </c>
      <c r="E6101" s="30" t="s">
        <v>142</v>
      </c>
      <c r="F6101" s="7" t="s">
        <v>77</v>
      </c>
      <c r="G6101" s="200" t="s">
        <v>4341</v>
      </c>
      <c r="H6101" s="196" t="s">
        <v>8688</v>
      </c>
      <c r="I6101" s="202">
        <v>5</v>
      </c>
      <c r="J6101" s="210">
        <v>5</v>
      </c>
      <c r="K6101" s="203">
        <v>0</v>
      </c>
      <c r="L6101" s="203">
        <v>0</v>
      </c>
      <c r="M6101" s="203">
        <v>0</v>
      </c>
      <c r="N6101" s="203">
        <v>0</v>
      </c>
      <c r="O6101" s="203">
        <v>0</v>
      </c>
      <c r="P6101" s="211">
        <v>2.375</v>
      </c>
      <c r="Q6101" s="204" t="s">
        <v>154</v>
      </c>
    </row>
    <row r="6102" spans="1:17" s="162" customFormat="1" ht="84" x14ac:dyDescent="0.25">
      <c r="A6102" s="199">
        <v>42160</v>
      </c>
      <c r="B6102" s="199">
        <v>42160</v>
      </c>
      <c r="C6102" s="195">
        <v>2015</v>
      </c>
      <c r="D6102" s="24" t="s">
        <v>141</v>
      </c>
      <c r="E6102" s="6" t="s">
        <v>333</v>
      </c>
      <c r="F6102" s="7" t="s">
        <v>45</v>
      </c>
      <c r="G6102" s="200" t="s">
        <v>1820</v>
      </c>
      <c r="H6102" s="196" t="s">
        <v>8689</v>
      </c>
      <c r="I6102" s="202">
        <v>2</v>
      </c>
      <c r="J6102" s="210">
        <v>2</v>
      </c>
      <c r="K6102" s="203">
        <v>0</v>
      </c>
      <c r="L6102" s="203">
        <v>0</v>
      </c>
      <c r="M6102" s="203">
        <v>0</v>
      </c>
      <c r="N6102" s="203">
        <v>0</v>
      </c>
      <c r="O6102" s="203">
        <v>0</v>
      </c>
      <c r="P6102" s="211">
        <v>0</v>
      </c>
      <c r="Q6102" s="204" t="s">
        <v>154</v>
      </c>
    </row>
    <row r="6103" spans="1:17" s="162" customFormat="1" ht="36" x14ac:dyDescent="0.25">
      <c r="A6103" s="118">
        <v>42162</v>
      </c>
      <c r="B6103" s="118">
        <v>42162</v>
      </c>
      <c r="C6103" s="195">
        <v>2015</v>
      </c>
      <c r="D6103" s="351" t="s">
        <v>23</v>
      </c>
      <c r="E6103" s="14" t="s">
        <v>32</v>
      </c>
      <c r="F6103" s="7" t="s">
        <v>47</v>
      </c>
      <c r="G6103" s="146" t="s">
        <v>8690</v>
      </c>
      <c r="H6103" s="147" t="s">
        <v>8691</v>
      </c>
      <c r="I6103" s="172">
        <v>0</v>
      </c>
      <c r="J6103" s="20" t="s">
        <v>3339</v>
      </c>
      <c r="K6103" s="210">
        <v>0</v>
      </c>
      <c r="L6103" s="210">
        <v>0</v>
      </c>
      <c r="M6103" s="210">
        <v>0</v>
      </c>
      <c r="N6103" s="210">
        <v>0</v>
      </c>
      <c r="O6103" s="210">
        <v>0</v>
      </c>
      <c r="P6103" s="26">
        <v>17.919</v>
      </c>
      <c r="Q6103" s="172" t="s">
        <v>186</v>
      </c>
    </row>
    <row r="6104" spans="1:17" s="162" customFormat="1" ht="132" x14ac:dyDescent="0.25">
      <c r="A6104" s="48">
        <v>42166</v>
      </c>
      <c r="B6104" s="48">
        <v>42169</v>
      </c>
      <c r="C6104" s="195">
        <v>2015</v>
      </c>
      <c r="D6104" s="351" t="s">
        <v>23</v>
      </c>
      <c r="E6104" s="14" t="s">
        <v>52</v>
      </c>
      <c r="F6104" s="28" t="s">
        <v>210</v>
      </c>
      <c r="G6104" s="33" t="s">
        <v>8692</v>
      </c>
      <c r="H6104" s="220" t="s">
        <v>8693</v>
      </c>
      <c r="I6104" s="213">
        <v>0</v>
      </c>
      <c r="J6104" s="31">
        <v>2571</v>
      </c>
      <c r="K6104" s="203">
        <v>18</v>
      </c>
      <c r="L6104" s="203">
        <v>4</v>
      </c>
      <c r="M6104" s="203">
        <v>0</v>
      </c>
      <c r="N6104" s="203">
        <v>0</v>
      </c>
      <c r="O6104" s="203">
        <v>0</v>
      </c>
      <c r="P6104" s="26">
        <f>3.943+139.6</f>
        <v>143.54300000000001</v>
      </c>
      <c r="Q6104" s="172" t="s">
        <v>186</v>
      </c>
    </row>
    <row r="6105" spans="1:17" s="162" customFormat="1" ht="156" x14ac:dyDescent="0.25">
      <c r="A6105" s="205">
        <v>42168</v>
      </c>
      <c r="B6105" s="205">
        <v>42169</v>
      </c>
      <c r="C6105" s="195">
        <v>2015</v>
      </c>
      <c r="D6105" s="351" t="s">
        <v>23</v>
      </c>
      <c r="E6105" s="22" t="s">
        <v>86</v>
      </c>
      <c r="F6105" s="7" t="s">
        <v>80</v>
      </c>
      <c r="G6105" s="200" t="s">
        <v>8694</v>
      </c>
      <c r="H6105" s="220" t="s">
        <v>8695</v>
      </c>
      <c r="I6105" s="222">
        <v>0</v>
      </c>
      <c r="J6105" s="31">
        <v>52908</v>
      </c>
      <c r="K6105" s="203">
        <v>0</v>
      </c>
      <c r="L6105" s="203">
        <v>1</v>
      </c>
      <c r="M6105" s="203">
        <v>25</v>
      </c>
      <c r="N6105" s="203">
        <v>0</v>
      </c>
      <c r="O6105" s="203">
        <v>0</v>
      </c>
      <c r="P6105" s="223">
        <f>56.901+586.051</f>
        <v>642.952</v>
      </c>
      <c r="Q6105" s="204" t="s">
        <v>186</v>
      </c>
    </row>
    <row r="6106" spans="1:17" s="162" customFormat="1" ht="108" x14ac:dyDescent="0.25">
      <c r="A6106" s="199">
        <v>42169</v>
      </c>
      <c r="B6106" s="199">
        <v>42169</v>
      </c>
      <c r="C6106" s="195">
        <v>2015</v>
      </c>
      <c r="D6106" s="35" t="s">
        <v>17</v>
      </c>
      <c r="E6106" s="217" t="s">
        <v>1597</v>
      </c>
      <c r="F6106" s="28" t="s">
        <v>210</v>
      </c>
      <c r="G6106" s="200" t="s">
        <v>893</v>
      </c>
      <c r="H6106" s="196" t="s">
        <v>8696</v>
      </c>
      <c r="I6106" s="202">
        <v>0</v>
      </c>
      <c r="J6106" s="210">
        <v>70</v>
      </c>
      <c r="K6106" s="203">
        <v>0</v>
      </c>
      <c r="L6106" s="203">
        <v>0</v>
      </c>
      <c r="M6106" s="203">
        <v>0</v>
      </c>
      <c r="N6106" s="203">
        <v>0</v>
      </c>
      <c r="O6106" s="203">
        <v>0</v>
      </c>
      <c r="P6106" s="211">
        <v>0</v>
      </c>
      <c r="Q6106" s="204" t="s">
        <v>154</v>
      </c>
    </row>
    <row r="6107" spans="1:17" s="162" customFormat="1" ht="132" x14ac:dyDescent="0.25">
      <c r="A6107" s="199">
        <v>42173</v>
      </c>
      <c r="B6107" s="199">
        <v>42173</v>
      </c>
      <c r="C6107" s="195">
        <v>2015</v>
      </c>
      <c r="D6107" s="24" t="s">
        <v>141</v>
      </c>
      <c r="E6107" s="30" t="s">
        <v>142</v>
      </c>
      <c r="F6107" s="25" t="s">
        <v>781</v>
      </c>
      <c r="G6107" s="200" t="s">
        <v>1580</v>
      </c>
      <c r="H6107" s="196" t="s">
        <v>8697</v>
      </c>
      <c r="I6107" s="202">
        <v>0</v>
      </c>
      <c r="J6107" s="210">
        <v>1</v>
      </c>
      <c r="K6107" s="203">
        <v>0</v>
      </c>
      <c r="L6107" s="203">
        <v>0</v>
      </c>
      <c r="M6107" s="203">
        <v>0</v>
      </c>
      <c r="N6107" s="203">
        <v>0</v>
      </c>
      <c r="O6107" s="203">
        <v>0</v>
      </c>
      <c r="P6107" s="211">
        <v>0.89700000000000002</v>
      </c>
      <c r="Q6107" s="204" t="s">
        <v>154</v>
      </c>
    </row>
    <row r="6108" spans="1:17" s="162" customFormat="1" ht="180" x14ac:dyDescent="0.25">
      <c r="A6108" s="48">
        <v>42173</v>
      </c>
      <c r="B6108" s="48">
        <v>42175</v>
      </c>
      <c r="C6108" s="195">
        <v>2015</v>
      </c>
      <c r="D6108" s="351" t="s">
        <v>23</v>
      </c>
      <c r="E6108" s="14" t="s">
        <v>52</v>
      </c>
      <c r="F6108" s="7" t="s">
        <v>101</v>
      </c>
      <c r="G6108" s="33" t="s">
        <v>8698</v>
      </c>
      <c r="H6108" s="220" t="s">
        <v>8699</v>
      </c>
      <c r="I6108" s="213">
        <v>0</v>
      </c>
      <c r="J6108" s="31">
        <v>8338</v>
      </c>
      <c r="K6108" s="203">
        <v>251</v>
      </c>
      <c r="L6108" s="203">
        <v>0</v>
      </c>
      <c r="M6108" s="203">
        <v>0</v>
      </c>
      <c r="N6108" s="203">
        <v>0</v>
      </c>
      <c r="O6108" s="203">
        <v>0</v>
      </c>
      <c r="P6108" s="26">
        <f>10.088+0.353</f>
        <v>10.440999999999999</v>
      </c>
      <c r="Q6108" s="144" t="s">
        <v>7883</v>
      </c>
    </row>
    <row r="6109" spans="1:17" s="162" customFormat="1" ht="60" x14ac:dyDescent="0.25">
      <c r="A6109" s="199">
        <v>42175</v>
      </c>
      <c r="B6109" s="199">
        <v>42186</v>
      </c>
      <c r="C6109" s="195">
        <v>2015</v>
      </c>
      <c r="D6109" s="35" t="s">
        <v>28</v>
      </c>
      <c r="E6109" s="14" t="s">
        <v>29</v>
      </c>
      <c r="F6109" s="7" t="s">
        <v>30</v>
      </c>
      <c r="G6109" s="200" t="s">
        <v>395</v>
      </c>
      <c r="H6109" s="196" t="s">
        <v>8700</v>
      </c>
      <c r="I6109" s="202">
        <v>0</v>
      </c>
      <c r="J6109" s="210">
        <v>0</v>
      </c>
      <c r="K6109" s="203">
        <v>1</v>
      </c>
      <c r="L6109" s="203">
        <v>0</v>
      </c>
      <c r="M6109" s="203">
        <v>0</v>
      </c>
      <c r="N6109" s="203">
        <v>0</v>
      </c>
      <c r="O6109" s="203">
        <v>0</v>
      </c>
      <c r="P6109" s="211">
        <v>0.12</v>
      </c>
      <c r="Q6109" s="204" t="s">
        <v>154</v>
      </c>
    </row>
    <row r="6110" spans="1:17" s="162" customFormat="1" ht="96" x14ac:dyDescent="0.25">
      <c r="A6110" s="199">
        <v>42175</v>
      </c>
      <c r="B6110" s="199">
        <v>42176</v>
      </c>
      <c r="C6110" s="195">
        <v>2015</v>
      </c>
      <c r="D6110" s="351" t="s">
        <v>23</v>
      </c>
      <c r="E6110" s="22" t="s">
        <v>86</v>
      </c>
      <c r="F6110" s="7" t="s">
        <v>72</v>
      </c>
      <c r="G6110" s="200" t="s">
        <v>8701</v>
      </c>
      <c r="H6110" s="196" t="s">
        <v>8702</v>
      </c>
      <c r="I6110" s="202">
        <v>0</v>
      </c>
      <c r="J6110" s="210">
        <f>50*5</f>
        <v>250</v>
      </c>
      <c r="K6110" s="203">
        <v>50</v>
      </c>
      <c r="L6110" s="203">
        <v>0</v>
      </c>
      <c r="M6110" s="203">
        <v>0</v>
      </c>
      <c r="N6110" s="203">
        <v>0</v>
      </c>
      <c r="O6110" s="203">
        <v>0</v>
      </c>
      <c r="P6110" s="211">
        <v>1.6E-2</v>
      </c>
      <c r="Q6110" s="204" t="s">
        <v>154</v>
      </c>
    </row>
    <row r="6111" spans="1:17" s="162" customFormat="1" ht="48" x14ac:dyDescent="0.25">
      <c r="A6111" s="199">
        <v>42175</v>
      </c>
      <c r="B6111" s="199">
        <v>42175</v>
      </c>
      <c r="C6111" s="195">
        <v>2015</v>
      </c>
      <c r="D6111" s="24" t="s">
        <v>141</v>
      </c>
      <c r="E6111" s="30" t="s">
        <v>142</v>
      </c>
      <c r="F6111" s="28" t="s">
        <v>157</v>
      </c>
      <c r="G6111" s="200" t="s">
        <v>1190</v>
      </c>
      <c r="H6111" s="196" t="s">
        <v>8703</v>
      </c>
      <c r="I6111" s="202">
        <v>0</v>
      </c>
      <c r="J6111" s="210">
        <v>2</v>
      </c>
      <c r="K6111" s="203">
        <v>0</v>
      </c>
      <c r="L6111" s="203">
        <v>0</v>
      </c>
      <c r="M6111" s="203">
        <v>0</v>
      </c>
      <c r="N6111" s="203">
        <v>0</v>
      </c>
      <c r="O6111" s="203">
        <v>0</v>
      </c>
      <c r="P6111" s="211">
        <v>7.9000000000000001E-2</v>
      </c>
      <c r="Q6111" s="204" t="s">
        <v>154</v>
      </c>
    </row>
    <row r="6112" spans="1:17" s="162" customFormat="1" ht="84" x14ac:dyDescent="0.25">
      <c r="A6112" s="199">
        <v>42177</v>
      </c>
      <c r="B6112" s="199">
        <v>42177</v>
      </c>
      <c r="C6112" s="195">
        <v>2015</v>
      </c>
      <c r="D6112" s="35" t="s">
        <v>17</v>
      </c>
      <c r="E6112" s="217" t="s">
        <v>1597</v>
      </c>
      <c r="F6112" s="7" t="s">
        <v>82</v>
      </c>
      <c r="G6112" s="200" t="s">
        <v>5433</v>
      </c>
      <c r="H6112" s="196" t="s">
        <v>8704</v>
      </c>
      <c r="I6112" s="202">
        <v>1</v>
      </c>
      <c r="J6112" s="210">
        <v>452</v>
      </c>
      <c r="K6112" s="203">
        <v>1</v>
      </c>
      <c r="L6112" s="203">
        <v>0</v>
      </c>
      <c r="M6112" s="203">
        <v>0</v>
      </c>
      <c r="N6112" s="203">
        <v>0</v>
      </c>
      <c r="O6112" s="203">
        <v>0</v>
      </c>
      <c r="P6112" s="211">
        <v>0.12</v>
      </c>
      <c r="Q6112" s="204" t="s">
        <v>154</v>
      </c>
    </row>
    <row r="6113" spans="1:17" s="162" customFormat="1" ht="120" x14ac:dyDescent="0.25">
      <c r="A6113" s="199">
        <v>42178</v>
      </c>
      <c r="B6113" s="199">
        <v>42178</v>
      </c>
      <c r="C6113" s="195">
        <v>2015</v>
      </c>
      <c r="D6113" s="351" t="s">
        <v>23</v>
      </c>
      <c r="E6113" s="22" t="s">
        <v>86</v>
      </c>
      <c r="F6113" s="7" t="s">
        <v>60</v>
      </c>
      <c r="G6113" s="200" t="s">
        <v>8705</v>
      </c>
      <c r="H6113" s="196" t="s">
        <v>8706</v>
      </c>
      <c r="I6113" s="202">
        <v>1</v>
      </c>
      <c r="J6113" s="210">
        <v>1116</v>
      </c>
      <c r="K6113" s="203">
        <v>292</v>
      </c>
      <c r="L6113" s="203">
        <v>1</v>
      </c>
      <c r="M6113" s="203">
        <v>0</v>
      </c>
      <c r="N6113" s="203">
        <v>1</v>
      </c>
      <c r="O6113" s="203">
        <v>0</v>
      </c>
      <c r="P6113" s="211">
        <v>0.307</v>
      </c>
      <c r="Q6113" s="204" t="s">
        <v>154</v>
      </c>
    </row>
    <row r="6114" spans="1:17" s="162" customFormat="1" ht="96" x14ac:dyDescent="0.25">
      <c r="A6114" s="199">
        <v>42178</v>
      </c>
      <c r="B6114" s="199">
        <v>42178</v>
      </c>
      <c r="C6114" s="195">
        <v>2015</v>
      </c>
      <c r="D6114" s="35" t="s">
        <v>28</v>
      </c>
      <c r="E6114" s="6" t="s">
        <v>149</v>
      </c>
      <c r="F6114" s="7" t="s">
        <v>30</v>
      </c>
      <c r="G6114" s="200" t="s">
        <v>901</v>
      </c>
      <c r="H6114" s="196" t="s">
        <v>8707</v>
      </c>
      <c r="I6114" s="202">
        <v>18</v>
      </c>
      <c r="J6114" s="210">
        <f>17+5+23</f>
        <v>45</v>
      </c>
      <c r="K6114" s="203">
        <v>0</v>
      </c>
      <c r="L6114" s="203">
        <v>0</v>
      </c>
      <c r="M6114" s="203">
        <v>0</v>
      </c>
      <c r="N6114" s="203">
        <v>1</v>
      </c>
      <c r="O6114" s="203">
        <v>0</v>
      </c>
      <c r="P6114" s="211">
        <v>0</v>
      </c>
      <c r="Q6114" s="204" t="s">
        <v>154</v>
      </c>
    </row>
    <row r="6115" spans="1:17" s="162" customFormat="1" ht="84" x14ac:dyDescent="0.25">
      <c r="A6115" s="199">
        <v>42178</v>
      </c>
      <c r="B6115" s="199">
        <v>42178</v>
      </c>
      <c r="C6115" s="195">
        <v>2015</v>
      </c>
      <c r="D6115" s="24" t="s">
        <v>141</v>
      </c>
      <c r="E6115" s="30" t="s">
        <v>142</v>
      </c>
      <c r="F6115" s="7" t="s">
        <v>97</v>
      </c>
      <c r="G6115" s="200" t="s">
        <v>8708</v>
      </c>
      <c r="H6115" s="196" t="s">
        <v>8709</v>
      </c>
      <c r="I6115" s="202">
        <v>0</v>
      </c>
      <c r="J6115" s="210">
        <v>17</v>
      </c>
      <c r="K6115" s="203">
        <v>0</v>
      </c>
      <c r="L6115" s="203">
        <v>0</v>
      </c>
      <c r="M6115" s="203">
        <v>0</v>
      </c>
      <c r="N6115" s="203">
        <v>0</v>
      </c>
      <c r="O6115" s="203">
        <v>0</v>
      </c>
      <c r="P6115" s="211">
        <v>0.42</v>
      </c>
      <c r="Q6115" s="204" t="s">
        <v>154</v>
      </c>
    </row>
    <row r="6116" spans="1:17" s="162" customFormat="1" ht="84" x14ac:dyDescent="0.25">
      <c r="A6116" s="48">
        <v>42178</v>
      </c>
      <c r="B6116" s="48">
        <v>42178</v>
      </c>
      <c r="C6116" s="195">
        <v>2015</v>
      </c>
      <c r="D6116" s="351" t="s">
        <v>23</v>
      </c>
      <c r="E6116" s="14" t="s">
        <v>52</v>
      </c>
      <c r="F6116" s="7" t="s">
        <v>40</v>
      </c>
      <c r="G6116" s="33" t="s">
        <v>6987</v>
      </c>
      <c r="H6116" s="220" t="s">
        <v>8710</v>
      </c>
      <c r="I6116" s="213">
        <v>0</v>
      </c>
      <c r="J6116" s="31">
        <v>827</v>
      </c>
      <c r="K6116" s="203">
        <v>0</v>
      </c>
      <c r="L6116" s="203">
        <v>0</v>
      </c>
      <c r="M6116" s="203">
        <v>0</v>
      </c>
      <c r="N6116" s="203">
        <v>0</v>
      </c>
      <c r="O6116" s="203">
        <v>0</v>
      </c>
      <c r="P6116" s="26">
        <v>1.32</v>
      </c>
      <c r="Q6116" s="172" t="s">
        <v>186</v>
      </c>
    </row>
    <row r="6117" spans="1:17" s="162" customFormat="1" ht="72" x14ac:dyDescent="0.25">
      <c r="A6117" s="199">
        <v>42180</v>
      </c>
      <c r="B6117" s="199">
        <v>42180</v>
      </c>
      <c r="C6117" s="195">
        <v>2015</v>
      </c>
      <c r="D6117" s="351" t="s">
        <v>23</v>
      </c>
      <c r="E6117" s="22" t="s">
        <v>86</v>
      </c>
      <c r="F6117" s="7" t="s">
        <v>47</v>
      </c>
      <c r="G6117" s="200" t="s">
        <v>47</v>
      </c>
      <c r="H6117" s="196" t="s">
        <v>8711</v>
      </c>
      <c r="I6117" s="202">
        <v>0</v>
      </c>
      <c r="J6117" s="210">
        <v>10</v>
      </c>
      <c r="K6117" s="203">
        <v>2</v>
      </c>
      <c r="L6117" s="203">
        <v>0</v>
      </c>
      <c r="M6117" s="203">
        <v>0</v>
      </c>
      <c r="N6117" s="203">
        <v>0</v>
      </c>
      <c r="O6117" s="203">
        <v>0</v>
      </c>
      <c r="P6117" s="211">
        <v>5.6000000000000001E-2</v>
      </c>
      <c r="Q6117" s="204" t="s">
        <v>154</v>
      </c>
    </row>
    <row r="6118" spans="1:17" s="162" customFormat="1" ht="96" x14ac:dyDescent="0.25">
      <c r="A6118" s="199">
        <v>42180</v>
      </c>
      <c r="B6118" s="199">
        <v>42180</v>
      </c>
      <c r="C6118" s="195">
        <v>2015</v>
      </c>
      <c r="D6118" s="24" t="s">
        <v>141</v>
      </c>
      <c r="E6118" s="30" t="s">
        <v>142</v>
      </c>
      <c r="F6118" s="7" t="s">
        <v>62</v>
      </c>
      <c r="G6118" s="200" t="s">
        <v>1920</v>
      </c>
      <c r="H6118" s="196" t="s">
        <v>8712</v>
      </c>
      <c r="I6118" s="202">
        <v>1</v>
      </c>
      <c r="J6118" s="210">
        <f>8+12+1</f>
        <v>21</v>
      </c>
      <c r="K6118" s="203">
        <v>0</v>
      </c>
      <c r="L6118" s="203">
        <v>0</v>
      </c>
      <c r="M6118" s="203">
        <v>0</v>
      </c>
      <c r="N6118" s="203">
        <v>0</v>
      </c>
      <c r="O6118" s="203">
        <v>0</v>
      </c>
      <c r="P6118" s="211">
        <v>0.42</v>
      </c>
      <c r="Q6118" s="204" t="s">
        <v>154</v>
      </c>
    </row>
    <row r="6119" spans="1:17" s="162" customFormat="1" ht="132" x14ac:dyDescent="0.25">
      <c r="A6119" s="48">
        <v>42180</v>
      </c>
      <c r="B6119" s="48">
        <v>42180</v>
      </c>
      <c r="C6119" s="195">
        <v>2015</v>
      </c>
      <c r="D6119" s="351" t="s">
        <v>23</v>
      </c>
      <c r="E6119" s="22" t="s">
        <v>86</v>
      </c>
      <c r="F6119" s="7" t="s">
        <v>87</v>
      </c>
      <c r="G6119" s="33" t="s">
        <v>8713</v>
      </c>
      <c r="H6119" s="220" t="s">
        <v>8714</v>
      </c>
      <c r="I6119" s="213">
        <v>0</v>
      </c>
      <c r="J6119" s="31">
        <v>2917</v>
      </c>
      <c r="K6119" s="203">
        <v>0</v>
      </c>
      <c r="L6119" s="203">
        <v>0</v>
      </c>
      <c r="M6119" s="203">
        <v>0</v>
      </c>
      <c r="N6119" s="203">
        <v>0</v>
      </c>
      <c r="O6119" s="203">
        <v>0</v>
      </c>
      <c r="P6119" s="26">
        <f>2.022+30.36</f>
        <v>32.381999999999998</v>
      </c>
      <c r="Q6119" s="172" t="s">
        <v>186</v>
      </c>
    </row>
    <row r="6120" spans="1:17" s="162" customFormat="1" ht="48" x14ac:dyDescent="0.25">
      <c r="A6120" s="199">
        <v>42181</v>
      </c>
      <c r="B6120" s="199">
        <v>42181</v>
      </c>
      <c r="C6120" s="195">
        <v>2015</v>
      </c>
      <c r="D6120" s="24" t="s">
        <v>141</v>
      </c>
      <c r="E6120" s="30" t="s">
        <v>142</v>
      </c>
      <c r="F6120" s="25" t="s">
        <v>781</v>
      </c>
      <c r="G6120" s="200" t="s">
        <v>2842</v>
      </c>
      <c r="H6120" s="196" t="s">
        <v>8715</v>
      </c>
      <c r="I6120" s="202">
        <v>9</v>
      </c>
      <c r="J6120" s="210">
        <v>15</v>
      </c>
      <c r="K6120" s="203">
        <v>0</v>
      </c>
      <c r="L6120" s="203">
        <v>0</v>
      </c>
      <c r="M6120" s="203">
        <v>0</v>
      </c>
      <c r="N6120" s="203">
        <v>0</v>
      </c>
      <c r="O6120" s="203">
        <v>0</v>
      </c>
      <c r="P6120" s="211">
        <v>0.04</v>
      </c>
      <c r="Q6120" s="204" t="s">
        <v>154</v>
      </c>
    </row>
    <row r="6121" spans="1:17" s="162" customFormat="1" ht="36" x14ac:dyDescent="0.25">
      <c r="A6121" s="199">
        <v>42183</v>
      </c>
      <c r="B6121" s="199">
        <v>42183</v>
      </c>
      <c r="C6121" s="195">
        <v>2015</v>
      </c>
      <c r="D6121" s="24" t="s">
        <v>141</v>
      </c>
      <c r="E6121" s="30" t="s">
        <v>142</v>
      </c>
      <c r="F6121" s="7" t="s">
        <v>30</v>
      </c>
      <c r="G6121" s="200" t="s">
        <v>1078</v>
      </c>
      <c r="H6121" s="196" t="s">
        <v>8716</v>
      </c>
      <c r="I6121" s="202">
        <v>1</v>
      </c>
      <c r="J6121" s="210">
        <v>11</v>
      </c>
      <c r="K6121" s="203">
        <v>0</v>
      </c>
      <c r="L6121" s="203">
        <v>0</v>
      </c>
      <c r="M6121" s="203">
        <v>0</v>
      </c>
      <c r="N6121" s="203">
        <v>0</v>
      </c>
      <c r="O6121" s="203">
        <v>0</v>
      </c>
      <c r="P6121" s="211">
        <v>0</v>
      </c>
      <c r="Q6121" s="204" t="s">
        <v>154</v>
      </c>
    </row>
    <row r="6122" spans="1:17" s="162" customFormat="1" ht="108" x14ac:dyDescent="0.25">
      <c r="A6122" s="199">
        <v>42183</v>
      </c>
      <c r="B6122" s="199">
        <v>42183</v>
      </c>
      <c r="C6122" s="195">
        <v>2015</v>
      </c>
      <c r="D6122" s="35" t="s">
        <v>28</v>
      </c>
      <c r="E6122" s="6" t="s">
        <v>149</v>
      </c>
      <c r="F6122" s="7" t="s">
        <v>56</v>
      </c>
      <c r="G6122" s="200" t="s">
        <v>711</v>
      </c>
      <c r="H6122" s="196" t="s">
        <v>8717</v>
      </c>
      <c r="I6122" s="202">
        <v>1</v>
      </c>
      <c r="J6122" s="210">
        <v>6</v>
      </c>
      <c r="K6122" s="203">
        <v>3</v>
      </c>
      <c r="L6122" s="203">
        <v>0</v>
      </c>
      <c r="M6122" s="203">
        <v>0</v>
      </c>
      <c r="N6122" s="203">
        <v>0</v>
      </c>
      <c r="O6122" s="203">
        <v>0</v>
      </c>
      <c r="P6122" s="211">
        <v>5.6000000000000001E-2</v>
      </c>
      <c r="Q6122" s="204" t="s">
        <v>154</v>
      </c>
    </row>
    <row r="6123" spans="1:17" s="162" customFormat="1" ht="72" x14ac:dyDescent="0.25">
      <c r="A6123" s="118">
        <v>42186</v>
      </c>
      <c r="B6123" s="118">
        <v>42188</v>
      </c>
      <c r="C6123" s="195">
        <v>2015</v>
      </c>
      <c r="D6123" s="351" t="s">
        <v>23</v>
      </c>
      <c r="E6123" s="22" t="s">
        <v>86</v>
      </c>
      <c r="F6123" s="7" t="s">
        <v>82</v>
      </c>
      <c r="G6123" s="146" t="s">
        <v>2729</v>
      </c>
      <c r="H6123" s="147" t="s">
        <v>8718</v>
      </c>
      <c r="I6123" s="213">
        <v>0</v>
      </c>
      <c r="J6123" s="216">
        <v>383</v>
      </c>
      <c r="K6123" s="216">
        <v>0</v>
      </c>
      <c r="L6123" s="216">
        <v>0</v>
      </c>
      <c r="M6123" s="216">
        <v>0</v>
      </c>
      <c r="N6123" s="216">
        <v>0</v>
      </c>
      <c r="O6123" s="216">
        <v>2146.3000000000002</v>
      </c>
      <c r="P6123" s="26">
        <v>200.499</v>
      </c>
      <c r="Q6123" s="172" t="s">
        <v>4663</v>
      </c>
    </row>
    <row r="6124" spans="1:17" s="162" customFormat="1" ht="84" x14ac:dyDescent="0.25">
      <c r="A6124" s="118">
        <v>42186</v>
      </c>
      <c r="B6124" s="118">
        <v>42338</v>
      </c>
      <c r="C6124" s="195">
        <v>2015</v>
      </c>
      <c r="D6124" s="351" t="s">
        <v>23</v>
      </c>
      <c r="E6124" s="14" t="s">
        <v>24</v>
      </c>
      <c r="F6124" s="7" t="s">
        <v>40</v>
      </c>
      <c r="G6124" s="146" t="s">
        <v>8719</v>
      </c>
      <c r="H6124" s="147" t="s">
        <v>8720</v>
      </c>
      <c r="I6124" s="213">
        <v>0</v>
      </c>
      <c r="J6124" s="216">
        <v>15</v>
      </c>
      <c r="K6124" s="216">
        <v>0</v>
      </c>
      <c r="L6124" s="216">
        <v>0</v>
      </c>
      <c r="M6124" s="216">
        <v>0</v>
      </c>
      <c r="N6124" s="216">
        <v>0</v>
      </c>
      <c r="O6124" s="216">
        <v>0</v>
      </c>
      <c r="P6124" s="26">
        <v>3.1520000000000001</v>
      </c>
      <c r="Q6124" s="172" t="s">
        <v>4663</v>
      </c>
    </row>
    <row r="6125" spans="1:17" s="162" customFormat="1" ht="144" x14ac:dyDescent="0.25">
      <c r="A6125" s="48">
        <v>42188</v>
      </c>
      <c r="B6125" s="48">
        <v>42188</v>
      </c>
      <c r="C6125" s="195">
        <v>2015</v>
      </c>
      <c r="D6125" s="351" t="s">
        <v>23</v>
      </c>
      <c r="E6125" s="215" t="s">
        <v>5893</v>
      </c>
      <c r="F6125" s="7" t="s">
        <v>36</v>
      </c>
      <c r="G6125" s="33" t="s">
        <v>522</v>
      </c>
      <c r="H6125" s="220" t="s">
        <v>8721</v>
      </c>
      <c r="I6125" s="213">
        <v>0</v>
      </c>
      <c r="J6125" s="31">
        <v>4585</v>
      </c>
      <c r="K6125" s="203">
        <v>207</v>
      </c>
      <c r="L6125" s="203">
        <v>0</v>
      </c>
      <c r="M6125" s="203">
        <v>0</v>
      </c>
      <c r="N6125" s="203">
        <v>0</v>
      </c>
      <c r="O6125" s="203">
        <v>0</v>
      </c>
      <c r="P6125" s="211">
        <f>6.707+0.068</f>
        <v>6.7749999999999995</v>
      </c>
      <c r="Q6125" s="144" t="s">
        <v>7883</v>
      </c>
    </row>
    <row r="6126" spans="1:17" s="162" customFormat="1" ht="48" x14ac:dyDescent="0.25">
      <c r="A6126" s="199">
        <v>42189</v>
      </c>
      <c r="B6126" s="199">
        <v>42189</v>
      </c>
      <c r="C6126" s="195">
        <v>2015</v>
      </c>
      <c r="D6126" s="24" t="s">
        <v>141</v>
      </c>
      <c r="E6126" s="30" t="s">
        <v>142</v>
      </c>
      <c r="F6126" s="7" t="s">
        <v>91</v>
      </c>
      <c r="G6126" s="200" t="s">
        <v>8722</v>
      </c>
      <c r="H6126" s="196" t="s">
        <v>8723</v>
      </c>
      <c r="I6126" s="202">
        <v>1</v>
      </c>
      <c r="J6126" s="210">
        <v>1</v>
      </c>
      <c r="K6126" s="203">
        <v>0</v>
      </c>
      <c r="L6126" s="203">
        <v>0</v>
      </c>
      <c r="M6126" s="203">
        <v>0</v>
      </c>
      <c r="N6126" s="203">
        <v>0</v>
      </c>
      <c r="O6126" s="203">
        <v>0</v>
      </c>
      <c r="P6126" s="211">
        <v>0.47299999999999998</v>
      </c>
      <c r="Q6126" s="204" t="s">
        <v>154</v>
      </c>
    </row>
    <row r="6127" spans="1:17" s="162" customFormat="1" ht="228" x14ac:dyDescent="0.25">
      <c r="A6127" s="48">
        <v>42189</v>
      </c>
      <c r="B6127" s="48">
        <v>42189</v>
      </c>
      <c r="C6127" s="195">
        <v>2015</v>
      </c>
      <c r="D6127" s="351" t="s">
        <v>23</v>
      </c>
      <c r="E6127" s="14" t="s">
        <v>52</v>
      </c>
      <c r="F6127" s="7" t="s">
        <v>40</v>
      </c>
      <c r="G6127" s="33" t="s">
        <v>8724</v>
      </c>
      <c r="H6127" s="220" t="s">
        <v>8725</v>
      </c>
      <c r="I6127" s="213">
        <v>0</v>
      </c>
      <c r="J6127" s="31">
        <v>8380</v>
      </c>
      <c r="K6127" s="203">
        <v>300</v>
      </c>
      <c r="L6127" s="203">
        <v>12</v>
      </c>
      <c r="M6127" s="203">
        <v>3</v>
      </c>
      <c r="N6127" s="203">
        <v>0</v>
      </c>
      <c r="O6127" s="203">
        <v>0</v>
      </c>
      <c r="P6127" s="26">
        <f>12.2+363.77</f>
        <v>375.96999999999997</v>
      </c>
      <c r="Q6127" s="172" t="s">
        <v>186</v>
      </c>
    </row>
    <row r="6128" spans="1:17" s="162" customFormat="1" ht="48" x14ac:dyDescent="0.25">
      <c r="A6128" s="199">
        <v>42191</v>
      </c>
      <c r="B6128" s="199">
        <v>42191</v>
      </c>
      <c r="C6128" s="195">
        <v>2015</v>
      </c>
      <c r="D6128" s="24" t="s">
        <v>141</v>
      </c>
      <c r="E6128" s="30" t="s">
        <v>142</v>
      </c>
      <c r="F6128" s="7" t="s">
        <v>82</v>
      </c>
      <c r="G6128" s="200" t="s">
        <v>575</v>
      </c>
      <c r="H6128" s="196" t="s">
        <v>8726</v>
      </c>
      <c r="I6128" s="202">
        <v>0</v>
      </c>
      <c r="J6128" s="210">
        <v>0</v>
      </c>
      <c r="K6128" s="203">
        <v>0</v>
      </c>
      <c r="L6128" s="203">
        <v>0</v>
      </c>
      <c r="M6128" s="203">
        <v>0</v>
      </c>
      <c r="N6128" s="203">
        <v>0</v>
      </c>
      <c r="O6128" s="203">
        <v>0</v>
      </c>
      <c r="P6128" s="211">
        <v>0</v>
      </c>
      <c r="Q6128" s="204" t="s">
        <v>154</v>
      </c>
    </row>
    <row r="6129" spans="1:17" s="162" customFormat="1" ht="96" x14ac:dyDescent="0.25">
      <c r="A6129" s="199">
        <v>42191</v>
      </c>
      <c r="B6129" s="199">
        <v>42192</v>
      </c>
      <c r="C6129" s="195">
        <v>2015</v>
      </c>
      <c r="D6129" s="35" t="s">
        <v>17</v>
      </c>
      <c r="E6129" s="217" t="s">
        <v>1597</v>
      </c>
      <c r="F6129" s="7" t="s">
        <v>53</v>
      </c>
      <c r="G6129" s="200" t="s">
        <v>2975</v>
      </c>
      <c r="H6129" s="196" t="s">
        <v>8727</v>
      </c>
      <c r="I6129" s="202">
        <v>0</v>
      </c>
      <c r="J6129" s="210">
        <v>0</v>
      </c>
      <c r="K6129" s="203">
        <v>0</v>
      </c>
      <c r="L6129" s="203">
        <v>0</v>
      </c>
      <c r="M6129" s="203">
        <v>0</v>
      </c>
      <c r="N6129" s="203">
        <v>0</v>
      </c>
      <c r="O6129" s="203">
        <v>0</v>
      </c>
      <c r="P6129" s="211">
        <v>0</v>
      </c>
      <c r="Q6129" s="204" t="s">
        <v>154</v>
      </c>
    </row>
    <row r="6130" spans="1:17" s="162" customFormat="1" ht="84" x14ac:dyDescent="0.25">
      <c r="A6130" s="23">
        <v>42193</v>
      </c>
      <c r="B6130" s="23">
        <v>42207</v>
      </c>
      <c r="C6130" s="195">
        <v>2015</v>
      </c>
      <c r="D6130" s="24" t="s">
        <v>130</v>
      </c>
      <c r="E6130" s="224" t="s">
        <v>139</v>
      </c>
      <c r="F6130" s="7" t="s">
        <v>80</v>
      </c>
      <c r="G6130" s="146" t="s">
        <v>1089</v>
      </c>
      <c r="H6130" s="147" t="s">
        <v>8728</v>
      </c>
      <c r="I6130" s="213">
        <v>0</v>
      </c>
      <c r="J6130" s="20" t="s">
        <v>110</v>
      </c>
      <c r="K6130" s="214">
        <v>0</v>
      </c>
      <c r="L6130" s="214">
        <v>0</v>
      </c>
      <c r="M6130" s="214">
        <v>0</v>
      </c>
      <c r="N6130" s="214">
        <v>0</v>
      </c>
      <c r="O6130" s="214">
        <v>0</v>
      </c>
      <c r="P6130" s="26">
        <v>4.7560000000000002</v>
      </c>
      <c r="Q6130" s="204" t="s">
        <v>154</v>
      </c>
    </row>
    <row r="6131" spans="1:17" s="162" customFormat="1" ht="72" x14ac:dyDescent="0.25">
      <c r="A6131" s="199">
        <v>42193</v>
      </c>
      <c r="B6131" s="199">
        <v>42193</v>
      </c>
      <c r="C6131" s="195">
        <v>2015</v>
      </c>
      <c r="D6131" s="35" t="s">
        <v>28</v>
      </c>
      <c r="E6131" s="30" t="s">
        <v>133</v>
      </c>
      <c r="F6131" s="7" t="s">
        <v>65</v>
      </c>
      <c r="G6131" s="200" t="s">
        <v>1346</v>
      </c>
      <c r="H6131" s="196" t="s">
        <v>8729</v>
      </c>
      <c r="I6131" s="202">
        <v>0</v>
      </c>
      <c r="J6131" s="210">
        <v>3</v>
      </c>
      <c r="K6131" s="203">
        <v>0</v>
      </c>
      <c r="L6131" s="203">
        <v>0</v>
      </c>
      <c r="M6131" s="203">
        <v>0</v>
      </c>
      <c r="N6131" s="203">
        <v>1</v>
      </c>
      <c r="O6131" s="203">
        <v>0</v>
      </c>
      <c r="P6131" s="211">
        <v>0</v>
      </c>
      <c r="Q6131" s="204" t="s">
        <v>154</v>
      </c>
    </row>
    <row r="6132" spans="1:17" s="162" customFormat="1" ht="120" x14ac:dyDescent="0.25">
      <c r="A6132" s="23">
        <v>42192</v>
      </c>
      <c r="B6132" s="23">
        <v>42242</v>
      </c>
      <c r="C6132" s="195">
        <v>2015</v>
      </c>
      <c r="D6132" s="35" t="s">
        <v>17</v>
      </c>
      <c r="E6132" s="6" t="s">
        <v>18</v>
      </c>
      <c r="F6132" s="7" t="s">
        <v>47</v>
      </c>
      <c r="G6132" s="146" t="s">
        <v>8730</v>
      </c>
      <c r="H6132" s="147" t="s">
        <v>8731</v>
      </c>
      <c r="I6132" s="213">
        <v>0</v>
      </c>
      <c r="J6132" s="20">
        <v>334240</v>
      </c>
      <c r="K6132" s="214">
        <v>0</v>
      </c>
      <c r="L6132" s="214">
        <v>0</v>
      </c>
      <c r="M6132" s="214">
        <v>0</v>
      </c>
      <c r="N6132" s="214">
        <v>0</v>
      </c>
      <c r="O6132" s="214">
        <v>0</v>
      </c>
      <c r="P6132" s="26">
        <v>5.7</v>
      </c>
      <c r="Q6132" s="172" t="s">
        <v>154</v>
      </c>
    </row>
    <row r="6133" spans="1:17" s="162" customFormat="1" ht="60" x14ac:dyDescent="0.25">
      <c r="A6133" s="199">
        <v>42194</v>
      </c>
      <c r="B6133" s="199">
        <v>42194</v>
      </c>
      <c r="C6133" s="195">
        <v>2015</v>
      </c>
      <c r="D6133" s="24" t="s">
        <v>141</v>
      </c>
      <c r="E6133" s="30" t="s">
        <v>142</v>
      </c>
      <c r="F6133" s="7" t="s">
        <v>45</v>
      </c>
      <c r="G6133" s="200" t="s">
        <v>2866</v>
      </c>
      <c r="H6133" s="196" t="s">
        <v>8732</v>
      </c>
      <c r="I6133" s="202">
        <v>3</v>
      </c>
      <c r="J6133" s="210">
        <v>3</v>
      </c>
      <c r="K6133" s="203">
        <v>0</v>
      </c>
      <c r="L6133" s="203">
        <v>0</v>
      </c>
      <c r="M6133" s="203">
        <v>0</v>
      </c>
      <c r="N6133" s="203">
        <v>0</v>
      </c>
      <c r="O6133" s="203">
        <v>0</v>
      </c>
      <c r="P6133" s="211">
        <v>2.2999999999999998</v>
      </c>
      <c r="Q6133" s="204" t="s">
        <v>154</v>
      </c>
    </row>
    <row r="6134" spans="1:17" s="162" customFormat="1" ht="132" x14ac:dyDescent="0.25">
      <c r="A6134" s="48">
        <v>42194</v>
      </c>
      <c r="B6134" s="48">
        <v>42198</v>
      </c>
      <c r="C6134" s="195">
        <v>2015</v>
      </c>
      <c r="D6134" s="35" t="s">
        <v>17</v>
      </c>
      <c r="E6134" s="217" t="s">
        <v>1597</v>
      </c>
      <c r="F6134" s="28" t="s">
        <v>210</v>
      </c>
      <c r="G6134" s="33" t="s">
        <v>8733</v>
      </c>
      <c r="H6134" s="220" t="s">
        <v>8734</v>
      </c>
      <c r="I6134" s="202">
        <v>0</v>
      </c>
      <c r="J6134" s="31">
        <v>2270</v>
      </c>
      <c r="K6134" s="203">
        <v>34</v>
      </c>
      <c r="L6134" s="203">
        <v>1</v>
      </c>
      <c r="M6134" s="203">
        <v>0</v>
      </c>
      <c r="N6134" s="203">
        <v>0</v>
      </c>
      <c r="O6134" s="203">
        <v>0</v>
      </c>
      <c r="P6134" s="225">
        <f>1.289+43.15</f>
        <v>44.439</v>
      </c>
      <c r="Q6134" s="204" t="s">
        <v>186</v>
      </c>
    </row>
    <row r="6135" spans="1:17" s="162" customFormat="1" ht="168" x14ac:dyDescent="0.25">
      <c r="A6135" s="48">
        <v>42194</v>
      </c>
      <c r="B6135" s="48">
        <v>42198</v>
      </c>
      <c r="C6135" s="195">
        <v>2015</v>
      </c>
      <c r="D6135" s="351" t="s">
        <v>23</v>
      </c>
      <c r="E6135" s="14" t="s">
        <v>52</v>
      </c>
      <c r="F6135" s="28" t="s">
        <v>210</v>
      </c>
      <c r="G6135" s="33" t="s">
        <v>8735</v>
      </c>
      <c r="H6135" s="220" t="s">
        <v>8736</v>
      </c>
      <c r="I6135" s="213">
        <v>1</v>
      </c>
      <c r="J6135" s="31">
        <v>14266</v>
      </c>
      <c r="K6135" s="203">
        <v>797</v>
      </c>
      <c r="L6135" s="203">
        <v>1</v>
      </c>
      <c r="M6135" s="203">
        <v>0</v>
      </c>
      <c r="N6135" s="203">
        <v>0</v>
      </c>
      <c r="O6135" s="203">
        <v>0</v>
      </c>
      <c r="P6135" s="211">
        <f>17.412+0.837</f>
        <v>18.248999999999999</v>
      </c>
      <c r="Q6135" s="122" t="s">
        <v>5207</v>
      </c>
    </row>
    <row r="6136" spans="1:17" s="162" customFormat="1" ht="84" x14ac:dyDescent="0.25">
      <c r="A6136" s="199">
        <v>42195</v>
      </c>
      <c r="B6136" s="199">
        <v>42195</v>
      </c>
      <c r="C6136" s="195">
        <v>2015</v>
      </c>
      <c r="D6136" s="351" t="s">
        <v>23</v>
      </c>
      <c r="E6136" s="22" t="s">
        <v>86</v>
      </c>
      <c r="F6136" s="7" t="s">
        <v>40</v>
      </c>
      <c r="G6136" s="200" t="s">
        <v>8737</v>
      </c>
      <c r="H6136" s="196" t="s">
        <v>8738</v>
      </c>
      <c r="I6136" s="213">
        <v>0</v>
      </c>
      <c r="J6136" s="31">
        <v>8380</v>
      </c>
      <c r="K6136" s="203">
        <v>250</v>
      </c>
      <c r="L6136" s="203">
        <v>0</v>
      </c>
      <c r="M6136" s="203">
        <v>0</v>
      </c>
      <c r="N6136" s="203">
        <v>0</v>
      </c>
      <c r="O6136" s="203">
        <v>0</v>
      </c>
      <c r="P6136" s="26">
        <f>0.244+5.2</f>
        <v>5.444</v>
      </c>
      <c r="Q6136" s="122" t="s">
        <v>5207</v>
      </c>
    </row>
    <row r="6137" spans="1:17" s="162" customFormat="1" ht="108" x14ac:dyDescent="0.25">
      <c r="A6137" s="199">
        <v>42196</v>
      </c>
      <c r="B6137" s="199">
        <v>42197</v>
      </c>
      <c r="C6137" s="195">
        <v>2015</v>
      </c>
      <c r="D6137" s="35" t="s">
        <v>17</v>
      </c>
      <c r="E6137" s="217" t="s">
        <v>1597</v>
      </c>
      <c r="F6137" s="28" t="s">
        <v>210</v>
      </c>
      <c r="G6137" s="200" t="s">
        <v>8739</v>
      </c>
      <c r="H6137" s="196" t="s">
        <v>8740</v>
      </c>
      <c r="I6137" s="202">
        <v>1</v>
      </c>
      <c r="J6137" s="210">
        <v>6</v>
      </c>
      <c r="K6137" s="203">
        <v>1</v>
      </c>
      <c r="L6137" s="203">
        <v>0</v>
      </c>
      <c r="M6137" s="203">
        <v>0</v>
      </c>
      <c r="N6137" s="203">
        <v>0</v>
      </c>
      <c r="O6137" s="203">
        <v>0</v>
      </c>
      <c r="P6137" s="211">
        <v>0.12</v>
      </c>
      <c r="Q6137" s="204" t="s">
        <v>154</v>
      </c>
    </row>
    <row r="6138" spans="1:17" s="162" customFormat="1" ht="96" x14ac:dyDescent="0.25">
      <c r="A6138" s="48">
        <v>42200</v>
      </c>
      <c r="B6138" s="48">
        <v>42201</v>
      </c>
      <c r="C6138" s="195">
        <v>2015</v>
      </c>
      <c r="D6138" s="351" t="s">
        <v>23</v>
      </c>
      <c r="E6138" s="14" t="s">
        <v>52</v>
      </c>
      <c r="F6138" s="28" t="s">
        <v>210</v>
      </c>
      <c r="G6138" s="33" t="s">
        <v>8741</v>
      </c>
      <c r="H6138" s="220" t="s">
        <v>8742</v>
      </c>
      <c r="I6138" s="213">
        <v>0</v>
      </c>
      <c r="J6138" s="31">
        <v>2449</v>
      </c>
      <c r="K6138" s="203">
        <v>0</v>
      </c>
      <c r="L6138" s="203">
        <v>0</v>
      </c>
      <c r="M6138" s="203">
        <v>0</v>
      </c>
      <c r="N6138" s="203">
        <v>0</v>
      </c>
      <c r="O6138" s="203">
        <v>0</v>
      </c>
      <c r="P6138" s="211">
        <v>3.948</v>
      </c>
      <c r="Q6138" s="172" t="s">
        <v>186</v>
      </c>
    </row>
    <row r="6139" spans="1:17" s="162" customFormat="1" ht="96" x14ac:dyDescent="0.25">
      <c r="A6139" s="199">
        <v>42201</v>
      </c>
      <c r="B6139" s="199">
        <v>42201</v>
      </c>
      <c r="C6139" s="195">
        <v>2015</v>
      </c>
      <c r="D6139" s="24" t="s">
        <v>141</v>
      </c>
      <c r="E6139" s="30" t="s">
        <v>142</v>
      </c>
      <c r="F6139" s="7" t="s">
        <v>62</v>
      </c>
      <c r="G6139" s="200" t="s">
        <v>8743</v>
      </c>
      <c r="H6139" s="196" t="s">
        <v>8744</v>
      </c>
      <c r="I6139" s="202">
        <v>2</v>
      </c>
      <c r="J6139" s="210">
        <v>3</v>
      </c>
      <c r="K6139" s="203">
        <v>0</v>
      </c>
      <c r="L6139" s="203">
        <v>0</v>
      </c>
      <c r="M6139" s="203">
        <v>0</v>
      </c>
      <c r="N6139" s="203">
        <v>0</v>
      </c>
      <c r="O6139" s="203">
        <v>0</v>
      </c>
      <c r="P6139" s="211">
        <v>0.47299999999999998</v>
      </c>
      <c r="Q6139" s="204" t="s">
        <v>154</v>
      </c>
    </row>
    <row r="6140" spans="1:17" s="162" customFormat="1" ht="132" x14ac:dyDescent="0.25">
      <c r="A6140" s="199">
        <v>42201</v>
      </c>
      <c r="B6140" s="199">
        <v>42201</v>
      </c>
      <c r="C6140" s="195">
        <v>2015</v>
      </c>
      <c r="D6140" s="35" t="s">
        <v>28</v>
      </c>
      <c r="E6140" s="30" t="s">
        <v>125</v>
      </c>
      <c r="F6140" s="7" t="s">
        <v>77</v>
      </c>
      <c r="G6140" s="200" t="s">
        <v>8745</v>
      </c>
      <c r="H6140" s="196" t="s">
        <v>8746</v>
      </c>
      <c r="I6140" s="202">
        <v>0</v>
      </c>
      <c r="J6140" s="203">
        <v>30</v>
      </c>
      <c r="K6140" s="203">
        <v>0</v>
      </c>
      <c r="L6140" s="203">
        <v>0</v>
      </c>
      <c r="M6140" s="203">
        <v>0</v>
      </c>
      <c r="N6140" s="203">
        <v>0</v>
      </c>
      <c r="O6140" s="203">
        <v>0</v>
      </c>
      <c r="P6140" s="211">
        <v>0</v>
      </c>
      <c r="Q6140" s="204" t="s">
        <v>154</v>
      </c>
    </row>
    <row r="6141" spans="1:17" s="162" customFormat="1" ht="108" x14ac:dyDescent="0.25">
      <c r="A6141" s="199">
        <v>42203</v>
      </c>
      <c r="B6141" s="199">
        <v>42203</v>
      </c>
      <c r="C6141" s="195">
        <v>2015</v>
      </c>
      <c r="D6141" s="24" t="s">
        <v>141</v>
      </c>
      <c r="E6141" s="30" t="s">
        <v>142</v>
      </c>
      <c r="F6141" s="7" t="s">
        <v>67</v>
      </c>
      <c r="G6141" s="200" t="s">
        <v>8606</v>
      </c>
      <c r="H6141" s="196" t="s">
        <v>8747</v>
      </c>
      <c r="I6141" s="202">
        <v>4</v>
      </c>
      <c r="J6141" s="210">
        <v>38</v>
      </c>
      <c r="K6141" s="203">
        <v>0</v>
      </c>
      <c r="L6141" s="203">
        <v>0</v>
      </c>
      <c r="M6141" s="203">
        <v>0</v>
      </c>
      <c r="N6141" s="203">
        <v>0</v>
      </c>
      <c r="O6141" s="203">
        <v>0</v>
      </c>
      <c r="P6141" s="211">
        <v>0.46</v>
      </c>
      <c r="Q6141" s="204" t="s">
        <v>154</v>
      </c>
    </row>
    <row r="6142" spans="1:17" s="162" customFormat="1" ht="48" x14ac:dyDescent="0.25">
      <c r="A6142" s="199">
        <v>42203</v>
      </c>
      <c r="B6142" s="199">
        <v>42203</v>
      </c>
      <c r="C6142" s="195">
        <v>2015</v>
      </c>
      <c r="D6142" s="35" t="s">
        <v>17</v>
      </c>
      <c r="E6142" s="217" t="s">
        <v>1597</v>
      </c>
      <c r="F6142" s="7" t="s">
        <v>72</v>
      </c>
      <c r="G6142" s="200" t="s">
        <v>8748</v>
      </c>
      <c r="H6142" s="196" t="s">
        <v>8749</v>
      </c>
      <c r="I6142" s="202">
        <v>0</v>
      </c>
      <c r="J6142" s="210">
        <v>0</v>
      </c>
      <c r="K6142" s="203">
        <v>0</v>
      </c>
      <c r="L6142" s="203">
        <v>0</v>
      </c>
      <c r="M6142" s="203">
        <v>0</v>
      </c>
      <c r="N6142" s="203">
        <v>0</v>
      </c>
      <c r="O6142" s="203">
        <v>0</v>
      </c>
      <c r="P6142" s="211">
        <v>0</v>
      </c>
      <c r="Q6142" s="204" t="s">
        <v>154</v>
      </c>
    </row>
    <row r="6143" spans="1:17" s="162" customFormat="1" ht="60" x14ac:dyDescent="0.25">
      <c r="A6143" s="199">
        <v>42203</v>
      </c>
      <c r="B6143" s="199">
        <v>42203</v>
      </c>
      <c r="C6143" s="195">
        <v>2015</v>
      </c>
      <c r="D6143" s="35" t="s">
        <v>17</v>
      </c>
      <c r="E6143" s="16" t="s">
        <v>2964</v>
      </c>
      <c r="F6143" s="7" t="s">
        <v>72</v>
      </c>
      <c r="G6143" s="200" t="s">
        <v>8750</v>
      </c>
      <c r="H6143" s="196" t="s">
        <v>8751</v>
      </c>
      <c r="I6143" s="202">
        <v>0</v>
      </c>
      <c r="J6143" s="210">
        <v>0</v>
      </c>
      <c r="K6143" s="203">
        <v>0</v>
      </c>
      <c r="L6143" s="203">
        <v>0</v>
      </c>
      <c r="M6143" s="203">
        <v>0</v>
      </c>
      <c r="N6143" s="203">
        <v>0</v>
      </c>
      <c r="O6143" s="203">
        <v>0</v>
      </c>
      <c r="P6143" s="211">
        <v>0</v>
      </c>
      <c r="Q6143" s="204" t="s">
        <v>154</v>
      </c>
    </row>
    <row r="6144" spans="1:17" s="162" customFormat="1" ht="132" x14ac:dyDescent="0.25">
      <c r="A6144" s="199">
        <v>42204</v>
      </c>
      <c r="B6144" s="199">
        <v>42205</v>
      </c>
      <c r="C6144" s="195">
        <v>2015</v>
      </c>
      <c r="D6144" s="351" t="s">
        <v>23</v>
      </c>
      <c r="E6144" s="22" t="s">
        <v>86</v>
      </c>
      <c r="F6144" s="7" t="s">
        <v>30</v>
      </c>
      <c r="G6144" s="200" t="s">
        <v>1078</v>
      </c>
      <c r="H6144" s="196" t="s">
        <v>8752</v>
      </c>
      <c r="I6144" s="202">
        <v>0</v>
      </c>
      <c r="J6144" s="210">
        <v>1005</v>
      </c>
      <c r="K6144" s="203">
        <v>201</v>
      </c>
      <c r="L6144" s="203">
        <v>0</v>
      </c>
      <c r="M6144" s="203">
        <v>0</v>
      </c>
      <c r="N6144" s="203">
        <v>0</v>
      </c>
      <c r="O6144" s="203">
        <v>0</v>
      </c>
      <c r="P6144" s="211">
        <v>0.21099999999999999</v>
      </c>
      <c r="Q6144" s="204" t="s">
        <v>154</v>
      </c>
    </row>
    <row r="6145" spans="1:17" s="162" customFormat="1" ht="96" x14ac:dyDescent="0.25">
      <c r="A6145" s="199">
        <v>42205</v>
      </c>
      <c r="B6145" s="199">
        <v>42206</v>
      </c>
      <c r="C6145" s="195">
        <v>2015</v>
      </c>
      <c r="D6145" s="24" t="s">
        <v>141</v>
      </c>
      <c r="E6145" s="30" t="s">
        <v>142</v>
      </c>
      <c r="F6145" s="28" t="s">
        <v>160</v>
      </c>
      <c r="G6145" s="200" t="s">
        <v>4798</v>
      </c>
      <c r="H6145" s="196" t="s">
        <v>8753</v>
      </c>
      <c r="I6145" s="202">
        <v>3</v>
      </c>
      <c r="J6145" s="210">
        <v>8</v>
      </c>
      <c r="K6145" s="203">
        <v>0</v>
      </c>
      <c r="L6145" s="203">
        <v>0</v>
      </c>
      <c r="M6145" s="203">
        <v>0</v>
      </c>
      <c r="N6145" s="203">
        <v>0</v>
      </c>
      <c r="O6145" s="203">
        <v>0</v>
      </c>
      <c r="P6145" s="211">
        <v>0.71099999999999997</v>
      </c>
      <c r="Q6145" s="204" t="s">
        <v>154</v>
      </c>
    </row>
    <row r="6146" spans="1:17" s="162" customFormat="1" ht="84" x14ac:dyDescent="0.25">
      <c r="A6146" s="199">
        <v>42206</v>
      </c>
      <c r="B6146" s="199">
        <v>42206</v>
      </c>
      <c r="C6146" s="195">
        <v>2015</v>
      </c>
      <c r="D6146" s="24" t="s">
        <v>141</v>
      </c>
      <c r="E6146" s="30" t="s">
        <v>142</v>
      </c>
      <c r="F6146" s="7" t="s">
        <v>67</v>
      </c>
      <c r="G6146" s="200" t="s">
        <v>2973</v>
      </c>
      <c r="H6146" s="196" t="s">
        <v>8754</v>
      </c>
      <c r="I6146" s="202">
        <v>7</v>
      </c>
      <c r="J6146" s="210">
        <v>25</v>
      </c>
      <c r="K6146" s="203">
        <v>0</v>
      </c>
      <c r="L6146" s="203">
        <v>0</v>
      </c>
      <c r="M6146" s="203">
        <v>0</v>
      </c>
      <c r="N6146" s="203">
        <v>0</v>
      </c>
      <c r="O6146" s="203">
        <v>0</v>
      </c>
      <c r="P6146" s="211">
        <v>0.70899999999999996</v>
      </c>
      <c r="Q6146" s="204"/>
    </row>
    <row r="6147" spans="1:17" s="162" customFormat="1" ht="156" x14ac:dyDescent="0.25">
      <c r="A6147" s="199">
        <v>42207</v>
      </c>
      <c r="B6147" s="199">
        <v>42210</v>
      </c>
      <c r="C6147" s="195">
        <v>2015</v>
      </c>
      <c r="D6147" s="351" t="s">
        <v>23</v>
      </c>
      <c r="E6147" s="14" t="s">
        <v>52</v>
      </c>
      <c r="F6147" s="7" t="s">
        <v>40</v>
      </c>
      <c r="G6147" s="200" t="s">
        <v>1878</v>
      </c>
      <c r="H6147" s="196" t="s">
        <v>8755</v>
      </c>
      <c r="I6147" s="202">
        <v>0</v>
      </c>
      <c r="J6147" s="210">
        <v>1000</v>
      </c>
      <c r="K6147" s="203">
        <v>200</v>
      </c>
      <c r="L6147" s="203">
        <v>0</v>
      </c>
      <c r="M6147" s="203">
        <v>0</v>
      </c>
      <c r="N6147" s="203">
        <v>0</v>
      </c>
      <c r="O6147" s="203">
        <v>0</v>
      </c>
      <c r="P6147" s="211">
        <f>0.066+65.1</f>
        <v>65.165999999999997</v>
      </c>
      <c r="Q6147" s="122" t="s">
        <v>5207</v>
      </c>
    </row>
    <row r="6148" spans="1:17" s="162" customFormat="1" ht="84" x14ac:dyDescent="0.25">
      <c r="A6148" s="199">
        <v>42208</v>
      </c>
      <c r="B6148" s="199">
        <v>42208</v>
      </c>
      <c r="C6148" s="195">
        <v>2015</v>
      </c>
      <c r="D6148" s="24" t="s">
        <v>141</v>
      </c>
      <c r="E6148" s="30" t="s">
        <v>142</v>
      </c>
      <c r="F6148" s="7" t="s">
        <v>77</v>
      </c>
      <c r="G6148" s="200" t="s">
        <v>8745</v>
      </c>
      <c r="H6148" s="196" t="s">
        <v>8756</v>
      </c>
      <c r="I6148" s="226">
        <v>3</v>
      </c>
      <c r="J6148" s="210">
        <v>11</v>
      </c>
      <c r="K6148" s="203">
        <v>0</v>
      </c>
      <c r="L6148" s="203">
        <v>0</v>
      </c>
      <c r="M6148" s="203">
        <v>0</v>
      </c>
      <c r="N6148" s="203">
        <v>0</v>
      </c>
      <c r="O6148" s="203">
        <v>0</v>
      </c>
      <c r="P6148" s="211">
        <v>6.6000000000000003E-2</v>
      </c>
      <c r="Q6148" s="204" t="s">
        <v>154</v>
      </c>
    </row>
    <row r="6149" spans="1:17" s="162" customFormat="1" ht="48" x14ac:dyDescent="0.25">
      <c r="A6149" s="199">
        <v>42209</v>
      </c>
      <c r="B6149" s="199">
        <v>42209</v>
      </c>
      <c r="C6149" s="195">
        <v>2015</v>
      </c>
      <c r="D6149" s="351" t="s">
        <v>23</v>
      </c>
      <c r="E6149" s="22" t="s">
        <v>86</v>
      </c>
      <c r="F6149" s="7" t="s">
        <v>56</v>
      </c>
      <c r="G6149" s="200" t="s">
        <v>1426</v>
      </c>
      <c r="H6149" s="196" t="s">
        <v>8757</v>
      </c>
      <c r="I6149" s="202">
        <v>0</v>
      </c>
      <c r="J6149" s="210">
        <v>30</v>
      </c>
      <c r="K6149" s="203">
        <v>6</v>
      </c>
      <c r="L6149" s="203">
        <v>0</v>
      </c>
      <c r="M6149" s="203">
        <v>0</v>
      </c>
      <c r="N6149" s="203">
        <v>0</v>
      </c>
      <c r="O6149" s="203">
        <v>0</v>
      </c>
      <c r="P6149" s="211">
        <v>6.0000000000000001E-3</v>
      </c>
      <c r="Q6149" s="204" t="s">
        <v>154</v>
      </c>
    </row>
    <row r="6150" spans="1:17" s="162" customFormat="1" ht="72" x14ac:dyDescent="0.25">
      <c r="A6150" s="199">
        <v>42209</v>
      </c>
      <c r="B6150" s="199">
        <v>42209</v>
      </c>
      <c r="C6150" s="195">
        <v>2015</v>
      </c>
      <c r="D6150" s="351" t="s">
        <v>23</v>
      </c>
      <c r="E6150" s="22" t="s">
        <v>86</v>
      </c>
      <c r="F6150" s="7" t="s">
        <v>56</v>
      </c>
      <c r="G6150" s="200" t="s">
        <v>8758</v>
      </c>
      <c r="H6150" s="196" t="s">
        <v>8759</v>
      </c>
      <c r="I6150" s="202">
        <v>0</v>
      </c>
      <c r="J6150" s="210">
        <v>10</v>
      </c>
      <c r="K6150" s="203">
        <v>2</v>
      </c>
      <c r="L6150" s="203">
        <v>0</v>
      </c>
      <c r="M6150" s="203">
        <v>0</v>
      </c>
      <c r="N6150" s="203">
        <v>0</v>
      </c>
      <c r="O6150" s="203">
        <v>0</v>
      </c>
      <c r="P6150" s="211">
        <v>2E-3</v>
      </c>
      <c r="Q6150" s="204" t="s">
        <v>154</v>
      </c>
    </row>
    <row r="6151" spans="1:17" s="162" customFormat="1" ht="60" x14ac:dyDescent="0.25">
      <c r="A6151" s="199">
        <v>42209</v>
      </c>
      <c r="B6151" s="199">
        <v>42209</v>
      </c>
      <c r="C6151" s="195">
        <v>2015</v>
      </c>
      <c r="D6151" s="351" t="s">
        <v>23</v>
      </c>
      <c r="E6151" s="22" t="s">
        <v>86</v>
      </c>
      <c r="F6151" s="7" t="s">
        <v>56</v>
      </c>
      <c r="G6151" s="200" t="s">
        <v>646</v>
      </c>
      <c r="H6151" s="196" t="s">
        <v>8760</v>
      </c>
      <c r="I6151" s="202">
        <v>0</v>
      </c>
      <c r="J6151" s="210">
        <v>10</v>
      </c>
      <c r="K6151" s="203">
        <v>2</v>
      </c>
      <c r="L6151" s="203">
        <v>0</v>
      </c>
      <c r="M6151" s="203">
        <v>0</v>
      </c>
      <c r="N6151" s="203">
        <v>0</v>
      </c>
      <c r="O6151" s="203">
        <v>0</v>
      </c>
      <c r="P6151" s="211">
        <v>2E-3</v>
      </c>
      <c r="Q6151" s="204" t="s">
        <v>154</v>
      </c>
    </row>
    <row r="6152" spans="1:17" s="162" customFormat="1" ht="108" x14ac:dyDescent="0.25">
      <c r="A6152" s="199">
        <v>42209</v>
      </c>
      <c r="B6152" s="199">
        <v>42209</v>
      </c>
      <c r="C6152" s="195">
        <v>2015</v>
      </c>
      <c r="D6152" s="24" t="s">
        <v>141</v>
      </c>
      <c r="E6152" s="30" t="s">
        <v>142</v>
      </c>
      <c r="F6152" s="7" t="s">
        <v>60</v>
      </c>
      <c r="G6152" s="200" t="s">
        <v>1605</v>
      </c>
      <c r="H6152" s="196" t="s">
        <v>8761</v>
      </c>
      <c r="I6152" s="202">
        <v>0</v>
      </c>
      <c r="J6152" s="210">
        <v>0</v>
      </c>
      <c r="K6152" s="203">
        <v>0</v>
      </c>
      <c r="L6152" s="203">
        <v>0</v>
      </c>
      <c r="M6152" s="203">
        <v>0</v>
      </c>
      <c r="N6152" s="203">
        <v>0</v>
      </c>
      <c r="O6152" s="203">
        <v>0</v>
      </c>
      <c r="P6152" s="211">
        <v>0.47299999999999998</v>
      </c>
      <c r="Q6152" s="204" t="s">
        <v>154</v>
      </c>
    </row>
    <row r="6153" spans="1:17" s="162" customFormat="1" ht="84" x14ac:dyDescent="0.25">
      <c r="A6153" s="199">
        <v>42210</v>
      </c>
      <c r="B6153" s="199">
        <v>42210</v>
      </c>
      <c r="C6153" s="195">
        <v>2015</v>
      </c>
      <c r="D6153" s="35" t="s">
        <v>28</v>
      </c>
      <c r="E6153" s="6" t="s">
        <v>149</v>
      </c>
      <c r="F6153" s="7" t="s">
        <v>84</v>
      </c>
      <c r="G6153" s="200" t="s">
        <v>939</v>
      </c>
      <c r="H6153" s="196" t="s">
        <v>8762</v>
      </c>
      <c r="I6153" s="202">
        <v>0</v>
      </c>
      <c r="J6153" s="210">
        <v>250</v>
      </c>
      <c r="K6153" s="203">
        <v>0</v>
      </c>
      <c r="L6153" s="203">
        <v>0</v>
      </c>
      <c r="M6153" s="203">
        <v>0</v>
      </c>
      <c r="N6153" s="203">
        <v>0</v>
      </c>
      <c r="O6153" s="203">
        <v>0</v>
      </c>
      <c r="P6153" s="211">
        <v>0</v>
      </c>
      <c r="Q6153" s="204" t="s">
        <v>154</v>
      </c>
    </row>
    <row r="6154" spans="1:17" s="162" customFormat="1" ht="96" x14ac:dyDescent="0.25">
      <c r="A6154" s="199">
        <v>42210</v>
      </c>
      <c r="B6154" s="199">
        <v>42210</v>
      </c>
      <c r="C6154" s="195">
        <v>2015</v>
      </c>
      <c r="D6154" s="24" t="s">
        <v>141</v>
      </c>
      <c r="E6154" s="30" t="s">
        <v>142</v>
      </c>
      <c r="F6154" s="7" t="s">
        <v>62</v>
      </c>
      <c r="G6154" s="200" t="s">
        <v>1011</v>
      </c>
      <c r="H6154" s="196" t="s">
        <v>8763</v>
      </c>
      <c r="I6154" s="202">
        <v>1</v>
      </c>
      <c r="J6154" s="210">
        <v>1</v>
      </c>
      <c r="K6154" s="203">
        <v>0</v>
      </c>
      <c r="L6154" s="203">
        <v>0</v>
      </c>
      <c r="M6154" s="203">
        <v>0</v>
      </c>
      <c r="N6154" s="203">
        <v>0</v>
      </c>
      <c r="O6154" s="203">
        <v>0</v>
      </c>
      <c r="P6154" s="211">
        <v>0.47299999999999998</v>
      </c>
      <c r="Q6154" s="204" t="s">
        <v>154</v>
      </c>
    </row>
    <row r="6155" spans="1:17" s="162" customFormat="1" ht="108" x14ac:dyDescent="0.25">
      <c r="A6155" s="199">
        <v>42210</v>
      </c>
      <c r="B6155" s="199">
        <v>42210</v>
      </c>
      <c r="C6155" s="195">
        <v>2015</v>
      </c>
      <c r="D6155" s="24" t="s">
        <v>141</v>
      </c>
      <c r="E6155" s="30" t="s">
        <v>142</v>
      </c>
      <c r="F6155" s="28" t="s">
        <v>157</v>
      </c>
      <c r="G6155" s="200" t="s">
        <v>5443</v>
      </c>
      <c r="H6155" s="196" t="s">
        <v>8764</v>
      </c>
      <c r="I6155" s="202">
        <v>0</v>
      </c>
      <c r="J6155" s="210">
        <v>13</v>
      </c>
      <c r="K6155" s="203">
        <v>0</v>
      </c>
      <c r="L6155" s="203">
        <v>0</v>
      </c>
      <c r="M6155" s="203">
        <v>0</v>
      </c>
      <c r="N6155" s="203">
        <v>0</v>
      </c>
      <c r="O6155" s="203">
        <v>0</v>
      </c>
      <c r="P6155" s="211">
        <v>0.42</v>
      </c>
      <c r="Q6155" s="204" t="s">
        <v>154</v>
      </c>
    </row>
    <row r="6156" spans="1:17" s="162" customFormat="1" ht="84" x14ac:dyDescent="0.25">
      <c r="A6156" s="199">
        <v>42211</v>
      </c>
      <c r="B6156" s="199">
        <v>42211</v>
      </c>
      <c r="C6156" s="195">
        <v>2015</v>
      </c>
      <c r="D6156" s="24" t="s">
        <v>141</v>
      </c>
      <c r="E6156" s="30" t="s">
        <v>142</v>
      </c>
      <c r="F6156" s="7" t="s">
        <v>58</v>
      </c>
      <c r="G6156" s="200" t="s">
        <v>5664</v>
      </c>
      <c r="H6156" s="196" t="s">
        <v>8765</v>
      </c>
      <c r="I6156" s="202">
        <v>3</v>
      </c>
      <c r="J6156" s="210">
        <v>7</v>
      </c>
      <c r="K6156" s="203">
        <v>0</v>
      </c>
      <c r="L6156" s="203">
        <v>0</v>
      </c>
      <c r="M6156" s="203">
        <v>0</v>
      </c>
      <c r="N6156" s="203">
        <v>0</v>
      </c>
      <c r="O6156" s="203">
        <v>0</v>
      </c>
      <c r="P6156" s="211">
        <v>0.04</v>
      </c>
      <c r="Q6156" s="204" t="s">
        <v>154</v>
      </c>
    </row>
    <row r="6157" spans="1:17" s="162" customFormat="1" ht="84" x14ac:dyDescent="0.25">
      <c r="A6157" s="199">
        <v>42211</v>
      </c>
      <c r="B6157" s="199">
        <v>42211</v>
      </c>
      <c r="C6157" s="195">
        <v>2015</v>
      </c>
      <c r="D6157" s="24" t="s">
        <v>141</v>
      </c>
      <c r="E6157" s="30" t="s">
        <v>142</v>
      </c>
      <c r="F6157" s="28" t="s">
        <v>157</v>
      </c>
      <c r="G6157" s="200" t="s">
        <v>876</v>
      </c>
      <c r="H6157" s="196" t="s">
        <v>8766</v>
      </c>
      <c r="I6157" s="202">
        <v>0</v>
      </c>
      <c r="J6157" s="210">
        <v>9</v>
      </c>
      <c r="K6157" s="203">
        <v>0</v>
      </c>
      <c r="L6157" s="203">
        <v>0</v>
      </c>
      <c r="M6157" s="203">
        <v>0</v>
      </c>
      <c r="N6157" s="203">
        <v>0</v>
      </c>
      <c r="O6157" s="203">
        <v>0</v>
      </c>
      <c r="P6157" s="211">
        <v>0.16</v>
      </c>
      <c r="Q6157" s="204" t="s">
        <v>154</v>
      </c>
    </row>
    <row r="6158" spans="1:17" s="162" customFormat="1" ht="120" x14ac:dyDescent="0.25">
      <c r="A6158" s="199">
        <v>42211</v>
      </c>
      <c r="B6158" s="199">
        <v>42211</v>
      </c>
      <c r="C6158" s="195">
        <v>2015</v>
      </c>
      <c r="D6158" s="35" t="s">
        <v>17</v>
      </c>
      <c r="E6158" s="217" t="s">
        <v>1597</v>
      </c>
      <c r="F6158" s="7" t="s">
        <v>62</v>
      </c>
      <c r="G6158" s="200" t="s">
        <v>1011</v>
      </c>
      <c r="H6158" s="196" t="s">
        <v>8767</v>
      </c>
      <c r="I6158" s="202">
        <v>0</v>
      </c>
      <c r="J6158" s="210">
        <v>7</v>
      </c>
      <c r="K6158" s="203">
        <v>0</v>
      </c>
      <c r="L6158" s="203">
        <v>0</v>
      </c>
      <c r="M6158" s="203">
        <v>0</v>
      </c>
      <c r="N6158" s="203">
        <v>0</v>
      </c>
      <c r="O6158" s="203">
        <v>0</v>
      </c>
      <c r="P6158" s="211">
        <v>0</v>
      </c>
      <c r="Q6158" s="204" t="s">
        <v>154</v>
      </c>
    </row>
    <row r="6159" spans="1:17" s="162" customFormat="1" ht="60" x14ac:dyDescent="0.25">
      <c r="A6159" s="199">
        <v>42212</v>
      </c>
      <c r="B6159" s="199">
        <v>42212</v>
      </c>
      <c r="C6159" s="195">
        <v>2015</v>
      </c>
      <c r="D6159" s="35" t="s">
        <v>28</v>
      </c>
      <c r="E6159" s="6" t="s">
        <v>149</v>
      </c>
      <c r="F6159" s="7" t="s">
        <v>75</v>
      </c>
      <c r="G6159" s="200" t="s">
        <v>75</v>
      </c>
      <c r="H6159" s="196" t="s">
        <v>8768</v>
      </c>
      <c r="I6159" s="202">
        <v>0</v>
      </c>
      <c r="J6159" s="210">
        <v>0</v>
      </c>
      <c r="K6159" s="203">
        <v>0</v>
      </c>
      <c r="L6159" s="203">
        <v>0</v>
      </c>
      <c r="M6159" s="203">
        <v>0</v>
      </c>
      <c r="N6159" s="203">
        <v>1</v>
      </c>
      <c r="O6159" s="203">
        <v>0</v>
      </c>
      <c r="P6159" s="211">
        <v>0</v>
      </c>
      <c r="Q6159" s="204" t="s">
        <v>154</v>
      </c>
    </row>
    <row r="6160" spans="1:17" s="162" customFormat="1" ht="72" x14ac:dyDescent="0.25">
      <c r="A6160" s="199">
        <v>42213</v>
      </c>
      <c r="B6160" s="199">
        <v>42213</v>
      </c>
      <c r="C6160" s="195">
        <v>2015</v>
      </c>
      <c r="D6160" s="351" t="s">
        <v>23</v>
      </c>
      <c r="E6160" s="22" t="s">
        <v>86</v>
      </c>
      <c r="F6160" s="7" t="s">
        <v>87</v>
      </c>
      <c r="G6160" s="200" t="s">
        <v>567</v>
      </c>
      <c r="H6160" s="196" t="s">
        <v>8769</v>
      </c>
      <c r="I6160" s="202">
        <v>1</v>
      </c>
      <c r="J6160" s="203">
        <v>5</v>
      </c>
      <c r="K6160" s="203">
        <v>0</v>
      </c>
      <c r="L6160" s="203">
        <v>0</v>
      </c>
      <c r="M6160" s="203">
        <v>0</v>
      </c>
      <c r="N6160" s="203">
        <v>0</v>
      </c>
      <c r="O6160" s="203">
        <v>0</v>
      </c>
      <c r="P6160" s="211">
        <v>0</v>
      </c>
      <c r="Q6160" s="204" t="s">
        <v>154</v>
      </c>
    </row>
    <row r="6161" spans="1:17" s="162" customFormat="1" ht="60" x14ac:dyDescent="0.25">
      <c r="A6161" s="199">
        <v>42213</v>
      </c>
      <c r="B6161" s="199">
        <v>42213</v>
      </c>
      <c r="C6161" s="195">
        <v>2015</v>
      </c>
      <c r="D6161" s="35" t="s">
        <v>28</v>
      </c>
      <c r="E6161" s="30" t="s">
        <v>133</v>
      </c>
      <c r="F6161" s="28" t="s">
        <v>157</v>
      </c>
      <c r="G6161" s="200" t="s">
        <v>716</v>
      </c>
      <c r="H6161" s="196" t="s">
        <v>8770</v>
      </c>
      <c r="I6161" s="202">
        <v>0</v>
      </c>
      <c r="J6161" s="203">
        <v>8</v>
      </c>
      <c r="K6161" s="203">
        <v>0</v>
      </c>
      <c r="L6161" s="203">
        <v>0</v>
      </c>
      <c r="M6161" s="203">
        <v>0</v>
      </c>
      <c r="N6161" s="203">
        <v>1</v>
      </c>
      <c r="O6161" s="203">
        <v>0</v>
      </c>
      <c r="P6161" s="211">
        <v>0</v>
      </c>
      <c r="Q6161" s="204" t="s">
        <v>154</v>
      </c>
    </row>
    <row r="6162" spans="1:17" s="162" customFormat="1" ht="72" x14ac:dyDescent="0.25">
      <c r="A6162" s="199">
        <v>42214</v>
      </c>
      <c r="B6162" s="199">
        <v>42214</v>
      </c>
      <c r="C6162" s="195">
        <v>2015</v>
      </c>
      <c r="D6162" s="24" t="s">
        <v>141</v>
      </c>
      <c r="E6162" s="30" t="s">
        <v>142</v>
      </c>
      <c r="F6162" s="7" t="s">
        <v>101</v>
      </c>
      <c r="G6162" s="200" t="s">
        <v>8771</v>
      </c>
      <c r="H6162" s="196" t="s">
        <v>8772</v>
      </c>
      <c r="I6162" s="202">
        <v>27</v>
      </c>
      <c r="J6162" s="210">
        <v>175</v>
      </c>
      <c r="K6162" s="203">
        <v>0</v>
      </c>
      <c r="L6162" s="203">
        <v>0</v>
      </c>
      <c r="M6162" s="203">
        <v>0</v>
      </c>
      <c r="N6162" s="203">
        <v>0</v>
      </c>
      <c r="O6162" s="203">
        <v>0</v>
      </c>
      <c r="P6162" s="211">
        <v>0</v>
      </c>
      <c r="Q6162" s="204" t="s">
        <v>154</v>
      </c>
    </row>
    <row r="6163" spans="1:17" s="162" customFormat="1" ht="48" x14ac:dyDescent="0.25">
      <c r="A6163" s="199">
        <v>42214</v>
      </c>
      <c r="B6163" s="199">
        <v>42214</v>
      </c>
      <c r="C6163" s="195">
        <v>2015</v>
      </c>
      <c r="D6163" s="24" t="s">
        <v>141</v>
      </c>
      <c r="E6163" s="30" t="s">
        <v>142</v>
      </c>
      <c r="F6163" s="7" t="s">
        <v>45</v>
      </c>
      <c r="G6163" s="200" t="s">
        <v>569</v>
      </c>
      <c r="H6163" s="196" t="s">
        <v>8773</v>
      </c>
      <c r="I6163" s="202">
        <v>4</v>
      </c>
      <c r="J6163" s="210">
        <v>4</v>
      </c>
      <c r="K6163" s="203">
        <v>0</v>
      </c>
      <c r="L6163" s="203">
        <v>0</v>
      </c>
      <c r="M6163" s="203">
        <v>0</v>
      </c>
      <c r="N6163" s="203">
        <v>0</v>
      </c>
      <c r="O6163" s="203">
        <v>0</v>
      </c>
      <c r="P6163" s="211">
        <v>2.2999999999999998</v>
      </c>
      <c r="Q6163" s="204" t="s">
        <v>154</v>
      </c>
    </row>
    <row r="6164" spans="1:17" s="162" customFormat="1" ht="60" x14ac:dyDescent="0.25">
      <c r="A6164" s="199">
        <v>42219</v>
      </c>
      <c r="B6164" s="199">
        <v>42219</v>
      </c>
      <c r="C6164" s="195">
        <v>2015</v>
      </c>
      <c r="D6164" s="24" t="s">
        <v>141</v>
      </c>
      <c r="E6164" s="30" t="s">
        <v>142</v>
      </c>
      <c r="F6164" s="28" t="s">
        <v>210</v>
      </c>
      <c r="G6164" s="200" t="s">
        <v>605</v>
      </c>
      <c r="H6164" s="196" t="s">
        <v>8774</v>
      </c>
      <c r="I6164" s="202">
        <v>1</v>
      </c>
      <c r="J6164" s="203">
        <v>2</v>
      </c>
      <c r="K6164" s="203">
        <v>0</v>
      </c>
      <c r="L6164" s="203">
        <v>0</v>
      </c>
      <c r="M6164" s="203">
        <v>0</v>
      </c>
      <c r="N6164" s="203">
        <v>0</v>
      </c>
      <c r="O6164" s="203">
        <v>0</v>
      </c>
      <c r="P6164" s="211">
        <v>2.2999999999999998</v>
      </c>
      <c r="Q6164" s="204" t="s">
        <v>154</v>
      </c>
    </row>
    <row r="6165" spans="1:17" s="162" customFormat="1" ht="48" x14ac:dyDescent="0.25">
      <c r="A6165" s="199">
        <v>42220</v>
      </c>
      <c r="B6165" s="199">
        <v>42220</v>
      </c>
      <c r="C6165" s="195">
        <v>2015</v>
      </c>
      <c r="D6165" s="35" t="s">
        <v>17</v>
      </c>
      <c r="E6165" s="217" t="s">
        <v>1600</v>
      </c>
      <c r="F6165" s="28" t="s">
        <v>157</v>
      </c>
      <c r="G6165" s="200" t="s">
        <v>1609</v>
      </c>
      <c r="H6165" s="196" t="s">
        <v>8775</v>
      </c>
      <c r="I6165" s="202">
        <v>1</v>
      </c>
      <c r="J6165" s="203">
        <v>4</v>
      </c>
      <c r="K6165" s="203">
        <v>0</v>
      </c>
      <c r="L6165" s="203">
        <v>0</v>
      </c>
      <c r="M6165" s="203">
        <v>0</v>
      </c>
      <c r="N6165" s="203">
        <v>0</v>
      </c>
      <c r="O6165" s="203">
        <v>0</v>
      </c>
      <c r="P6165" s="211">
        <v>0</v>
      </c>
      <c r="Q6165" s="204" t="s">
        <v>154</v>
      </c>
    </row>
    <row r="6166" spans="1:17" s="162" customFormat="1" ht="72" x14ac:dyDescent="0.25">
      <c r="A6166" s="199">
        <v>42221</v>
      </c>
      <c r="B6166" s="199">
        <v>42221</v>
      </c>
      <c r="C6166" s="195">
        <v>2015</v>
      </c>
      <c r="D6166" s="351" t="s">
        <v>23</v>
      </c>
      <c r="E6166" s="22" t="s">
        <v>86</v>
      </c>
      <c r="F6166" s="7" t="s">
        <v>58</v>
      </c>
      <c r="G6166" s="200" t="s">
        <v>336</v>
      </c>
      <c r="H6166" s="196" t="s">
        <v>8776</v>
      </c>
      <c r="I6166" s="202">
        <v>0</v>
      </c>
      <c r="J6166" s="203">
        <v>250</v>
      </c>
      <c r="K6166" s="203">
        <v>50</v>
      </c>
      <c r="L6166" s="203">
        <v>0</v>
      </c>
      <c r="M6166" s="203">
        <v>1</v>
      </c>
      <c r="N6166" s="203">
        <v>0</v>
      </c>
      <c r="O6166" s="203">
        <v>0</v>
      </c>
      <c r="P6166" s="211">
        <v>1.6E-2</v>
      </c>
      <c r="Q6166" s="204" t="s">
        <v>154</v>
      </c>
    </row>
    <row r="6167" spans="1:17" s="162" customFormat="1" ht="48" x14ac:dyDescent="0.25">
      <c r="A6167" s="199">
        <v>42222</v>
      </c>
      <c r="B6167" s="199">
        <v>42222</v>
      </c>
      <c r="C6167" s="195">
        <v>2015</v>
      </c>
      <c r="D6167" s="24" t="s">
        <v>141</v>
      </c>
      <c r="E6167" s="30" t="s">
        <v>142</v>
      </c>
      <c r="F6167" s="7" t="s">
        <v>53</v>
      </c>
      <c r="G6167" s="200" t="s">
        <v>460</v>
      </c>
      <c r="H6167" s="196" t="s">
        <v>8777</v>
      </c>
      <c r="I6167" s="202">
        <v>0</v>
      </c>
      <c r="J6167" s="203">
        <v>15</v>
      </c>
      <c r="K6167" s="203">
        <v>0</v>
      </c>
      <c r="L6167" s="203">
        <v>0</v>
      </c>
      <c r="M6167" s="203">
        <v>0</v>
      </c>
      <c r="N6167" s="203">
        <v>0</v>
      </c>
      <c r="O6167" s="203">
        <v>0</v>
      </c>
      <c r="P6167" s="211">
        <v>0</v>
      </c>
      <c r="Q6167" s="204" t="s">
        <v>154</v>
      </c>
    </row>
    <row r="6168" spans="1:17" s="162" customFormat="1" ht="108" x14ac:dyDescent="0.25">
      <c r="A6168" s="199">
        <v>42224</v>
      </c>
      <c r="B6168" s="199">
        <v>42224</v>
      </c>
      <c r="C6168" s="195">
        <v>2015</v>
      </c>
      <c r="D6168" s="24" t="s">
        <v>141</v>
      </c>
      <c r="E6168" s="30" t="s">
        <v>142</v>
      </c>
      <c r="F6168" s="28" t="s">
        <v>210</v>
      </c>
      <c r="G6168" s="200" t="s">
        <v>8778</v>
      </c>
      <c r="H6168" s="196" t="s">
        <v>8779</v>
      </c>
      <c r="I6168" s="202">
        <v>4</v>
      </c>
      <c r="J6168" s="203">
        <v>17</v>
      </c>
      <c r="K6168" s="203">
        <v>0</v>
      </c>
      <c r="L6168" s="203">
        <v>0</v>
      </c>
      <c r="M6168" s="203">
        <v>0</v>
      </c>
      <c r="N6168" s="203">
        <v>0</v>
      </c>
      <c r="O6168" s="203">
        <v>0</v>
      </c>
      <c r="P6168" s="211">
        <v>0.46</v>
      </c>
      <c r="Q6168" s="204" t="s">
        <v>154</v>
      </c>
    </row>
    <row r="6169" spans="1:17" s="162" customFormat="1" ht="60" x14ac:dyDescent="0.25">
      <c r="A6169" s="199">
        <v>42224</v>
      </c>
      <c r="B6169" s="199">
        <v>42224</v>
      </c>
      <c r="C6169" s="195">
        <v>2015</v>
      </c>
      <c r="D6169" s="24" t="s">
        <v>141</v>
      </c>
      <c r="E6169" s="30" t="s">
        <v>142</v>
      </c>
      <c r="F6169" s="28" t="s">
        <v>157</v>
      </c>
      <c r="G6169" s="200" t="s">
        <v>206</v>
      </c>
      <c r="H6169" s="196" t="s">
        <v>8780</v>
      </c>
      <c r="I6169" s="202">
        <v>0</v>
      </c>
      <c r="J6169" s="203">
        <v>6</v>
      </c>
      <c r="K6169" s="203">
        <v>0</v>
      </c>
      <c r="L6169" s="203">
        <v>0</v>
      </c>
      <c r="M6169" s="203">
        <v>0</v>
      </c>
      <c r="N6169" s="203">
        <v>0</v>
      </c>
      <c r="O6169" s="203">
        <v>0</v>
      </c>
      <c r="P6169" s="211">
        <v>0.16</v>
      </c>
      <c r="Q6169" s="204" t="s">
        <v>154</v>
      </c>
    </row>
    <row r="6170" spans="1:17" s="162" customFormat="1" ht="84" x14ac:dyDescent="0.25">
      <c r="A6170" s="48">
        <v>42225</v>
      </c>
      <c r="B6170" s="48">
        <v>42225</v>
      </c>
      <c r="C6170" s="195">
        <v>2015</v>
      </c>
      <c r="D6170" s="351" t="s">
        <v>23</v>
      </c>
      <c r="E6170" s="14" t="s">
        <v>52</v>
      </c>
      <c r="F6170" s="7" t="s">
        <v>84</v>
      </c>
      <c r="G6170" s="33" t="s">
        <v>8781</v>
      </c>
      <c r="H6170" s="220" t="s">
        <v>8782</v>
      </c>
      <c r="I6170" s="213">
        <v>0</v>
      </c>
      <c r="J6170" s="31">
        <v>5232</v>
      </c>
      <c r="K6170" s="203">
        <v>0</v>
      </c>
      <c r="L6170" s="203">
        <v>0</v>
      </c>
      <c r="M6170" s="203">
        <v>0</v>
      </c>
      <c r="N6170" s="203">
        <v>0</v>
      </c>
      <c r="O6170" s="203">
        <v>0</v>
      </c>
      <c r="P6170" s="26">
        <v>4.8689999999999998</v>
      </c>
      <c r="Q6170" s="172" t="s">
        <v>186</v>
      </c>
    </row>
    <row r="6171" spans="1:17" s="162" customFormat="1" ht="60" x14ac:dyDescent="0.25">
      <c r="A6171" s="199">
        <v>42226</v>
      </c>
      <c r="B6171" s="199">
        <v>42226</v>
      </c>
      <c r="C6171" s="195">
        <v>2015</v>
      </c>
      <c r="D6171" s="351" t="s">
        <v>23</v>
      </c>
      <c r="E6171" s="22" t="s">
        <v>86</v>
      </c>
      <c r="F6171" s="28" t="s">
        <v>151</v>
      </c>
      <c r="G6171" s="200" t="s">
        <v>1477</v>
      </c>
      <c r="H6171" s="196" t="s">
        <v>8783</v>
      </c>
      <c r="I6171" s="202">
        <v>1</v>
      </c>
      <c r="J6171" s="203">
        <v>49</v>
      </c>
      <c r="K6171" s="203">
        <v>7</v>
      </c>
      <c r="L6171" s="203">
        <v>0</v>
      </c>
      <c r="M6171" s="203">
        <v>0</v>
      </c>
      <c r="N6171" s="203">
        <v>0</v>
      </c>
      <c r="O6171" s="203">
        <v>0</v>
      </c>
      <c r="P6171" s="211">
        <v>2E-3</v>
      </c>
      <c r="Q6171" s="204" t="s">
        <v>154</v>
      </c>
    </row>
    <row r="6172" spans="1:17" s="162" customFormat="1" ht="108" x14ac:dyDescent="0.25">
      <c r="A6172" s="199">
        <v>42226</v>
      </c>
      <c r="B6172" s="199">
        <v>42226</v>
      </c>
      <c r="C6172" s="195">
        <v>2015</v>
      </c>
      <c r="D6172" s="35" t="s">
        <v>28</v>
      </c>
      <c r="E6172" s="6" t="s">
        <v>149</v>
      </c>
      <c r="F6172" s="7" t="s">
        <v>53</v>
      </c>
      <c r="G6172" s="200" t="s">
        <v>6691</v>
      </c>
      <c r="H6172" s="196" t="s">
        <v>8784</v>
      </c>
      <c r="I6172" s="202">
        <v>1</v>
      </c>
      <c r="J6172" s="203">
        <v>5</v>
      </c>
      <c r="K6172" s="203">
        <v>0</v>
      </c>
      <c r="L6172" s="203">
        <v>0</v>
      </c>
      <c r="M6172" s="203">
        <v>0</v>
      </c>
      <c r="N6172" s="203">
        <v>1</v>
      </c>
      <c r="O6172" s="203">
        <v>0</v>
      </c>
      <c r="P6172" s="211">
        <v>0</v>
      </c>
      <c r="Q6172" s="204" t="s">
        <v>8785</v>
      </c>
    </row>
    <row r="6173" spans="1:17" s="162" customFormat="1" ht="192" x14ac:dyDescent="0.25">
      <c r="A6173" s="199">
        <v>42227</v>
      </c>
      <c r="B6173" s="199">
        <v>42227</v>
      </c>
      <c r="C6173" s="195">
        <v>2015</v>
      </c>
      <c r="D6173" s="35" t="s">
        <v>28</v>
      </c>
      <c r="E6173" s="30" t="s">
        <v>133</v>
      </c>
      <c r="F6173" s="7" t="s">
        <v>68</v>
      </c>
      <c r="G6173" s="200" t="s">
        <v>5096</v>
      </c>
      <c r="H6173" s="196" t="s">
        <v>8786</v>
      </c>
      <c r="I6173" s="202">
        <v>5</v>
      </c>
      <c r="J6173" s="203" t="s">
        <v>110</v>
      </c>
      <c r="K6173" s="203">
        <v>0</v>
      </c>
      <c r="L6173" s="203">
        <v>0</v>
      </c>
      <c r="M6173" s="203">
        <v>0</v>
      </c>
      <c r="N6173" s="203">
        <v>1</v>
      </c>
      <c r="O6173" s="203">
        <v>0</v>
      </c>
      <c r="P6173" s="211">
        <v>0</v>
      </c>
      <c r="Q6173" s="204" t="s">
        <v>154</v>
      </c>
    </row>
    <row r="6174" spans="1:17" s="162" customFormat="1" ht="96" x14ac:dyDescent="0.25">
      <c r="A6174" s="199">
        <v>42227</v>
      </c>
      <c r="B6174" s="199">
        <v>42227</v>
      </c>
      <c r="C6174" s="195">
        <v>2015</v>
      </c>
      <c r="D6174" s="35" t="s">
        <v>28</v>
      </c>
      <c r="E6174" s="6" t="s">
        <v>149</v>
      </c>
      <c r="F6174" s="7" t="s">
        <v>53</v>
      </c>
      <c r="G6174" s="200" t="s">
        <v>2224</v>
      </c>
      <c r="H6174" s="196" t="s">
        <v>8787</v>
      </c>
      <c r="I6174" s="202">
        <v>0</v>
      </c>
      <c r="J6174" s="203">
        <v>400</v>
      </c>
      <c r="K6174" s="203">
        <v>0</v>
      </c>
      <c r="L6174" s="203">
        <v>0</v>
      </c>
      <c r="M6174" s="203">
        <v>0</v>
      </c>
      <c r="N6174" s="203">
        <v>2</v>
      </c>
      <c r="O6174" s="203">
        <v>0</v>
      </c>
      <c r="P6174" s="211">
        <v>0</v>
      </c>
      <c r="Q6174" s="204" t="s">
        <v>154</v>
      </c>
    </row>
    <row r="6175" spans="1:17" s="162" customFormat="1" ht="108" x14ac:dyDescent="0.25">
      <c r="A6175" s="199">
        <v>42228</v>
      </c>
      <c r="B6175" s="199">
        <v>42228</v>
      </c>
      <c r="C6175" s="195">
        <v>2015</v>
      </c>
      <c r="D6175" s="24" t="s">
        <v>141</v>
      </c>
      <c r="E6175" s="30" t="s">
        <v>142</v>
      </c>
      <c r="F6175" s="7" t="s">
        <v>75</v>
      </c>
      <c r="G6175" s="200" t="s">
        <v>8788</v>
      </c>
      <c r="H6175" s="196" t="s">
        <v>8789</v>
      </c>
      <c r="I6175" s="202">
        <v>0</v>
      </c>
      <c r="J6175" s="203">
        <v>14</v>
      </c>
      <c r="K6175" s="203">
        <v>0</v>
      </c>
      <c r="L6175" s="203">
        <v>0</v>
      </c>
      <c r="M6175" s="203">
        <v>0</v>
      </c>
      <c r="N6175" s="203">
        <v>0</v>
      </c>
      <c r="O6175" s="203">
        <v>0</v>
      </c>
      <c r="P6175" s="211">
        <v>0</v>
      </c>
      <c r="Q6175" s="204" t="s">
        <v>154</v>
      </c>
    </row>
    <row r="6176" spans="1:17" s="162" customFormat="1" ht="144" x14ac:dyDescent="0.25">
      <c r="A6176" s="199">
        <v>42229</v>
      </c>
      <c r="B6176" s="199">
        <v>42229</v>
      </c>
      <c r="C6176" s="195">
        <v>2015</v>
      </c>
      <c r="D6176" s="35" t="s">
        <v>28</v>
      </c>
      <c r="E6176" s="30" t="s">
        <v>133</v>
      </c>
      <c r="F6176" s="7" t="s">
        <v>56</v>
      </c>
      <c r="G6176" s="200" t="s">
        <v>358</v>
      </c>
      <c r="H6176" s="196" t="s">
        <v>8790</v>
      </c>
      <c r="I6176" s="202">
        <v>1</v>
      </c>
      <c r="J6176" s="203">
        <v>14</v>
      </c>
      <c r="K6176" s="203">
        <v>0</v>
      </c>
      <c r="L6176" s="203">
        <v>0</v>
      </c>
      <c r="M6176" s="203">
        <v>0</v>
      </c>
      <c r="N6176" s="203">
        <v>1</v>
      </c>
      <c r="O6176" s="203">
        <v>0</v>
      </c>
      <c r="P6176" s="211">
        <v>0</v>
      </c>
      <c r="Q6176" s="204" t="s">
        <v>154</v>
      </c>
    </row>
    <row r="6177" spans="1:17" s="162" customFormat="1" ht="108" x14ac:dyDescent="0.25">
      <c r="A6177" s="199">
        <v>42231</v>
      </c>
      <c r="B6177" s="199">
        <v>42231</v>
      </c>
      <c r="C6177" s="195">
        <v>2015</v>
      </c>
      <c r="D6177" s="24" t="s">
        <v>141</v>
      </c>
      <c r="E6177" s="30" t="s">
        <v>142</v>
      </c>
      <c r="F6177" s="7" t="s">
        <v>62</v>
      </c>
      <c r="G6177" s="200" t="s">
        <v>1011</v>
      </c>
      <c r="H6177" s="196" t="s">
        <v>8791</v>
      </c>
      <c r="I6177" s="202">
        <v>1</v>
      </c>
      <c r="J6177" s="203">
        <v>3</v>
      </c>
      <c r="K6177" s="203">
        <v>0</v>
      </c>
      <c r="L6177" s="203">
        <v>0</v>
      </c>
      <c r="M6177" s="203">
        <v>0</v>
      </c>
      <c r="N6177" s="203">
        <v>0</v>
      </c>
      <c r="O6177" s="203">
        <v>0</v>
      </c>
      <c r="P6177" s="211">
        <v>2.375</v>
      </c>
      <c r="Q6177" s="204" t="s">
        <v>154</v>
      </c>
    </row>
    <row r="6178" spans="1:17" s="162" customFormat="1" ht="84" x14ac:dyDescent="0.25">
      <c r="A6178" s="48">
        <v>42231</v>
      </c>
      <c r="B6178" s="48">
        <v>42232</v>
      </c>
      <c r="C6178" s="195">
        <v>2015</v>
      </c>
      <c r="D6178" s="351" t="s">
        <v>23</v>
      </c>
      <c r="E6178" s="14" t="s">
        <v>52</v>
      </c>
      <c r="F6178" s="7" t="s">
        <v>84</v>
      </c>
      <c r="G6178" s="33" t="s">
        <v>5896</v>
      </c>
      <c r="H6178" s="220" t="s">
        <v>8792</v>
      </c>
      <c r="I6178" s="213">
        <v>0</v>
      </c>
      <c r="J6178" s="31">
        <v>4425</v>
      </c>
      <c r="K6178" s="203">
        <v>0</v>
      </c>
      <c r="L6178" s="203">
        <v>0</v>
      </c>
      <c r="M6178" s="203">
        <v>0</v>
      </c>
      <c r="N6178" s="203">
        <v>0</v>
      </c>
      <c r="O6178" s="203">
        <v>0</v>
      </c>
      <c r="P6178" s="26">
        <v>3.633</v>
      </c>
      <c r="Q6178" s="172" t="s">
        <v>186</v>
      </c>
    </row>
    <row r="6179" spans="1:17" s="162" customFormat="1" ht="108" x14ac:dyDescent="0.25">
      <c r="A6179" s="199">
        <v>42232</v>
      </c>
      <c r="B6179" s="199">
        <v>42232</v>
      </c>
      <c r="C6179" s="195">
        <v>2015</v>
      </c>
      <c r="D6179" s="24" t="s">
        <v>141</v>
      </c>
      <c r="E6179" s="30" t="s">
        <v>142</v>
      </c>
      <c r="F6179" s="7" t="s">
        <v>62</v>
      </c>
      <c r="G6179" s="200" t="s">
        <v>1011</v>
      </c>
      <c r="H6179" s="196" t="s">
        <v>8793</v>
      </c>
      <c r="I6179" s="202">
        <v>9</v>
      </c>
      <c r="J6179" s="203">
        <v>9</v>
      </c>
      <c r="K6179" s="203">
        <v>0</v>
      </c>
      <c r="L6179" s="203">
        <v>0</v>
      </c>
      <c r="M6179" s="203">
        <v>0</v>
      </c>
      <c r="N6179" s="203">
        <v>0</v>
      </c>
      <c r="O6179" s="203">
        <v>0</v>
      </c>
      <c r="P6179" s="211">
        <v>0.32800000000000001</v>
      </c>
      <c r="Q6179" s="204" t="s">
        <v>154</v>
      </c>
    </row>
    <row r="6180" spans="1:17" s="162" customFormat="1" ht="84" x14ac:dyDescent="0.25">
      <c r="A6180" s="199">
        <v>42232</v>
      </c>
      <c r="B6180" s="199">
        <v>42232</v>
      </c>
      <c r="C6180" s="195">
        <v>2015</v>
      </c>
      <c r="D6180" s="35" t="s">
        <v>28</v>
      </c>
      <c r="E6180" s="6" t="s">
        <v>149</v>
      </c>
      <c r="F6180" s="7" t="s">
        <v>53</v>
      </c>
      <c r="G6180" s="200" t="s">
        <v>1304</v>
      </c>
      <c r="H6180" s="196" t="s">
        <v>8794</v>
      </c>
      <c r="I6180" s="202">
        <v>0</v>
      </c>
      <c r="J6180" s="203">
        <v>1</v>
      </c>
      <c r="K6180" s="203">
        <v>0</v>
      </c>
      <c r="L6180" s="203">
        <v>0</v>
      </c>
      <c r="M6180" s="203">
        <v>0</v>
      </c>
      <c r="N6180" s="203">
        <v>2</v>
      </c>
      <c r="O6180" s="203">
        <v>0</v>
      </c>
      <c r="P6180" s="211">
        <v>0</v>
      </c>
      <c r="Q6180" s="204" t="s">
        <v>154</v>
      </c>
    </row>
    <row r="6181" spans="1:17" s="162" customFormat="1" ht="108" x14ac:dyDescent="0.25">
      <c r="A6181" s="199">
        <v>42234</v>
      </c>
      <c r="B6181" s="199">
        <v>42234</v>
      </c>
      <c r="C6181" s="195">
        <v>2015</v>
      </c>
      <c r="D6181" s="35" t="s">
        <v>28</v>
      </c>
      <c r="E6181" s="6" t="s">
        <v>369</v>
      </c>
      <c r="F6181" s="28" t="s">
        <v>160</v>
      </c>
      <c r="G6181" s="200" t="s">
        <v>5968</v>
      </c>
      <c r="H6181" s="196" t="s">
        <v>8795</v>
      </c>
      <c r="I6181" s="202">
        <v>0</v>
      </c>
      <c r="J6181" s="203">
        <v>200</v>
      </c>
      <c r="K6181" s="203">
        <v>0</v>
      </c>
      <c r="L6181" s="203">
        <v>0</v>
      </c>
      <c r="M6181" s="203">
        <v>0</v>
      </c>
      <c r="N6181" s="203">
        <v>0</v>
      </c>
      <c r="O6181" s="203">
        <v>0</v>
      </c>
      <c r="P6181" s="211">
        <v>0</v>
      </c>
      <c r="Q6181" s="204"/>
    </row>
    <row r="6182" spans="1:17" s="162" customFormat="1" ht="132" x14ac:dyDescent="0.25">
      <c r="A6182" s="199">
        <v>42237</v>
      </c>
      <c r="B6182" s="199">
        <v>42237</v>
      </c>
      <c r="C6182" s="195">
        <v>2015</v>
      </c>
      <c r="D6182" s="24" t="s">
        <v>141</v>
      </c>
      <c r="E6182" s="30" t="s">
        <v>142</v>
      </c>
      <c r="F6182" s="7" t="s">
        <v>53</v>
      </c>
      <c r="G6182" s="200" t="s">
        <v>460</v>
      </c>
      <c r="H6182" s="196" t="s">
        <v>8796</v>
      </c>
      <c r="I6182" s="202">
        <v>0</v>
      </c>
      <c r="J6182" s="203">
        <v>0</v>
      </c>
      <c r="K6182" s="203">
        <v>0</v>
      </c>
      <c r="L6182" s="203">
        <v>0</v>
      </c>
      <c r="M6182" s="203">
        <v>0</v>
      </c>
      <c r="N6182" s="203">
        <v>0</v>
      </c>
      <c r="O6182" s="203">
        <v>0</v>
      </c>
      <c r="P6182" s="211">
        <v>0.47299999999999998</v>
      </c>
      <c r="Q6182" s="204" t="s">
        <v>154</v>
      </c>
    </row>
    <row r="6183" spans="1:17" s="162" customFormat="1" ht="84" x14ac:dyDescent="0.25">
      <c r="A6183" s="199">
        <v>42239</v>
      </c>
      <c r="B6183" s="199">
        <v>42239</v>
      </c>
      <c r="C6183" s="195">
        <v>2015</v>
      </c>
      <c r="D6183" s="24" t="s">
        <v>141</v>
      </c>
      <c r="E6183" s="30" t="s">
        <v>142</v>
      </c>
      <c r="F6183" s="25" t="s">
        <v>781</v>
      </c>
      <c r="G6183" s="200" t="s">
        <v>1580</v>
      </c>
      <c r="H6183" s="196" t="s">
        <v>8797</v>
      </c>
      <c r="I6183" s="202">
        <v>0</v>
      </c>
      <c r="J6183" s="203">
        <v>8</v>
      </c>
      <c r="K6183" s="203">
        <v>0</v>
      </c>
      <c r="L6183" s="203">
        <v>0</v>
      </c>
      <c r="M6183" s="203">
        <v>0</v>
      </c>
      <c r="N6183" s="203">
        <v>0</v>
      </c>
      <c r="O6183" s="203">
        <v>0</v>
      </c>
      <c r="P6183" s="211">
        <v>0.42</v>
      </c>
      <c r="Q6183" s="204" t="s">
        <v>154</v>
      </c>
    </row>
    <row r="6184" spans="1:17" s="162" customFormat="1" ht="132" x14ac:dyDescent="0.25">
      <c r="A6184" s="199">
        <v>42240</v>
      </c>
      <c r="B6184" s="199">
        <v>42240</v>
      </c>
      <c r="C6184" s="195">
        <v>2015</v>
      </c>
      <c r="D6184" s="24" t="s">
        <v>141</v>
      </c>
      <c r="E6184" s="30" t="s">
        <v>142</v>
      </c>
      <c r="F6184" s="7" t="s">
        <v>25</v>
      </c>
      <c r="G6184" s="200" t="s">
        <v>8798</v>
      </c>
      <c r="H6184" s="196" t="s">
        <v>8799</v>
      </c>
      <c r="I6184" s="202">
        <v>0</v>
      </c>
      <c r="J6184" s="203">
        <v>0</v>
      </c>
      <c r="K6184" s="203">
        <v>0</v>
      </c>
      <c r="L6184" s="203">
        <v>0</v>
      </c>
      <c r="M6184" s="203">
        <v>0</v>
      </c>
      <c r="N6184" s="203">
        <v>0</v>
      </c>
      <c r="O6184" s="203">
        <v>0</v>
      </c>
      <c r="P6184" s="211">
        <v>0</v>
      </c>
      <c r="Q6184" s="204" t="s">
        <v>154</v>
      </c>
    </row>
    <row r="6185" spans="1:17" s="162" customFormat="1" ht="180" x14ac:dyDescent="0.25">
      <c r="A6185" s="199">
        <v>42240</v>
      </c>
      <c r="B6185" s="199">
        <v>42240</v>
      </c>
      <c r="C6185" s="195">
        <v>2015</v>
      </c>
      <c r="D6185" s="35" t="s">
        <v>28</v>
      </c>
      <c r="E6185" s="30" t="s">
        <v>133</v>
      </c>
      <c r="F6185" s="28" t="s">
        <v>210</v>
      </c>
      <c r="G6185" s="200" t="s">
        <v>8800</v>
      </c>
      <c r="H6185" s="196" t="s">
        <v>8801</v>
      </c>
      <c r="I6185" s="202">
        <v>0</v>
      </c>
      <c r="J6185" s="203">
        <v>4000</v>
      </c>
      <c r="K6185" s="203">
        <v>0</v>
      </c>
      <c r="L6185" s="203">
        <v>0</v>
      </c>
      <c r="M6185" s="203">
        <v>0</v>
      </c>
      <c r="N6185" s="203">
        <v>0</v>
      </c>
      <c r="O6185" s="203">
        <v>0</v>
      </c>
      <c r="P6185" s="211">
        <v>0</v>
      </c>
      <c r="Q6185" s="204" t="s">
        <v>154</v>
      </c>
    </row>
    <row r="6186" spans="1:17" s="162" customFormat="1" ht="108" x14ac:dyDescent="0.25">
      <c r="A6186" s="199">
        <v>42241</v>
      </c>
      <c r="B6186" s="199">
        <v>42241</v>
      </c>
      <c r="C6186" s="195">
        <v>2015</v>
      </c>
      <c r="D6186" s="24" t="s">
        <v>141</v>
      </c>
      <c r="E6186" s="30" t="s">
        <v>142</v>
      </c>
      <c r="F6186" s="7" t="s">
        <v>45</v>
      </c>
      <c r="G6186" s="200" t="s">
        <v>1920</v>
      </c>
      <c r="H6186" s="196" t="s">
        <v>8802</v>
      </c>
      <c r="I6186" s="202">
        <v>0</v>
      </c>
      <c r="J6186" s="203">
        <v>2</v>
      </c>
      <c r="K6186" s="203">
        <v>0</v>
      </c>
      <c r="L6186" s="203">
        <v>0</v>
      </c>
      <c r="M6186" s="203">
        <v>0</v>
      </c>
      <c r="N6186" s="203">
        <v>0</v>
      </c>
      <c r="O6186" s="203">
        <v>0</v>
      </c>
      <c r="P6186" s="211">
        <v>0</v>
      </c>
      <c r="Q6186" s="204" t="s">
        <v>154</v>
      </c>
    </row>
    <row r="6187" spans="1:17" s="162" customFormat="1" ht="252" x14ac:dyDescent="0.25">
      <c r="A6187" s="199">
        <v>42246</v>
      </c>
      <c r="B6187" s="199">
        <v>42246</v>
      </c>
      <c r="C6187" s="195">
        <v>2015</v>
      </c>
      <c r="D6187" s="351" t="s">
        <v>23</v>
      </c>
      <c r="E6187" s="22" t="s">
        <v>86</v>
      </c>
      <c r="F6187" s="7" t="s">
        <v>53</v>
      </c>
      <c r="G6187" s="200" t="s">
        <v>8803</v>
      </c>
      <c r="H6187" s="196" t="s">
        <v>8804</v>
      </c>
      <c r="I6187" s="213">
        <v>3</v>
      </c>
      <c r="J6187" s="203">
        <v>63</v>
      </c>
      <c r="K6187" s="203">
        <v>12</v>
      </c>
      <c r="L6187" s="203">
        <v>0</v>
      </c>
      <c r="M6187" s="203">
        <v>0</v>
      </c>
      <c r="N6187" s="203">
        <v>0</v>
      </c>
      <c r="O6187" s="203">
        <v>0</v>
      </c>
      <c r="P6187" s="211">
        <v>1.2999999999999999E-2</v>
      </c>
      <c r="Q6187" s="204" t="s">
        <v>154</v>
      </c>
    </row>
    <row r="6188" spans="1:17" s="162" customFormat="1" ht="144" x14ac:dyDescent="0.25">
      <c r="A6188" s="199">
        <v>42246</v>
      </c>
      <c r="B6188" s="199">
        <v>42246</v>
      </c>
      <c r="C6188" s="195">
        <v>2015</v>
      </c>
      <c r="D6188" s="24" t="s">
        <v>141</v>
      </c>
      <c r="E6188" s="217" t="s">
        <v>39</v>
      </c>
      <c r="F6188" s="7" t="s">
        <v>58</v>
      </c>
      <c r="G6188" s="200" t="s">
        <v>8635</v>
      </c>
      <c r="H6188" s="196" t="s">
        <v>8805</v>
      </c>
      <c r="I6188" s="202">
        <v>2</v>
      </c>
      <c r="J6188" s="203">
        <v>5</v>
      </c>
      <c r="K6188" s="203">
        <v>0</v>
      </c>
      <c r="L6188" s="203">
        <v>0</v>
      </c>
      <c r="M6188" s="203">
        <v>0</v>
      </c>
      <c r="N6188" s="203">
        <v>0</v>
      </c>
      <c r="O6188" s="203">
        <v>0</v>
      </c>
      <c r="P6188" s="211">
        <v>0</v>
      </c>
      <c r="Q6188" s="204" t="s">
        <v>154</v>
      </c>
    </row>
    <row r="6189" spans="1:17" s="162" customFormat="1" ht="156" x14ac:dyDescent="0.25">
      <c r="A6189" s="199">
        <v>42247</v>
      </c>
      <c r="B6189" s="199">
        <v>42247</v>
      </c>
      <c r="C6189" s="195">
        <v>2015</v>
      </c>
      <c r="D6189" s="351" t="s">
        <v>23</v>
      </c>
      <c r="E6189" s="22" t="s">
        <v>86</v>
      </c>
      <c r="F6189" s="7" t="s">
        <v>91</v>
      </c>
      <c r="G6189" s="200" t="s">
        <v>1874</v>
      </c>
      <c r="H6189" s="196" t="s">
        <v>8806</v>
      </c>
      <c r="I6189" s="202">
        <v>3</v>
      </c>
      <c r="J6189" s="203" t="s">
        <v>110</v>
      </c>
      <c r="K6189" s="203">
        <v>0</v>
      </c>
      <c r="L6189" s="203">
        <v>0</v>
      </c>
      <c r="M6189" s="203">
        <v>0</v>
      </c>
      <c r="N6189" s="203">
        <v>0</v>
      </c>
      <c r="O6189" s="203">
        <v>0</v>
      </c>
      <c r="P6189" s="211">
        <v>0</v>
      </c>
      <c r="Q6189" s="204" t="s">
        <v>154</v>
      </c>
    </row>
    <row r="6190" spans="1:17" s="162" customFormat="1" ht="84" x14ac:dyDescent="0.25">
      <c r="A6190" s="48">
        <v>42248</v>
      </c>
      <c r="B6190" s="48">
        <v>42249</v>
      </c>
      <c r="C6190" s="195">
        <v>2015</v>
      </c>
      <c r="D6190" s="351" t="s">
        <v>23</v>
      </c>
      <c r="E6190" s="22" t="s">
        <v>86</v>
      </c>
      <c r="F6190" s="28" t="s">
        <v>210</v>
      </c>
      <c r="G6190" s="33" t="s">
        <v>8807</v>
      </c>
      <c r="H6190" s="220" t="s">
        <v>8808</v>
      </c>
      <c r="I6190" s="213">
        <v>0</v>
      </c>
      <c r="J6190" s="31">
        <v>6320</v>
      </c>
      <c r="K6190" s="203">
        <v>0</v>
      </c>
      <c r="L6190" s="203">
        <v>0</v>
      </c>
      <c r="M6190" s="203">
        <v>0</v>
      </c>
      <c r="N6190" s="203">
        <v>0</v>
      </c>
      <c r="O6190" s="203">
        <v>0</v>
      </c>
      <c r="P6190" s="211">
        <v>9.6560000000000006</v>
      </c>
      <c r="Q6190" s="172" t="s">
        <v>186</v>
      </c>
    </row>
    <row r="6191" spans="1:17" s="162" customFormat="1" ht="96" x14ac:dyDescent="0.25">
      <c r="A6191" s="199">
        <v>42249</v>
      </c>
      <c r="B6191" s="199">
        <v>42249</v>
      </c>
      <c r="C6191" s="195">
        <v>2015</v>
      </c>
      <c r="D6191" s="35" t="s">
        <v>28</v>
      </c>
      <c r="E6191" s="6" t="s">
        <v>369</v>
      </c>
      <c r="F6191" s="7" t="s">
        <v>87</v>
      </c>
      <c r="G6191" s="200" t="s">
        <v>2643</v>
      </c>
      <c r="H6191" s="196" t="s">
        <v>8809</v>
      </c>
      <c r="I6191" s="202">
        <v>0</v>
      </c>
      <c r="J6191" s="203">
        <v>0</v>
      </c>
      <c r="K6191" s="203">
        <v>0</v>
      </c>
      <c r="L6191" s="203">
        <v>0</v>
      </c>
      <c r="M6191" s="203">
        <v>0</v>
      </c>
      <c r="N6191" s="203">
        <v>0</v>
      </c>
      <c r="O6191" s="203">
        <v>0</v>
      </c>
      <c r="P6191" s="211">
        <v>3.01</v>
      </c>
      <c r="Q6191" s="204" t="s">
        <v>154</v>
      </c>
    </row>
    <row r="6192" spans="1:17" s="162" customFormat="1" ht="120" x14ac:dyDescent="0.25">
      <c r="A6192" s="199">
        <v>42250</v>
      </c>
      <c r="B6192" s="199">
        <v>42250</v>
      </c>
      <c r="C6192" s="195">
        <v>2015</v>
      </c>
      <c r="D6192" s="351" t="s">
        <v>23</v>
      </c>
      <c r="E6192" s="22" t="s">
        <v>86</v>
      </c>
      <c r="F6192" s="28" t="s">
        <v>157</v>
      </c>
      <c r="G6192" s="200" t="s">
        <v>8810</v>
      </c>
      <c r="H6192" s="196" t="s">
        <v>8811</v>
      </c>
      <c r="I6192" s="202">
        <v>0</v>
      </c>
      <c r="J6192" s="203">
        <v>200</v>
      </c>
      <c r="K6192" s="203">
        <v>34</v>
      </c>
      <c r="L6192" s="203">
        <v>0</v>
      </c>
      <c r="M6192" s="203">
        <v>0</v>
      </c>
      <c r="N6192" s="203">
        <v>0</v>
      </c>
      <c r="O6192" s="203">
        <v>0</v>
      </c>
      <c r="P6192" s="211">
        <v>3.5999999999999997E-2</v>
      </c>
      <c r="Q6192" s="204" t="s">
        <v>154</v>
      </c>
    </row>
    <row r="6193" spans="1:17" s="162" customFormat="1" ht="180" x14ac:dyDescent="0.25">
      <c r="A6193" s="199">
        <v>42252</v>
      </c>
      <c r="B6193" s="199">
        <v>42252</v>
      </c>
      <c r="C6193" s="195">
        <v>2015</v>
      </c>
      <c r="D6193" s="24" t="s">
        <v>141</v>
      </c>
      <c r="E6193" s="30" t="s">
        <v>142</v>
      </c>
      <c r="F6193" s="28" t="s">
        <v>210</v>
      </c>
      <c r="G6193" s="200" t="s">
        <v>4404</v>
      </c>
      <c r="H6193" s="196" t="s">
        <v>8812</v>
      </c>
      <c r="I6193" s="202">
        <v>1</v>
      </c>
      <c r="J6193" s="203">
        <v>17</v>
      </c>
      <c r="K6193" s="203">
        <v>0</v>
      </c>
      <c r="L6193" s="203">
        <v>0</v>
      </c>
      <c r="M6193" s="203">
        <v>0</v>
      </c>
      <c r="N6193" s="203">
        <v>0</v>
      </c>
      <c r="O6193" s="203">
        <v>0</v>
      </c>
      <c r="P6193" s="211">
        <v>0.42</v>
      </c>
      <c r="Q6193" s="204" t="s">
        <v>154</v>
      </c>
    </row>
    <row r="6194" spans="1:17" s="162" customFormat="1" ht="120" x14ac:dyDescent="0.25">
      <c r="A6194" s="199">
        <v>42252</v>
      </c>
      <c r="B6194" s="199">
        <v>42252</v>
      </c>
      <c r="C6194" s="195">
        <v>2015</v>
      </c>
      <c r="D6194" s="35" t="s">
        <v>28</v>
      </c>
      <c r="E6194" s="30" t="s">
        <v>125</v>
      </c>
      <c r="F6194" s="28" t="s">
        <v>160</v>
      </c>
      <c r="G6194" s="200" t="s">
        <v>4798</v>
      </c>
      <c r="H6194" s="196" t="s">
        <v>8813</v>
      </c>
      <c r="I6194" s="202">
        <v>0</v>
      </c>
      <c r="J6194" s="203">
        <v>500</v>
      </c>
      <c r="K6194" s="203">
        <v>0</v>
      </c>
      <c r="L6194" s="203">
        <v>0</v>
      </c>
      <c r="M6194" s="203">
        <v>0</v>
      </c>
      <c r="N6194" s="203">
        <v>0</v>
      </c>
      <c r="O6194" s="203">
        <v>0</v>
      </c>
      <c r="P6194" s="211">
        <v>0</v>
      </c>
      <c r="Q6194" s="204" t="s">
        <v>154</v>
      </c>
    </row>
    <row r="6195" spans="1:17" s="162" customFormat="1" ht="300" x14ac:dyDescent="0.25">
      <c r="A6195" s="48">
        <v>42254</v>
      </c>
      <c r="B6195" s="48">
        <v>42255</v>
      </c>
      <c r="C6195" s="195">
        <v>2015</v>
      </c>
      <c r="D6195" s="351" t="s">
        <v>23</v>
      </c>
      <c r="E6195" s="14" t="s">
        <v>52</v>
      </c>
      <c r="F6195" s="7" t="s">
        <v>84</v>
      </c>
      <c r="G6195" s="33" t="s">
        <v>8814</v>
      </c>
      <c r="H6195" s="220" t="s">
        <v>8815</v>
      </c>
      <c r="I6195" s="213">
        <v>0</v>
      </c>
      <c r="J6195" s="31">
        <v>4376</v>
      </c>
      <c r="K6195" s="203">
        <v>700</v>
      </c>
      <c r="L6195" s="203">
        <v>0</v>
      </c>
      <c r="M6195" s="203">
        <v>0</v>
      </c>
      <c r="N6195" s="203">
        <v>0</v>
      </c>
      <c r="O6195" s="203">
        <v>0</v>
      </c>
      <c r="P6195" s="26">
        <f>2.801+0.735+129.37</f>
        <v>132.90600000000001</v>
      </c>
      <c r="Q6195" s="122" t="s">
        <v>5207</v>
      </c>
    </row>
    <row r="6196" spans="1:17" s="162" customFormat="1" ht="120" x14ac:dyDescent="0.25">
      <c r="A6196" s="199">
        <v>42255</v>
      </c>
      <c r="B6196" s="199">
        <v>42255</v>
      </c>
      <c r="C6196" s="195">
        <v>2015</v>
      </c>
      <c r="D6196" s="351" t="s">
        <v>23</v>
      </c>
      <c r="E6196" s="215" t="s">
        <v>5893</v>
      </c>
      <c r="F6196" s="7" t="s">
        <v>30</v>
      </c>
      <c r="G6196" s="200" t="s">
        <v>901</v>
      </c>
      <c r="H6196" s="196" t="s">
        <v>8816</v>
      </c>
      <c r="I6196" s="202">
        <v>0</v>
      </c>
      <c r="J6196" s="203">
        <v>3</v>
      </c>
      <c r="K6196" s="203">
        <v>0</v>
      </c>
      <c r="L6196" s="203">
        <v>0</v>
      </c>
      <c r="M6196" s="203">
        <v>0</v>
      </c>
      <c r="N6196" s="203">
        <v>0</v>
      </c>
      <c r="O6196" s="203">
        <v>0</v>
      </c>
      <c r="P6196" s="211">
        <v>0</v>
      </c>
      <c r="Q6196" s="204" t="s">
        <v>154</v>
      </c>
    </row>
    <row r="6197" spans="1:17" s="162" customFormat="1" ht="132" x14ac:dyDescent="0.25">
      <c r="A6197" s="199">
        <v>42256</v>
      </c>
      <c r="B6197" s="199">
        <v>42256</v>
      </c>
      <c r="C6197" s="195">
        <v>2015</v>
      </c>
      <c r="D6197" s="24" t="s">
        <v>141</v>
      </c>
      <c r="E6197" s="30" t="s">
        <v>142</v>
      </c>
      <c r="F6197" s="28" t="s">
        <v>210</v>
      </c>
      <c r="G6197" s="200" t="s">
        <v>8817</v>
      </c>
      <c r="H6197" s="196" t="s">
        <v>8818</v>
      </c>
      <c r="I6197" s="202">
        <v>0</v>
      </c>
      <c r="J6197" s="203">
        <v>0</v>
      </c>
      <c r="K6197" s="203">
        <v>0</v>
      </c>
      <c r="L6197" s="203">
        <v>0</v>
      </c>
      <c r="M6197" s="203">
        <v>0</v>
      </c>
      <c r="N6197" s="203">
        <v>0</v>
      </c>
      <c r="O6197" s="203">
        <v>0</v>
      </c>
      <c r="P6197" s="211">
        <v>0</v>
      </c>
      <c r="Q6197" s="204" t="s">
        <v>154</v>
      </c>
    </row>
    <row r="6198" spans="1:17" s="162" customFormat="1" ht="84" x14ac:dyDescent="0.25">
      <c r="A6198" s="48">
        <v>42258</v>
      </c>
      <c r="B6198" s="48">
        <v>42259</v>
      </c>
      <c r="C6198" s="195">
        <v>2015</v>
      </c>
      <c r="D6198" s="351" t="s">
        <v>23</v>
      </c>
      <c r="E6198" s="14" t="s">
        <v>52</v>
      </c>
      <c r="F6198" s="7" t="s">
        <v>84</v>
      </c>
      <c r="G6198" s="33" t="s">
        <v>1453</v>
      </c>
      <c r="H6198" s="33" t="s">
        <v>8819</v>
      </c>
      <c r="I6198" s="213">
        <v>0</v>
      </c>
      <c r="J6198" s="31">
        <v>3122</v>
      </c>
      <c r="K6198" s="203">
        <v>0</v>
      </c>
      <c r="L6198" s="203">
        <v>0</v>
      </c>
      <c r="M6198" s="203">
        <v>0</v>
      </c>
      <c r="N6198" s="203">
        <v>0</v>
      </c>
      <c r="O6198" s="203">
        <v>0</v>
      </c>
      <c r="P6198" s="26">
        <v>4.2069999999999999</v>
      </c>
      <c r="Q6198" s="172" t="s">
        <v>186</v>
      </c>
    </row>
    <row r="6199" spans="1:17" s="162" customFormat="1" ht="132" x14ac:dyDescent="0.25">
      <c r="A6199" s="199">
        <v>42259</v>
      </c>
      <c r="B6199" s="199">
        <v>42259</v>
      </c>
      <c r="C6199" s="195">
        <v>2015</v>
      </c>
      <c r="D6199" s="24" t="s">
        <v>141</v>
      </c>
      <c r="E6199" s="30" t="s">
        <v>142</v>
      </c>
      <c r="F6199" s="28" t="s">
        <v>160</v>
      </c>
      <c r="G6199" s="200" t="s">
        <v>897</v>
      </c>
      <c r="H6199" s="196" t="s">
        <v>8820</v>
      </c>
      <c r="I6199" s="202">
        <v>1</v>
      </c>
      <c r="J6199" s="203">
        <v>13</v>
      </c>
      <c r="K6199" s="203">
        <v>0</v>
      </c>
      <c r="L6199" s="203">
        <v>0</v>
      </c>
      <c r="M6199" s="203">
        <v>0</v>
      </c>
      <c r="N6199" s="203">
        <v>0</v>
      </c>
      <c r="O6199" s="203">
        <v>0</v>
      </c>
      <c r="P6199" s="211">
        <v>0</v>
      </c>
      <c r="Q6199" s="204" t="s">
        <v>154</v>
      </c>
    </row>
    <row r="6200" spans="1:17" s="162" customFormat="1" ht="120" x14ac:dyDescent="0.25">
      <c r="A6200" s="3">
        <v>42262</v>
      </c>
      <c r="B6200" s="3">
        <v>42264</v>
      </c>
      <c r="C6200" s="195">
        <v>2015</v>
      </c>
      <c r="D6200" s="35" t="s">
        <v>17</v>
      </c>
      <c r="E6200" s="217" t="s">
        <v>1597</v>
      </c>
      <c r="F6200" s="7" t="s">
        <v>72</v>
      </c>
      <c r="G6200" s="74" t="s">
        <v>8821</v>
      </c>
      <c r="H6200" s="33" t="s">
        <v>8822</v>
      </c>
      <c r="I6200" s="202">
        <v>0</v>
      </c>
      <c r="J6200" s="216">
        <v>2330</v>
      </c>
      <c r="K6200" s="203">
        <v>0</v>
      </c>
      <c r="L6200" s="203">
        <v>4</v>
      </c>
      <c r="M6200" s="203">
        <v>0</v>
      </c>
      <c r="N6200" s="203">
        <v>0</v>
      </c>
      <c r="O6200" s="203">
        <v>0</v>
      </c>
      <c r="P6200" s="211">
        <f>3.054+97.49</f>
        <v>100.544</v>
      </c>
      <c r="Q6200" s="204" t="s">
        <v>186</v>
      </c>
    </row>
    <row r="6201" spans="1:17" s="162" customFormat="1" ht="216" x14ac:dyDescent="0.25">
      <c r="A6201" s="3">
        <v>42263</v>
      </c>
      <c r="B6201" s="3">
        <v>42265</v>
      </c>
      <c r="C6201" s="195">
        <v>2015</v>
      </c>
      <c r="D6201" s="35" t="s">
        <v>17</v>
      </c>
      <c r="E6201" s="217" t="s">
        <v>1597</v>
      </c>
      <c r="F6201" s="28" t="s">
        <v>210</v>
      </c>
      <c r="G6201" s="74" t="s">
        <v>8823</v>
      </c>
      <c r="H6201" s="33" t="s">
        <v>8824</v>
      </c>
      <c r="I6201" s="202">
        <v>6</v>
      </c>
      <c r="J6201" s="216">
        <v>2552</v>
      </c>
      <c r="K6201" s="203">
        <v>34</v>
      </c>
      <c r="L6201" s="203">
        <v>0</v>
      </c>
      <c r="M6201" s="203">
        <v>0</v>
      </c>
      <c r="N6201" s="203">
        <v>0</v>
      </c>
      <c r="O6201" s="203">
        <v>0</v>
      </c>
      <c r="P6201" s="225">
        <f>4.234+36.08</f>
        <v>40.314</v>
      </c>
      <c r="Q6201" s="122" t="s">
        <v>5207</v>
      </c>
    </row>
    <row r="6202" spans="1:17" s="162" customFormat="1" ht="72" x14ac:dyDescent="0.25">
      <c r="A6202" s="48">
        <v>42265</v>
      </c>
      <c r="B6202" s="48">
        <v>42267</v>
      </c>
      <c r="C6202" s="195">
        <v>2015</v>
      </c>
      <c r="D6202" s="351" t="s">
        <v>23</v>
      </c>
      <c r="E6202" s="22" t="s">
        <v>86</v>
      </c>
      <c r="F6202" s="7" t="s">
        <v>33</v>
      </c>
      <c r="G6202" s="33" t="s">
        <v>8504</v>
      </c>
      <c r="H6202" s="33" t="s">
        <v>8825</v>
      </c>
      <c r="I6202" s="213">
        <v>0</v>
      </c>
      <c r="J6202" s="31">
        <v>5368</v>
      </c>
      <c r="K6202" s="203">
        <v>0</v>
      </c>
      <c r="L6202" s="203">
        <v>0</v>
      </c>
      <c r="M6202" s="203">
        <v>0</v>
      </c>
      <c r="N6202" s="203">
        <v>0</v>
      </c>
      <c r="O6202" s="203">
        <v>0</v>
      </c>
      <c r="P6202" s="26">
        <v>9.6229999999999993</v>
      </c>
      <c r="Q6202" s="172" t="s">
        <v>186</v>
      </c>
    </row>
    <row r="6203" spans="1:17" s="162" customFormat="1" ht="72" x14ac:dyDescent="0.25">
      <c r="A6203" s="3">
        <v>42265</v>
      </c>
      <c r="B6203" s="3">
        <v>42267</v>
      </c>
      <c r="C6203" s="195">
        <v>2015</v>
      </c>
      <c r="D6203" s="351" t="s">
        <v>23</v>
      </c>
      <c r="E6203" s="14" t="s">
        <v>52</v>
      </c>
      <c r="F6203" s="7" t="s">
        <v>33</v>
      </c>
      <c r="G6203" s="74" t="s">
        <v>8826</v>
      </c>
      <c r="H6203" s="33" t="s">
        <v>8827</v>
      </c>
      <c r="I6203" s="213">
        <v>0</v>
      </c>
      <c r="J6203" s="216">
        <v>13754</v>
      </c>
      <c r="K6203" s="203">
        <v>0</v>
      </c>
      <c r="L6203" s="203">
        <v>0</v>
      </c>
      <c r="M6203" s="203">
        <v>0</v>
      </c>
      <c r="N6203" s="203">
        <v>0</v>
      </c>
      <c r="O6203" s="203">
        <v>0</v>
      </c>
      <c r="P6203" s="26">
        <v>21.870999999999999</v>
      </c>
      <c r="Q6203" s="172" t="s">
        <v>186</v>
      </c>
    </row>
    <row r="6204" spans="1:17" s="162" customFormat="1" ht="84" x14ac:dyDescent="0.25">
      <c r="A6204" s="199">
        <v>42266</v>
      </c>
      <c r="B6204" s="199">
        <v>42266</v>
      </c>
      <c r="C6204" s="195">
        <v>2015</v>
      </c>
      <c r="D6204" s="24" t="s">
        <v>141</v>
      </c>
      <c r="E6204" s="30" t="s">
        <v>142</v>
      </c>
      <c r="F6204" s="7" t="s">
        <v>84</v>
      </c>
      <c r="G6204" s="200" t="s">
        <v>2844</v>
      </c>
      <c r="H6204" s="196" t="s">
        <v>8828</v>
      </c>
      <c r="I6204" s="202">
        <v>0</v>
      </c>
      <c r="J6204" s="203">
        <v>0</v>
      </c>
      <c r="K6204" s="203">
        <v>0</v>
      </c>
      <c r="L6204" s="203">
        <v>0</v>
      </c>
      <c r="M6204" s="203">
        <v>0</v>
      </c>
      <c r="N6204" s="203">
        <v>0</v>
      </c>
      <c r="O6204" s="203">
        <v>0</v>
      </c>
      <c r="P6204" s="211">
        <v>0</v>
      </c>
      <c r="Q6204" s="204" t="s">
        <v>154</v>
      </c>
    </row>
    <row r="6205" spans="1:17" s="162" customFormat="1" ht="264" x14ac:dyDescent="0.25">
      <c r="A6205" s="48">
        <v>42266</v>
      </c>
      <c r="B6205" s="48">
        <v>42268</v>
      </c>
      <c r="C6205" s="195">
        <v>2015</v>
      </c>
      <c r="D6205" s="351" t="s">
        <v>23</v>
      </c>
      <c r="E6205" s="14" t="s">
        <v>32</v>
      </c>
      <c r="F6205" s="7" t="s">
        <v>84</v>
      </c>
      <c r="G6205" s="33" t="s">
        <v>8829</v>
      </c>
      <c r="H6205" s="33" t="s">
        <v>8830</v>
      </c>
      <c r="I6205" s="213">
        <v>0</v>
      </c>
      <c r="J6205" s="31">
        <v>5106</v>
      </c>
      <c r="K6205" s="203">
        <v>0</v>
      </c>
      <c r="L6205" s="203">
        <v>0</v>
      </c>
      <c r="M6205" s="203">
        <v>0</v>
      </c>
      <c r="N6205" s="203">
        <v>0</v>
      </c>
      <c r="O6205" s="203">
        <v>0</v>
      </c>
      <c r="P6205" s="26">
        <v>3.4790000000000001</v>
      </c>
      <c r="Q6205" s="122" t="s">
        <v>5207</v>
      </c>
    </row>
    <row r="6206" spans="1:17" s="162" customFormat="1" ht="108" x14ac:dyDescent="0.25">
      <c r="A6206" s="199">
        <v>42267</v>
      </c>
      <c r="B6206" s="199">
        <v>42267</v>
      </c>
      <c r="C6206" s="195">
        <v>2015</v>
      </c>
      <c r="D6206" s="35" t="s">
        <v>28</v>
      </c>
      <c r="E6206" s="6" t="s">
        <v>149</v>
      </c>
      <c r="F6206" s="28" t="s">
        <v>157</v>
      </c>
      <c r="G6206" s="200" t="s">
        <v>876</v>
      </c>
      <c r="H6206" s="196" t="s">
        <v>8831</v>
      </c>
      <c r="I6206" s="202">
        <v>0</v>
      </c>
      <c r="J6206" s="203">
        <v>300</v>
      </c>
      <c r="K6206" s="203">
        <v>0</v>
      </c>
      <c r="L6206" s="203">
        <v>0</v>
      </c>
      <c r="M6206" s="203">
        <v>0</v>
      </c>
      <c r="N6206" s="203">
        <v>0</v>
      </c>
      <c r="O6206" s="203">
        <v>0</v>
      </c>
      <c r="P6206" s="211">
        <v>0</v>
      </c>
      <c r="Q6206" s="204" t="s">
        <v>154</v>
      </c>
    </row>
    <row r="6207" spans="1:17" s="162" customFormat="1" ht="96" x14ac:dyDescent="0.25">
      <c r="A6207" s="199">
        <v>42267</v>
      </c>
      <c r="B6207" s="199">
        <v>42268</v>
      </c>
      <c r="C6207" s="195">
        <v>2015</v>
      </c>
      <c r="D6207" s="351" t="s">
        <v>23</v>
      </c>
      <c r="E6207" s="14" t="s">
        <v>32</v>
      </c>
      <c r="F6207" s="7" t="s">
        <v>87</v>
      </c>
      <c r="G6207" s="200" t="s">
        <v>8832</v>
      </c>
      <c r="H6207" s="196" t="s">
        <v>8833</v>
      </c>
      <c r="I6207" s="202">
        <v>0</v>
      </c>
      <c r="J6207" s="214">
        <v>773970</v>
      </c>
      <c r="K6207" s="203">
        <v>1434</v>
      </c>
      <c r="L6207" s="203">
        <v>59</v>
      </c>
      <c r="M6207" s="203">
        <v>6</v>
      </c>
      <c r="N6207" s="203">
        <v>42</v>
      </c>
      <c r="O6207" s="203">
        <v>309.39999999999998</v>
      </c>
      <c r="P6207" s="211">
        <v>823.4</v>
      </c>
      <c r="Q6207" s="204" t="s">
        <v>22</v>
      </c>
    </row>
    <row r="6208" spans="1:17" s="162" customFormat="1" ht="120" x14ac:dyDescent="0.25">
      <c r="A6208" s="199">
        <v>42268</v>
      </c>
      <c r="B6208" s="199">
        <v>42268</v>
      </c>
      <c r="C6208" s="195">
        <v>2015</v>
      </c>
      <c r="D6208" s="35" t="s">
        <v>28</v>
      </c>
      <c r="E6208" s="6" t="s">
        <v>149</v>
      </c>
      <c r="F6208" s="7" t="s">
        <v>68</v>
      </c>
      <c r="G6208" s="200" t="s">
        <v>2071</v>
      </c>
      <c r="H6208" s="196" t="s">
        <v>8834</v>
      </c>
      <c r="I6208" s="202">
        <v>0</v>
      </c>
      <c r="J6208" s="203">
        <v>400</v>
      </c>
      <c r="K6208" s="203">
        <v>8</v>
      </c>
      <c r="L6208" s="203">
        <v>0</v>
      </c>
      <c r="M6208" s="203">
        <v>0</v>
      </c>
      <c r="N6208" s="203">
        <v>4.3999999999999997E-2</v>
      </c>
      <c r="O6208" s="203">
        <v>0</v>
      </c>
      <c r="P6208" s="211">
        <v>0</v>
      </c>
      <c r="Q6208" s="204" t="s">
        <v>154</v>
      </c>
    </row>
    <row r="6209" spans="1:17" s="162" customFormat="1" ht="96" x14ac:dyDescent="0.25">
      <c r="A6209" s="199">
        <v>42268</v>
      </c>
      <c r="B6209" s="199">
        <v>42268</v>
      </c>
      <c r="C6209" s="195">
        <v>2015</v>
      </c>
      <c r="D6209" s="35" t="s">
        <v>28</v>
      </c>
      <c r="E6209" s="6" t="s">
        <v>149</v>
      </c>
      <c r="F6209" s="28" t="s">
        <v>160</v>
      </c>
      <c r="G6209" s="200" t="s">
        <v>4798</v>
      </c>
      <c r="H6209" s="196" t="s">
        <v>8835</v>
      </c>
      <c r="I6209" s="202">
        <v>0</v>
      </c>
      <c r="J6209" s="203">
        <v>1</v>
      </c>
      <c r="K6209" s="203">
        <v>0</v>
      </c>
      <c r="L6209" s="203">
        <v>0</v>
      </c>
      <c r="M6209" s="203">
        <v>0</v>
      </c>
      <c r="N6209" s="203">
        <v>0</v>
      </c>
      <c r="O6209" s="203">
        <v>0</v>
      </c>
      <c r="P6209" s="211">
        <v>0</v>
      </c>
      <c r="Q6209" s="204" t="s">
        <v>154</v>
      </c>
    </row>
    <row r="6210" spans="1:17" s="162" customFormat="1" ht="108" x14ac:dyDescent="0.25">
      <c r="A6210" s="199">
        <v>42269</v>
      </c>
      <c r="B6210" s="199">
        <v>42269</v>
      </c>
      <c r="C6210" s="195">
        <v>2015</v>
      </c>
      <c r="D6210" s="24" t="s">
        <v>141</v>
      </c>
      <c r="E6210" s="30" t="s">
        <v>142</v>
      </c>
      <c r="F6210" s="7" t="s">
        <v>53</v>
      </c>
      <c r="G6210" s="200" t="s">
        <v>1304</v>
      </c>
      <c r="H6210" s="196" t="s">
        <v>8836</v>
      </c>
      <c r="I6210" s="202">
        <v>0</v>
      </c>
      <c r="J6210" s="203">
        <v>38</v>
      </c>
      <c r="K6210" s="203">
        <v>0</v>
      </c>
      <c r="L6210" s="203">
        <v>0</v>
      </c>
      <c r="M6210" s="203">
        <v>0</v>
      </c>
      <c r="N6210" s="203">
        <v>0.42</v>
      </c>
      <c r="O6210" s="203">
        <v>0</v>
      </c>
      <c r="P6210" s="211">
        <v>0</v>
      </c>
      <c r="Q6210" s="204" t="s">
        <v>154</v>
      </c>
    </row>
    <row r="6211" spans="1:17" s="162" customFormat="1" ht="108" x14ac:dyDescent="0.25">
      <c r="A6211" s="199">
        <v>42270</v>
      </c>
      <c r="B6211" s="199">
        <v>42270</v>
      </c>
      <c r="C6211" s="195">
        <v>2015</v>
      </c>
      <c r="D6211" s="35" t="s">
        <v>28</v>
      </c>
      <c r="E6211" s="30" t="s">
        <v>133</v>
      </c>
      <c r="F6211" s="7" t="s">
        <v>60</v>
      </c>
      <c r="G6211" s="200" t="s">
        <v>1605</v>
      </c>
      <c r="H6211" s="196" t="s">
        <v>8837</v>
      </c>
      <c r="I6211" s="202">
        <v>0</v>
      </c>
      <c r="J6211" s="203">
        <v>2</v>
      </c>
      <c r="K6211" s="203">
        <v>0</v>
      </c>
      <c r="L6211" s="203">
        <v>0</v>
      </c>
      <c r="M6211" s="203">
        <v>0</v>
      </c>
      <c r="N6211" s="203">
        <v>0</v>
      </c>
      <c r="O6211" s="203">
        <v>0</v>
      </c>
      <c r="P6211" s="211">
        <v>0</v>
      </c>
      <c r="Q6211" s="204" t="s">
        <v>154</v>
      </c>
    </row>
    <row r="6212" spans="1:17" s="162" customFormat="1" ht="72" x14ac:dyDescent="0.25">
      <c r="A6212" s="199">
        <v>42270</v>
      </c>
      <c r="B6212" s="199">
        <v>42270</v>
      </c>
      <c r="C6212" s="195">
        <v>2015</v>
      </c>
      <c r="D6212" s="24" t="s">
        <v>141</v>
      </c>
      <c r="E6212" s="30" t="s">
        <v>142</v>
      </c>
      <c r="F6212" s="7" t="s">
        <v>62</v>
      </c>
      <c r="G6212" s="200" t="s">
        <v>1011</v>
      </c>
      <c r="H6212" s="196" t="s">
        <v>8838</v>
      </c>
      <c r="I6212" s="202">
        <v>0</v>
      </c>
      <c r="J6212" s="203">
        <v>26</v>
      </c>
      <c r="K6212" s="203">
        <v>0</v>
      </c>
      <c r="L6212" s="203">
        <v>0</v>
      </c>
      <c r="M6212" s="203">
        <v>0</v>
      </c>
      <c r="N6212" s="203">
        <v>0</v>
      </c>
      <c r="O6212" s="203">
        <v>0</v>
      </c>
      <c r="P6212" s="211">
        <v>0</v>
      </c>
      <c r="Q6212" s="204" t="s">
        <v>154</v>
      </c>
    </row>
    <row r="6213" spans="1:17" s="162" customFormat="1" ht="84" x14ac:dyDescent="0.25">
      <c r="A6213" s="3">
        <v>42272</v>
      </c>
      <c r="B6213" s="3">
        <v>42272</v>
      </c>
      <c r="C6213" s="195">
        <v>2015</v>
      </c>
      <c r="D6213" s="351" t="s">
        <v>23</v>
      </c>
      <c r="E6213" s="14" t="s">
        <v>52</v>
      </c>
      <c r="F6213" s="28" t="s">
        <v>210</v>
      </c>
      <c r="G6213" s="74" t="s">
        <v>8839</v>
      </c>
      <c r="H6213" s="33" t="s">
        <v>8840</v>
      </c>
      <c r="I6213" s="213">
        <v>0</v>
      </c>
      <c r="J6213" s="216">
        <v>3945</v>
      </c>
      <c r="K6213" s="203">
        <v>0</v>
      </c>
      <c r="L6213" s="203">
        <v>0</v>
      </c>
      <c r="M6213" s="203">
        <v>0</v>
      </c>
      <c r="N6213" s="203">
        <v>0</v>
      </c>
      <c r="O6213" s="203">
        <v>0</v>
      </c>
      <c r="P6213" s="211">
        <v>5.0149999999999997</v>
      </c>
      <c r="Q6213" s="172" t="s">
        <v>186</v>
      </c>
    </row>
    <row r="6214" spans="1:17" s="162" customFormat="1" ht="180" x14ac:dyDescent="0.25">
      <c r="A6214" s="199">
        <v>42273</v>
      </c>
      <c r="B6214" s="199">
        <v>42273</v>
      </c>
      <c r="C6214" s="195">
        <v>2015</v>
      </c>
      <c r="D6214" s="24" t="s">
        <v>141</v>
      </c>
      <c r="E6214" s="30" t="s">
        <v>142</v>
      </c>
      <c r="F6214" s="7" t="s">
        <v>72</v>
      </c>
      <c r="G6214" s="200" t="s">
        <v>8841</v>
      </c>
      <c r="H6214" s="196" t="s">
        <v>8842</v>
      </c>
      <c r="I6214" s="202">
        <v>0</v>
      </c>
      <c r="J6214" s="203">
        <v>3</v>
      </c>
      <c r="K6214" s="203">
        <v>0</v>
      </c>
      <c r="L6214" s="203">
        <v>0</v>
      </c>
      <c r="M6214" s="203">
        <v>0</v>
      </c>
      <c r="N6214" s="203">
        <v>0</v>
      </c>
      <c r="O6214" s="203">
        <v>0</v>
      </c>
      <c r="P6214" s="211">
        <v>0</v>
      </c>
      <c r="Q6214" s="204" t="s">
        <v>154</v>
      </c>
    </row>
    <row r="6215" spans="1:17" s="162" customFormat="1" ht="72" x14ac:dyDescent="0.25">
      <c r="A6215" s="3">
        <v>42275</v>
      </c>
      <c r="B6215" s="3">
        <v>42276</v>
      </c>
      <c r="C6215" s="195">
        <v>2015</v>
      </c>
      <c r="D6215" s="351" t="s">
        <v>23</v>
      </c>
      <c r="E6215" s="14" t="s">
        <v>32</v>
      </c>
      <c r="F6215" s="7" t="s">
        <v>58</v>
      </c>
      <c r="G6215" s="74" t="s">
        <v>8843</v>
      </c>
      <c r="H6215" s="33" t="s">
        <v>8844</v>
      </c>
      <c r="I6215" s="202">
        <v>0</v>
      </c>
      <c r="J6215" s="216">
        <v>104500</v>
      </c>
      <c r="K6215" s="216">
        <v>0</v>
      </c>
      <c r="L6215" s="216">
        <v>0</v>
      </c>
      <c r="M6215" s="216">
        <v>0</v>
      </c>
      <c r="N6215" s="216">
        <v>0</v>
      </c>
      <c r="O6215" s="216">
        <v>0</v>
      </c>
      <c r="P6215" s="26">
        <v>4.93</v>
      </c>
      <c r="Q6215" s="204" t="s">
        <v>186</v>
      </c>
    </row>
    <row r="6216" spans="1:17" s="162" customFormat="1" ht="252" x14ac:dyDescent="0.25">
      <c r="A6216" s="199">
        <v>42276</v>
      </c>
      <c r="B6216" s="199">
        <v>42276</v>
      </c>
      <c r="C6216" s="195">
        <v>2015</v>
      </c>
      <c r="D6216" s="24" t="s">
        <v>130</v>
      </c>
      <c r="E6216" s="22" t="s">
        <v>2933</v>
      </c>
      <c r="F6216" s="28" t="s">
        <v>151</v>
      </c>
      <c r="G6216" s="200" t="s">
        <v>6388</v>
      </c>
      <c r="H6216" s="196" t="s">
        <v>8845</v>
      </c>
      <c r="I6216" s="202">
        <v>0</v>
      </c>
      <c r="J6216" s="203">
        <v>0</v>
      </c>
      <c r="K6216" s="203">
        <v>0</v>
      </c>
      <c r="L6216" s="203">
        <v>0</v>
      </c>
      <c r="M6216" s="203">
        <v>0</v>
      </c>
      <c r="N6216" s="203">
        <v>0</v>
      </c>
      <c r="O6216" s="203">
        <v>0</v>
      </c>
      <c r="P6216" s="211">
        <v>6.0000000000000001E-3</v>
      </c>
      <c r="Q6216" s="204" t="s">
        <v>154</v>
      </c>
    </row>
    <row r="6217" spans="1:17" s="162" customFormat="1" ht="120" x14ac:dyDescent="0.25">
      <c r="A6217" s="199">
        <v>42279</v>
      </c>
      <c r="B6217" s="199">
        <v>42279</v>
      </c>
      <c r="C6217" s="195">
        <v>2015</v>
      </c>
      <c r="D6217" s="24" t="s">
        <v>141</v>
      </c>
      <c r="E6217" s="30" t="s">
        <v>142</v>
      </c>
      <c r="F6217" s="7" t="s">
        <v>101</v>
      </c>
      <c r="G6217" s="200" t="s">
        <v>101</v>
      </c>
      <c r="H6217" s="196" t="s">
        <v>8846</v>
      </c>
      <c r="I6217" s="202">
        <v>0</v>
      </c>
      <c r="J6217" s="203">
        <v>4</v>
      </c>
      <c r="K6217" s="203">
        <v>0</v>
      </c>
      <c r="L6217" s="203">
        <v>0</v>
      </c>
      <c r="M6217" s="203">
        <v>0</v>
      </c>
      <c r="N6217" s="203">
        <v>0</v>
      </c>
      <c r="O6217" s="203">
        <v>0</v>
      </c>
      <c r="P6217" s="211">
        <v>0</v>
      </c>
      <c r="Q6217" s="204" t="s">
        <v>154</v>
      </c>
    </row>
    <row r="6218" spans="1:17" s="162" customFormat="1" ht="120" x14ac:dyDescent="0.25">
      <c r="A6218" s="199">
        <v>42280</v>
      </c>
      <c r="B6218" s="199">
        <v>42280</v>
      </c>
      <c r="C6218" s="195">
        <v>2015</v>
      </c>
      <c r="D6218" s="35" t="s">
        <v>17</v>
      </c>
      <c r="E6218" s="217" t="s">
        <v>1597</v>
      </c>
      <c r="F6218" s="7" t="s">
        <v>58</v>
      </c>
      <c r="G6218" s="200" t="s">
        <v>8847</v>
      </c>
      <c r="H6218" s="196" t="s">
        <v>8848</v>
      </c>
      <c r="I6218" s="202">
        <v>0</v>
      </c>
      <c r="J6218" s="203">
        <v>0</v>
      </c>
      <c r="K6218" s="203">
        <v>62</v>
      </c>
      <c r="L6218" s="203">
        <v>0</v>
      </c>
      <c r="M6218" s="203">
        <v>0</v>
      </c>
      <c r="N6218" s="203">
        <v>0</v>
      </c>
      <c r="O6218" s="203">
        <v>0</v>
      </c>
      <c r="P6218" s="211">
        <v>2.4</v>
      </c>
      <c r="Q6218" s="204" t="s">
        <v>154</v>
      </c>
    </row>
    <row r="6219" spans="1:17" s="162" customFormat="1" ht="48" x14ac:dyDescent="0.25">
      <c r="A6219" s="3">
        <v>42280</v>
      </c>
      <c r="B6219" s="3">
        <v>42281</v>
      </c>
      <c r="C6219" s="195">
        <v>2015</v>
      </c>
      <c r="D6219" s="351" t="s">
        <v>23</v>
      </c>
      <c r="E6219" s="22" t="s">
        <v>86</v>
      </c>
      <c r="F6219" s="7" t="s">
        <v>87</v>
      </c>
      <c r="G6219" s="74" t="s">
        <v>8849</v>
      </c>
      <c r="H6219" s="33" t="s">
        <v>8850</v>
      </c>
      <c r="I6219" s="202">
        <v>0</v>
      </c>
      <c r="J6219" s="216">
        <v>12039</v>
      </c>
      <c r="K6219" s="216">
        <v>0</v>
      </c>
      <c r="L6219" s="216">
        <v>0</v>
      </c>
      <c r="M6219" s="216">
        <v>0</v>
      </c>
      <c r="N6219" s="216">
        <v>0</v>
      </c>
      <c r="O6219" s="216">
        <v>0</v>
      </c>
      <c r="P6219" s="26">
        <v>16.558</v>
      </c>
      <c r="Q6219" s="204" t="s">
        <v>186</v>
      </c>
    </row>
    <row r="6220" spans="1:17" s="162" customFormat="1" ht="108" x14ac:dyDescent="0.25">
      <c r="A6220" s="2">
        <v>42280</v>
      </c>
      <c r="B6220" s="2">
        <v>42280</v>
      </c>
      <c r="C6220" s="195">
        <v>2015</v>
      </c>
      <c r="D6220" s="351" t="s">
        <v>23</v>
      </c>
      <c r="E6220" s="14" t="s">
        <v>52</v>
      </c>
      <c r="F6220" s="7" t="s">
        <v>33</v>
      </c>
      <c r="G6220" s="84" t="s">
        <v>247</v>
      </c>
      <c r="H6220" s="84" t="s">
        <v>8851</v>
      </c>
      <c r="I6220" s="213">
        <v>0</v>
      </c>
      <c r="J6220" s="216">
        <v>3750</v>
      </c>
      <c r="K6220" s="216">
        <v>0</v>
      </c>
      <c r="L6220" s="216">
        <v>16</v>
      </c>
      <c r="M6220" s="216">
        <v>0</v>
      </c>
      <c r="N6220" s="216">
        <v>0</v>
      </c>
      <c r="O6220" s="216">
        <v>0</v>
      </c>
      <c r="P6220" s="26">
        <f>6.408+162.45</f>
        <v>168.85799999999998</v>
      </c>
      <c r="Q6220" s="172" t="s">
        <v>186</v>
      </c>
    </row>
    <row r="6221" spans="1:17" s="162" customFormat="1" ht="96" x14ac:dyDescent="0.25">
      <c r="A6221" s="199">
        <v>42283</v>
      </c>
      <c r="B6221" s="199">
        <v>42283</v>
      </c>
      <c r="C6221" s="195">
        <v>2015</v>
      </c>
      <c r="D6221" s="24" t="s">
        <v>141</v>
      </c>
      <c r="E6221" s="30" t="s">
        <v>142</v>
      </c>
      <c r="F6221" s="28" t="s">
        <v>210</v>
      </c>
      <c r="G6221" s="200" t="s">
        <v>1140</v>
      </c>
      <c r="H6221" s="196" t="s">
        <v>8852</v>
      </c>
      <c r="I6221" s="202">
        <v>2</v>
      </c>
      <c r="J6221" s="203">
        <v>2</v>
      </c>
      <c r="K6221" s="203">
        <v>0</v>
      </c>
      <c r="L6221" s="203">
        <v>0</v>
      </c>
      <c r="M6221" s="203">
        <v>0</v>
      </c>
      <c r="N6221" s="203">
        <v>0</v>
      </c>
      <c r="O6221" s="203">
        <v>0</v>
      </c>
      <c r="P6221" s="211">
        <v>114.5</v>
      </c>
      <c r="Q6221" s="172" t="s">
        <v>154</v>
      </c>
    </row>
    <row r="6222" spans="1:17" s="162" customFormat="1" ht="72" x14ac:dyDescent="0.25">
      <c r="A6222" s="2">
        <v>42283</v>
      </c>
      <c r="B6222" s="199">
        <v>42283</v>
      </c>
      <c r="C6222" s="195">
        <v>2015</v>
      </c>
      <c r="D6222" s="351" t="s">
        <v>23</v>
      </c>
      <c r="E6222" s="215" t="s">
        <v>5893</v>
      </c>
      <c r="F6222" s="7" t="s">
        <v>40</v>
      </c>
      <c r="G6222" s="84" t="s">
        <v>2097</v>
      </c>
      <c r="H6222" s="84" t="s">
        <v>8853</v>
      </c>
      <c r="I6222" s="213">
        <v>0</v>
      </c>
      <c r="J6222" s="20">
        <v>28809</v>
      </c>
      <c r="K6222" s="216">
        <v>0</v>
      </c>
      <c r="L6222" s="216">
        <v>0</v>
      </c>
      <c r="M6222" s="216">
        <v>0</v>
      </c>
      <c r="N6222" s="216">
        <v>0</v>
      </c>
      <c r="O6222" s="216">
        <v>0</v>
      </c>
      <c r="P6222" s="26">
        <v>21.707000000000001</v>
      </c>
      <c r="Q6222" s="172" t="s">
        <v>186</v>
      </c>
    </row>
    <row r="6223" spans="1:17" s="162" customFormat="1" ht="240" x14ac:dyDescent="0.25">
      <c r="A6223" s="2">
        <v>42285</v>
      </c>
      <c r="B6223" s="2">
        <v>42285</v>
      </c>
      <c r="C6223" s="195">
        <v>2015</v>
      </c>
      <c r="D6223" s="351" t="s">
        <v>23</v>
      </c>
      <c r="E6223" s="22" t="s">
        <v>86</v>
      </c>
      <c r="F6223" s="7" t="s">
        <v>45</v>
      </c>
      <c r="G6223" s="84" t="s">
        <v>577</v>
      </c>
      <c r="H6223" s="84" t="s">
        <v>8854</v>
      </c>
      <c r="I6223" s="213">
        <v>0</v>
      </c>
      <c r="J6223" s="216">
        <v>4000</v>
      </c>
      <c r="K6223" s="216">
        <v>1</v>
      </c>
      <c r="L6223" s="216">
        <v>13</v>
      </c>
      <c r="M6223" s="216">
        <v>0</v>
      </c>
      <c r="N6223" s="216">
        <v>0</v>
      </c>
      <c r="O6223" s="216">
        <v>0</v>
      </c>
      <c r="P6223" s="227">
        <f>1.193+12.8</f>
        <v>13.993</v>
      </c>
      <c r="Q6223" s="122" t="s">
        <v>5207</v>
      </c>
    </row>
    <row r="6224" spans="1:17" s="162" customFormat="1" ht="192" x14ac:dyDescent="0.25">
      <c r="A6224" s="199">
        <v>42287</v>
      </c>
      <c r="B6224" s="199">
        <v>42287</v>
      </c>
      <c r="C6224" s="195">
        <v>2015</v>
      </c>
      <c r="D6224" s="24" t="s">
        <v>141</v>
      </c>
      <c r="E6224" s="30" t="s">
        <v>142</v>
      </c>
      <c r="F6224" s="7" t="s">
        <v>53</v>
      </c>
      <c r="G6224" s="200" t="s">
        <v>1885</v>
      </c>
      <c r="H6224" s="196" t="s">
        <v>8855</v>
      </c>
      <c r="I6224" s="202">
        <v>0</v>
      </c>
      <c r="J6224" s="203">
        <v>1</v>
      </c>
      <c r="K6224" s="203">
        <v>0</v>
      </c>
      <c r="L6224" s="203">
        <v>0</v>
      </c>
      <c r="M6224" s="203">
        <v>0</v>
      </c>
      <c r="N6224" s="203">
        <v>0</v>
      </c>
      <c r="O6224" s="203">
        <v>0</v>
      </c>
      <c r="P6224" s="211">
        <v>0</v>
      </c>
      <c r="Q6224" s="204" t="s">
        <v>154</v>
      </c>
    </row>
    <row r="6225" spans="1:17" s="162" customFormat="1" ht="96" x14ac:dyDescent="0.25">
      <c r="A6225" s="199">
        <v>42293</v>
      </c>
      <c r="B6225" s="199">
        <v>42293</v>
      </c>
      <c r="C6225" s="195">
        <v>2015</v>
      </c>
      <c r="D6225" s="24" t="s">
        <v>141</v>
      </c>
      <c r="E6225" s="30" t="s">
        <v>142</v>
      </c>
      <c r="F6225" s="28" t="s">
        <v>163</v>
      </c>
      <c r="G6225" s="200" t="s">
        <v>4478</v>
      </c>
      <c r="H6225" s="196" t="s">
        <v>8856</v>
      </c>
      <c r="I6225" s="202">
        <v>2</v>
      </c>
      <c r="J6225" s="203">
        <v>28</v>
      </c>
      <c r="K6225" s="203">
        <v>0</v>
      </c>
      <c r="L6225" s="203">
        <v>0</v>
      </c>
      <c r="M6225" s="203">
        <v>0</v>
      </c>
      <c r="N6225" s="203">
        <v>0</v>
      </c>
      <c r="O6225" s="203">
        <v>0</v>
      </c>
      <c r="P6225" s="211">
        <v>0.42</v>
      </c>
      <c r="Q6225" s="204" t="s">
        <v>154</v>
      </c>
    </row>
    <row r="6226" spans="1:17" s="162" customFormat="1" ht="132" x14ac:dyDescent="0.25">
      <c r="A6226" s="2">
        <v>42293</v>
      </c>
      <c r="B6226" s="2">
        <v>42294</v>
      </c>
      <c r="C6226" s="195">
        <v>2015</v>
      </c>
      <c r="D6226" s="351" t="s">
        <v>23</v>
      </c>
      <c r="E6226" s="22" t="s">
        <v>86</v>
      </c>
      <c r="F6226" s="7" t="s">
        <v>80</v>
      </c>
      <c r="G6226" s="84" t="s">
        <v>8857</v>
      </c>
      <c r="H6226" s="84" t="s">
        <v>8858</v>
      </c>
      <c r="I6226" s="222">
        <v>0</v>
      </c>
      <c r="J6226" s="20">
        <v>50891</v>
      </c>
      <c r="K6226" s="216">
        <v>835</v>
      </c>
      <c r="L6226" s="216">
        <v>59</v>
      </c>
      <c r="M6226" s="203">
        <v>0</v>
      </c>
      <c r="N6226" s="203">
        <v>0</v>
      </c>
      <c r="O6226" s="203">
        <v>0</v>
      </c>
      <c r="P6226" s="227">
        <f>114.5+601.29</f>
        <v>715.79</v>
      </c>
      <c r="Q6226" s="122" t="s">
        <v>5207</v>
      </c>
    </row>
    <row r="6227" spans="1:17" s="162" customFormat="1" ht="348" x14ac:dyDescent="0.25">
      <c r="A6227" s="2">
        <v>42293</v>
      </c>
      <c r="B6227" s="2">
        <v>42297</v>
      </c>
      <c r="C6227" s="195">
        <v>2015</v>
      </c>
      <c r="D6227" s="351" t="s">
        <v>23</v>
      </c>
      <c r="E6227" s="14" t="s">
        <v>52</v>
      </c>
      <c r="F6227" s="28" t="s">
        <v>210</v>
      </c>
      <c r="G6227" s="84" t="s">
        <v>8859</v>
      </c>
      <c r="H6227" s="84" t="s">
        <v>8860</v>
      </c>
      <c r="I6227" s="222">
        <v>0</v>
      </c>
      <c r="J6227" s="31">
        <v>40465</v>
      </c>
      <c r="K6227" s="228">
        <v>78</v>
      </c>
      <c r="L6227" s="228">
        <v>97</v>
      </c>
      <c r="M6227" s="228">
        <v>0</v>
      </c>
      <c r="N6227" s="228">
        <v>0</v>
      </c>
      <c r="O6227" s="228">
        <v>0</v>
      </c>
      <c r="P6227" s="223">
        <f>77.5+2106.492</f>
        <v>2183.9920000000002</v>
      </c>
      <c r="Q6227" s="122" t="s">
        <v>5207</v>
      </c>
    </row>
    <row r="6228" spans="1:17" s="162" customFormat="1" ht="96" x14ac:dyDescent="0.25">
      <c r="A6228" s="2">
        <v>42293</v>
      </c>
      <c r="B6228" s="2">
        <v>42298</v>
      </c>
      <c r="C6228" s="195">
        <v>2015</v>
      </c>
      <c r="D6228" s="351" t="s">
        <v>23</v>
      </c>
      <c r="E6228" s="14" t="s">
        <v>52</v>
      </c>
      <c r="F6228" s="28" t="s">
        <v>210</v>
      </c>
      <c r="G6228" s="84" t="s">
        <v>8861</v>
      </c>
      <c r="H6228" s="84" t="s">
        <v>8862</v>
      </c>
      <c r="I6228" s="222">
        <v>0</v>
      </c>
      <c r="J6228" s="67">
        <v>4003</v>
      </c>
      <c r="K6228" s="228">
        <v>0</v>
      </c>
      <c r="L6228" s="228">
        <v>0</v>
      </c>
      <c r="M6228" s="228">
        <v>0</v>
      </c>
      <c r="N6228" s="228">
        <v>0</v>
      </c>
      <c r="O6228" s="228">
        <v>0</v>
      </c>
      <c r="P6228" s="223">
        <v>5.4329999999999998</v>
      </c>
      <c r="Q6228" s="222" t="s">
        <v>186</v>
      </c>
    </row>
    <row r="6229" spans="1:17" s="162" customFormat="1" ht="168" x14ac:dyDescent="0.25">
      <c r="A6229" s="199">
        <v>42294</v>
      </c>
      <c r="B6229" s="199">
        <v>42294</v>
      </c>
      <c r="C6229" s="195">
        <v>2015</v>
      </c>
      <c r="D6229" s="35" t="s">
        <v>28</v>
      </c>
      <c r="E6229" s="217" t="s">
        <v>8863</v>
      </c>
      <c r="F6229" s="28" t="s">
        <v>160</v>
      </c>
      <c r="G6229" s="200" t="s">
        <v>8864</v>
      </c>
      <c r="H6229" s="196" t="s">
        <v>8865</v>
      </c>
      <c r="I6229" s="202">
        <v>0</v>
      </c>
      <c r="J6229" s="203">
        <v>0</v>
      </c>
      <c r="K6229" s="203">
        <v>0</v>
      </c>
      <c r="L6229" s="203">
        <v>0</v>
      </c>
      <c r="M6229" s="203">
        <v>0</v>
      </c>
      <c r="N6229" s="203">
        <v>0</v>
      </c>
      <c r="O6229" s="203">
        <v>0</v>
      </c>
      <c r="P6229" s="211">
        <v>0</v>
      </c>
      <c r="Q6229" s="204" t="s">
        <v>154</v>
      </c>
    </row>
    <row r="6230" spans="1:17" s="162" customFormat="1" ht="60" x14ac:dyDescent="0.25">
      <c r="A6230" s="205">
        <v>42295</v>
      </c>
      <c r="B6230" s="205">
        <v>42295</v>
      </c>
      <c r="C6230" s="195">
        <v>2015</v>
      </c>
      <c r="D6230" s="351" t="s">
        <v>23</v>
      </c>
      <c r="E6230" s="22" t="s">
        <v>86</v>
      </c>
      <c r="F6230" s="7" t="s">
        <v>80</v>
      </c>
      <c r="G6230" s="200" t="s">
        <v>8866</v>
      </c>
      <c r="H6230" s="229" t="s">
        <v>8867</v>
      </c>
      <c r="I6230" s="222">
        <v>0</v>
      </c>
      <c r="J6230" s="228">
        <v>600</v>
      </c>
      <c r="K6230" s="228">
        <v>150</v>
      </c>
      <c r="L6230" s="228">
        <v>0</v>
      </c>
      <c r="M6230" s="228">
        <v>0</v>
      </c>
      <c r="N6230" s="228">
        <v>0</v>
      </c>
      <c r="O6230" s="228">
        <v>0</v>
      </c>
      <c r="P6230" s="223">
        <v>0.158</v>
      </c>
      <c r="Q6230" s="204" t="s">
        <v>154</v>
      </c>
    </row>
    <row r="6231" spans="1:17" s="162" customFormat="1" ht="108" x14ac:dyDescent="0.25">
      <c r="A6231" s="2">
        <v>42295</v>
      </c>
      <c r="B6231" s="2">
        <v>42297</v>
      </c>
      <c r="C6231" s="195">
        <v>2015</v>
      </c>
      <c r="D6231" s="351" t="s">
        <v>23</v>
      </c>
      <c r="E6231" s="22" t="s">
        <v>86</v>
      </c>
      <c r="F6231" s="7" t="s">
        <v>36</v>
      </c>
      <c r="G6231" s="84" t="s">
        <v>8868</v>
      </c>
      <c r="H6231" s="84" t="s">
        <v>8869</v>
      </c>
      <c r="I6231" s="213">
        <v>0</v>
      </c>
      <c r="J6231" s="216">
        <v>3408</v>
      </c>
      <c r="K6231" s="203">
        <v>0</v>
      </c>
      <c r="L6231" s="203">
        <v>0</v>
      </c>
      <c r="M6231" s="203">
        <v>0</v>
      </c>
      <c r="N6231" s="203">
        <v>0</v>
      </c>
      <c r="O6231" s="203">
        <v>0</v>
      </c>
      <c r="P6231" s="211">
        <f>0.76+333.56</f>
        <v>334.32</v>
      </c>
      <c r="Q6231" s="204" t="s">
        <v>186</v>
      </c>
    </row>
    <row r="6232" spans="1:17" s="162" customFormat="1" ht="36" x14ac:dyDescent="0.25">
      <c r="A6232" s="118">
        <v>42295</v>
      </c>
      <c r="B6232" s="118">
        <v>42297</v>
      </c>
      <c r="C6232" s="195">
        <v>2015</v>
      </c>
      <c r="D6232" s="35" t="s">
        <v>17</v>
      </c>
      <c r="E6232" s="217" t="s">
        <v>1597</v>
      </c>
      <c r="F6232" s="7" t="s">
        <v>72</v>
      </c>
      <c r="G6232" s="146" t="s">
        <v>8870</v>
      </c>
      <c r="H6232" s="147" t="s">
        <v>8871</v>
      </c>
      <c r="I6232" s="210">
        <v>0</v>
      </c>
      <c r="J6232" s="210">
        <v>0</v>
      </c>
      <c r="K6232" s="210">
        <v>0</v>
      </c>
      <c r="L6232" s="210">
        <v>0</v>
      </c>
      <c r="M6232" s="210">
        <v>0</v>
      </c>
      <c r="N6232" s="210">
        <v>0</v>
      </c>
      <c r="O6232" s="210">
        <v>0</v>
      </c>
      <c r="P6232" s="26">
        <v>35.881</v>
      </c>
      <c r="Q6232" s="204" t="s">
        <v>8872</v>
      </c>
    </row>
    <row r="6233" spans="1:17" s="162" customFormat="1" ht="60" x14ac:dyDescent="0.25">
      <c r="A6233" s="118">
        <v>42297</v>
      </c>
      <c r="B6233" s="118">
        <v>42298</v>
      </c>
      <c r="C6233" s="195">
        <v>2015</v>
      </c>
      <c r="D6233" s="351" t="s">
        <v>23</v>
      </c>
      <c r="E6233" s="215" t="s">
        <v>5893</v>
      </c>
      <c r="F6233" s="7" t="s">
        <v>40</v>
      </c>
      <c r="G6233" s="146" t="s">
        <v>2097</v>
      </c>
      <c r="H6233" s="147" t="s">
        <v>8873</v>
      </c>
      <c r="I6233" s="213">
        <v>0</v>
      </c>
      <c r="J6233" s="216">
        <v>255</v>
      </c>
      <c r="K6233" s="216">
        <v>51</v>
      </c>
      <c r="L6233" s="216">
        <v>18</v>
      </c>
      <c r="M6233" s="216">
        <v>0</v>
      </c>
      <c r="N6233" s="216">
        <v>0</v>
      </c>
      <c r="O6233" s="216">
        <v>0</v>
      </c>
      <c r="P6233" s="26">
        <v>240.72300000000001</v>
      </c>
      <c r="Q6233" s="172" t="s">
        <v>186</v>
      </c>
    </row>
    <row r="6234" spans="1:17" s="162" customFormat="1" ht="312" x14ac:dyDescent="0.25">
      <c r="A6234" s="23">
        <v>42299</v>
      </c>
      <c r="B6234" s="23">
        <v>42301</v>
      </c>
      <c r="C6234" s="195">
        <v>2015</v>
      </c>
      <c r="D6234" s="351" t="s">
        <v>23</v>
      </c>
      <c r="E6234" s="14" t="s">
        <v>32</v>
      </c>
      <c r="F6234" s="7" t="s">
        <v>60</v>
      </c>
      <c r="G6234" s="146" t="s">
        <v>8874</v>
      </c>
      <c r="H6234" s="147" t="s">
        <v>8875</v>
      </c>
      <c r="I6234" s="213">
        <v>0</v>
      </c>
      <c r="J6234" s="31">
        <v>76823</v>
      </c>
      <c r="K6234" s="214">
        <v>220</v>
      </c>
      <c r="L6234" s="214">
        <v>140</v>
      </c>
      <c r="M6234" s="214">
        <v>24</v>
      </c>
      <c r="N6234" s="214">
        <v>0</v>
      </c>
      <c r="O6234" s="214">
        <v>10305.4</v>
      </c>
      <c r="P6234" s="26">
        <v>1544.3</v>
      </c>
      <c r="Q6234" s="172" t="s">
        <v>186</v>
      </c>
    </row>
    <row r="6235" spans="1:17" s="162" customFormat="1" ht="180" x14ac:dyDescent="0.25">
      <c r="A6235" s="23">
        <v>42299</v>
      </c>
      <c r="B6235" s="23">
        <v>42301</v>
      </c>
      <c r="C6235" s="195">
        <v>2015</v>
      </c>
      <c r="D6235" s="351" t="s">
        <v>23</v>
      </c>
      <c r="E6235" s="14" t="s">
        <v>32</v>
      </c>
      <c r="F6235" s="7" t="s">
        <v>47</v>
      </c>
      <c r="G6235" s="146" t="s">
        <v>8876</v>
      </c>
      <c r="H6235" s="147" t="s">
        <v>8877</v>
      </c>
      <c r="I6235" s="213">
        <v>0</v>
      </c>
      <c r="J6235" s="31">
        <v>17862</v>
      </c>
      <c r="K6235" s="214">
        <v>1242</v>
      </c>
      <c r="L6235" s="214">
        <v>186</v>
      </c>
      <c r="M6235" s="214">
        <v>21</v>
      </c>
      <c r="N6235" s="214">
        <v>0</v>
      </c>
      <c r="O6235" s="214">
        <v>0</v>
      </c>
      <c r="P6235" s="26">
        <v>1744.1</v>
      </c>
      <c r="Q6235" s="172" t="s">
        <v>186</v>
      </c>
    </row>
    <row r="6236" spans="1:17" s="162" customFormat="1" ht="96" x14ac:dyDescent="0.25">
      <c r="A6236" s="23">
        <v>42299</v>
      </c>
      <c r="B6236" s="23">
        <v>42301</v>
      </c>
      <c r="C6236" s="195">
        <v>2015</v>
      </c>
      <c r="D6236" s="351" t="s">
        <v>23</v>
      </c>
      <c r="E6236" s="14" t="s">
        <v>32</v>
      </c>
      <c r="F6236" s="7" t="s">
        <v>62</v>
      </c>
      <c r="G6236" s="146" t="s">
        <v>8878</v>
      </c>
      <c r="H6236" s="147" t="s">
        <v>8879</v>
      </c>
      <c r="I6236" s="172">
        <v>0</v>
      </c>
      <c r="J6236" s="20" t="s">
        <v>3339</v>
      </c>
      <c r="K6236" s="210">
        <v>0</v>
      </c>
      <c r="L6236" s="210">
        <v>0</v>
      </c>
      <c r="M6236" s="210">
        <v>0</v>
      </c>
      <c r="N6236" s="210">
        <v>0</v>
      </c>
      <c r="O6236" s="210">
        <v>0</v>
      </c>
      <c r="P6236" s="26">
        <v>720.3</v>
      </c>
      <c r="Q6236" s="172" t="s">
        <v>186</v>
      </c>
    </row>
    <row r="6237" spans="1:17" s="162" customFormat="1" ht="84" x14ac:dyDescent="0.25">
      <c r="A6237" s="23">
        <v>42299</v>
      </c>
      <c r="B6237" s="23">
        <v>42301</v>
      </c>
      <c r="C6237" s="195">
        <v>2015</v>
      </c>
      <c r="D6237" s="351" t="s">
        <v>23</v>
      </c>
      <c r="E6237" s="14" t="s">
        <v>32</v>
      </c>
      <c r="F6237" s="7" t="s">
        <v>67</v>
      </c>
      <c r="G6237" s="146" t="s">
        <v>8880</v>
      </c>
      <c r="H6237" s="147" t="s">
        <v>8881</v>
      </c>
      <c r="I6237" s="172">
        <v>0</v>
      </c>
      <c r="J6237" s="216">
        <v>15010</v>
      </c>
      <c r="K6237" s="210">
        <v>0</v>
      </c>
      <c r="L6237" s="210">
        <v>0</v>
      </c>
      <c r="M6237" s="210">
        <v>0</v>
      </c>
      <c r="N6237" s="210">
        <v>0</v>
      </c>
      <c r="O6237" s="210">
        <v>0</v>
      </c>
      <c r="P6237" s="26">
        <v>7.5</v>
      </c>
      <c r="Q6237" s="172" t="s">
        <v>186</v>
      </c>
    </row>
    <row r="6238" spans="1:17" s="162" customFormat="1" ht="72" x14ac:dyDescent="0.25">
      <c r="A6238" s="199">
        <v>42300</v>
      </c>
      <c r="B6238" s="199">
        <v>42300</v>
      </c>
      <c r="C6238" s="195">
        <v>2015</v>
      </c>
      <c r="D6238" s="24" t="s">
        <v>141</v>
      </c>
      <c r="E6238" s="30" t="s">
        <v>142</v>
      </c>
      <c r="F6238" s="7" t="s">
        <v>75</v>
      </c>
      <c r="G6238" s="200" t="s">
        <v>4971</v>
      </c>
      <c r="H6238" s="196" t="s">
        <v>8882</v>
      </c>
      <c r="I6238" s="202">
        <v>2</v>
      </c>
      <c r="J6238" s="31">
        <v>2</v>
      </c>
      <c r="K6238" s="203">
        <v>0</v>
      </c>
      <c r="L6238" s="203">
        <v>0</v>
      </c>
      <c r="M6238" s="203">
        <v>0</v>
      </c>
      <c r="N6238" s="203">
        <v>0</v>
      </c>
      <c r="O6238" s="203">
        <v>0</v>
      </c>
      <c r="P6238" s="211">
        <v>2.375</v>
      </c>
      <c r="Q6238" s="204" t="s">
        <v>154</v>
      </c>
    </row>
    <row r="6239" spans="1:17" s="162" customFormat="1" ht="108" x14ac:dyDescent="0.25">
      <c r="A6239" s="2">
        <v>42301</v>
      </c>
      <c r="B6239" s="48">
        <v>42303</v>
      </c>
      <c r="C6239" s="195">
        <v>2015</v>
      </c>
      <c r="D6239" s="351" t="s">
        <v>23</v>
      </c>
      <c r="E6239" s="14" t="s">
        <v>52</v>
      </c>
      <c r="F6239" s="7" t="s">
        <v>91</v>
      </c>
      <c r="G6239" s="84" t="s">
        <v>3221</v>
      </c>
      <c r="H6239" s="84" t="s">
        <v>8883</v>
      </c>
      <c r="I6239" s="213">
        <v>0</v>
      </c>
      <c r="J6239" s="67">
        <v>6371</v>
      </c>
      <c r="K6239" s="216">
        <v>2</v>
      </c>
      <c r="L6239" s="203">
        <v>0</v>
      </c>
      <c r="M6239" s="203">
        <v>0</v>
      </c>
      <c r="N6239" s="203">
        <v>0</v>
      </c>
      <c r="O6239" s="203">
        <v>0</v>
      </c>
      <c r="P6239" s="26">
        <f>4.859+42.281</f>
        <v>47.14</v>
      </c>
      <c r="Q6239" s="172" t="s">
        <v>8884</v>
      </c>
    </row>
    <row r="6240" spans="1:17" s="162" customFormat="1" ht="192" x14ac:dyDescent="0.25">
      <c r="A6240" s="199">
        <v>42302</v>
      </c>
      <c r="B6240" s="199">
        <v>42302</v>
      </c>
      <c r="C6240" s="195">
        <v>2015</v>
      </c>
      <c r="D6240" s="24" t="s">
        <v>141</v>
      </c>
      <c r="E6240" s="30" t="s">
        <v>142</v>
      </c>
      <c r="F6240" s="28" t="s">
        <v>157</v>
      </c>
      <c r="G6240" s="200" t="s">
        <v>4820</v>
      </c>
      <c r="H6240" s="196" t="s">
        <v>8885</v>
      </c>
      <c r="I6240" s="202">
        <v>2</v>
      </c>
      <c r="J6240" s="31">
        <v>13</v>
      </c>
      <c r="K6240" s="203">
        <v>0</v>
      </c>
      <c r="L6240" s="203">
        <v>0</v>
      </c>
      <c r="M6240" s="203">
        <v>0</v>
      </c>
      <c r="N6240" s="203">
        <v>0</v>
      </c>
      <c r="O6240" s="203">
        <v>0</v>
      </c>
      <c r="P6240" s="211">
        <v>0.16</v>
      </c>
      <c r="Q6240" s="204" t="s">
        <v>154</v>
      </c>
    </row>
    <row r="6241" spans="1:17" s="162" customFormat="1" ht="204" x14ac:dyDescent="0.25">
      <c r="A6241" s="199">
        <v>42302</v>
      </c>
      <c r="B6241" s="199">
        <v>42302</v>
      </c>
      <c r="C6241" s="195">
        <v>2015</v>
      </c>
      <c r="D6241" s="24" t="s">
        <v>141</v>
      </c>
      <c r="E6241" s="30" t="s">
        <v>142</v>
      </c>
      <c r="F6241" s="28" t="s">
        <v>157</v>
      </c>
      <c r="G6241" s="200" t="s">
        <v>8886</v>
      </c>
      <c r="H6241" s="196" t="s">
        <v>8887</v>
      </c>
      <c r="I6241" s="202">
        <v>0</v>
      </c>
      <c r="J6241" s="31">
        <v>15</v>
      </c>
      <c r="K6241" s="203">
        <v>0</v>
      </c>
      <c r="L6241" s="203">
        <v>0</v>
      </c>
      <c r="M6241" s="203">
        <v>0</v>
      </c>
      <c r="N6241" s="203">
        <v>0</v>
      </c>
      <c r="O6241" s="203">
        <v>0</v>
      </c>
      <c r="P6241" s="211">
        <v>0.42</v>
      </c>
      <c r="Q6241" s="204" t="s">
        <v>154</v>
      </c>
    </row>
    <row r="6242" spans="1:17" s="162" customFormat="1" ht="192" x14ac:dyDescent="0.25">
      <c r="A6242" s="23">
        <v>42304</v>
      </c>
      <c r="B6242" s="23">
        <v>42312</v>
      </c>
      <c r="C6242" s="195">
        <v>2015</v>
      </c>
      <c r="D6242" s="35" t="s">
        <v>17</v>
      </c>
      <c r="E6242" s="217" t="s">
        <v>1597</v>
      </c>
      <c r="F6242" s="28" t="s">
        <v>157</v>
      </c>
      <c r="G6242" s="146" t="s">
        <v>1609</v>
      </c>
      <c r="H6242" s="147" t="s">
        <v>8888</v>
      </c>
      <c r="I6242" s="213">
        <v>0</v>
      </c>
      <c r="J6242" s="214">
        <v>116</v>
      </c>
      <c r="K6242" s="214">
        <v>1</v>
      </c>
      <c r="L6242" s="214">
        <v>0</v>
      </c>
      <c r="M6242" s="214">
        <v>0</v>
      </c>
      <c r="N6242" s="214">
        <v>0</v>
      </c>
      <c r="O6242" s="214">
        <v>0</v>
      </c>
      <c r="P6242" s="26">
        <v>15</v>
      </c>
      <c r="Q6242" s="172" t="s">
        <v>8889</v>
      </c>
    </row>
    <row r="6243" spans="1:17" s="162" customFormat="1" ht="156" x14ac:dyDescent="0.25">
      <c r="A6243" s="199">
        <v>42305</v>
      </c>
      <c r="B6243" s="199">
        <v>42306</v>
      </c>
      <c r="C6243" s="195">
        <v>2015</v>
      </c>
      <c r="D6243" s="24" t="s">
        <v>141</v>
      </c>
      <c r="E6243" s="6" t="s">
        <v>333</v>
      </c>
      <c r="F6243" s="7" t="s">
        <v>84</v>
      </c>
      <c r="G6243" s="200" t="s">
        <v>6344</v>
      </c>
      <c r="H6243" s="196" t="s">
        <v>8890</v>
      </c>
      <c r="I6243" s="202">
        <v>0</v>
      </c>
      <c r="J6243" s="31">
        <v>50</v>
      </c>
      <c r="K6243" s="203">
        <v>4</v>
      </c>
      <c r="L6243" s="203">
        <v>0</v>
      </c>
      <c r="M6243" s="203">
        <v>0</v>
      </c>
      <c r="N6243" s="203">
        <v>0</v>
      </c>
      <c r="O6243" s="203">
        <v>0</v>
      </c>
      <c r="P6243" s="211">
        <v>0.121</v>
      </c>
      <c r="Q6243" s="204" t="s">
        <v>154</v>
      </c>
    </row>
    <row r="6244" spans="1:17" s="162" customFormat="1" ht="168" x14ac:dyDescent="0.25">
      <c r="A6244" s="199">
        <v>42306</v>
      </c>
      <c r="B6244" s="199">
        <v>42306</v>
      </c>
      <c r="C6244" s="195">
        <v>2015</v>
      </c>
      <c r="D6244" s="351" t="s">
        <v>23</v>
      </c>
      <c r="E6244" s="22" t="s">
        <v>86</v>
      </c>
      <c r="F6244" s="7" t="s">
        <v>67</v>
      </c>
      <c r="G6244" s="200" t="s">
        <v>8891</v>
      </c>
      <c r="H6244" s="196" t="s">
        <v>8892</v>
      </c>
      <c r="I6244" s="202">
        <v>0</v>
      </c>
      <c r="J6244" s="31" t="s">
        <v>110</v>
      </c>
      <c r="K6244" s="203">
        <v>0</v>
      </c>
      <c r="L6244" s="203">
        <v>0</v>
      </c>
      <c r="M6244" s="203">
        <v>0</v>
      </c>
      <c r="N6244" s="203">
        <v>0</v>
      </c>
      <c r="O6244" s="203">
        <v>0</v>
      </c>
      <c r="P6244" s="211">
        <v>0</v>
      </c>
      <c r="Q6244" s="204" t="s">
        <v>154</v>
      </c>
    </row>
    <row r="6245" spans="1:17" s="162" customFormat="1" ht="264" x14ac:dyDescent="0.25">
      <c r="A6245" s="199">
        <v>42306</v>
      </c>
      <c r="B6245" s="199">
        <v>42307</v>
      </c>
      <c r="C6245" s="195">
        <v>2015</v>
      </c>
      <c r="D6245" s="351" t="s">
        <v>23</v>
      </c>
      <c r="E6245" s="22" t="s">
        <v>86</v>
      </c>
      <c r="F6245" s="7" t="s">
        <v>60</v>
      </c>
      <c r="G6245" s="200" t="s">
        <v>8893</v>
      </c>
      <c r="H6245" s="196" t="s">
        <v>8894</v>
      </c>
      <c r="I6245" s="202">
        <v>0</v>
      </c>
      <c r="J6245" s="31">
        <v>279</v>
      </c>
      <c r="K6245" s="203" t="s">
        <v>110</v>
      </c>
      <c r="L6245" s="203">
        <v>0</v>
      </c>
      <c r="M6245" s="203">
        <v>0</v>
      </c>
      <c r="N6245" s="203">
        <v>0</v>
      </c>
      <c r="O6245" s="203">
        <v>0</v>
      </c>
      <c r="P6245" s="211">
        <v>0</v>
      </c>
      <c r="Q6245" s="204" t="s">
        <v>154</v>
      </c>
    </row>
    <row r="6246" spans="1:17" s="162" customFormat="1" ht="84" x14ac:dyDescent="0.25">
      <c r="A6246" s="2">
        <v>42306</v>
      </c>
      <c r="B6246" s="2">
        <v>42307</v>
      </c>
      <c r="C6246" s="195">
        <v>2015</v>
      </c>
      <c r="D6246" s="351" t="s">
        <v>23</v>
      </c>
      <c r="E6246" s="14" t="s">
        <v>52</v>
      </c>
      <c r="F6246" s="7" t="s">
        <v>84</v>
      </c>
      <c r="G6246" s="84" t="s">
        <v>2844</v>
      </c>
      <c r="H6246" s="84" t="s">
        <v>8895</v>
      </c>
      <c r="I6246" s="213">
        <v>0</v>
      </c>
      <c r="J6246" s="216">
        <v>2200</v>
      </c>
      <c r="K6246" s="203">
        <v>0</v>
      </c>
      <c r="L6246" s="203">
        <v>0</v>
      </c>
      <c r="M6246" s="203">
        <v>0</v>
      </c>
      <c r="N6246" s="203">
        <v>0</v>
      </c>
      <c r="O6246" s="203">
        <v>0</v>
      </c>
      <c r="P6246" s="26">
        <v>1.7350000000000001</v>
      </c>
      <c r="Q6246" s="172" t="s">
        <v>186</v>
      </c>
    </row>
    <row r="6247" spans="1:17" s="162" customFormat="1" ht="180" x14ac:dyDescent="0.25">
      <c r="A6247" s="2">
        <v>42307</v>
      </c>
      <c r="B6247" s="2">
        <v>42307</v>
      </c>
      <c r="C6247" s="195">
        <v>2015</v>
      </c>
      <c r="D6247" s="351" t="s">
        <v>23</v>
      </c>
      <c r="E6247" s="22" t="s">
        <v>86</v>
      </c>
      <c r="F6247" s="7" t="s">
        <v>91</v>
      </c>
      <c r="G6247" s="84" t="s">
        <v>8896</v>
      </c>
      <c r="H6247" s="84" t="s">
        <v>8897</v>
      </c>
      <c r="I6247" s="213">
        <v>0</v>
      </c>
      <c r="J6247" s="67">
        <v>16573</v>
      </c>
      <c r="K6247" s="67" t="s">
        <v>110</v>
      </c>
      <c r="L6247" s="203">
        <v>39</v>
      </c>
      <c r="M6247" s="203">
        <v>2</v>
      </c>
      <c r="N6247" s="203">
        <v>0</v>
      </c>
      <c r="O6247" s="203">
        <v>0</v>
      </c>
      <c r="P6247" s="87">
        <f>15.419+154.17</f>
        <v>169.589</v>
      </c>
      <c r="Q6247" s="122" t="s">
        <v>5207</v>
      </c>
    </row>
    <row r="6248" spans="1:17" s="162" customFormat="1" ht="96" x14ac:dyDescent="0.25">
      <c r="A6248" s="205">
        <v>42307</v>
      </c>
      <c r="B6248" s="205">
        <v>42309</v>
      </c>
      <c r="C6248" s="195">
        <v>2015</v>
      </c>
      <c r="D6248" s="351" t="s">
        <v>23</v>
      </c>
      <c r="E6248" s="14" t="s">
        <v>52</v>
      </c>
      <c r="F6248" s="28" t="s">
        <v>210</v>
      </c>
      <c r="G6248" s="229" t="s">
        <v>8898</v>
      </c>
      <c r="H6248" s="229" t="s">
        <v>8899</v>
      </c>
      <c r="I6248" s="222">
        <v>0</v>
      </c>
      <c r="J6248" s="31">
        <v>13972</v>
      </c>
      <c r="K6248" s="228">
        <v>0</v>
      </c>
      <c r="L6248" s="228">
        <v>0</v>
      </c>
      <c r="M6248" s="228">
        <v>0</v>
      </c>
      <c r="N6248" s="228">
        <v>0</v>
      </c>
      <c r="O6248" s="228">
        <v>0</v>
      </c>
      <c r="P6248" s="223">
        <v>20.818999999999999</v>
      </c>
      <c r="Q6248" s="222" t="s">
        <v>186</v>
      </c>
    </row>
    <row r="6249" spans="1:17" s="162" customFormat="1" ht="144" x14ac:dyDescent="0.25">
      <c r="A6249" s="199">
        <v>42308</v>
      </c>
      <c r="B6249" s="199">
        <v>42308</v>
      </c>
      <c r="C6249" s="195">
        <v>2015</v>
      </c>
      <c r="D6249" s="24" t="s">
        <v>141</v>
      </c>
      <c r="E6249" s="30" t="s">
        <v>142</v>
      </c>
      <c r="F6249" s="28" t="s">
        <v>160</v>
      </c>
      <c r="G6249" s="200" t="s">
        <v>8900</v>
      </c>
      <c r="H6249" s="196" t="s">
        <v>8901</v>
      </c>
      <c r="I6249" s="202">
        <v>0</v>
      </c>
      <c r="J6249" s="31">
        <v>72</v>
      </c>
      <c r="K6249" s="203">
        <v>0</v>
      </c>
      <c r="L6249" s="203">
        <v>0</v>
      </c>
      <c r="M6249" s="203">
        <v>0</v>
      </c>
      <c r="N6249" s="203">
        <v>0</v>
      </c>
      <c r="O6249" s="203">
        <v>0</v>
      </c>
      <c r="P6249" s="211">
        <v>0.84</v>
      </c>
      <c r="Q6249" s="204" t="s">
        <v>154</v>
      </c>
    </row>
    <row r="6250" spans="1:17" s="162" customFormat="1" ht="192" x14ac:dyDescent="0.25">
      <c r="A6250" s="199">
        <v>42313</v>
      </c>
      <c r="B6250" s="199">
        <v>42313</v>
      </c>
      <c r="C6250" s="195">
        <v>2015</v>
      </c>
      <c r="D6250" s="24" t="s">
        <v>141</v>
      </c>
      <c r="E6250" s="30" t="s">
        <v>142</v>
      </c>
      <c r="F6250" s="7" t="s">
        <v>68</v>
      </c>
      <c r="G6250" s="200" t="s">
        <v>2512</v>
      </c>
      <c r="H6250" s="196" t="s">
        <v>8902</v>
      </c>
      <c r="I6250" s="202">
        <v>1</v>
      </c>
      <c r="J6250" s="31">
        <v>4</v>
      </c>
      <c r="K6250" s="203">
        <v>0</v>
      </c>
      <c r="L6250" s="203">
        <v>0</v>
      </c>
      <c r="M6250" s="203">
        <v>0</v>
      </c>
      <c r="N6250" s="203">
        <v>0</v>
      </c>
      <c r="O6250" s="203">
        <v>0</v>
      </c>
      <c r="P6250" s="211">
        <v>0.47299999999999998</v>
      </c>
      <c r="Q6250" s="204" t="s">
        <v>154</v>
      </c>
    </row>
    <row r="6251" spans="1:17" s="162" customFormat="1" ht="144" x14ac:dyDescent="0.25">
      <c r="A6251" s="199">
        <v>42315</v>
      </c>
      <c r="B6251" s="199">
        <v>42315</v>
      </c>
      <c r="C6251" s="195">
        <v>2015</v>
      </c>
      <c r="D6251" s="35" t="s">
        <v>28</v>
      </c>
      <c r="E6251" s="217" t="s">
        <v>8863</v>
      </c>
      <c r="F6251" s="7" t="s">
        <v>75</v>
      </c>
      <c r="G6251" s="200" t="s">
        <v>6624</v>
      </c>
      <c r="H6251" s="196" t="s">
        <v>8903</v>
      </c>
      <c r="I6251" s="202">
        <v>0</v>
      </c>
      <c r="J6251" s="31">
        <v>3</v>
      </c>
      <c r="K6251" s="203">
        <v>0</v>
      </c>
      <c r="L6251" s="203">
        <v>0</v>
      </c>
      <c r="M6251" s="203">
        <v>0</v>
      </c>
      <c r="N6251" s="203">
        <v>0</v>
      </c>
      <c r="O6251" s="203">
        <v>0</v>
      </c>
      <c r="P6251" s="211">
        <v>0</v>
      </c>
      <c r="Q6251" s="204" t="s">
        <v>154</v>
      </c>
    </row>
    <row r="6252" spans="1:17" s="162" customFormat="1" ht="108" x14ac:dyDescent="0.25">
      <c r="A6252" s="199">
        <v>42315</v>
      </c>
      <c r="B6252" s="199">
        <v>42315</v>
      </c>
      <c r="C6252" s="195">
        <v>2015</v>
      </c>
      <c r="D6252" s="24" t="s">
        <v>141</v>
      </c>
      <c r="E6252" s="30" t="s">
        <v>142</v>
      </c>
      <c r="F6252" s="7" t="s">
        <v>72</v>
      </c>
      <c r="G6252" s="200" t="s">
        <v>8904</v>
      </c>
      <c r="H6252" s="196" t="s">
        <v>8905</v>
      </c>
      <c r="I6252" s="202">
        <v>0</v>
      </c>
      <c r="J6252" s="31">
        <v>1</v>
      </c>
      <c r="K6252" s="203">
        <v>0</v>
      </c>
      <c r="L6252" s="203">
        <v>0</v>
      </c>
      <c r="M6252" s="203">
        <v>0</v>
      </c>
      <c r="N6252" s="203">
        <v>0</v>
      </c>
      <c r="O6252" s="203">
        <v>0</v>
      </c>
      <c r="P6252" s="211">
        <v>0</v>
      </c>
      <c r="Q6252" s="204" t="s">
        <v>154</v>
      </c>
    </row>
    <row r="6253" spans="1:17" s="162" customFormat="1" ht="120" x14ac:dyDescent="0.25">
      <c r="A6253" s="199">
        <v>42315</v>
      </c>
      <c r="B6253" s="199">
        <v>42315</v>
      </c>
      <c r="C6253" s="195">
        <v>2015</v>
      </c>
      <c r="D6253" s="24" t="s">
        <v>141</v>
      </c>
      <c r="E6253" s="30" t="s">
        <v>142</v>
      </c>
      <c r="F6253" s="7" t="s">
        <v>75</v>
      </c>
      <c r="G6253" s="200" t="s">
        <v>6624</v>
      </c>
      <c r="H6253" s="196" t="s">
        <v>8906</v>
      </c>
      <c r="I6253" s="202">
        <v>0</v>
      </c>
      <c r="J6253" s="31">
        <v>0</v>
      </c>
      <c r="K6253" s="203">
        <v>0</v>
      </c>
      <c r="L6253" s="203">
        <v>0</v>
      </c>
      <c r="M6253" s="203">
        <v>0</v>
      </c>
      <c r="N6253" s="203">
        <v>0</v>
      </c>
      <c r="O6253" s="203">
        <v>0</v>
      </c>
      <c r="P6253" s="211">
        <v>8.0000000000000002E-3</v>
      </c>
      <c r="Q6253" s="204" t="s">
        <v>154</v>
      </c>
    </row>
    <row r="6254" spans="1:17" s="162" customFormat="1" ht="108" x14ac:dyDescent="0.25">
      <c r="A6254" s="199">
        <v>42319</v>
      </c>
      <c r="B6254" s="199">
        <v>42319</v>
      </c>
      <c r="C6254" s="195">
        <v>2015</v>
      </c>
      <c r="D6254" s="24" t="s">
        <v>141</v>
      </c>
      <c r="E6254" s="30" t="s">
        <v>142</v>
      </c>
      <c r="F6254" s="7" t="s">
        <v>62</v>
      </c>
      <c r="G6254" s="200" t="s">
        <v>1410</v>
      </c>
      <c r="H6254" s="196" t="s">
        <v>8907</v>
      </c>
      <c r="I6254" s="202">
        <v>0</v>
      </c>
      <c r="J6254" s="31">
        <v>20</v>
      </c>
      <c r="K6254" s="203">
        <v>0</v>
      </c>
      <c r="L6254" s="203">
        <v>0</v>
      </c>
      <c r="M6254" s="203">
        <v>0</v>
      </c>
      <c r="N6254" s="203">
        <v>0</v>
      </c>
      <c r="O6254" s="203">
        <v>0</v>
      </c>
      <c r="P6254" s="211">
        <v>0.42</v>
      </c>
      <c r="Q6254" s="204" t="s">
        <v>154</v>
      </c>
    </row>
    <row r="6255" spans="1:17" s="162" customFormat="1" ht="180" x14ac:dyDescent="0.25">
      <c r="A6255" s="199">
        <v>42319</v>
      </c>
      <c r="B6255" s="199">
        <v>42319</v>
      </c>
      <c r="C6255" s="195">
        <v>2015</v>
      </c>
      <c r="D6255" s="24" t="s">
        <v>141</v>
      </c>
      <c r="E6255" s="30" t="s">
        <v>142</v>
      </c>
      <c r="F6255" s="7" t="s">
        <v>53</v>
      </c>
      <c r="G6255" s="200" t="s">
        <v>8908</v>
      </c>
      <c r="H6255" s="196" t="s">
        <v>8909</v>
      </c>
      <c r="I6255" s="202">
        <v>0</v>
      </c>
      <c r="J6255" s="31">
        <v>1</v>
      </c>
      <c r="K6255" s="203">
        <v>0</v>
      </c>
      <c r="L6255" s="203">
        <v>0</v>
      </c>
      <c r="M6255" s="203">
        <v>0</v>
      </c>
      <c r="N6255" s="203">
        <v>0</v>
      </c>
      <c r="O6255" s="203">
        <v>0</v>
      </c>
      <c r="P6255" s="211">
        <v>0.47299999999999998</v>
      </c>
      <c r="Q6255" s="204" t="s">
        <v>154</v>
      </c>
    </row>
    <row r="6256" spans="1:17" s="162" customFormat="1" ht="132" x14ac:dyDescent="0.25">
      <c r="A6256" s="199">
        <v>42320</v>
      </c>
      <c r="B6256" s="199">
        <v>42320</v>
      </c>
      <c r="C6256" s="195">
        <v>2015</v>
      </c>
      <c r="D6256" s="24" t="s">
        <v>141</v>
      </c>
      <c r="E6256" s="30" t="s">
        <v>142</v>
      </c>
      <c r="F6256" s="7" t="s">
        <v>53</v>
      </c>
      <c r="G6256" s="200" t="s">
        <v>6691</v>
      </c>
      <c r="H6256" s="196" t="s">
        <v>8910</v>
      </c>
      <c r="I6256" s="202">
        <v>1</v>
      </c>
      <c r="J6256" s="31">
        <v>2027</v>
      </c>
      <c r="K6256" s="203">
        <v>0</v>
      </c>
      <c r="L6256" s="203">
        <v>0</v>
      </c>
      <c r="M6256" s="203">
        <v>0</v>
      </c>
      <c r="N6256" s="203">
        <v>0</v>
      </c>
      <c r="O6256" s="203">
        <v>0</v>
      </c>
      <c r="P6256" s="211">
        <v>0.47299999999999998</v>
      </c>
      <c r="Q6256" s="204" t="s">
        <v>154</v>
      </c>
    </row>
    <row r="6257" spans="1:17" s="162" customFormat="1" ht="84" x14ac:dyDescent="0.25">
      <c r="A6257" s="2">
        <v>42320</v>
      </c>
      <c r="B6257" s="2">
        <v>42323</v>
      </c>
      <c r="C6257" s="195">
        <v>2015</v>
      </c>
      <c r="D6257" s="351" t="s">
        <v>23</v>
      </c>
      <c r="E6257" s="22" t="s">
        <v>86</v>
      </c>
      <c r="F6257" s="28" t="s">
        <v>210</v>
      </c>
      <c r="G6257" s="84" t="s">
        <v>8911</v>
      </c>
      <c r="H6257" s="84" t="s">
        <v>8912</v>
      </c>
      <c r="I6257" s="213">
        <v>0</v>
      </c>
      <c r="J6257" s="67">
        <v>6938</v>
      </c>
      <c r="K6257" s="228">
        <v>0</v>
      </c>
      <c r="L6257" s="228">
        <v>0</v>
      </c>
      <c r="M6257" s="228">
        <v>0</v>
      </c>
      <c r="N6257" s="228">
        <v>0</v>
      </c>
      <c r="O6257" s="228">
        <v>0</v>
      </c>
      <c r="P6257" s="223">
        <v>11.965</v>
      </c>
      <c r="Q6257" s="222" t="s">
        <v>186</v>
      </c>
    </row>
    <row r="6258" spans="1:17" s="162" customFormat="1" ht="108" x14ac:dyDescent="0.25">
      <c r="A6258" s="199">
        <v>42324</v>
      </c>
      <c r="B6258" s="199">
        <v>42324</v>
      </c>
      <c r="C6258" s="195">
        <v>2015</v>
      </c>
      <c r="D6258" s="24" t="s">
        <v>141</v>
      </c>
      <c r="E6258" s="30" t="s">
        <v>142</v>
      </c>
      <c r="F6258" s="28" t="s">
        <v>160</v>
      </c>
      <c r="G6258" s="200" t="s">
        <v>7227</v>
      </c>
      <c r="H6258" s="196" t="s">
        <v>8913</v>
      </c>
      <c r="I6258" s="202">
        <v>2</v>
      </c>
      <c r="J6258" s="31">
        <v>9</v>
      </c>
      <c r="K6258" s="203">
        <v>0</v>
      </c>
      <c r="L6258" s="203">
        <v>0</v>
      </c>
      <c r="M6258" s="203">
        <v>0</v>
      </c>
      <c r="N6258" s="203">
        <v>0</v>
      </c>
      <c r="O6258" s="203">
        <v>0</v>
      </c>
      <c r="P6258" s="211">
        <v>0.47299999999999998</v>
      </c>
      <c r="Q6258" s="204" t="s">
        <v>154</v>
      </c>
    </row>
    <row r="6259" spans="1:17" s="162" customFormat="1" ht="120" x14ac:dyDescent="0.25">
      <c r="A6259" s="199">
        <v>42325</v>
      </c>
      <c r="B6259" s="199">
        <v>42325</v>
      </c>
      <c r="C6259" s="195">
        <v>2015</v>
      </c>
      <c r="D6259" s="24" t="s">
        <v>141</v>
      </c>
      <c r="E6259" s="30" t="s">
        <v>142</v>
      </c>
      <c r="F6259" s="7" t="s">
        <v>36</v>
      </c>
      <c r="G6259" s="200" t="s">
        <v>744</v>
      </c>
      <c r="H6259" s="196" t="s">
        <v>8914</v>
      </c>
      <c r="I6259" s="202">
        <v>0</v>
      </c>
      <c r="J6259" s="31">
        <v>20</v>
      </c>
      <c r="K6259" s="203">
        <v>0</v>
      </c>
      <c r="L6259" s="203">
        <v>0</v>
      </c>
      <c r="M6259" s="203">
        <v>0</v>
      </c>
      <c r="N6259" s="203">
        <v>0</v>
      </c>
      <c r="O6259" s="203">
        <v>0</v>
      </c>
      <c r="P6259" s="211">
        <v>0.42</v>
      </c>
      <c r="Q6259" s="204" t="s">
        <v>154</v>
      </c>
    </row>
    <row r="6260" spans="1:17" s="162" customFormat="1" ht="108" x14ac:dyDescent="0.25">
      <c r="A6260" s="199">
        <v>42326</v>
      </c>
      <c r="B6260" s="199">
        <v>42326</v>
      </c>
      <c r="C6260" s="195">
        <v>2015</v>
      </c>
      <c r="D6260" s="35" t="s">
        <v>28</v>
      </c>
      <c r="E6260" s="6" t="s">
        <v>149</v>
      </c>
      <c r="F6260" s="7" t="s">
        <v>56</v>
      </c>
      <c r="G6260" s="200" t="s">
        <v>711</v>
      </c>
      <c r="H6260" s="196" t="s">
        <v>8915</v>
      </c>
      <c r="I6260" s="202">
        <v>0</v>
      </c>
      <c r="J6260" s="31">
        <v>0</v>
      </c>
      <c r="K6260" s="203">
        <v>0</v>
      </c>
      <c r="L6260" s="203">
        <v>0</v>
      </c>
      <c r="M6260" s="203">
        <v>0</v>
      </c>
      <c r="N6260" s="203">
        <v>0</v>
      </c>
      <c r="O6260" s="203">
        <v>0</v>
      </c>
      <c r="P6260" s="211">
        <v>3.7999999999999999E-2</v>
      </c>
      <c r="Q6260" s="204" t="s">
        <v>154</v>
      </c>
    </row>
    <row r="6261" spans="1:17" s="162" customFormat="1" ht="204" x14ac:dyDescent="0.25">
      <c r="A6261" s="199">
        <v>42326</v>
      </c>
      <c r="B6261" s="199">
        <v>42327</v>
      </c>
      <c r="C6261" s="195">
        <v>2015</v>
      </c>
      <c r="D6261" s="35" t="s">
        <v>28</v>
      </c>
      <c r="E6261" s="6" t="s">
        <v>149</v>
      </c>
      <c r="F6261" s="7" t="s">
        <v>53</v>
      </c>
      <c r="G6261" s="200" t="s">
        <v>5069</v>
      </c>
      <c r="H6261" s="196" t="s">
        <v>8916</v>
      </c>
      <c r="I6261" s="202">
        <v>0</v>
      </c>
      <c r="J6261" s="31">
        <v>0</v>
      </c>
      <c r="K6261" s="203">
        <v>0</v>
      </c>
      <c r="L6261" s="203">
        <v>0</v>
      </c>
      <c r="M6261" s="203">
        <v>0</v>
      </c>
      <c r="N6261" s="203">
        <v>0</v>
      </c>
      <c r="O6261" s="203">
        <v>0</v>
      </c>
      <c r="P6261" s="211">
        <v>0.11899999999999999</v>
      </c>
      <c r="Q6261" s="204" t="s">
        <v>154</v>
      </c>
    </row>
    <row r="6262" spans="1:17" s="162" customFormat="1" ht="156" x14ac:dyDescent="0.25">
      <c r="A6262" s="199">
        <v>42326</v>
      </c>
      <c r="B6262" s="199">
        <v>42327</v>
      </c>
      <c r="C6262" s="195">
        <v>2015</v>
      </c>
      <c r="D6262" s="35" t="s">
        <v>28</v>
      </c>
      <c r="E6262" s="6" t="s">
        <v>149</v>
      </c>
      <c r="F6262" s="7" t="s">
        <v>53</v>
      </c>
      <c r="G6262" s="200" t="s">
        <v>5069</v>
      </c>
      <c r="H6262" s="196" t="s">
        <v>8917</v>
      </c>
      <c r="I6262" s="202">
        <v>0</v>
      </c>
      <c r="J6262" s="31">
        <v>0</v>
      </c>
      <c r="K6262" s="203">
        <v>0</v>
      </c>
      <c r="L6262" s="203">
        <v>0</v>
      </c>
      <c r="M6262" s="203">
        <v>0</v>
      </c>
      <c r="N6262" s="203">
        <v>0</v>
      </c>
      <c r="O6262" s="203">
        <v>0</v>
      </c>
      <c r="P6262" s="211">
        <v>0</v>
      </c>
      <c r="Q6262" s="204" t="s">
        <v>154</v>
      </c>
    </row>
    <row r="6263" spans="1:17" s="162" customFormat="1" ht="96" x14ac:dyDescent="0.25">
      <c r="A6263" s="2">
        <v>42327</v>
      </c>
      <c r="B6263" s="2">
        <v>42331</v>
      </c>
      <c r="C6263" s="195">
        <v>2015</v>
      </c>
      <c r="D6263" s="351" t="s">
        <v>23</v>
      </c>
      <c r="E6263" s="14" t="s">
        <v>52</v>
      </c>
      <c r="F6263" s="28" t="s">
        <v>210</v>
      </c>
      <c r="G6263" s="84" t="s">
        <v>8918</v>
      </c>
      <c r="H6263" s="84" t="s">
        <v>8919</v>
      </c>
      <c r="I6263" s="213">
        <v>0</v>
      </c>
      <c r="J6263" s="67">
        <v>3616</v>
      </c>
      <c r="K6263" s="228">
        <v>0</v>
      </c>
      <c r="L6263" s="228">
        <v>0</v>
      </c>
      <c r="M6263" s="228">
        <v>0</v>
      </c>
      <c r="N6263" s="228">
        <v>0</v>
      </c>
      <c r="O6263" s="228">
        <v>0</v>
      </c>
      <c r="P6263" s="223">
        <v>6.4359999999999999</v>
      </c>
      <c r="Q6263" s="222" t="s">
        <v>186</v>
      </c>
    </row>
    <row r="6264" spans="1:17" s="162" customFormat="1" ht="84" x14ac:dyDescent="0.25">
      <c r="A6264" s="2">
        <v>42327</v>
      </c>
      <c r="B6264" s="2">
        <v>42334</v>
      </c>
      <c r="C6264" s="195">
        <v>2015</v>
      </c>
      <c r="D6264" s="351" t="s">
        <v>23</v>
      </c>
      <c r="E6264" s="14" t="s">
        <v>52</v>
      </c>
      <c r="F6264" s="28" t="s">
        <v>210</v>
      </c>
      <c r="G6264" s="84" t="s">
        <v>8920</v>
      </c>
      <c r="H6264" s="84" t="s">
        <v>8921</v>
      </c>
      <c r="I6264" s="213">
        <v>0</v>
      </c>
      <c r="J6264" s="67">
        <v>2063</v>
      </c>
      <c r="K6264" s="228">
        <v>0</v>
      </c>
      <c r="L6264" s="228">
        <v>0</v>
      </c>
      <c r="M6264" s="228">
        <v>0</v>
      </c>
      <c r="N6264" s="228">
        <v>0</v>
      </c>
      <c r="O6264" s="228">
        <v>0</v>
      </c>
      <c r="P6264" s="223">
        <v>1.2509999999999999</v>
      </c>
      <c r="Q6264" s="222" t="s">
        <v>186</v>
      </c>
    </row>
    <row r="6265" spans="1:17" s="162" customFormat="1" ht="168" x14ac:dyDescent="0.25">
      <c r="A6265" s="199">
        <v>42328</v>
      </c>
      <c r="B6265" s="199">
        <v>42328</v>
      </c>
      <c r="C6265" s="195">
        <v>2015</v>
      </c>
      <c r="D6265" s="24" t="s">
        <v>141</v>
      </c>
      <c r="E6265" s="6" t="s">
        <v>333</v>
      </c>
      <c r="F6265" s="28" t="s">
        <v>160</v>
      </c>
      <c r="G6265" s="200" t="s">
        <v>5780</v>
      </c>
      <c r="H6265" s="196" t="s">
        <v>8922</v>
      </c>
      <c r="I6265" s="202">
        <v>0</v>
      </c>
      <c r="J6265" s="31">
        <v>1500</v>
      </c>
      <c r="K6265" s="203">
        <v>0</v>
      </c>
      <c r="L6265" s="203">
        <v>0</v>
      </c>
      <c r="M6265" s="203">
        <v>0</v>
      </c>
      <c r="N6265" s="203">
        <v>0</v>
      </c>
      <c r="O6265" s="203">
        <v>0</v>
      </c>
      <c r="P6265" s="211">
        <v>0</v>
      </c>
      <c r="Q6265" s="204" t="s">
        <v>154</v>
      </c>
    </row>
    <row r="6266" spans="1:17" s="162" customFormat="1" ht="144" x14ac:dyDescent="0.25">
      <c r="A6266" s="199">
        <v>42330</v>
      </c>
      <c r="B6266" s="199">
        <v>42330</v>
      </c>
      <c r="C6266" s="195">
        <v>2015</v>
      </c>
      <c r="D6266" s="24" t="s">
        <v>141</v>
      </c>
      <c r="E6266" s="30" t="s">
        <v>142</v>
      </c>
      <c r="F6266" s="7" t="s">
        <v>75</v>
      </c>
      <c r="G6266" s="200" t="s">
        <v>3437</v>
      </c>
      <c r="H6266" s="196" t="s">
        <v>8923</v>
      </c>
      <c r="I6266" s="202">
        <v>24</v>
      </c>
      <c r="J6266" s="31">
        <v>34</v>
      </c>
      <c r="K6266" s="203">
        <v>0</v>
      </c>
      <c r="L6266" s="203">
        <v>0</v>
      </c>
      <c r="M6266" s="203">
        <v>0</v>
      </c>
      <c r="N6266" s="203">
        <v>0</v>
      </c>
      <c r="O6266" s="203">
        <v>0</v>
      </c>
      <c r="P6266" s="211">
        <v>0.499</v>
      </c>
      <c r="Q6266" s="204" t="s">
        <v>154</v>
      </c>
    </row>
    <row r="6267" spans="1:17" s="162" customFormat="1" ht="288" x14ac:dyDescent="0.25">
      <c r="A6267" s="199">
        <v>42332</v>
      </c>
      <c r="B6267" s="199">
        <v>42332</v>
      </c>
      <c r="C6267" s="195">
        <v>2015</v>
      </c>
      <c r="D6267" s="35" t="s">
        <v>28</v>
      </c>
      <c r="E6267" s="30" t="s">
        <v>133</v>
      </c>
      <c r="F6267" s="7" t="s">
        <v>72</v>
      </c>
      <c r="G6267" s="200" t="s">
        <v>3749</v>
      </c>
      <c r="H6267" s="196" t="s">
        <v>8924</v>
      </c>
      <c r="I6267" s="202">
        <v>0</v>
      </c>
      <c r="J6267" s="31">
        <v>3000</v>
      </c>
      <c r="K6267" s="203">
        <v>0</v>
      </c>
      <c r="L6267" s="203">
        <v>0</v>
      </c>
      <c r="M6267" s="203">
        <v>0</v>
      </c>
      <c r="N6267" s="203">
        <v>0</v>
      </c>
      <c r="O6267" s="203">
        <v>0</v>
      </c>
      <c r="P6267" s="211">
        <v>0</v>
      </c>
      <c r="Q6267" s="204" t="s">
        <v>154</v>
      </c>
    </row>
    <row r="6268" spans="1:17" s="162" customFormat="1" ht="132" x14ac:dyDescent="0.25">
      <c r="A6268" s="199">
        <v>42333</v>
      </c>
      <c r="B6268" s="199">
        <v>42333</v>
      </c>
      <c r="C6268" s="195">
        <v>2015</v>
      </c>
      <c r="D6268" s="24" t="s">
        <v>141</v>
      </c>
      <c r="E6268" s="30" t="s">
        <v>142</v>
      </c>
      <c r="F6268" s="7" t="s">
        <v>58</v>
      </c>
      <c r="G6268" s="200" t="s">
        <v>8214</v>
      </c>
      <c r="H6268" s="196" t="s">
        <v>8925</v>
      </c>
      <c r="I6268" s="202">
        <v>7</v>
      </c>
      <c r="J6268" s="31">
        <v>29</v>
      </c>
      <c r="K6268" s="203">
        <v>0</v>
      </c>
      <c r="L6268" s="203">
        <v>0</v>
      </c>
      <c r="M6268" s="203">
        <v>0</v>
      </c>
      <c r="N6268" s="203">
        <v>0</v>
      </c>
      <c r="O6268" s="203">
        <v>0</v>
      </c>
      <c r="P6268" s="211">
        <v>0.42</v>
      </c>
      <c r="Q6268" s="204" t="s">
        <v>154</v>
      </c>
    </row>
    <row r="6269" spans="1:17" s="162" customFormat="1" ht="144" x14ac:dyDescent="0.25">
      <c r="A6269" s="199">
        <v>42333</v>
      </c>
      <c r="B6269" s="199">
        <v>42333</v>
      </c>
      <c r="C6269" s="195">
        <v>2015</v>
      </c>
      <c r="D6269" s="24" t="s">
        <v>141</v>
      </c>
      <c r="E6269" s="30" t="s">
        <v>142</v>
      </c>
      <c r="F6269" s="7" t="s">
        <v>56</v>
      </c>
      <c r="G6269" s="200" t="s">
        <v>1160</v>
      </c>
      <c r="H6269" s="196" t="s">
        <v>8926</v>
      </c>
      <c r="I6269" s="202">
        <v>1</v>
      </c>
      <c r="J6269" s="31">
        <v>15</v>
      </c>
      <c r="K6269" s="203">
        <v>0</v>
      </c>
      <c r="L6269" s="203">
        <v>0</v>
      </c>
      <c r="M6269" s="203">
        <v>0</v>
      </c>
      <c r="N6269" s="203">
        <v>0</v>
      </c>
      <c r="O6269" s="203">
        <v>0</v>
      </c>
      <c r="P6269" s="211">
        <v>0.42</v>
      </c>
      <c r="Q6269" s="204" t="s">
        <v>154</v>
      </c>
    </row>
    <row r="6270" spans="1:17" s="162" customFormat="1" ht="144" x14ac:dyDescent="0.25">
      <c r="A6270" s="199">
        <v>42334</v>
      </c>
      <c r="B6270" s="199">
        <v>42334</v>
      </c>
      <c r="C6270" s="195">
        <v>2015</v>
      </c>
      <c r="D6270" s="24" t="s">
        <v>141</v>
      </c>
      <c r="E6270" s="30" t="s">
        <v>142</v>
      </c>
      <c r="F6270" s="7" t="s">
        <v>56</v>
      </c>
      <c r="G6270" s="200" t="s">
        <v>495</v>
      </c>
      <c r="H6270" s="196" t="s">
        <v>8927</v>
      </c>
      <c r="I6270" s="202">
        <v>1</v>
      </c>
      <c r="J6270" s="31">
        <v>31</v>
      </c>
      <c r="K6270" s="203">
        <v>0</v>
      </c>
      <c r="L6270" s="203">
        <v>0</v>
      </c>
      <c r="M6270" s="203">
        <v>0</v>
      </c>
      <c r="N6270" s="203">
        <v>0</v>
      </c>
      <c r="O6270" s="203">
        <v>0</v>
      </c>
      <c r="P6270" s="211">
        <v>0.16</v>
      </c>
      <c r="Q6270" s="204" t="s">
        <v>154</v>
      </c>
    </row>
    <row r="6271" spans="1:17" s="162" customFormat="1" ht="228" x14ac:dyDescent="0.25">
      <c r="A6271" s="199">
        <v>42334</v>
      </c>
      <c r="B6271" s="199">
        <v>42334</v>
      </c>
      <c r="C6271" s="195">
        <v>2015</v>
      </c>
      <c r="D6271" s="24" t="s">
        <v>141</v>
      </c>
      <c r="E6271" s="30" t="s">
        <v>142</v>
      </c>
      <c r="F6271" s="28" t="s">
        <v>157</v>
      </c>
      <c r="G6271" s="200" t="s">
        <v>716</v>
      </c>
      <c r="H6271" s="196" t="s">
        <v>8928</v>
      </c>
      <c r="I6271" s="202">
        <v>0</v>
      </c>
      <c r="J6271" s="31">
        <v>139</v>
      </c>
      <c r="K6271" s="203">
        <v>0</v>
      </c>
      <c r="L6271" s="203">
        <v>0</v>
      </c>
      <c r="M6271" s="203">
        <v>0</v>
      </c>
      <c r="N6271" s="203">
        <v>0</v>
      </c>
      <c r="O6271" s="203">
        <v>0</v>
      </c>
      <c r="P6271" s="211">
        <v>0</v>
      </c>
      <c r="Q6271" s="204" t="s">
        <v>154</v>
      </c>
    </row>
    <row r="6272" spans="1:17" s="162" customFormat="1" ht="144" x14ac:dyDescent="0.25">
      <c r="A6272" s="199">
        <v>42340</v>
      </c>
      <c r="B6272" s="199">
        <v>42340</v>
      </c>
      <c r="C6272" s="195">
        <v>2015</v>
      </c>
      <c r="D6272" s="24" t="s">
        <v>141</v>
      </c>
      <c r="E6272" s="30" t="s">
        <v>142</v>
      </c>
      <c r="F6272" s="7" t="s">
        <v>56</v>
      </c>
      <c r="G6272" s="200" t="s">
        <v>711</v>
      </c>
      <c r="H6272" s="196" t="s">
        <v>8929</v>
      </c>
      <c r="I6272" s="202">
        <v>0</v>
      </c>
      <c r="J6272" s="31">
        <v>26</v>
      </c>
      <c r="K6272" s="203">
        <v>0</v>
      </c>
      <c r="L6272" s="203">
        <v>0</v>
      </c>
      <c r="M6272" s="203">
        <v>0</v>
      </c>
      <c r="N6272" s="203">
        <v>0</v>
      </c>
      <c r="O6272" s="203">
        <v>0</v>
      </c>
      <c r="P6272" s="211">
        <v>0.16</v>
      </c>
      <c r="Q6272" s="204" t="s">
        <v>154</v>
      </c>
    </row>
    <row r="6273" spans="1:17" s="162" customFormat="1" ht="84" x14ac:dyDescent="0.25">
      <c r="A6273" s="199">
        <v>42341</v>
      </c>
      <c r="B6273" s="199">
        <v>42341</v>
      </c>
      <c r="C6273" s="195">
        <v>2015</v>
      </c>
      <c r="D6273" s="24" t="s">
        <v>141</v>
      </c>
      <c r="E6273" s="30" t="s">
        <v>142</v>
      </c>
      <c r="F6273" s="7" t="s">
        <v>53</v>
      </c>
      <c r="G6273" s="200" t="s">
        <v>8930</v>
      </c>
      <c r="H6273" s="196" t="s">
        <v>8931</v>
      </c>
      <c r="I6273" s="202">
        <v>2</v>
      </c>
      <c r="J6273" s="31">
        <v>32</v>
      </c>
      <c r="K6273" s="203">
        <v>0</v>
      </c>
      <c r="L6273" s="203">
        <v>0</v>
      </c>
      <c r="M6273" s="203">
        <v>0</v>
      </c>
      <c r="N6273" s="203">
        <v>0</v>
      </c>
      <c r="O6273" s="203">
        <v>0</v>
      </c>
      <c r="P6273" s="211">
        <v>0.32</v>
      </c>
      <c r="Q6273" s="204" t="s">
        <v>154</v>
      </c>
    </row>
    <row r="6274" spans="1:17" s="162" customFormat="1" ht="132" x14ac:dyDescent="0.25">
      <c r="A6274" s="199">
        <v>42341</v>
      </c>
      <c r="B6274" s="199">
        <v>42341</v>
      </c>
      <c r="C6274" s="195">
        <v>2015</v>
      </c>
      <c r="D6274" s="24" t="s">
        <v>141</v>
      </c>
      <c r="E6274" s="30" t="s">
        <v>142</v>
      </c>
      <c r="F6274" s="7" t="s">
        <v>56</v>
      </c>
      <c r="G6274" s="200" t="s">
        <v>2731</v>
      </c>
      <c r="H6274" s="196" t="s">
        <v>8932</v>
      </c>
      <c r="I6274" s="202">
        <v>0</v>
      </c>
      <c r="J6274" s="31">
        <v>1</v>
      </c>
      <c r="K6274" s="203">
        <v>0</v>
      </c>
      <c r="L6274" s="203">
        <v>0</v>
      </c>
      <c r="M6274" s="203">
        <v>0</v>
      </c>
      <c r="N6274" s="203">
        <v>0</v>
      </c>
      <c r="O6274" s="203">
        <v>0</v>
      </c>
      <c r="P6274" s="211">
        <v>0.39</v>
      </c>
      <c r="Q6274" s="204" t="s">
        <v>154</v>
      </c>
    </row>
    <row r="6275" spans="1:17" s="162" customFormat="1" ht="96" x14ac:dyDescent="0.25">
      <c r="A6275" s="2">
        <v>42341</v>
      </c>
      <c r="B6275" s="2">
        <v>42343</v>
      </c>
      <c r="C6275" s="195">
        <v>2015</v>
      </c>
      <c r="D6275" s="351" t="s">
        <v>23</v>
      </c>
      <c r="E6275" s="14" t="s">
        <v>52</v>
      </c>
      <c r="F6275" s="28" t="s">
        <v>210</v>
      </c>
      <c r="G6275" s="84" t="s">
        <v>8933</v>
      </c>
      <c r="H6275" s="84" t="s">
        <v>8934</v>
      </c>
      <c r="I6275" s="213">
        <v>0</v>
      </c>
      <c r="J6275" s="67">
        <v>4337</v>
      </c>
      <c r="K6275" s="228">
        <v>0</v>
      </c>
      <c r="L6275" s="228">
        <v>0</v>
      </c>
      <c r="M6275" s="228">
        <v>0</v>
      </c>
      <c r="N6275" s="228">
        <v>0</v>
      </c>
      <c r="O6275" s="228">
        <v>0</v>
      </c>
      <c r="P6275" s="223">
        <v>6.7549999999999999</v>
      </c>
      <c r="Q6275" s="222" t="s">
        <v>186</v>
      </c>
    </row>
    <row r="6276" spans="1:17" s="162" customFormat="1" ht="228" x14ac:dyDescent="0.25">
      <c r="A6276" s="199">
        <v>42342</v>
      </c>
      <c r="B6276" s="199">
        <v>42342</v>
      </c>
      <c r="C6276" s="195">
        <v>2015</v>
      </c>
      <c r="D6276" s="351" t="s">
        <v>23</v>
      </c>
      <c r="E6276" s="22" t="s">
        <v>86</v>
      </c>
      <c r="F6276" s="28" t="s">
        <v>210</v>
      </c>
      <c r="G6276" s="200" t="s">
        <v>8935</v>
      </c>
      <c r="H6276" s="196" t="s">
        <v>8936</v>
      </c>
      <c r="I6276" s="202">
        <v>0</v>
      </c>
      <c r="J6276" s="31" t="s">
        <v>110</v>
      </c>
      <c r="K6276" s="203" t="s">
        <v>110</v>
      </c>
      <c r="L6276" s="203">
        <v>0</v>
      </c>
      <c r="M6276" s="203">
        <v>0</v>
      </c>
      <c r="N6276" s="203">
        <v>0</v>
      </c>
      <c r="O6276" s="203">
        <v>0</v>
      </c>
      <c r="P6276" s="211">
        <v>0</v>
      </c>
      <c r="Q6276" s="204" t="s">
        <v>154</v>
      </c>
    </row>
    <row r="6277" spans="1:17" s="162" customFormat="1" ht="216" x14ac:dyDescent="0.25">
      <c r="A6277" s="199">
        <v>42342</v>
      </c>
      <c r="B6277" s="199">
        <v>42342</v>
      </c>
      <c r="C6277" s="195">
        <v>2015</v>
      </c>
      <c r="D6277" s="24" t="s">
        <v>141</v>
      </c>
      <c r="E6277" s="30" t="s">
        <v>142</v>
      </c>
      <c r="F6277" s="7" t="s">
        <v>58</v>
      </c>
      <c r="G6277" s="200" t="s">
        <v>6775</v>
      </c>
      <c r="H6277" s="196" t="s">
        <v>8937</v>
      </c>
      <c r="I6277" s="202">
        <v>0</v>
      </c>
      <c r="J6277" s="31">
        <v>25</v>
      </c>
      <c r="K6277" s="203">
        <v>0</v>
      </c>
      <c r="L6277" s="203">
        <v>0</v>
      </c>
      <c r="M6277" s="203">
        <v>0</v>
      </c>
      <c r="N6277" s="203">
        <v>0</v>
      </c>
      <c r="O6277" s="203">
        <v>0</v>
      </c>
      <c r="P6277" s="211">
        <v>0.42</v>
      </c>
      <c r="Q6277" s="204" t="s">
        <v>154</v>
      </c>
    </row>
    <row r="6278" spans="1:17" s="162" customFormat="1" ht="144" x14ac:dyDescent="0.25">
      <c r="A6278" s="199">
        <v>42343</v>
      </c>
      <c r="B6278" s="199">
        <v>42343</v>
      </c>
      <c r="C6278" s="195">
        <v>2015</v>
      </c>
      <c r="D6278" s="24" t="s">
        <v>141</v>
      </c>
      <c r="E6278" s="30" t="s">
        <v>142</v>
      </c>
      <c r="F6278" s="28" t="s">
        <v>210</v>
      </c>
      <c r="G6278" s="200" t="s">
        <v>1245</v>
      </c>
      <c r="H6278" s="196" t="s">
        <v>8938</v>
      </c>
      <c r="I6278" s="202">
        <v>4</v>
      </c>
      <c r="J6278" s="31">
        <v>16</v>
      </c>
      <c r="K6278" s="203">
        <v>0</v>
      </c>
      <c r="L6278" s="203">
        <v>0</v>
      </c>
      <c r="M6278" s="203">
        <v>0</v>
      </c>
      <c r="N6278" s="203">
        <v>0</v>
      </c>
      <c r="O6278" s="203">
        <v>0</v>
      </c>
      <c r="P6278" s="211">
        <v>7.9000000000000001E-2</v>
      </c>
      <c r="Q6278" s="204" t="s">
        <v>154</v>
      </c>
    </row>
    <row r="6279" spans="1:17" s="162" customFormat="1" ht="132" x14ac:dyDescent="0.25">
      <c r="A6279" s="199">
        <v>42344</v>
      </c>
      <c r="B6279" s="199">
        <v>42344</v>
      </c>
      <c r="C6279" s="195">
        <v>2015</v>
      </c>
      <c r="D6279" s="24" t="s">
        <v>141</v>
      </c>
      <c r="E6279" s="30" t="s">
        <v>142</v>
      </c>
      <c r="F6279" s="7" t="s">
        <v>56</v>
      </c>
      <c r="G6279" s="200" t="s">
        <v>5085</v>
      </c>
      <c r="H6279" s="196" t="s">
        <v>8939</v>
      </c>
      <c r="I6279" s="202">
        <v>1</v>
      </c>
      <c r="J6279" s="31">
        <v>43</v>
      </c>
      <c r="K6279" s="203">
        <v>0</v>
      </c>
      <c r="L6279" s="203">
        <v>0</v>
      </c>
      <c r="M6279" s="203">
        <v>0</v>
      </c>
      <c r="N6279" s="203">
        <v>0</v>
      </c>
      <c r="O6279" s="203">
        <v>0</v>
      </c>
      <c r="P6279" s="211">
        <v>0.42</v>
      </c>
      <c r="Q6279" s="204" t="s">
        <v>154</v>
      </c>
    </row>
    <row r="6280" spans="1:17" s="162" customFormat="1" ht="132" x14ac:dyDescent="0.25">
      <c r="A6280" s="199">
        <v>42344</v>
      </c>
      <c r="B6280" s="199">
        <v>42344</v>
      </c>
      <c r="C6280" s="195">
        <v>2015</v>
      </c>
      <c r="D6280" s="24" t="s">
        <v>141</v>
      </c>
      <c r="E6280" s="30" t="s">
        <v>142</v>
      </c>
      <c r="F6280" s="28" t="s">
        <v>210</v>
      </c>
      <c r="G6280" s="200" t="s">
        <v>8940</v>
      </c>
      <c r="H6280" s="196" t="s">
        <v>8941</v>
      </c>
      <c r="I6280" s="202">
        <v>0</v>
      </c>
      <c r="J6280" s="31">
        <v>15</v>
      </c>
      <c r="K6280" s="203">
        <v>0</v>
      </c>
      <c r="L6280" s="203">
        <v>0</v>
      </c>
      <c r="M6280" s="203">
        <v>0</v>
      </c>
      <c r="N6280" s="203">
        <v>0</v>
      </c>
      <c r="O6280" s="203">
        <v>0</v>
      </c>
      <c r="P6280" s="211">
        <v>0.16</v>
      </c>
      <c r="Q6280" s="204" t="s">
        <v>154</v>
      </c>
    </row>
    <row r="6281" spans="1:17" s="162" customFormat="1" ht="180" x14ac:dyDescent="0.25">
      <c r="A6281" s="199">
        <v>42345</v>
      </c>
      <c r="B6281" s="199">
        <v>42345</v>
      </c>
      <c r="C6281" s="195">
        <v>2015</v>
      </c>
      <c r="D6281" s="24" t="s">
        <v>141</v>
      </c>
      <c r="E6281" s="30" t="s">
        <v>142</v>
      </c>
      <c r="F6281" s="7" t="s">
        <v>56</v>
      </c>
      <c r="G6281" s="200" t="s">
        <v>8942</v>
      </c>
      <c r="H6281" s="196" t="s">
        <v>8943</v>
      </c>
      <c r="I6281" s="202">
        <v>1</v>
      </c>
      <c r="J6281" s="31">
        <v>701</v>
      </c>
      <c r="K6281" s="203">
        <v>0</v>
      </c>
      <c r="L6281" s="203">
        <v>0</v>
      </c>
      <c r="M6281" s="203">
        <v>0</v>
      </c>
      <c r="N6281" s="203">
        <v>0</v>
      </c>
      <c r="O6281" s="203">
        <v>0</v>
      </c>
      <c r="P6281" s="211">
        <v>0.88</v>
      </c>
      <c r="Q6281" s="204" t="s">
        <v>154</v>
      </c>
    </row>
    <row r="6282" spans="1:17" s="162" customFormat="1" ht="168" x14ac:dyDescent="0.25">
      <c r="A6282" s="199">
        <v>42345</v>
      </c>
      <c r="B6282" s="199">
        <v>42345</v>
      </c>
      <c r="C6282" s="195">
        <v>2015</v>
      </c>
      <c r="D6282" s="24" t="s">
        <v>141</v>
      </c>
      <c r="E6282" s="30" t="s">
        <v>142</v>
      </c>
      <c r="F6282" s="7" t="s">
        <v>60</v>
      </c>
      <c r="G6282" s="200" t="s">
        <v>2026</v>
      </c>
      <c r="H6282" s="196" t="s">
        <v>8944</v>
      </c>
      <c r="I6282" s="202">
        <v>0</v>
      </c>
      <c r="J6282" s="31">
        <v>15</v>
      </c>
      <c r="K6282" s="203">
        <v>0</v>
      </c>
      <c r="L6282" s="203">
        <v>0</v>
      </c>
      <c r="M6282" s="203">
        <v>0</v>
      </c>
      <c r="N6282" s="203">
        <v>0</v>
      </c>
      <c r="O6282" s="203">
        <v>0</v>
      </c>
      <c r="P6282" s="211">
        <v>0.42</v>
      </c>
      <c r="Q6282" s="204" t="s">
        <v>154</v>
      </c>
    </row>
    <row r="6283" spans="1:17" s="162" customFormat="1" ht="108" x14ac:dyDescent="0.25">
      <c r="A6283" s="199">
        <v>42348</v>
      </c>
      <c r="B6283" s="199">
        <v>42348</v>
      </c>
      <c r="C6283" s="195">
        <v>2015</v>
      </c>
      <c r="D6283" s="24" t="s">
        <v>141</v>
      </c>
      <c r="E6283" s="30" t="s">
        <v>142</v>
      </c>
      <c r="F6283" s="7" t="s">
        <v>53</v>
      </c>
      <c r="G6283" s="200" t="s">
        <v>8945</v>
      </c>
      <c r="H6283" s="196" t="s">
        <v>8946</v>
      </c>
      <c r="I6283" s="202">
        <v>2</v>
      </c>
      <c r="J6283" s="31">
        <v>7</v>
      </c>
      <c r="K6283" s="203">
        <v>0</v>
      </c>
      <c r="L6283" s="203">
        <v>0</v>
      </c>
      <c r="M6283" s="203">
        <v>0</v>
      </c>
      <c r="N6283" s="203">
        <v>0</v>
      </c>
      <c r="O6283" s="203">
        <v>0</v>
      </c>
      <c r="P6283" s="211">
        <v>0.46</v>
      </c>
      <c r="Q6283" s="204" t="s">
        <v>154</v>
      </c>
    </row>
    <row r="6284" spans="1:17" s="162" customFormat="1" ht="156" x14ac:dyDescent="0.25">
      <c r="A6284" s="199">
        <v>42349</v>
      </c>
      <c r="B6284" s="199">
        <v>42349</v>
      </c>
      <c r="C6284" s="195">
        <v>2015</v>
      </c>
      <c r="D6284" s="24" t="s">
        <v>141</v>
      </c>
      <c r="E6284" s="30" t="s">
        <v>142</v>
      </c>
      <c r="F6284" s="7" t="s">
        <v>68</v>
      </c>
      <c r="G6284" s="200" t="s">
        <v>2512</v>
      </c>
      <c r="H6284" s="196" t="s">
        <v>8947</v>
      </c>
      <c r="I6284" s="202">
        <v>3</v>
      </c>
      <c r="J6284" s="31">
        <v>14</v>
      </c>
      <c r="K6284" s="203">
        <v>0</v>
      </c>
      <c r="L6284" s="203">
        <v>0</v>
      </c>
      <c r="M6284" s="203">
        <v>0</v>
      </c>
      <c r="N6284" s="203">
        <v>0</v>
      </c>
      <c r="O6284" s="203">
        <v>0</v>
      </c>
      <c r="P6284" s="211">
        <v>0.51200000000000001</v>
      </c>
      <c r="Q6284" s="204" t="s">
        <v>154</v>
      </c>
    </row>
    <row r="6285" spans="1:17" s="162" customFormat="1" ht="72" x14ac:dyDescent="0.25">
      <c r="A6285" s="199">
        <v>42349</v>
      </c>
      <c r="B6285" s="199">
        <v>42349</v>
      </c>
      <c r="C6285" s="195">
        <v>2015</v>
      </c>
      <c r="D6285" s="24" t="s">
        <v>141</v>
      </c>
      <c r="E6285" s="30" t="s">
        <v>142</v>
      </c>
      <c r="F6285" s="7" t="s">
        <v>101</v>
      </c>
      <c r="G6285" s="200" t="s">
        <v>8948</v>
      </c>
      <c r="H6285" s="196" t="s">
        <v>8949</v>
      </c>
      <c r="I6285" s="202">
        <v>1</v>
      </c>
      <c r="J6285" s="31">
        <v>12</v>
      </c>
      <c r="K6285" s="203">
        <v>0</v>
      </c>
      <c r="L6285" s="203">
        <v>0</v>
      </c>
      <c r="M6285" s="203">
        <v>0</v>
      </c>
      <c r="N6285" s="203">
        <v>0</v>
      </c>
      <c r="O6285" s="203">
        <v>0</v>
      </c>
      <c r="P6285" s="211">
        <v>7.9000000000000001E-2</v>
      </c>
      <c r="Q6285" s="204" t="s">
        <v>154</v>
      </c>
    </row>
    <row r="6286" spans="1:17" s="162" customFormat="1" ht="96.75" x14ac:dyDescent="0.25">
      <c r="A6286" s="199">
        <v>42350</v>
      </c>
      <c r="B6286" s="199">
        <v>42350</v>
      </c>
      <c r="C6286" s="195">
        <v>2015</v>
      </c>
      <c r="D6286" s="24" t="s">
        <v>141</v>
      </c>
      <c r="E6286" s="30" t="s">
        <v>142</v>
      </c>
      <c r="F6286" s="7" t="s">
        <v>53</v>
      </c>
      <c r="G6286" s="200" t="s">
        <v>4464</v>
      </c>
      <c r="H6286" s="230" t="s">
        <v>8950</v>
      </c>
      <c r="I6286" s="202">
        <v>0</v>
      </c>
      <c r="J6286" s="31">
        <v>20</v>
      </c>
      <c r="K6286" s="203">
        <v>0</v>
      </c>
      <c r="L6286" s="203">
        <v>0</v>
      </c>
      <c r="M6286" s="203">
        <v>0</v>
      </c>
      <c r="N6286" s="203">
        <v>0</v>
      </c>
      <c r="O6286" s="203">
        <v>0</v>
      </c>
      <c r="P6286" s="211">
        <v>0.16</v>
      </c>
      <c r="Q6286" s="204" t="s">
        <v>154</v>
      </c>
    </row>
    <row r="6287" spans="1:17" s="162" customFormat="1" ht="96" x14ac:dyDescent="0.25">
      <c r="A6287" s="2">
        <v>42350</v>
      </c>
      <c r="B6287" s="2">
        <v>42351</v>
      </c>
      <c r="C6287" s="195">
        <v>2015</v>
      </c>
      <c r="D6287" s="351" t="s">
        <v>23</v>
      </c>
      <c r="E6287" s="22" t="s">
        <v>42</v>
      </c>
      <c r="F6287" s="7" t="s">
        <v>40</v>
      </c>
      <c r="G6287" s="84" t="s">
        <v>8951</v>
      </c>
      <c r="H6287" s="84" t="s">
        <v>8952</v>
      </c>
      <c r="I6287" s="213">
        <v>0</v>
      </c>
      <c r="J6287" s="31">
        <v>7547</v>
      </c>
      <c r="K6287" s="216">
        <v>0</v>
      </c>
      <c r="L6287" s="216">
        <v>0</v>
      </c>
      <c r="M6287" s="216">
        <v>0</v>
      </c>
      <c r="N6287" s="216">
        <v>0</v>
      </c>
      <c r="O6287" s="216">
        <v>0</v>
      </c>
      <c r="P6287" s="26">
        <v>10.648999999999999</v>
      </c>
      <c r="Q6287" s="172" t="s">
        <v>186</v>
      </c>
    </row>
    <row r="6288" spans="1:17" s="162" customFormat="1" ht="108.75" x14ac:dyDescent="0.25">
      <c r="A6288" s="199">
        <v>42351</v>
      </c>
      <c r="B6288" s="199">
        <v>42351</v>
      </c>
      <c r="C6288" s="195">
        <v>2015</v>
      </c>
      <c r="D6288" s="35" t="s">
        <v>28</v>
      </c>
      <c r="E6288" s="30" t="s">
        <v>133</v>
      </c>
      <c r="F6288" s="7" t="s">
        <v>60</v>
      </c>
      <c r="G6288" s="200" t="s">
        <v>2797</v>
      </c>
      <c r="H6288" s="230" t="s">
        <v>8953</v>
      </c>
      <c r="I6288" s="202">
        <v>2</v>
      </c>
      <c r="J6288" s="31">
        <v>6</v>
      </c>
      <c r="K6288" s="203">
        <v>0</v>
      </c>
      <c r="L6288" s="203">
        <v>0</v>
      </c>
      <c r="M6288" s="203">
        <v>0</v>
      </c>
      <c r="N6288" s="203">
        <v>0</v>
      </c>
      <c r="O6288" s="203">
        <v>0</v>
      </c>
      <c r="P6288" s="211">
        <v>0</v>
      </c>
      <c r="Q6288" s="204" t="s">
        <v>154</v>
      </c>
    </row>
    <row r="6289" spans="1:17" s="162" customFormat="1" ht="192.75" x14ac:dyDescent="0.25">
      <c r="A6289" s="199">
        <v>42352</v>
      </c>
      <c r="B6289" s="199">
        <v>42352</v>
      </c>
      <c r="C6289" s="195">
        <v>2015</v>
      </c>
      <c r="D6289" s="35" t="s">
        <v>28</v>
      </c>
      <c r="E6289" s="217" t="s">
        <v>8863</v>
      </c>
      <c r="F6289" s="25" t="s">
        <v>781</v>
      </c>
      <c r="G6289" s="200" t="s">
        <v>2337</v>
      </c>
      <c r="H6289" s="230" t="s">
        <v>8954</v>
      </c>
      <c r="I6289" s="202">
        <v>0</v>
      </c>
      <c r="J6289" s="31">
        <v>1000</v>
      </c>
      <c r="K6289" s="203">
        <v>0</v>
      </c>
      <c r="L6289" s="203">
        <v>0</v>
      </c>
      <c r="M6289" s="203">
        <v>0</v>
      </c>
      <c r="N6289" s="203">
        <v>0</v>
      </c>
      <c r="O6289" s="203">
        <v>0</v>
      </c>
      <c r="P6289" s="211">
        <v>0</v>
      </c>
      <c r="Q6289" s="204" t="s">
        <v>154</v>
      </c>
    </row>
    <row r="6290" spans="1:17" s="162" customFormat="1" ht="96" x14ac:dyDescent="0.25">
      <c r="A6290" s="2">
        <v>42354</v>
      </c>
      <c r="B6290" s="2">
        <v>42355</v>
      </c>
      <c r="C6290" s="195">
        <v>2015</v>
      </c>
      <c r="D6290" s="351" t="s">
        <v>23</v>
      </c>
      <c r="E6290" s="22" t="s">
        <v>42</v>
      </c>
      <c r="F6290" s="7" t="s">
        <v>87</v>
      </c>
      <c r="G6290" s="84" t="s">
        <v>8955</v>
      </c>
      <c r="H6290" s="84" t="s">
        <v>8956</v>
      </c>
      <c r="I6290" s="202">
        <v>0</v>
      </c>
      <c r="J6290" s="216">
        <v>3436</v>
      </c>
      <c r="K6290" s="216">
        <v>0</v>
      </c>
      <c r="L6290" s="216">
        <v>0</v>
      </c>
      <c r="M6290" s="216">
        <v>0</v>
      </c>
      <c r="N6290" s="216">
        <v>0</v>
      </c>
      <c r="O6290" s="216">
        <v>0</v>
      </c>
      <c r="P6290" s="26">
        <v>4.9329999999999998</v>
      </c>
      <c r="Q6290" s="204" t="s">
        <v>186</v>
      </c>
    </row>
    <row r="6291" spans="1:17" s="162" customFormat="1" ht="96" x14ac:dyDescent="0.25">
      <c r="A6291" s="205">
        <v>42360</v>
      </c>
      <c r="B6291" s="205">
        <v>42360</v>
      </c>
      <c r="C6291" s="195">
        <v>2015</v>
      </c>
      <c r="D6291" s="24" t="s">
        <v>141</v>
      </c>
      <c r="E6291" s="30" t="s">
        <v>142</v>
      </c>
      <c r="F6291" s="7" t="s">
        <v>84</v>
      </c>
      <c r="G6291" s="200" t="s">
        <v>1453</v>
      </c>
      <c r="H6291" s="196" t="s">
        <v>8957</v>
      </c>
      <c r="I6291" s="202">
        <v>4</v>
      </c>
      <c r="J6291" s="31">
        <v>24</v>
      </c>
      <c r="K6291" s="203">
        <v>0</v>
      </c>
      <c r="L6291" s="203">
        <v>0</v>
      </c>
      <c r="M6291" s="203">
        <v>0</v>
      </c>
      <c r="N6291" s="203">
        <v>0</v>
      </c>
      <c r="O6291" s="203">
        <v>0</v>
      </c>
      <c r="P6291" s="211">
        <v>0.42</v>
      </c>
      <c r="Q6291" s="204" t="s">
        <v>154</v>
      </c>
    </row>
    <row r="6292" spans="1:17" s="162" customFormat="1" ht="48" x14ac:dyDescent="0.25">
      <c r="A6292" s="205">
        <v>42360</v>
      </c>
      <c r="B6292" s="205">
        <v>42360</v>
      </c>
      <c r="C6292" s="195">
        <v>2015</v>
      </c>
      <c r="D6292" s="35" t="s">
        <v>28</v>
      </c>
      <c r="E6292" s="30" t="s">
        <v>133</v>
      </c>
      <c r="F6292" s="25" t="s">
        <v>781</v>
      </c>
      <c r="G6292" s="200" t="s">
        <v>1580</v>
      </c>
      <c r="H6292" s="196" t="s">
        <v>8958</v>
      </c>
      <c r="I6292" s="202">
        <v>0</v>
      </c>
      <c r="J6292" s="31">
        <v>30</v>
      </c>
      <c r="K6292" s="203">
        <v>0</v>
      </c>
      <c r="L6292" s="203">
        <v>0</v>
      </c>
      <c r="M6292" s="203">
        <v>0</v>
      </c>
      <c r="N6292" s="203">
        <v>0</v>
      </c>
      <c r="O6292" s="203">
        <v>0</v>
      </c>
      <c r="P6292" s="211">
        <v>0</v>
      </c>
      <c r="Q6292" s="204" t="s">
        <v>154</v>
      </c>
    </row>
    <row r="6293" spans="1:17" s="162" customFormat="1" ht="72" x14ac:dyDescent="0.25">
      <c r="A6293" s="205">
        <v>42360</v>
      </c>
      <c r="B6293" s="205">
        <v>42360</v>
      </c>
      <c r="C6293" s="195">
        <v>2015</v>
      </c>
      <c r="D6293" s="24" t="s">
        <v>141</v>
      </c>
      <c r="E6293" s="30" t="s">
        <v>142</v>
      </c>
      <c r="F6293" s="7" t="s">
        <v>80</v>
      </c>
      <c r="G6293" s="200" t="s">
        <v>8959</v>
      </c>
      <c r="H6293" s="196" t="s">
        <v>8960</v>
      </c>
      <c r="I6293" s="222">
        <v>3</v>
      </c>
      <c r="J6293" s="31">
        <v>13</v>
      </c>
      <c r="K6293" s="203">
        <v>0</v>
      </c>
      <c r="L6293" s="203">
        <v>0</v>
      </c>
      <c r="M6293" s="203">
        <v>0</v>
      </c>
      <c r="N6293" s="203">
        <v>0</v>
      </c>
      <c r="O6293" s="203">
        <v>0</v>
      </c>
      <c r="P6293" s="211">
        <v>0.42</v>
      </c>
      <c r="Q6293" s="204" t="s">
        <v>154</v>
      </c>
    </row>
    <row r="6294" spans="1:17" s="162" customFormat="1" ht="108" x14ac:dyDescent="0.25">
      <c r="A6294" s="199">
        <v>42361</v>
      </c>
      <c r="B6294" s="199">
        <v>42361</v>
      </c>
      <c r="C6294" s="195">
        <v>2015</v>
      </c>
      <c r="D6294" s="24" t="s">
        <v>141</v>
      </c>
      <c r="E6294" s="30" t="s">
        <v>142</v>
      </c>
      <c r="F6294" s="28" t="s">
        <v>210</v>
      </c>
      <c r="G6294" s="200" t="s">
        <v>2826</v>
      </c>
      <c r="H6294" s="196" t="s">
        <v>8961</v>
      </c>
      <c r="I6294" s="202">
        <v>11</v>
      </c>
      <c r="J6294" s="31">
        <v>18</v>
      </c>
      <c r="K6294" s="203">
        <v>0</v>
      </c>
      <c r="L6294" s="203">
        <v>0</v>
      </c>
      <c r="M6294" s="203">
        <v>0</v>
      </c>
      <c r="N6294" s="203">
        <v>0</v>
      </c>
      <c r="O6294" s="20">
        <v>0</v>
      </c>
      <c r="P6294" s="211"/>
      <c r="Q6294" s="204" t="s">
        <v>154</v>
      </c>
    </row>
    <row r="6295" spans="1:17" s="162" customFormat="1" ht="168" x14ac:dyDescent="0.25">
      <c r="A6295" s="199">
        <v>42362</v>
      </c>
      <c r="B6295" s="199">
        <v>42362</v>
      </c>
      <c r="C6295" s="195">
        <v>2015</v>
      </c>
      <c r="D6295" s="24" t="s">
        <v>141</v>
      </c>
      <c r="E6295" s="30" t="s">
        <v>142</v>
      </c>
      <c r="F6295" s="7" t="s">
        <v>53</v>
      </c>
      <c r="G6295" s="200" t="s">
        <v>5082</v>
      </c>
      <c r="H6295" s="196" t="s">
        <v>8962</v>
      </c>
      <c r="I6295" s="202">
        <v>6</v>
      </c>
      <c r="J6295" s="31">
        <v>36</v>
      </c>
      <c r="K6295" s="203">
        <v>0</v>
      </c>
      <c r="L6295" s="203">
        <v>0</v>
      </c>
      <c r="M6295" s="203">
        <v>0</v>
      </c>
      <c r="N6295" s="203">
        <v>0</v>
      </c>
      <c r="O6295" s="203">
        <v>0</v>
      </c>
      <c r="P6295" s="211">
        <v>3.4740000000000002</v>
      </c>
      <c r="Q6295" s="204" t="s">
        <v>154</v>
      </c>
    </row>
    <row r="6296" spans="1:17" s="162" customFormat="1" ht="96" x14ac:dyDescent="0.25">
      <c r="A6296" s="199">
        <v>42362</v>
      </c>
      <c r="B6296" s="199">
        <v>42362</v>
      </c>
      <c r="C6296" s="195">
        <v>2015</v>
      </c>
      <c r="D6296" s="24" t="s">
        <v>141</v>
      </c>
      <c r="E6296" s="30" t="s">
        <v>142</v>
      </c>
      <c r="F6296" s="7" t="s">
        <v>91</v>
      </c>
      <c r="G6296" s="200" t="s">
        <v>4511</v>
      </c>
      <c r="H6296" s="196" t="s">
        <v>8963</v>
      </c>
      <c r="I6296" s="202">
        <v>4</v>
      </c>
      <c r="J6296" s="31">
        <v>17</v>
      </c>
      <c r="K6296" s="203">
        <v>0</v>
      </c>
      <c r="L6296" s="203">
        <v>0</v>
      </c>
      <c r="M6296" s="203">
        <v>0</v>
      </c>
      <c r="N6296" s="203">
        <v>0</v>
      </c>
      <c r="O6296" s="203">
        <v>0</v>
      </c>
      <c r="P6296" s="211">
        <v>0.42</v>
      </c>
      <c r="Q6296" s="204" t="s">
        <v>154</v>
      </c>
    </row>
    <row r="6297" spans="1:17" s="162" customFormat="1" ht="96" x14ac:dyDescent="0.25">
      <c r="A6297" s="199">
        <v>42363</v>
      </c>
      <c r="B6297" s="199">
        <v>42364</v>
      </c>
      <c r="C6297" s="195">
        <v>2015</v>
      </c>
      <c r="D6297" s="35" t="s">
        <v>28</v>
      </c>
      <c r="E6297" s="6" t="s">
        <v>149</v>
      </c>
      <c r="F6297" s="28" t="s">
        <v>157</v>
      </c>
      <c r="G6297" s="200" t="s">
        <v>1062</v>
      </c>
      <c r="H6297" s="196" t="s">
        <v>8964</v>
      </c>
      <c r="I6297" s="202">
        <v>0</v>
      </c>
      <c r="J6297" s="31">
        <v>135</v>
      </c>
      <c r="K6297" s="203">
        <v>0</v>
      </c>
      <c r="L6297" s="203">
        <v>0</v>
      </c>
      <c r="M6297" s="203">
        <v>0</v>
      </c>
      <c r="N6297" s="203">
        <v>1</v>
      </c>
      <c r="O6297" s="203">
        <v>0</v>
      </c>
      <c r="P6297" s="211">
        <v>0</v>
      </c>
      <c r="Q6297" s="204" t="s">
        <v>154</v>
      </c>
    </row>
    <row r="6298" spans="1:17" s="162" customFormat="1" ht="156" x14ac:dyDescent="0.25">
      <c r="A6298" s="199">
        <v>42363</v>
      </c>
      <c r="B6298" s="199">
        <v>42363</v>
      </c>
      <c r="C6298" s="195">
        <v>2015</v>
      </c>
      <c r="D6298" s="35" t="s">
        <v>28</v>
      </c>
      <c r="E6298" s="6" t="s">
        <v>149</v>
      </c>
      <c r="F6298" s="28" t="s">
        <v>157</v>
      </c>
      <c r="G6298" s="200" t="s">
        <v>206</v>
      </c>
      <c r="H6298" s="196" t="s">
        <v>8965</v>
      </c>
      <c r="I6298" s="202">
        <v>0</v>
      </c>
      <c r="J6298" s="31">
        <v>150</v>
      </c>
      <c r="K6298" s="203">
        <v>0</v>
      </c>
      <c r="L6298" s="203">
        <v>0</v>
      </c>
      <c r="M6298" s="203">
        <v>0</v>
      </c>
      <c r="N6298" s="203">
        <v>1</v>
      </c>
      <c r="O6298" s="203">
        <v>0</v>
      </c>
      <c r="P6298" s="211">
        <v>0</v>
      </c>
      <c r="Q6298" s="204" t="s">
        <v>154</v>
      </c>
    </row>
    <row r="6299" spans="1:17" s="162" customFormat="1" ht="84" x14ac:dyDescent="0.25">
      <c r="A6299" s="199">
        <v>42363</v>
      </c>
      <c r="B6299" s="199">
        <v>42363</v>
      </c>
      <c r="C6299" s="195">
        <v>2015</v>
      </c>
      <c r="D6299" s="35" t="s">
        <v>28</v>
      </c>
      <c r="E6299" s="6" t="s">
        <v>149</v>
      </c>
      <c r="F6299" s="7" t="s">
        <v>72</v>
      </c>
      <c r="G6299" s="200" t="s">
        <v>809</v>
      </c>
      <c r="H6299" s="196" t="s">
        <v>8966</v>
      </c>
      <c r="I6299" s="202">
        <v>0</v>
      </c>
      <c r="J6299" s="31">
        <v>2</v>
      </c>
      <c r="K6299" s="203">
        <v>1</v>
      </c>
      <c r="L6299" s="203">
        <v>0</v>
      </c>
      <c r="M6299" s="203">
        <v>0</v>
      </c>
      <c r="N6299" s="203">
        <v>0</v>
      </c>
      <c r="O6299" s="203">
        <v>0</v>
      </c>
      <c r="P6299" s="211">
        <v>2.8000000000000001E-2</v>
      </c>
      <c r="Q6299" s="204" t="s">
        <v>154</v>
      </c>
    </row>
    <row r="6300" spans="1:17" s="162" customFormat="1" ht="192" x14ac:dyDescent="0.25">
      <c r="A6300" s="199">
        <v>42364</v>
      </c>
      <c r="B6300" s="199">
        <v>42364</v>
      </c>
      <c r="C6300" s="195">
        <v>2015</v>
      </c>
      <c r="D6300" s="24" t="s">
        <v>141</v>
      </c>
      <c r="E6300" s="30" t="s">
        <v>142</v>
      </c>
      <c r="F6300" s="7" t="s">
        <v>67</v>
      </c>
      <c r="G6300" s="200" t="s">
        <v>5164</v>
      </c>
      <c r="H6300" s="196" t="s">
        <v>8967</v>
      </c>
      <c r="I6300" s="202">
        <v>0</v>
      </c>
      <c r="J6300" s="31">
        <v>2</v>
      </c>
      <c r="K6300" s="203">
        <v>0</v>
      </c>
      <c r="L6300" s="203">
        <v>0</v>
      </c>
      <c r="M6300" s="203">
        <v>0</v>
      </c>
      <c r="N6300" s="203">
        <v>0</v>
      </c>
      <c r="O6300" s="203">
        <v>0</v>
      </c>
      <c r="P6300" s="211">
        <v>0.51200000000000001</v>
      </c>
      <c r="Q6300" s="204" t="s">
        <v>154</v>
      </c>
    </row>
    <row r="6301" spans="1:17" s="162" customFormat="1" ht="144" x14ac:dyDescent="0.25">
      <c r="A6301" s="2">
        <v>42364</v>
      </c>
      <c r="B6301" s="2">
        <v>42366</v>
      </c>
      <c r="C6301" s="195">
        <v>2015</v>
      </c>
      <c r="D6301" s="351" t="s">
        <v>23</v>
      </c>
      <c r="E6301" s="22" t="s">
        <v>42</v>
      </c>
      <c r="F6301" s="7" t="s">
        <v>40</v>
      </c>
      <c r="G6301" s="84" t="s">
        <v>8968</v>
      </c>
      <c r="H6301" s="84" t="s">
        <v>8969</v>
      </c>
      <c r="I6301" s="213">
        <v>0</v>
      </c>
      <c r="J6301" s="31">
        <v>199942</v>
      </c>
      <c r="K6301" s="216">
        <v>0</v>
      </c>
      <c r="L6301" s="216">
        <v>0</v>
      </c>
      <c r="M6301" s="216">
        <v>0</v>
      </c>
      <c r="N6301" s="216">
        <v>0</v>
      </c>
      <c r="O6301" s="216">
        <v>0</v>
      </c>
      <c r="P6301" s="26">
        <v>132.90299999999999</v>
      </c>
      <c r="Q6301" s="172" t="s">
        <v>186</v>
      </c>
    </row>
    <row r="6302" spans="1:17" s="162" customFormat="1" ht="108" x14ac:dyDescent="0.25">
      <c r="A6302" s="2">
        <v>42364</v>
      </c>
      <c r="B6302" s="2">
        <v>42366</v>
      </c>
      <c r="C6302" s="195">
        <v>2015</v>
      </c>
      <c r="D6302" s="351" t="s">
        <v>23</v>
      </c>
      <c r="E6302" s="22" t="s">
        <v>42</v>
      </c>
      <c r="F6302" s="7" t="s">
        <v>87</v>
      </c>
      <c r="G6302" s="84" t="s">
        <v>8970</v>
      </c>
      <c r="H6302" s="84" t="s">
        <v>8971</v>
      </c>
      <c r="I6302" s="202">
        <v>0</v>
      </c>
      <c r="J6302" s="216">
        <v>9098</v>
      </c>
      <c r="K6302" s="216">
        <v>0</v>
      </c>
      <c r="L6302" s="216">
        <v>0</v>
      </c>
      <c r="M6302" s="216">
        <v>0</v>
      </c>
      <c r="N6302" s="216">
        <v>0</v>
      </c>
      <c r="O6302" s="216">
        <v>0</v>
      </c>
      <c r="P6302" s="26">
        <v>15.5</v>
      </c>
      <c r="Q6302" s="204" t="s">
        <v>186</v>
      </c>
    </row>
    <row r="6303" spans="1:17" s="162" customFormat="1" ht="96" x14ac:dyDescent="0.25">
      <c r="A6303" s="199">
        <v>42365</v>
      </c>
      <c r="B6303" s="199">
        <v>42365</v>
      </c>
      <c r="C6303" s="195">
        <v>2015</v>
      </c>
      <c r="D6303" s="24" t="s">
        <v>141</v>
      </c>
      <c r="E6303" s="30" t="s">
        <v>142</v>
      </c>
      <c r="F6303" s="7" t="s">
        <v>45</v>
      </c>
      <c r="G6303" s="200" t="s">
        <v>4305</v>
      </c>
      <c r="H6303" s="196" t="s">
        <v>8972</v>
      </c>
      <c r="I6303" s="202">
        <v>5</v>
      </c>
      <c r="J6303" s="31">
        <v>32</v>
      </c>
      <c r="K6303" s="203">
        <v>0</v>
      </c>
      <c r="L6303" s="203">
        <v>0</v>
      </c>
      <c r="M6303" s="203">
        <v>0</v>
      </c>
      <c r="N6303" s="203">
        <v>0</v>
      </c>
      <c r="O6303" s="203">
        <v>0</v>
      </c>
      <c r="P6303" s="211">
        <v>0.42</v>
      </c>
      <c r="Q6303" s="204" t="s">
        <v>154</v>
      </c>
    </row>
    <row r="6304" spans="1:17" s="162" customFormat="1" ht="72" x14ac:dyDescent="0.25">
      <c r="A6304" s="2">
        <v>42364</v>
      </c>
      <c r="B6304" s="2">
        <v>42366</v>
      </c>
      <c r="C6304" s="195">
        <v>2015</v>
      </c>
      <c r="D6304" s="351" t="s">
        <v>23</v>
      </c>
      <c r="E6304" s="22" t="s">
        <v>42</v>
      </c>
      <c r="F6304" s="7" t="s">
        <v>84</v>
      </c>
      <c r="G6304" s="200" t="s">
        <v>8973</v>
      </c>
      <c r="H6304" s="196" t="s">
        <v>8974</v>
      </c>
      <c r="I6304" s="202">
        <v>0</v>
      </c>
      <c r="J6304" s="31">
        <v>1755</v>
      </c>
      <c r="K6304" s="216">
        <v>0</v>
      </c>
      <c r="L6304" s="216">
        <v>0</v>
      </c>
      <c r="M6304" s="216">
        <v>0</v>
      </c>
      <c r="N6304" s="216">
        <v>0</v>
      </c>
      <c r="O6304" s="216">
        <v>0</v>
      </c>
      <c r="P6304" s="211">
        <v>1.3</v>
      </c>
      <c r="Q6304" s="204" t="s">
        <v>186</v>
      </c>
    </row>
    <row r="6305" spans="1:19" s="162" customFormat="1" ht="276" x14ac:dyDescent="0.25">
      <c r="A6305" s="48">
        <v>42341</v>
      </c>
      <c r="B6305" s="2">
        <v>42344</v>
      </c>
      <c r="C6305" s="195">
        <v>2015</v>
      </c>
      <c r="D6305" s="351" t="s">
        <v>23</v>
      </c>
      <c r="E6305" s="22" t="s">
        <v>86</v>
      </c>
      <c r="F6305" s="25" t="s">
        <v>781</v>
      </c>
      <c r="G6305" s="84" t="s">
        <v>8975</v>
      </c>
      <c r="H6305" s="84" t="s">
        <v>8976</v>
      </c>
      <c r="I6305" s="202">
        <v>0</v>
      </c>
      <c r="J6305" s="67">
        <v>23220</v>
      </c>
      <c r="K6305" s="203">
        <v>0</v>
      </c>
      <c r="L6305" s="203">
        <v>0</v>
      </c>
      <c r="M6305" s="203">
        <v>0</v>
      </c>
      <c r="N6305" s="203">
        <v>0</v>
      </c>
      <c r="O6305" s="203">
        <v>0</v>
      </c>
      <c r="P6305" s="211">
        <v>1.7050000000000001</v>
      </c>
      <c r="Q6305" s="122" t="s">
        <v>5207</v>
      </c>
    </row>
    <row r="6306" spans="1:19" s="162" customFormat="1" ht="132" x14ac:dyDescent="0.25">
      <c r="A6306" s="23">
        <v>42270</v>
      </c>
      <c r="B6306" s="199">
        <v>42270</v>
      </c>
      <c r="C6306" s="195">
        <v>2015</v>
      </c>
      <c r="D6306" s="24" t="s">
        <v>141</v>
      </c>
      <c r="E6306" s="217" t="s">
        <v>1600</v>
      </c>
      <c r="F6306" s="7" t="s">
        <v>53</v>
      </c>
      <c r="G6306" s="200" t="s">
        <v>8977</v>
      </c>
      <c r="H6306" s="196" t="s">
        <v>8978</v>
      </c>
      <c r="I6306" s="202">
        <v>3</v>
      </c>
      <c r="J6306" s="31">
        <v>5</v>
      </c>
      <c r="K6306" s="203">
        <v>0</v>
      </c>
      <c r="L6306" s="203">
        <v>0</v>
      </c>
      <c r="M6306" s="203">
        <v>0</v>
      </c>
      <c r="N6306" s="203">
        <v>0</v>
      </c>
      <c r="O6306" s="203">
        <v>0</v>
      </c>
      <c r="P6306" s="211">
        <v>0</v>
      </c>
      <c r="Q6306" s="204" t="s">
        <v>154</v>
      </c>
    </row>
    <row r="6307" spans="1:19" s="162" customFormat="1" x14ac:dyDescent="0.25">
      <c r="A6307" s="231">
        <v>42411</v>
      </c>
      <c r="B6307" s="231">
        <v>42411</v>
      </c>
      <c r="C6307" s="345">
        <v>2016</v>
      </c>
      <c r="D6307" s="24" t="s">
        <v>141</v>
      </c>
      <c r="E6307" s="6" t="s">
        <v>333</v>
      </c>
      <c r="F6307" s="7" t="s">
        <v>68</v>
      </c>
      <c r="G6307" s="177" t="s">
        <v>1121</v>
      </c>
      <c r="H6307" s="232" t="s">
        <v>4439</v>
      </c>
      <c r="I6307" s="233">
        <v>52</v>
      </c>
      <c r="J6307" s="233">
        <v>64</v>
      </c>
      <c r="K6307" s="233">
        <v>0</v>
      </c>
      <c r="L6307" s="233">
        <v>0</v>
      </c>
      <c r="M6307" s="233">
        <v>0</v>
      </c>
      <c r="N6307" s="233">
        <v>0</v>
      </c>
      <c r="O6307" s="233">
        <v>0</v>
      </c>
      <c r="P6307" s="234">
        <v>0</v>
      </c>
      <c r="Q6307" s="235" t="s">
        <v>154</v>
      </c>
      <c r="R6307" s="236"/>
      <c r="S6307" s="236"/>
    </row>
    <row r="6308" spans="1:19" s="162" customFormat="1" ht="168" x14ac:dyDescent="0.25">
      <c r="A6308" s="237">
        <v>42724</v>
      </c>
      <c r="B6308" s="237">
        <v>42724</v>
      </c>
      <c r="C6308" s="239">
        <v>2016</v>
      </c>
      <c r="D6308" s="35" t="s">
        <v>28</v>
      </c>
      <c r="E6308" s="267" t="s">
        <v>133</v>
      </c>
      <c r="F6308" s="7" t="s">
        <v>53</v>
      </c>
      <c r="G6308" s="238" t="s">
        <v>451</v>
      </c>
      <c r="H6308" s="238" t="s">
        <v>8979</v>
      </c>
      <c r="I6308" s="239">
        <v>42</v>
      </c>
      <c r="J6308" s="239">
        <v>114</v>
      </c>
      <c r="K6308" s="239">
        <v>0</v>
      </c>
      <c r="L6308" s="239">
        <v>0</v>
      </c>
      <c r="M6308" s="239">
        <v>0</v>
      </c>
      <c r="N6308" s="239">
        <v>300</v>
      </c>
      <c r="O6308" s="240">
        <v>0</v>
      </c>
      <c r="P6308" s="241">
        <v>69</v>
      </c>
      <c r="Q6308" s="239" t="s">
        <v>22</v>
      </c>
      <c r="R6308" s="242"/>
      <c r="S6308" s="242"/>
    </row>
    <row r="6309" spans="1:19" s="162" customFormat="1" ht="132" x14ac:dyDescent="0.25">
      <c r="A6309" s="237">
        <v>42506</v>
      </c>
      <c r="B6309" s="237">
        <v>42506</v>
      </c>
      <c r="C6309" s="239">
        <v>2016</v>
      </c>
      <c r="D6309" s="351" t="s">
        <v>23</v>
      </c>
      <c r="E6309" s="267" t="s">
        <v>86</v>
      </c>
      <c r="F6309" s="7" t="s">
        <v>45</v>
      </c>
      <c r="G6309" s="238" t="s">
        <v>1259</v>
      </c>
      <c r="H6309" s="238" t="s">
        <v>8980</v>
      </c>
      <c r="I6309" s="239">
        <v>3</v>
      </c>
      <c r="J6309" s="252">
        <v>0</v>
      </c>
      <c r="K6309" s="239" t="s">
        <v>110</v>
      </c>
      <c r="L6309" s="239">
        <v>0</v>
      </c>
      <c r="M6309" s="239">
        <v>0</v>
      </c>
      <c r="N6309" s="239">
        <v>0</v>
      </c>
      <c r="O6309" s="239">
        <v>0</v>
      </c>
      <c r="P6309" s="241">
        <v>0</v>
      </c>
      <c r="Q6309" s="239" t="s">
        <v>154</v>
      </c>
      <c r="S6309" s="242"/>
    </row>
    <row r="6310" spans="1:19" s="162" customFormat="1" ht="288" x14ac:dyDescent="0.25">
      <c r="A6310" s="237">
        <v>42480</v>
      </c>
      <c r="B6310" s="237">
        <v>42481</v>
      </c>
      <c r="C6310" s="239">
        <v>2016</v>
      </c>
      <c r="D6310" s="35" t="s">
        <v>28</v>
      </c>
      <c r="E6310" s="267" t="s">
        <v>133</v>
      </c>
      <c r="F6310" s="28" t="s">
        <v>210</v>
      </c>
      <c r="G6310" s="238" t="s">
        <v>921</v>
      </c>
      <c r="H6310" s="238" t="s">
        <v>8981</v>
      </c>
      <c r="I6310" s="239">
        <v>32</v>
      </c>
      <c r="J6310" s="243">
        <v>6059</v>
      </c>
      <c r="K6310" s="239">
        <v>0</v>
      </c>
      <c r="L6310" s="239">
        <v>0</v>
      </c>
      <c r="M6310" s="239">
        <v>0</v>
      </c>
      <c r="N6310" s="239">
        <v>0</v>
      </c>
      <c r="O6310" s="239">
        <v>0</v>
      </c>
      <c r="P6310" s="241">
        <v>1443</v>
      </c>
      <c r="Q6310" s="239" t="s">
        <v>22</v>
      </c>
      <c r="S6310" s="242"/>
    </row>
    <row r="6311" spans="1:19" s="162" customFormat="1" ht="108" x14ac:dyDescent="0.25">
      <c r="A6311" s="237">
        <v>42379</v>
      </c>
      <c r="B6311" s="237">
        <v>42379</v>
      </c>
      <c r="C6311" s="345">
        <v>2016</v>
      </c>
      <c r="D6311" s="24" t="s">
        <v>141</v>
      </c>
      <c r="E6311" s="30" t="s">
        <v>142</v>
      </c>
      <c r="F6311" s="28" t="s">
        <v>210</v>
      </c>
      <c r="G6311" s="238" t="s">
        <v>1412</v>
      </c>
      <c r="H6311" s="232" t="s">
        <v>8982</v>
      </c>
      <c r="I6311" s="239">
        <v>22</v>
      </c>
      <c r="J6311" s="239">
        <v>55</v>
      </c>
      <c r="K6311" s="233">
        <v>0</v>
      </c>
      <c r="L6311" s="233">
        <v>0</v>
      </c>
      <c r="M6311" s="233">
        <v>0</v>
      </c>
      <c r="N6311" s="233">
        <v>0</v>
      </c>
      <c r="O6311" s="233">
        <v>0</v>
      </c>
      <c r="P6311" s="244">
        <v>0.5</v>
      </c>
      <c r="Q6311" s="235" t="s">
        <v>154</v>
      </c>
      <c r="S6311" s="236"/>
    </row>
    <row r="6312" spans="1:19" s="162" customFormat="1" ht="48" x14ac:dyDescent="0.25">
      <c r="A6312" s="245">
        <v>42370</v>
      </c>
      <c r="B6312" s="245">
        <v>42735</v>
      </c>
      <c r="C6312" s="266">
        <v>2016</v>
      </c>
      <c r="D6312" s="351" t="s">
        <v>23</v>
      </c>
      <c r="E6312" s="346" t="s">
        <v>327</v>
      </c>
      <c r="F6312" s="7" t="s">
        <v>87</v>
      </c>
      <c r="G6312" s="246" t="s">
        <v>26</v>
      </c>
      <c r="H6312" s="238" t="s">
        <v>8983</v>
      </c>
      <c r="I6312" s="247">
        <v>13</v>
      </c>
      <c r="J6312" s="248">
        <v>373</v>
      </c>
      <c r="K6312" s="247">
        <v>0</v>
      </c>
      <c r="L6312" s="247">
        <v>0</v>
      </c>
      <c r="M6312" s="247">
        <v>0</v>
      </c>
      <c r="N6312" s="247">
        <v>0</v>
      </c>
      <c r="O6312" s="249">
        <v>0</v>
      </c>
      <c r="P6312" s="250">
        <v>0</v>
      </c>
      <c r="Q6312" s="247" t="s">
        <v>2218</v>
      </c>
      <c r="S6312" s="251"/>
    </row>
    <row r="6313" spans="1:19" s="162" customFormat="1" ht="120" x14ac:dyDescent="0.25">
      <c r="A6313" s="237">
        <v>42644</v>
      </c>
      <c r="B6313" s="237">
        <v>42644</v>
      </c>
      <c r="C6313" s="239">
        <v>2016</v>
      </c>
      <c r="D6313" s="24" t="s">
        <v>141</v>
      </c>
      <c r="E6313" s="30" t="s">
        <v>142</v>
      </c>
      <c r="F6313" s="28" t="s">
        <v>210</v>
      </c>
      <c r="G6313" s="238" t="s">
        <v>8984</v>
      </c>
      <c r="H6313" s="238" t="s">
        <v>8985</v>
      </c>
      <c r="I6313" s="239">
        <v>13</v>
      </c>
      <c r="J6313" s="239">
        <v>2</v>
      </c>
      <c r="K6313" s="239">
        <v>0</v>
      </c>
      <c r="L6313" s="239">
        <v>0</v>
      </c>
      <c r="M6313" s="239">
        <v>0</v>
      </c>
      <c r="N6313" s="239">
        <v>0</v>
      </c>
      <c r="O6313" s="240">
        <v>0</v>
      </c>
      <c r="P6313" s="241">
        <v>0.05</v>
      </c>
      <c r="Q6313" s="239" t="s">
        <v>154</v>
      </c>
      <c r="S6313" s="242"/>
    </row>
    <row r="6314" spans="1:19" s="162" customFormat="1" ht="168" x14ac:dyDescent="0.25">
      <c r="A6314" s="237">
        <v>42682</v>
      </c>
      <c r="B6314" s="237">
        <v>42682</v>
      </c>
      <c r="C6314" s="239">
        <v>2016</v>
      </c>
      <c r="D6314" s="351" t="s">
        <v>23</v>
      </c>
      <c r="E6314" s="267" t="s">
        <v>86</v>
      </c>
      <c r="F6314" s="7" t="s">
        <v>91</v>
      </c>
      <c r="G6314" s="238" t="s">
        <v>2315</v>
      </c>
      <c r="H6314" s="238" t="s">
        <v>8986</v>
      </c>
      <c r="I6314" s="239">
        <v>1</v>
      </c>
      <c r="J6314" s="252">
        <v>0</v>
      </c>
      <c r="K6314" s="239">
        <v>0</v>
      </c>
      <c r="L6314" s="239">
        <v>0</v>
      </c>
      <c r="M6314" s="239">
        <v>0</v>
      </c>
      <c r="N6314" s="239">
        <v>0</v>
      </c>
      <c r="O6314" s="240">
        <v>0</v>
      </c>
      <c r="P6314" s="241">
        <v>0</v>
      </c>
      <c r="Q6314" s="239" t="s">
        <v>154</v>
      </c>
      <c r="S6314" s="242"/>
    </row>
    <row r="6315" spans="1:19" s="162" customFormat="1" ht="60" x14ac:dyDescent="0.25">
      <c r="A6315" s="237">
        <v>42555</v>
      </c>
      <c r="B6315" s="237">
        <v>42555</v>
      </c>
      <c r="C6315" s="239">
        <v>2016</v>
      </c>
      <c r="D6315" s="24" t="s">
        <v>141</v>
      </c>
      <c r="E6315" s="30" t="s">
        <v>142</v>
      </c>
      <c r="F6315" s="7" t="s">
        <v>80</v>
      </c>
      <c r="G6315" s="238" t="s">
        <v>8987</v>
      </c>
      <c r="H6315" s="238" t="s">
        <v>8988</v>
      </c>
      <c r="I6315" s="239">
        <v>12</v>
      </c>
      <c r="J6315" s="239">
        <v>22</v>
      </c>
      <c r="K6315" s="239">
        <v>0</v>
      </c>
      <c r="L6315" s="239">
        <v>0</v>
      </c>
      <c r="M6315" s="239">
        <v>0</v>
      </c>
      <c r="N6315" s="239">
        <v>0</v>
      </c>
      <c r="O6315" s="240">
        <v>0</v>
      </c>
      <c r="P6315" s="241">
        <v>0.1</v>
      </c>
      <c r="Q6315" s="239" t="s">
        <v>154</v>
      </c>
      <c r="S6315" s="242"/>
    </row>
    <row r="6316" spans="1:19" s="162" customFormat="1" ht="96" x14ac:dyDescent="0.25">
      <c r="A6316" s="237">
        <v>42652</v>
      </c>
      <c r="B6316" s="237">
        <v>42652</v>
      </c>
      <c r="C6316" s="239">
        <v>2016</v>
      </c>
      <c r="D6316" s="24" t="s">
        <v>141</v>
      </c>
      <c r="E6316" s="30" t="s">
        <v>142</v>
      </c>
      <c r="F6316" s="7" t="s">
        <v>67</v>
      </c>
      <c r="G6316" s="238" t="s">
        <v>2973</v>
      </c>
      <c r="H6316" s="238" t="s">
        <v>8989</v>
      </c>
      <c r="I6316" s="239">
        <v>12</v>
      </c>
      <c r="J6316" s="239">
        <v>17</v>
      </c>
      <c r="K6316" s="239">
        <v>0</v>
      </c>
      <c r="L6316" s="239">
        <v>0</v>
      </c>
      <c r="M6316" s="239">
        <v>0</v>
      </c>
      <c r="N6316" s="239">
        <v>0</v>
      </c>
      <c r="O6316" s="240">
        <v>0</v>
      </c>
      <c r="P6316" s="241">
        <v>0.1</v>
      </c>
      <c r="Q6316" s="239" t="s">
        <v>154</v>
      </c>
      <c r="S6316" s="242"/>
    </row>
    <row r="6317" spans="1:19" s="162" customFormat="1" ht="60" x14ac:dyDescent="0.25">
      <c r="A6317" s="245">
        <v>42370</v>
      </c>
      <c r="B6317" s="245">
        <v>42735</v>
      </c>
      <c r="C6317" s="266">
        <v>2016</v>
      </c>
      <c r="D6317" s="351" t="s">
        <v>23</v>
      </c>
      <c r="E6317" s="346" t="s">
        <v>4089</v>
      </c>
      <c r="F6317" s="7" t="s">
        <v>87</v>
      </c>
      <c r="G6317" s="246" t="s">
        <v>26</v>
      </c>
      <c r="H6317" s="238" t="s">
        <v>8990</v>
      </c>
      <c r="I6317" s="247">
        <v>11</v>
      </c>
      <c r="J6317" s="248">
        <v>72</v>
      </c>
      <c r="K6317" s="247">
        <v>0</v>
      </c>
      <c r="L6317" s="247">
        <v>0</v>
      </c>
      <c r="M6317" s="247">
        <v>0</v>
      </c>
      <c r="N6317" s="247">
        <v>0</v>
      </c>
      <c r="O6317" s="249">
        <v>0</v>
      </c>
      <c r="P6317" s="250">
        <v>0</v>
      </c>
      <c r="Q6317" s="247" t="s">
        <v>2218</v>
      </c>
      <c r="S6317" s="251"/>
    </row>
    <row r="6318" spans="1:19" s="162" customFormat="1" ht="72" x14ac:dyDescent="0.25">
      <c r="A6318" s="237">
        <v>42733</v>
      </c>
      <c r="B6318" s="237">
        <v>42733</v>
      </c>
      <c r="C6318" s="239">
        <v>2016</v>
      </c>
      <c r="D6318" s="24" t="s">
        <v>141</v>
      </c>
      <c r="E6318" s="30" t="s">
        <v>142</v>
      </c>
      <c r="F6318" s="7" t="s">
        <v>40</v>
      </c>
      <c r="G6318" s="238" t="s">
        <v>1479</v>
      </c>
      <c r="H6318" s="238" t="s">
        <v>8991</v>
      </c>
      <c r="I6318" s="239">
        <v>11</v>
      </c>
      <c r="J6318" s="239">
        <v>24</v>
      </c>
      <c r="K6318" s="239">
        <v>0</v>
      </c>
      <c r="L6318" s="239">
        <v>0</v>
      </c>
      <c r="M6318" s="239">
        <v>0</v>
      </c>
      <c r="N6318" s="239">
        <v>0</v>
      </c>
      <c r="O6318" s="240">
        <v>0</v>
      </c>
      <c r="P6318" s="241">
        <v>0.1</v>
      </c>
      <c r="Q6318" s="239" t="s">
        <v>154</v>
      </c>
      <c r="S6318" s="242"/>
    </row>
    <row r="6319" spans="1:19" s="162" customFormat="1" ht="84" x14ac:dyDescent="0.25">
      <c r="A6319" s="237">
        <v>42545</v>
      </c>
      <c r="B6319" s="237">
        <v>42545</v>
      </c>
      <c r="C6319" s="239">
        <v>2016</v>
      </c>
      <c r="D6319" s="24" t="s">
        <v>141</v>
      </c>
      <c r="E6319" s="30" t="s">
        <v>142</v>
      </c>
      <c r="F6319" s="7" t="s">
        <v>40</v>
      </c>
      <c r="G6319" s="238" t="s">
        <v>2097</v>
      </c>
      <c r="H6319" s="238" t="s">
        <v>8992</v>
      </c>
      <c r="I6319" s="239">
        <v>10</v>
      </c>
      <c r="J6319" s="239">
        <v>47</v>
      </c>
      <c r="K6319" s="239">
        <v>0</v>
      </c>
      <c r="L6319" s="239">
        <v>0</v>
      </c>
      <c r="M6319" s="239">
        <v>0</v>
      </c>
      <c r="N6319" s="239">
        <v>0</v>
      </c>
      <c r="O6319" s="240">
        <v>0</v>
      </c>
      <c r="P6319" s="241">
        <v>0.1</v>
      </c>
      <c r="Q6319" s="239" t="s">
        <v>154</v>
      </c>
      <c r="S6319" s="242"/>
    </row>
    <row r="6320" spans="1:19" s="162" customFormat="1" ht="156" x14ac:dyDescent="0.25">
      <c r="A6320" s="231">
        <v>42412</v>
      </c>
      <c r="B6320" s="231">
        <v>42412</v>
      </c>
      <c r="C6320" s="345">
        <v>2016</v>
      </c>
      <c r="D6320" s="24" t="s">
        <v>141</v>
      </c>
      <c r="E6320" s="30" t="s">
        <v>142</v>
      </c>
      <c r="F6320" s="7" t="s">
        <v>75</v>
      </c>
      <c r="G6320" s="177" t="s">
        <v>75</v>
      </c>
      <c r="H6320" s="253" t="s">
        <v>8993</v>
      </c>
      <c r="I6320" s="233">
        <v>8</v>
      </c>
      <c r="J6320" s="233">
        <v>18</v>
      </c>
      <c r="K6320" s="233">
        <v>0</v>
      </c>
      <c r="L6320" s="233">
        <v>0</v>
      </c>
      <c r="M6320" s="233">
        <v>0</v>
      </c>
      <c r="N6320" s="233">
        <v>0</v>
      </c>
      <c r="O6320" s="233">
        <v>0</v>
      </c>
      <c r="P6320" s="234">
        <v>0.1</v>
      </c>
      <c r="Q6320" s="235" t="s">
        <v>154</v>
      </c>
      <c r="S6320" s="236"/>
    </row>
    <row r="6321" spans="1:19" s="162" customFormat="1" ht="96" x14ac:dyDescent="0.25">
      <c r="A6321" s="237">
        <v>42600</v>
      </c>
      <c r="B6321" s="237">
        <v>42600</v>
      </c>
      <c r="C6321" s="239">
        <v>2016</v>
      </c>
      <c r="D6321" s="24" t="s">
        <v>141</v>
      </c>
      <c r="E6321" s="30" t="s">
        <v>142</v>
      </c>
      <c r="F6321" s="7" t="s">
        <v>87</v>
      </c>
      <c r="G6321" s="238" t="s">
        <v>874</v>
      </c>
      <c r="H6321" s="238" t="s">
        <v>8994</v>
      </c>
      <c r="I6321" s="239">
        <v>8</v>
      </c>
      <c r="J6321" s="239">
        <v>44</v>
      </c>
      <c r="K6321" s="239">
        <v>0</v>
      </c>
      <c r="L6321" s="239">
        <v>0</v>
      </c>
      <c r="M6321" s="239">
        <v>0</v>
      </c>
      <c r="N6321" s="239">
        <v>0</v>
      </c>
      <c r="O6321" s="240">
        <v>0</v>
      </c>
      <c r="P6321" s="241">
        <v>0.1</v>
      </c>
      <c r="Q6321" s="239" t="s">
        <v>154</v>
      </c>
      <c r="S6321" s="242"/>
    </row>
    <row r="6322" spans="1:19" s="162" customFormat="1" ht="108" x14ac:dyDescent="0.25">
      <c r="A6322" s="237">
        <v>42435</v>
      </c>
      <c r="B6322" s="237">
        <v>42435</v>
      </c>
      <c r="C6322" s="239">
        <v>2016</v>
      </c>
      <c r="D6322" s="24" t="s">
        <v>141</v>
      </c>
      <c r="E6322" s="30" t="s">
        <v>142</v>
      </c>
      <c r="F6322" s="7" t="s">
        <v>67</v>
      </c>
      <c r="G6322" s="238" t="s">
        <v>6997</v>
      </c>
      <c r="H6322" s="232" t="s">
        <v>8995</v>
      </c>
      <c r="I6322" s="239">
        <v>7</v>
      </c>
      <c r="J6322" s="239">
        <v>28</v>
      </c>
      <c r="K6322" s="239">
        <v>0</v>
      </c>
      <c r="L6322" s="239">
        <v>0</v>
      </c>
      <c r="M6322" s="239">
        <v>0</v>
      </c>
      <c r="N6322" s="239">
        <v>0</v>
      </c>
      <c r="O6322" s="239">
        <v>0</v>
      </c>
      <c r="P6322" s="241">
        <v>0.25</v>
      </c>
      <c r="Q6322" s="239" t="s">
        <v>154</v>
      </c>
      <c r="S6322" s="242"/>
    </row>
    <row r="6323" spans="1:19" s="162" customFormat="1" ht="144" x14ac:dyDescent="0.25">
      <c r="A6323" s="237">
        <v>42447</v>
      </c>
      <c r="B6323" s="237">
        <v>42447</v>
      </c>
      <c r="C6323" s="239">
        <v>2016</v>
      </c>
      <c r="D6323" s="24" t="s">
        <v>141</v>
      </c>
      <c r="E6323" s="30" t="s">
        <v>142</v>
      </c>
      <c r="F6323" s="25" t="s">
        <v>781</v>
      </c>
      <c r="G6323" s="238" t="s">
        <v>3061</v>
      </c>
      <c r="H6323" s="232" t="s">
        <v>8996</v>
      </c>
      <c r="I6323" s="239">
        <v>6</v>
      </c>
      <c r="J6323" s="239">
        <v>10</v>
      </c>
      <c r="K6323" s="239">
        <v>0</v>
      </c>
      <c r="L6323" s="239">
        <v>0</v>
      </c>
      <c r="M6323" s="239">
        <v>0</v>
      </c>
      <c r="N6323" s="239">
        <v>0</v>
      </c>
      <c r="O6323" s="239">
        <v>0</v>
      </c>
      <c r="P6323" s="241">
        <v>2.5000000000000001E-2</v>
      </c>
      <c r="Q6323" s="239" t="s">
        <v>154</v>
      </c>
      <c r="S6323" s="242"/>
    </row>
    <row r="6324" spans="1:19" s="162" customFormat="1" ht="45" x14ac:dyDescent="0.25">
      <c r="A6324" s="245">
        <v>42370</v>
      </c>
      <c r="B6324" s="245">
        <v>42735</v>
      </c>
      <c r="C6324" s="266">
        <v>2016</v>
      </c>
      <c r="D6324" s="351" t="s">
        <v>23</v>
      </c>
      <c r="E6324" s="346" t="s">
        <v>4089</v>
      </c>
      <c r="F6324" s="7" t="s">
        <v>40</v>
      </c>
      <c r="G6324" s="246" t="s">
        <v>26</v>
      </c>
      <c r="H6324" s="247" t="s">
        <v>8997</v>
      </c>
      <c r="I6324" s="247">
        <v>6</v>
      </c>
      <c r="J6324" s="248">
        <v>124</v>
      </c>
      <c r="K6324" s="247">
        <v>0</v>
      </c>
      <c r="L6324" s="247">
        <v>0</v>
      </c>
      <c r="M6324" s="247">
        <v>0</v>
      </c>
      <c r="N6324" s="247">
        <v>0</v>
      </c>
      <c r="O6324" s="249">
        <v>0</v>
      </c>
      <c r="P6324" s="250">
        <v>0</v>
      </c>
      <c r="Q6324" s="247" t="s">
        <v>2218</v>
      </c>
      <c r="S6324" s="251"/>
    </row>
    <row r="6325" spans="1:19" s="162" customFormat="1" ht="96" x14ac:dyDescent="0.25">
      <c r="A6325" s="237">
        <v>42568</v>
      </c>
      <c r="B6325" s="237">
        <v>42568</v>
      </c>
      <c r="C6325" s="256">
        <v>2016</v>
      </c>
      <c r="D6325" s="24" t="s">
        <v>141</v>
      </c>
      <c r="E6325" s="30" t="s">
        <v>142</v>
      </c>
      <c r="F6325" s="7" t="s">
        <v>68</v>
      </c>
      <c r="G6325" s="238" t="s">
        <v>7113</v>
      </c>
      <c r="H6325" s="238" t="s">
        <v>8998</v>
      </c>
      <c r="I6325" s="239">
        <v>6</v>
      </c>
      <c r="J6325" s="239">
        <v>26</v>
      </c>
      <c r="K6325" s="239">
        <v>0</v>
      </c>
      <c r="L6325" s="239">
        <v>0</v>
      </c>
      <c r="M6325" s="239">
        <v>0</v>
      </c>
      <c r="N6325" s="239">
        <v>0</v>
      </c>
      <c r="O6325" s="240">
        <v>0</v>
      </c>
      <c r="P6325" s="241">
        <v>0.1</v>
      </c>
      <c r="Q6325" s="239" t="s">
        <v>154</v>
      </c>
      <c r="S6325" s="242"/>
    </row>
    <row r="6326" spans="1:19" s="162" customFormat="1" ht="96" x14ac:dyDescent="0.25">
      <c r="A6326" s="237">
        <v>42568</v>
      </c>
      <c r="B6326" s="237">
        <v>42568</v>
      </c>
      <c r="C6326" s="256">
        <v>2016</v>
      </c>
      <c r="D6326" s="24" t="s">
        <v>141</v>
      </c>
      <c r="E6326" s="30" t="s">
        <v>142</v>
      </c>
      <c r="F6326" s="7" t="s">
        <v>77</v>
      </c>
      <c r="G6326" s="238" t="s">
        <v>4341</v>
      </c>
      <c r="H6326" s="238" t="s">
        <v>8999</v>
      </c>
      <c r="I6326" s="239">
        <v>6</v>
      </c>
      <c r="J6326" s="239">
        <v>16</v>
      </c>
      <c r="K6326" s="239">
        <v>0</v>
      </c>
      <c r="L6326" s="239">
        <v>0</v>
      </c>
      <c r="M6326" s="239">
        <v>0</v>
      </c>
      <c r="N6326" s="239">
        <v>0</v>
      </c>
      <c r="O6326" s="240">
        <v>0</v>
      </c>
      <c r="P6326" s="241">
        <v>0</v>
      </c>
      <c r="Q6326" s="239" t="s">
        <v>154</v>
      </c>
      <c r="S6326" s="242"/>
    </row>
    <row r="6327" spans="1:19" s="162" customFormat="1" ht="45" x14ac:dyDescent="0.25">
      <c r="A6327" s="245">
        <v>42370</v>
      </c>
      <c r="B6327" s="245">
        <v>42735</v>
      </c>
      <c r="C6327" s="266">
        <v>2016</v>
      </c>
      <c r="D6327" s="351" t="s">
        <v>23</v>
      </c>
      <c r="E6327" s="346" t="s">
        <v>327</v>
      </c>
      <c r="F6327" s="7" t="s">
        <v>30</v>
      </c>
      <c r="G6327" s="246" t="s">
        <v>26</v>
      </c>
      <c r="H6327" s="254" t="s">
        <v>9000</v>
      </c>
      <c r="I6327" s="247">
        <v>6</v>
      </c>
      <c r="J6327" s="248">
        <v>69</v>
      </c>
      <c r="K6327" s="247">
        <v>0</v>
      </c>
      <c r="L6327" s="247">
        <v>0</v>
      </c>
      <c r="M6327" s="247">
        <v>0</v>
      </c>
      <c r="N6327" s="247">
        <v>0</v>
      </c>
      <c r="O6327" s="249">
        <v>0</v>
      </c>
      <c r="P6327" s="250">
        <v>0</v>
      </c>
      <c r="Q6327" s="247" t="s">
        <v>2218</v>
      </c>
      <c r="S6327" s="251"/>
    </row>
    <row r="6328" spans="1:19" s="162" customFormat="1" ht="48" x14ac:dyDescent="0.25">
      <c r="A6328" s="237">
        <v>42475</v>
      </c>
      <c r="B6328" s="237">
        <v>42475</v>
      </c>
      <c r="C6328" s="239">
        <v>2016</v>
      </c>
      <c r="D6328" s="35" t="s">
        <v>28</v>
      </c>
      <c r="E6328" s="267" t="s">
        <v>133</v>
      </c>
      <c r="F6328" s="7" t="s">
        <v>53</v>
      </c>
      <c r="G6328" s="238" t="s">
        <v>7455</v>
      </c>
      <c r="H6328" s="238" t="s">
        <v>9001</v>
      </c>
      <c r="I6328" s="239">
        <v>5</v>
      </c>
      <c r="J6328" s="239">
        <v>7</v>
      </c>
      <c r="K6328" s="239">
        <v>0</v>
      </c>
      <c r="L6328" s="239">
        <v>0</v>
      </c>
      <c r="M6328" s="239">
        <v>0</v>
      </c>
      <c r="N6328" s="239">
        <v>0</v>
      </c>
      <c r="O6328" s="239">
        <v>0</v>
      </c>
      <c r="P6328" s="241">
        <v>0</v>
      </c>
      <c r="Q6328" s="239" t="s">
        <v>154</v>
      </c>
      <c r="S6328" s="242"/>
    </row>
    <row r="6329" spans="1:19" s="162" customFormat="1" ht="60" x14ac:dyDescent="0.25">
      <c r="A6329" s="237">
        <v>42499</v>
      </c>
      <c r="B6329" s="237">
        <v>42499</v>
      </c>
      <c r="C6329" s="239">
        <v>2016</v>
      </c>
      <c r="D6329" s="24" t="s">
        <v>141</v>
      </c>
      <c r="E6329" s="30" t="s">
        <v>142</v>
      </c>
      <c r="F6329" s="7" t="s">
        <v>45</v>
      </c>
      <c r="G6329" s="238" t="s">
        <v>1920</v>
      </c>
      <c r="H6329" s="238" t="s">
        <v>9002</v>
      </c>
      <c r="I6329" s="239">
        <v>5</v>
      </c>
      <c r="J6329" s="239">
        <v>35</v>
      </c>
      <c r="K6329" s="239">
        <v>0</v>
      </c>
      <c r="L6329" s="239">
        <v>0</v>
      </c>
      <c r="M6329" s="239">
        <v>0</v>
      </c>
      <c r="N6329" s="239">
        <v>0</v>
      </c>
      <c r="O6329" s="239">
        <v>0</v>
      </c>
      <c r="P6329" s="241">
        <v>0.1</v>
      </c>
      <c r="Q6329" s="239" t="s">
        <v>154</v>
      </c>
      <c r="S6329" s="242"/>
    </row>
    <row r="6330" spans="1:19" s="162" customFormat="1" ht="84" x14ac:dyDescent="0.25">
      <c r="A6330" s="237">
        <v>42515</v>
      </c>
      <c r="B6330" s="237">
        <v>42515</v>
      </c>
      <c r="C6330" s="239">
        <v>2016</v>
      </c>
      <c r="D6330" s="24" t="s">
        <v>141</v>
      </c>
      <c r="E6330" s="30" t="s">
        <v>142</v>
      </c>
      <c r="F6330" s="7" t="s">
        <v>40</v>
      </c>
      <c r="G6330" s="238" t="s">
        <v>1062</v>
      </c>
      <c r="H6330" s="238" t="s">
        <v>9003</v>
      </c>
      <c r="I6330" s="239">
        <v>5</v>
      </c>
      <c r="J6330" s="239">
        <v>5</v>
      </c>
      <c r="K6330" s="239">
        <v>0</v>
      </c>
      <c r="L6330" s="239">
        <v>0</v>
      </c>
      <c r="M6330" s="239">
        <v>0</v>
      </c>
      <c r="N6330" s="239">
        <v>0</v>
      </c>
      <c r="O6330" s="240">
        <v>0</v>
      </c>
      <c r="P6330" s="241">
        <v>0.5</v>
      </c>
      <c r="Q6330" s="239" t="s">
        <v>154</v>
      </c>
      <c r="S6330" s="242"/>
    </row>
    <row r="6331" spans="1:19" s="162" customFormat="1" ht="96" x14ac:dyDescent="0.25">
      <c r="A6331" s="237">
        <v>42687</v>
      </c>
      <c r="B6331" s="237">
        <v>42687</v>
      </c>
      <c r="C6331" s="239">
        <v>2016</v>
      </c>
      <c r="D6331" s="24" t="s">
        <v>141</v>
      </c>
      <c r="E6331" s="30" t="s">
        <v>142</v>
      </c>
      <c r="F6331" s="7" t="s">
        <v>101</v>
      </c>
      <c r="G6331" s="238" t="s">
        <v>174</v>
      </c>
      <c r="H6331" s="238" t="s">
        <v>9004</v>
      </c>
      <c r="I6331" s="239">
        <v>5</v>
      </c>
      <c r="J6331" s="239">
        <v>30</v>
      </c>
      <c r="K6331" s="239">
        <v>0</v>
      </c>
      <c r="L6331" s="239">
        <v>0</v>
      </c>
      <c r="M6331" s="239">
        <v>0</v>
      </c>
      <c r="N6331" s="239">
        <v>0</v>
      </c>
      <c r="O6331" s="240">
        <v>0</v>
      </c>
      <c r="P6331" s="241">
        <v>0.1</v>
      </c>
      <c r="Q6331" s="239" t="s">
        <v>154</v>
      </c>
      <c r="S6331" s="242"/>
    </row>
    <row r="6332" spans="1:19" s="162" customFormat="1" ht="72" x14ac:dyDescent="0.25">
      <c r="A6332" s="237">
        <v>42722</v>
      </c>
      <c r="B6332" s="237">
        <v>42722</v>
      </c>
      <c r="C6332" s="239">
        <v>2016</v>
      </c>
      <c r="D6332" s="24" t="s">
        <v>141</v>
      </c>
      <c r="E6332" s="30" t="s">
        <v>142</v>
      </c>
      <c r="F6332" s="7" t="s">
        <v>36</v>
      </c>
      <c r="G6332" s="238" t="s">
        <v>9005</v>
      </c>
      <c r="H6332" s="238" t="s">
        <v>9006</v>
      </c>
      <c r="I6332" s="239">
        <v>5</v>
      </c>
      <c r="J6332" s="239">
        <v>25</v>
      </c>
      <c r="K6332" s="239">
        <v>0</v>
      </c>
      <c r="L6332" s="239">
        <v>0</v>
      </c>
      <c r="M6332" s="239">
        <v>0</v>
      </c>
      <c r="N6332" s="239">
        <v>0</v>
      </c>
      <c r="O6332" s="240">
        <v>0</v>
      </c>
      <c r="P6332" s="241">
        <v>0.1</v>
      </c>
      <c r="Q6332" s="239" t="s">
        <v>154</v>
      </c>
      <c r="S6332" s="242"/>
    </row>
    <row r="6333" spans="1:19" s="162" customFormat="1" ht="108" x14ac:dyDescent="0.25">
      <c r="A6333" s="237">
        <v>42723</v>
      </c>
      <c r="B6333" s="237">
        <v>42723</v>
      </c>
      <c r="C6333" s="239">
        <v>2016</v>
      </c>
      <c r="D6333" s="24" t="s">
        <v>141</v>
      </c>
      <c r="E6333" s="30" t="s">
        <v>142</v>
      </c>
      <c r="F6333" s="7" t="s">
        <v>72</v>
      </c>
      <c r="G6333" s="238" t="s">
        <v>9007</v>
      </c>
      <c r="H6333" s="238" t="s">
        <v>9008</v>
      </c>
      <c r="I6333" s="239">
        <v>5</v>
      </c>
      <c r="J6333" s="239">
        <v>33</v>
      </c>
      <c r="K6333" s="239">
        <v>0</v>
      </c>
      <c r="L6333" s="239">
        <v>0</v>
      </c>
      <c r="M6333" s="239">
        <v>0</v>
      </c>
      <c r="N6333" s="239">
        <v>0</v>
      </c>
      <c r="O6333" s="240">
        <v>0</v>
      </c>
      <c r="P6333" s="241">
        <v>0.1</v>
      </c>
      <c r="Q6333" s="239" t="s">
        <v>154</v>
      </c>
      <c r="S6333" s="242"/>
    </row>
    <row r="6334" spans="1:19" s="162" customFormat="1" ht="72" x14ac:dyDescent="0.25">
      <c r="A6334" s="237">
        <v>42725</v>
      </c>
      <c r="B6334" s="237">
        <v>42725</v>
      </c>
      <c r="C6334" s="239">
        <v>2016</v>
      </c>
      <c r="D6334" s="24" t="s">
        <v>141</v>
      </c>
      <c r="E6334" s="30" t="s">
        <v>142</v>
      </c>
      <c r="F6334" s="7" t="s">
        <v>101</v>
      </c>
      <c r="G6334" s="238" t="s">
        <v>65</v>
      </c>
      <c r="H6334" s="238" t="s">
        <v>9009</v>
      </c>
      <c r="I6334" s="239">
        <v>5</v>
      </c>
      <c r="J6334" s="239">
        <v>23</v>
      </c>
      <c r="K6334" s="239">
        <v>0</v>
      </c>
      <c r="L6334" s="239">
        <v>0</v>
      </c>
      <c r="M6334" s="239">
        <v>0</v>
      </c>
      <c r="N6334" s="239">
        <v>0</v>
      </c>
      <c r="O6334" s="240">
        <v>0</v>
      </c>
      <c r="P6334" s="241">
        <v>0.1</v>
      </c>
      <c r="Q6334" s="239" t="s">
        <v>154</v>
      </c>
      <c r="S6334" s="242"/>
    </row>
    <row r="6335" spans="1:19" s="162" customFormat="1" ht="120" x14ac:dyDescent="0.25">
      <c r="A6335" s="237">
        <v>42682</v>
      </c>
      <c r="B6335" s="237">
        <v>42682</v>
      </c>
      <c r="C6335" s="239">
        <v>2016</v>
      </c>
      <c r="D6335" s="351" t="s">
        <v>23</v>
      </c>
      <c r="E6335" s="267" t="s">
        <v>86</v>
      </c>
      <c r="F6335" s="7" t="s">
        <v>62</v>
      </c>
      <c r="G6335" s="238" t="s">
        <v>4517</v>
      </c>
      <c r="H6335" s="238" t="s">
        <v>9010</v>
      </c>
      <c r="I6335" s="239">
        <v>1</v>
      </c>
      <c r="J6335" s="252">
        <v>0</v>
      </c>
      <c r="K6335" s="239">
        <v>0</v>
      </c>
      <c r="L6335" s="239">
        <v>0</v>
      </c>
      <c r="M6335" s="239">
        <v>0</v>
      </c>
      <c r="N6335" s="239">
        <v>0</v>
      </c>
      <c r="O6335" s="240">
        <v>0</v>
      </c>
      <c r="P6335" s="241">
        <v>0</v>
      </c>
      <c r="Q6335" s="239" t="s">
        <v>154</v>
      </c>
      <c r="S6335" s="242"/>
    </row>
    <row r="6336" spans="1:19" s="162" customFormat="1" ht="120" x14ac:dyDescent="0.25">
      <c r="A6336" s="237">
        <v>42426</v>
      </c>
      <c r="B6336" s="237">
        <v>42426</v>
      </c>
      <c r="C6336" s="239">
        <v>2016</v>
      </c>
      <c r="D6336" s="24" t="s">
        <v>141</v>
      </c>
      <c r="E6336" s="30" t="s">
        <v>142</v>
      </c>
      <c r="F6336" s="7" t="s">
        <v>65</v>
      </c>
      <c r="G6336" s="238" t="s">
        <v>2516</v>
      </c>
      <c r="H6336" s="232" t="s">
        <v>9011</v>
      </c>
      <c r="I6336" s="239">
        <v>4</v>
      </c>
      <c r="J6336" s="239">
        <v>22</v>
      </c>
      <c r="K6336" s="239">
        <v>0</v>
      </c>
      <c r="L6336" s="239">
        <v>0</v>
      </c>
      <c r="M6336" s="239">
        <v>0</v>
      </c>
      <c r="N6336" s="239">
        <v>0</v>
      </c>
      <c r="O6336" s="239">
        <v>0</v>
      </c>
      <c r="P6336" s="241">
        <v>0.1</v>
      </c>
      <c r="Q6336" s="239" t="s">
        <v>154</v>
      </c>
      <c r="S6336" s="242"/>
    </row>
    <row r="6337" spans="1:19" s="162" customFormat="1" ht="72" x14ac:dyDescent="0.25">
      <c r="A6337" s="237">
        <v>42432</v>
      </c>
      <c r="B6337" s="237">
        <v>42432</v>
      </c>
      <c r="C6337" s="239">
        <v>2016</v>
      </c>
      <c r="D6337" s="24" t="s">
        <v>141</v>
      </c>
      <c r="E6337" s="267" t="s">
        <v>1600</v>
      </c>
      <c r="F6337" s="7" t="s">
        <v>72</v>
      </c>
      <c r="G6337" s="238" t="s">
        <v>1954</v>
      </c>
      <c r="H6337" s="232" t="s">
        <v>9012</v>
      </c>
      <c r="I6337" s="239">
        <v>4</v>
      </c>
      <c r="J6337" s="239">
        <v>30</v>
      </c>
      <c r="K6337" s="239">
        <v>0</v>
      </c>
      <c r="L6337" s="239">
        <v>0</v>
      </c>
      <c r="M6337" s="239">
        <v>0</v>
      </c>
      <c r="N6337" s="239">
        <v>0</v>
      </c>
      <c r="O6337" s="239">
        <v>0</v>
      </c>
      <c r="P6337" s="241">
        <v>0</v>
      </c>
      <c r="Q6337" s="239" t="s">
        <v>154</v>
      </c>
      <c r="S6337" s="242"/>
    </row>
    <row r="6338" spans="1:19" s="162" customFormat="1" ht="72" x14ac:dyDescent="0.25">
      <c r="A6338" s="237">
        <v>42473</v>
      </c>
      <c r="B6338" s="237">
        <v>42473</v>
      </c>
      <c r="C6338" s="239">
        <v>2016</v>
      </c>
      <c r="D6338" s="24" t="s">
        <v>141</v>
      </c>
      <c r="E6338" s="30" t="s">
        <v>142</v>
      </c>
      <c r="F6338" s="7" t="s">
        <v>75</v>
      </c>
      <c r="G6338" s="238" t="s">
        <v>7013</v>
      </c>
      <c r="H6338" s="238" t="s">
        <v>9013</v>
      </c>
      <c r="I6338" s="239">
        <v>4</v>
      </c>
      <c r="J6338" s="239">
        <v>14</v>
      </c>
      <c r="K6338" s="239">
        <v>0</v>
      </c>
      <c r="L6338" s="239">
        <v>0</v>
      </c>
      <c r="M6338" s="239">
        <v>0</v>
      </c>
      <c r="N6338" s="239">
        <v>0</v>
      </c>
      <c r="O6338" s="239">
        <v>0</v>
      </c>
      <c r="P6338" s="241">
        <v>0.1</v>
      </c>
      <c r="Q6338" s="239" t="s">
        <v>154</v>
      </c>
      <c r="S6338" s="242"/>
    </row>
    <row r="6339" spans="1:19" s="162" customFormat="1" ht="48" x14ac:dyDescent="0.25">
      <c r="A6339" s="245">
        <v>42370</v>
      </c>
      <c r="B6339" s="245">
        <v>42735</v>
      </c>
      <c r="C6339" s="266">
        <v>2016</v>
      </c>
      <c r="D6339" s="351" t="s">
        <v>23</v>
      </c>
      <c r="E6339" s="346" t="s">
        <v>4089</v>
      </c>
      <c r="F6339" s="7" t="s">
        <v>30</v>
      </c>
      <c r="G6339" s="246" t="s">
        <v>26</v>
      </c>
      <c r="H6339" s="238" t="s">
        <v>9014</v>
      </c>
      <c r="I6339" s="247">
        <v>4</v>
      </c>
      <c r="J6339" s="248">
        <v>10</v>
      </c>
      <c r="K6339" s="247">
        <v>0</v>
      </c>
      <c r="L6339" s="247">
        <v>0</v>
      </c>
      <c r="M6339" s="247">
        <v>0</v>
      </c>
      <c r="N6339" s="247">
        <v>0</v>
      </c>
      <c r="O6339" s="249">
        <v>0</v>
      </c>
      <c r="P6339" s="250">
        <v>0</v>
      </c>
      <c r="Q6339" s="247" t="s">
        <v>2218</v>
      </c>
      <c r="S6339" s="251"/>
    </row>
    <row r="6340" spans="1:19" s="162" customFormat="1" ht="84" x14ac:dyDescent="0.25">
      <c r="A6340" s="237">
        <v>42576</v>
      </c>
      <c r="B6340" s="237">
        <v>42576</v>
      </c>
      <c r="C6340" s="256">
        <v>2016</v>
      </c>
      <c r="D6340" s="24" t="s">
        <v>141</v>
      </c>
      <c r="E6340" s="30" t="s">
        <v>142</v>
      </c>
      <c r="F6340" s="28" t="s">
        <v>163</v>
      </c>
      <c r="G6340" s="238" t="s">
        <v>9015</v>
      </c>
      <c r="H6340" s="238" t="s">
        <v>9016</v>
      </c>
      <c r="I6340" s="239">
        <v>4</v>
      </c>
      <c r="J6340" s="239">
        <v>13</v>
      </c>
      <c r="K6340" s="239">
        <v>0</v>
      </c>
      <c r="L6340" s="239">
        <v>0</v>
      </c>
      <c r="M6340" s="239">
        <v>0</v>
      </c>
      <c r="N6340" s="239">
        <v>0</v>
      </c>
      <c r="O6340" s="240">
        <v>0</v>
      </c>
      <c r="P6340" s="241">
        <v>0.1</v>
      </c>
      <c r="Q6340" s="239" t="s">
        <v>154</v>
      </c>
      <c r="S6340" s="242"/>
    </row>
    <row r="6341" spans="1:19" s="162" customFormat="1" ht="45" x14ac:dyDescent="0.25">
      <c r="A6341" s="245">
        <v>42370</v>
      </c>
      <c r="B6341" s="245">
        <v>42735</v>
      </c>
      <c r="C6341" s="266">
        <v>2016</v>
      </c>
      <c r="D6341" s="351" t="s">
        <v>23</v>
      </c>
      <c r="E6341" s="346" t="s">
        <v>327</v>
      </c>
      <c r="F6341" s="7" t="s">
        <v>91</v>
      </c>
      <c r="G6341" s="246" t="s">
        <v>26</v>
      </c>
      <c r="H6341" s="254" t="s">
        <v>9017</v>
      </c>
      <c r="I6341" s="247">
        <v>4</v>
      </c>
      <c r="J6341" s="248">
        <v>93</v>
      </c>
      <c r="K6341" s="247">
        <v>0</v>
      </c>
      <c r="L6341" s="247">
        <v>0</v>
      </c>
      <c r="M6341" s="247">
        <v>0</v>
      </c>
      <c r="N6341" s="247">
        <v>0</v>
      </c>
      <c r="O6341" s="249">
        <v>0</v>
      </c>
      <c r="P6341" s="250">
        <v>0</v>
      </c>
      <c r="Q6341" s="247" t="s">
        <v>2218</v>
      </c>
      <c r="S6341" s="251"/>
    </row>
    <row r="6342" spans="1:19" s="162" customFormat="1" ht="33.75" x14ac:dyDescent="0.25">
      <c r="A6342" s="245">
        <v>42370</v>
      </c>
      <c r="B6342" s="245">
        <v>42735</v>
      </c>
      <c r="C6342" s="266">
        <v>2016</v>
      </c>
      <c r="D6342" s="351" t="s">
        <v>23</v>
      </c>
      <c r="E6342" s="346" t="s">
        <v>327</v>
      </c>
      <c r="F6342" s="7" t="s">
        <v>80</v>
      </c>
      <c r="G6342" s="246" t="s">
        <v>26</v>
      </c>
      <c r="H6342" s="254" t="s">
        <v>9018</v>
      </c>
      <c r="I6342" s="247">
        <v>4</v>
      </c>
      <c r="J6342" s="248">
        <v>5</v>
      </c>
      <c r="K6342" s="247">
        <v>0</v>
      </c>
      <c r="L6342" s="247">
        <v>0</v>
      </c>
      <c r="M6342" s="247">
        <v>0</v>
      </c>
      <c r="N6342" s="247">
        <v>0</v>
      </c>
      <c r="O6342" s="249">
        <v>0</v>
      </c>
      <c r="P6342" s="250">
        <v>0</v>
      </c>
      <c r="Q6342" s="247" t="s">
        <v>2218</v>
      </c>
      <c r="S6342" s="251"/>
    </row>
    <row r="6343" spans="1:19" s="162" customFormat="1" ht="96" x14ac:dyDescent="0.25">
      <c r="A6343" s="237">
        <v>42678</v>
      </c>
      <c r="B6343" s="237">
        <v>42678</v>
      </c>
      <c r="C6343" s="239">
        <v>2016</v>
      </c>
      <c r="D6343" s="24" t="s">
        <v>141</v>
      </c>
      <c r="E6343" s="30" t="s">
        <v>142</v>
      </c>
      <c r="F6343" s="28" t="s">
        <v>210</v>
      </c>
      <c r="G6343" s="238" t="s">
        <v>8118</v>
      </c>
      <c r="H6343" s="238" t="s">
        <v>9019</v>
      </c>
      <c r="I6343" s="239">
        <v>4</v>
      </c>
      <c r="J6343" s="239">
        <v>11</v>
      </c>
      <c r="K6343" s="239">
        <v>0</v>
      </c>
      <c r="L6343" s="239">
        <v>0</v>
      </c>
      <c r="M6343" s="239">
        <v>0</v>
      </c>
      <c r="N6343" s="239">
        <v>0</v>
      </c>
      <c r="O6343" s="240">
        <v>0</v>
      </c>
      <c r="P6343" s="241">
        <v>0.1</v>
      </c>
      <c r="Q6343" s="239" t="s">
        <v>154</v>
      </c>
      <c r="S6343" s="242"/>
    </row>
    <row r="6344" spans="1:19" s="162" customFormat="1" ht="132" x14ac:dyDescent="0.25">
      <c r="A6344" s="231">
        <v>42395</v>
      </c>
      <c r="B6344" s="231">
        <v>42395</v>
      </c>
      <c r="C6344" s="345">
        <v>2016</v>
      </c>
      <c r="D6344" s="24" t="s">
        <v>141</v>
      </c>
      <c r="E6344" s="30" t="s">
        <v>142</v>
      </c>
      <c r="F6344" s="7" t="s">
        <v>56</v>
      </c>
      <c r="G6344" s="177" t="s">
        <v>1638</v>
      </c>
      <c r="H6344" s="253" t="s">
        <v>9020</v>
      </c>
      <c r="I6344" s="233">
        <v>3</v>
      </c>
      <c r="J6344" s="233">
        <v>14</v>
      </c>
      <c r="K6344" s="233">
        <v>0</v>
      </c>
      <c r="L6344" s="233">
        <v>0</v>
      </c>
      <c r="M6344" s="233">
        <v>0</v>
      </c>
      <c r="N6344" s="233">
        <v>0</v>
      </c>
      <c r="O6344" s="233">
        <v>0</v>
      </c>
      <c r="P6344" s="244">
        <v>0</v>
      </c>
      <c r="Q6344" s="235" t="s">
        <v>154</v>
      </c>
      <c r="S6344" s="236"/>
    </row>
    <row r="6345" spans="1:19" s="162" customFormat="1" ht="108" x14ac:dyDescent="0.25">
      <c r="A6345" s="237">
        <v>42429</v>
      </c>
      <c r="B6345" s="237">
        <v>42429</v>
      </c>
      <c r="C6345" s="239">
        <v>2016</v>
      </c>
      <c r="D6345" s="24" t="s">
        <v>141</v>
      </c>
      <c r="E6345" s="30" t="s">
        <v>142</v>
      </c>
      <c r="F6345" s="28" t="s">
        <v>160</v>
      </c>
      <c r="G6345" s="238" t="s">
        <v>9021</v>
      </c>
      <c r="H6345" s="232" t="s">
        <v>9022</v>
      </c>
      <c r="I6345" s="239">
        <v>3</v>
      </c>
      <c r="J6345" s="239">
        <v>23</v>
      </c>
      <c r="K6345" s="239">
        <v>0</v>
      </c>
      <c r="L6345" s="239">
        <v>0</v>
      </c>
      <c r="M6345" s="239">
        <v>0</v>
      </c>
      <c r="N6345" s="239">
        <v>0</v>
      </c>
      <c r="O6345" s="239">
        <v>0</v>
      </c>
      <c r="P6345" s="241">
        <v>0.1</v>
      </c>
      <c r="Q6345" s="239" t="s">
        <v>154</v>
      </c>
      <c r="S6345" s="242"/>
    </row>
    <row r="6346" spans="1:19" s="162" customFormat="1" ht="96" x14ac:dyDescent="0.25">
      <c r="A6346" s="237">
        <v>42450</v>
      </c>
      <c r="B6346" s="237">
        <v>42450</v>
      </c>
      <c r="C6346" s="239">
        <v>2016</v>
      </c>
      <c r="D6346" s="35" t="s">
        <v>28</v>
      </c>
      <c r="E6346" s="267" t="s">
        <v>133</v>
      </c>
      <c r="F6346" s="7" t="s">
        <v>53</v>
      </c>
      <c r="G6346" s="238" t="s">
        <v>451</v>
      </c>
      <c r="H6346" s="232" t="s">
        <v>9023</v>
      </c>
      <c r="I6346" s="239">
        <v>3</v>
      </c>
      <c r="J6346" s="239">
        <v>11</v>
      </c>
      <c r="K6346" s="239">
        <v>0</v>
      </c>
      <c r="L6346" s="239">
        <v>0</v>
      </c>
      <c r="M6346" s="239">
        <v>0</v>
      </c>
      <c r="N6346" s="239">
        <v>0</v>
      </c>
      <c r="O6346" s="239">
        <v>0</v>
      </c>
      <c r="P6346" s="241">
        <v>0</v>
      </c>
      <c r="Q6346" s="239" t="s">
        <v>154</v>
      </c>
      <c r="S6346" s="242"/>
    </row>
    <row r="6347" spans="1:19" s="162" customFormat="1" ht="156" x14ac:dyDescent="0.25">
      <c r="A6347" s="237">
        <v>42461</v>
      </c>
      <c r="B6347" s="237">
        <v>42461</v>
      </c>
      <c r="C6347" s="239">
        <v>2016</v>
      </c>
      <c r="D6347" s="24" t="s">
        <v>141</v>
      </c>
      <c r="E6347" s="30" t="s">
        <v>142</v>
      </c>
      <c r="F6347" s="7" t="s">
        <v>49</v>
      </c>
      <c r="G6347" s="238" t="s">
        <v>9024</v>
      </c>
      <c r="H6347" s="232" t="s">
        <v>9025</v>
      </c>
      <c r="I6347" s="239">
        <v>3</v>
      </c>
      <c r="J6347" s="239">
        <v>9</v>
      </c>
      <c r="K6347" s="239">
        <v>0</v>
      </c>
      <c r="L6347" s="239">
        <v>0</v>
      </c>
      <c r="M6347" s="239">
        <v>0</v>
      </c>
      <c r="N6347" s="239">
        <v>0</v>
      </c>
      <c r="O6347" s="239">
        <v>0</v>
      </c>
      <c r="P6347" s="241">
        <v>0.5</v>
      </c>
      <c r="Q6347" s="239" t="s">
        <v>154</v>
      </c>
      <c r="S6347" s="242"/>
    </row>
    <row r="6348" spans="1:19" s="162" customFormat="1" ht="48" x14ac:dyDescent="0.25">
      <c r="A6348" s="245">
        <v>42370</v>
      </c>
      <c r="B6348" s="245">
        <v>42735</v>
      </c>
      <c r="C6348" s="266">
        <v>2016</v>
      </c>
      <c r="D6348" s="351" t="s">
        <v>23</v>
      </c>
      <c r="E6348" s="346" t="s">
        <v>4089</v>
      </c>
      <c r="F6348" s="7" t="s">
        <v>45</v>
      </c>
      <c r="G6348" s="246" t="s">
        <v>26</v>
      </c>
      <c r="H6348" s="232" t="s">
        <v>9026</v>
      </c>
      <c r="I6348" s="247">
        <v>3</v>
      </c>
      <c r="J6348" s="248">
        <v>8</v>
      </c>
      <c r="K6348" s="247">
        <v>0</v>
      </c>
      <c r="L6348" s="247">
        <v>0</v>
      </c>
      <c r="M6348" s="247">
        <v>0</v>
      </c>
      <c r="N6348" s="247">
        <v>0</v>
      </c>
      <c r="O6348" s="249">
        <v>0</v>
      </c>
      <c r="P6348" s="250">
        <v>0</v>
      </c>
      <c r="Q6348" s="247" t="s">
        <v>2218</v>
      </c>
      <c r="S6348" s="251"/>
    </row>
    <row r="6349" spans="1:19" s="162" customFormat="1" ht="96" x14ac:dyDescent="0.25">
      <c r="A6349" s="237">
        <v>42508</v>
      </c>
      <c r="B6349" s="237">
        <v>42508</v>
      </c>
      <c r="C6349" s="239">
        <v>2016</v>
      </c>
      <c r="D6349" s="24" t="s">
        <v>141</v>
      </c>
      <c r="E6349" s="30" t="s">
        <v>142</v>
      </c>
      <c r="F6349" s="7" t="s">
        <v>67</v>
      </c>
      <c r="G6349" s="238" t="s">
        <v>9027</v>
      </c>
      <c r="H6349" s="238" t="s">
        <v>9028</v>
      </c>
      <c r="I6349" s="239">
        <v>3</v>
      </c>
      <c r="J6349" s="239">
        <v>8</v>
      </c>
      <c r="K6349" s="239">
        <v>0</v>
      </c>
      <c r="L6349" s="239">
        <v>0</v>
      </c>
      <c r="M6349" s="239">
        <v>0</v>
      </c>
      <c r="N6349" s="239">
        <v>1</v>
      </c>
      <c r="O6349" s="240">
        <v>0</v>
      </c>
      <c r="P6349" s="241">
        <v>0</v>
      </c>
      <c r="Q6349" s="239" t="s">
        <v>154</v>
      </c>
      <c r="S6349" s="242"/>
    </row>
    <row r="6350" spans="1:19" s="162" customFormat="1" ht="108" x14ac:dyDescent="0.25">
      <c r="A6350" s="237">
        <v>42521</v>
      </c>
      <c r="B6350" s="237">
        <v>42521</v>
      </c>
      <c r="C6350" s="239">
        <v>2016</v>
      </c>
      <c r="D6350" s="24" t="s">
        <v>141</v>
      </c>
      <c r="E6350" s="30" t="s">
        <v>142</v>
      </c>
      <c r="F6350" s="7" t="s">
        <v>87</v>
      </c>
      <c r="G6350" s="238" t="s">
        <v>936</v>
      </c>
      <c r="H6350" s="238" t="s">
        <v>9029</v>
      </c>
      <c r="I6350" s="239">
        <v>3</v>
      </c>
      <c r="J6350" s="239">
        <v>22</v>
      </c>
      <c r="K6350" s="239">
        <v>0</v>
      </c>
      <c r="L6350" s="239">
        <v>0</v>
      </c>
      <c r="M6350" s="239">
        <v>0</v>
      </c>
      <c r="N6350" s="239">
        <v>0</v>
      </c>
      <c r="O6350" s="240">
        <v>0</v>
      </c>
      <c r="P6350" s="241">
        <v>0.1</v>
      </c>
      <c r="Q6350" s="239" t="s">
        <v>154</v>
      </c>
      <c r="S6350" s="242"/>
    </row>
    <row r="6351" spans="1:19" s="162" customFormat="1" ht="84" x14ac:dyDescent="0.25">
      <c r="A6351" s="237">
        <v>42633</v>
      </c>
      <c r="B6351" s="237">
        <v>42633</v>
      </c>
      <c r="C6351" s="239">
        <v>2016</v>
      </c>
      <c r="D6351" s="24" t="s">
        <v>141</v>
      </c>
      <c r="E6351" s="30" t="s">
        <v>142</v>
      </c>
      <c r="F6351" s="7" t="s">
        <v>53</v>
      </c>
      <c r="G6351" s="238" t="s">
        <v>460</v>
      </c>
      <c r="H6351" s="238" t="s">
        <v>9030</v>
      </c>
      <c r="I6351" s="239">
        <v>3</v>
      </c>
      <c r="J6351" s="239">
        <v>38</v>
      </c>
      <c r="K6351" s="239">
        <v>0</v>
      </c>
      <c r="L6351" s="239">
        <v>0</v>
      </c>
      <c r="M6351" s="239">
        <v>0</v>
      </c>
      <c r="N6351" s="239">
        <v>0</v>
      </c>
      <c r="O6351" s="240">
        <v>0</v>
      </c>
      <c r="P6351" s="241">
        <v>0.1</v>
      </c>
      <c r="Q6351" s="239" t="s">
        <v>154</v>
      </c>
      <c r="S6351" s="242"/>
    </row>
    <row r="6352" spans="1:19" s="162" customFormat="1" ht="96" x14ac:dyDescent="0.25">
      <c r="A6352" s="237">
        <v>42635</v>
      </c>
      <c r="B6352" s="237">
        <v>42635</v>
      </c>
      <c r="C6352" s="239">
        <v>2016</v>
      </c>
      <c r="D6352" s="35" t="s">
        <v>28</v>
      </c>
      <c r="E6352" s="267" t="s">
        <v>149</v>
      </c>
      <c r="F6352" s="7" t="s">
        <v>60</v>
      </c>
      <c r="G6352" s="238" t="s">
        <v>9031</v>
      </c>
      <c r="H6352" s="238" t="s">
        <v>9032</v>
      </c>
      <c r="I6352" s="239">
        <v>3</v>
      </c>
      <c r="J6352" s="239">
        <v>5</v>
      </c>
      <c r="K6352" s="239">
        <v>0</v>
      </c>
      <c r="L6352" s="239">
        <v>0</v>
      </c>
      <c r="M6352" s="239">
        <v>0</v>
      </c>
      <c r="N6352" s="239">
        <v>1</v>
      </c>
      <c r="O6352" s="240">
        <v>0</v>
      </c>
      <c r="P6352" s="241">
        <v>0.1</v>
      </c>
      <c r="Q6352" s="239" t="s">
        <v>154</v>
      </c>
      <c r="S6352" s="242"/>
    </row>
    <row r="6353" spans="1:19" s="162" customFormat="1" ht="72" x14ac:dyDescent="0.25">
      <c r="A6353" s="237">
        <v>42709</v>
      </c>
      <c r="B6353" s="237">
        <v>42709</v>
      </c>
      <c r="C6353" s="239">
        <v>2016</v>
      </c>
      <c r="D6353" s="24" t="s">
        <v>141</v>
      </c>
      <c r="E6353" s="30" t="s">
        <v>142</v>
      </c>
      <c r="F6353" s="28" t="s">
        <v>210</v>
      </c>
      <c r="G6353" s="238" t="s">
        <v>2292</v>
      </c>
      <c r="H6353" s="238" t="s">
        <v>9033</v>
      </c>
      <c r="I6353" s="239">
        <v>3</v>
      </c>
      <c r="J6353" s="239">
        <v>39</v>
      </c>
      <c r="K6353" s="239">
        <v>0</v>
      </c>
      <c r="L6353" s="239">
        <v>0</v>
      </c>
      <c r="M6353" s="239">
        <v>0</v>
      </c>
      <c r="N6353" s="239">
        <v>0</v>
      </c>
      <c r="O6353" s="240">
        <v>0</v>
      </c>
      <c r="P6353" s="241">
        <v>0.1</v>
      </c>
      <c r="Q6353" s="239" t="s">
        <v>154</v>
      </c>
      <c r="S6353" s="242"/>
    </row>
    <row r="6354" spans="1:19" s="162" customFormat="1" ht="264" x14ac:dyDescent="0.25">
      <c r="A6354" s="237">
        <v>42503</v>
      </c>
      <c r="B6354" s="237">
        <v>42503</v>
      </c>
      <c r="C6354" s="239">
        <v>2016</v>
      </c>
      <c r="D6354" s="351" t="s">
        <v>23</v>
      </c>
      <c r="E6354" s="267" t="s">
        <v>86</v>
      </c>
      <c r="F6354" s="7" t="s">
        <v>49</v>
      </c>
      <c r="G6354" s="238" t="s">
        <v>9024</v>
      </c>
      <c r="H6354" s="238" t="s">
        <v>9034</v>
      </c>
      <c r="I6354" s="239">
        <v>0</v>
      </c>
      <c r="J6354" s="252">
        <v>12</v>
      </c>
      <c r="K6354" s="239">
        <v>0</v>
      </c>
      <c r="L6354" s="239">
        <v>0</v>
      </c>
      <c r="M6354" s="239">
        <v>0</v>
      </c>
      <c r="N6354" s="239">
        <v>0</v>
      </c>
      <c r="O6354" s="239">
        <v>0</v>
      </c>
      <c r="P6354" s="241">
        <v>0</v>
      </c>
      <c r="Q6354" s="239" t="s">
        <v>154</v>
      </c>
      <c r="S6354" s="242"/>
    </row>
    <row r="6355" spans="1:19" s="162" customFormat="1" ht="72" x14ac:dyDescent="0.25">
      <c r="A6355" s="231">
        <v>42405</v>
      </c>
      <c r="B6355" s="231">
        <v>42405</v>
      </c>
      <c r="C6355" s="345">
        <v>2016</v>
      </c>
      <c r="D6355" s="24" t="s">
        <v>141</v>
      </c>
      <c r="E6355" s="30" t="s">
        <v>142</v>
      </c>
      <c r="F6355" s="7" t="s">
        <v>101</v>
      </c>
      <c r="G6355" s="177" t="s">
        <v>174</v>
      </c>
      <c r="H6355" s="253" t="s">
        <v>9035</v>
      </c>
      <c r="I6355" s="233">
        <v>2</v>
      </c>
      <c r="J6355" s="233">
        <v>24</v>
      </c>
      <c r="K6355" s="233">
        <v>0</v>
      </c>
      <c r="L6355" s="233">
        <v>0</v>
      </c>
      <c r="M6355" s="233">
        <v>0</v>
      </c>
      <c r="N6355" s="233">
        <v>0</v>
      </c>
      <c r="O6355" s="233">
        <v>0</v>
      </c>
      <c r="P6355" s="234">
        <v>0.1</v>
      </c>
      <c r="Q6355" s="235" t="s">
        <v>154</v>
      </c>
      <c r="S6355" s="236"/>
    </row>
    <row r="6356" spans="1:19" s="162" customFormat="1" ht="84" x14ac:dyDescent="0.25">
      <c r="A6356" s="231">
        <v>42407</v>
      </c>
      <c r="B6356" s="231">
        <v>42407</v>
      </c>
      <c r="C6356" s="345">
        <v>2016</v>
      </c>
      <c r="D6356" s="35" t="s">
        <v>28</v>
      </c>
      <c r="E6356" s="267" t="s">
        <v>149</v>
      </c>
      <c r="F6356" s="28" t="s">
        <v>151</v>
      </c>
      <c r="G6356" s="177" t="s">
        <v>1477</v>
      </c>
      <c r="H6356" s="253" t="s">
        <v>9036</v>
      </c>
      <c r="I6356" s="233">
        <v>2</v>
      </c>
      <c r="J6356" s="233">
        <v>11</v>
      </c>
      <c r="K6356" s="233">
        <v>0</v>
      </c>
      <c r="L6356" s="233">
        <v>0</v>
      </c>
      <c r="M6356" s="233">
        <v>0</v>
      </c>
      <c r="N6356" s="233">
        <v>0</v>
      </c>
      <c r="O6356" s="233">
        <v>0</v>
      </c>
      <c r="P6356" s="241">
        <v>0</v>
      </c>
      <c r="Q6356" s="235" t="s">
        <v>154</v>
      </c>
      <c r="S6356" s="236"/>
    </row>
    <row r="6357" spans="1:19" s="162" customFormat="1" ht="108" x14ac:dyDescent="0.25">
      <c r="A6357" s="237">
        <v>42450</v>
      </c>
      <c r="B6357" s="237">
        <v>42450</v>
      </c>
      <c r="C6357" s="239">
        <v>2016</v>
      </c>
      <c r="D6357" s="24" t="s">
        <v>141</v>
      </c>
      <c r="E6357" s="30" t="s">
        <v>142</v>
      </c>
      <c r="F6357" s="28" t="s">
        <v>160</v>
      </c>
      <c r="G6357" s="238" t="s">
        <v>9037</v>
      </c>
      <c r="H6357" s="232" t="s">
        <v>9038</v>
      </c>
      <c r="I6357" s="239">
        <v>2</v>
      </c>
      <c r="J6357" s="239">
        <v>12</v>
      </c>
      <c r="K6357" s="239">
        <v>0</v>
      </c>
      <c r="L6357" s="239">
        <v>0</v>
      </c>
      <c r="M6357" s="239">
        <v>0</v>
      </c>
      <c r="N6357" s="239">
        <v>0</v>
      </c>
      <c r="O6357" s="239">
        <v>0</v>
      </c>
      <c r="P6357" s="241">
        <v>0</v>
      </c>
      <c r="Q6357" s="239" t="s">
        <v>154</v>
      </c>
      <c r="S6357" s="242"/>
    </row>
    <row r="6358" spans="1:19" s="162" customFormat="1" ht="84" x14ac:dyDescent="0.25">
      <c r="A6358" s="237">
        <v>42461</v>
      </c>
      <c r="B6358" s="237">
        <v>42461</v>
      </c>
      <c r="C6358" s="239">
        <v>2016</v>
      </c>
      <c r="D6358" s="24" t="s">
        <v>141</v>
      </c>
      <c r="E6358" s="30" t="s">
        <v>142</v>
      </c>
      <c r="F6358" s="7" t="s">
        <v>53</v>
      </c>
      <c r="G6358" s="238" t="s">
        <v>9039</v>
      </c>
      <c r="H6358" s="232" t="s">
        <v>9040</v>
      </c>
      <c r="I6358" s="239">
        <v>2</v>
      </c>
      <c r="J6358" s="239">
        <v>11</v>
      </c>
      <c r="K6358" s="239">
        <v>0</v>
      </c>
      <c r="L6358" s="239">
        <v>0</v>
      </c>
      <c r="M6358" s="239">
        <v>0</v>
      </c>
      <c r="N6358" s="239">
        <v>0</v>
      </c>
      <c r="O6358" s="239">
        <v>0</v>
      </c>
      <c r="P6358" s="241">
        <v>0.1</v>
      </c>
      <c r="Q6358" s="239" t="s">
        <v>154</v>
      </c>
      <c r="S6358" s="242"/>
    </row>
    <row r="6359" spans="1:19" s="162" customFormat="1" ht="72" x14ac:dyDescent="0.25">
      <c r="A6359" s="237">
        <v>42480</v>
      </c>
      <c r="B6359" s="237">
        <v>42480</v>
      </c>
      <c r="C6359" s="239">
        <v>2016</v>
      </c>
      <c r="D6359" s="35" t="s">
        <v>28</v>
      </c>
      <c r="E6359" s="267" t="s">
        <v>133</v>
      </c>
      <c r="F6359" s="7" t="s">
        <v>53</v>
      </c>
      <c r="G6359" s="238" t="s">
        <v>5966</v>
      </c>
      <c r="H6359" s="238" t="s">
        <v>9041</v>
      </c>
      <c r="I6359" s="239">
        <v>2</v>
      </c>
      <c r="J6359" s="239" t="s">
        <v>110</v>
      </c>
      <c r="K6359" s="239">
        <v>0</v>
      </c>
      <c r="L6359" s="239">
        <v>0</v>
      </c>
      <c r="M6359" s="239">
        <v>0</v>
      </c>
      <c r="N6359" s="239">
        <v>0</v>
      </c>
      <c r="O6359" s="239">
        <v>0</v>
      </c>
      <c r="P6359" s="241">
        <v>1E-3</v>
      </c>
      <c r="Q6359" s="239" t="s">
        <v>154</v>
      </c>
      <c r="S6359" s="242"/>
    </row>
    <row r="6360" spans="1:19" s="162" customFormat="1" ht="22.5" x14ac:dyDescent="0.25">
      <c r="A6360" s="245">
        <v>42370</v>
      </c>
      <c r="B6360" s="245">
        <v>42735</v>
      </c>
      <c r="C6360" s="266">
        <v>2016</v>
      </c>
      <c r="D6360" s="351" t="s">
        <v>23</v>
      </c>
      <c r="E6360" s="346" t="s">
        <v>4089</v>
      </c>
      <c r="F6360" s="28" t="s">
        <v>210</v>
      </c>
      <c r="G6360" s="246" t="s">
        <v>26</v>
      </c>
      <c r="H6360" s="247" t="s">
        <v>9042</v>
      </c>
      <c r="I6360" s="247">
        <v>2</v>
      </c>
      <c r="J6360" s="248">
        <v>2</v>
      </c>
      <c r="K6360" s="247">
        <v>0</v>
      </c>
      <c r="L6360" s="247">
        <v>0</v>
      </c>
      <c r="M6360" s="247">
        <v>0</v>
      </c>
      <c r="N6360" s="247">
        <v>0</v>
      </c>
      <c r="O6360" s="249">
        <v>0</v>
      </c>
      <c r="P6360" s="250">
        <v>0</v>
      </c>
      <c r="Q6360" s="247" t="s">
        <v>2218</v>
      </c>
      <c r="S6360" s="251"/>
    </row>
    <row r="6361" spans="1:19" s="162" customFormat="1" ht="60" x14ac:dyDescent="0.25">
      <c r="A6361" s="231">
        <v>42553</v>
      </c>
      <c r="B6361" s="231">
        <v>42553</v>
      </c>
      <c r="C6361" s="256">
        <v>2016</v>
      </c>
      <c r="D6361" s="24" t="s">
        <v>141</v>
      </c>
      <c r="E6361" s="30" t="s">
        <v>142</v>
      </c>
      <c r="F6361" s="7" t="s">
        <v>68</v>
      </c>
      <c r="G6361" s="255" t="s">
        <v>9043</v>
      </c>
      <c r="H6361" s="255" t="s">
        <v>9044</v>
      </c>
      <c r="I6361" s="256">
        <v>2</v>
      </c>
      <c r="J6361" s="256">
        <v>39</v>
      </c>
      <c r="K6361" s="256">
        <v>0</v>
      </c>
      <c r="L6361" s="256">
        <v>0</v>
      </c>
      <c r="M6361" s="256">
        <v>0</v>
      </c>
      <c r="N6361" s="256">
        <v>0</v>
      </c>
      <c r="O6361" s="257">
        <v>0</v>
      </c>
      <c r="P6361" s="234">
        <v>0.05</v>
      </c>
      <c r="Q6361" s="256" t="s">
        <v>154</v>
      </c>
      <c r="S6361" s="258"/>
    </row>
    <row r="6362" spans="1:19" s="162" customFormat="1" ht="45" x14ac:dyDescent="0.25">
      <c r="A6362" s="245">
        <v>42370</v>
      </c>
      <c r="B6362" s="245">
        <v>42735</v>
      </c>
      <c r="C6362" s="266">
        <v>2016</v>
      </c>
      <c r="D6362" s="351" t="s">
        <v>23</v>
      </c>
      <c r="E6362" s="346" t="s">
        <v>327</v>
      </c>
      <c r="F6362" s="7" t="s">
        <v>45</v>
      </c>
      <c r="G6362" s="246" t="s">
        <v>26</v>
      </c>
      <c r="H6362" s="254" t="s">
        <v>9045</v>
      </c>
      <c r="I6362" s="247">
        <v>2</v>
      </c>
      <c r="J6362" s="248">
        <v>9</v>
      </c>
      <c r="K6362" s="247">
        <v>0</v>
      </c>
      <c r="L6362" s="247">
        <v>0</v>
      </c>
      <c r="M6362" s="247">
        <v>0</v>
      </c>
      <c r="N6362" s="247">
        <v>0</v>
      </c>
      <c r="O6362" s="249">
        <v>0</v>
      </c>
      <c r="P6362" s="250">
        <v>0</v>
      </c>
      <c r="Q6362" s="247" t="s">
        <v>2218</v>
      </c>
      <c r="S6362" s="251"/>
    </row>
    <row r="6363" spans="1:19" s="162" customFormat="1" ht="72" x14ac:dyDescent="0.25">
      <c r="A6363" s="237">
        <v>42653</v>
      </c>
      <c r="B6363" s="237">
        <v>42653</v>
      </c>
      <c r="C6363" s="239">
        <v>2016</v>
      </c>
      <c r="D6363" s="24" t="s">
        <v>141</v>
      </c>
      <c r="E6363" s="30" t="s">
        <v>142</v>
      </c>
      <c r="F6363" s="7" t="s">
        <v>91</v>
      </c>
      <c r="G6363" s="238" t="s">
        <v>4511</v>
      </c>
      <c r="H6363" s="238" t="s">
        <v>9046</v>
      </c>
      <c r="I6363" s="239">
        <v>2</v>
      </c>
      <c r="J6363" s="239">
        <v>1</v>
      </c>
      <c r="K6363" s="239">
        <v>0</v>
      </c>
      <c r="L6363" s="239">
        <v>0</v>
      </c>
      <c r="M6363" s="239">
        <v>0</v>
      </c>
      <c r="N6363" s="239">
        <v>0</v>
      </c>
      <c r="O6363" s="240">
        <v>0</v>
      </c>
      <c r="P6363" s="241">
        <v>1</v>
      </c>
      <c r="Q6363" s="239" t="s">
        <v>154</v>
      </c>
      <c r="S6363" s="242"/>
    </row>
    <row r="6364" spans="1:19" s="162" customFormat="1" ht="72" x14ac:dyDescent="0.25">
      <c r="A6364" s="237">
        <v>42733</v>
      </c>
      <c r="B6364" s="237">
        <v>42733</v>
      </c>
      <c r="C6364" s="239">
        <v>2016</v>
      </c>
      <c r="D6364" s="24" t="s">
        <v>141</v>
      </c>
      <c r="E6364" s="30" t="s">
        <v>142</v>
      </c>
      <c r="F6364" s="7" t="s">
        <v>60</v>
      </c>
      <c r="G6364" s="238" t="s">
        <v>908</v>
      </c>
      <c r="H6364" s="238" t="s">
        <v>9047</v>
      </c>
      <c r="I6364" s="239">
        <v>2</v>
      </c>
      <c r="J6364" s="239">
        <v>8</v>
      </c>
      <c r="K6364" s="239">
        <v>0</v>
      </c>
      <c r="L6364" s="239">
        <v>0</v>
      </c>
      <c r="M6364" s="239">
        <v>0</v>
      </c>
      <c r="N6364" s="239">
        <v>0</v>
      </c>
      <c r="O6364" s="240">
        <v>0</v>
      </c>
      <c r="P6364" s="241">
        <v>0</v>
      </c>
      <c r="Q6364" s="239" t="s">
        <v>154</v>
      </c>
      <c r="S6364" s="242"/>
    </row>
    <row r="6365" spans="1:19" s="162" customFormat="1" ht="228" x14ac:dyDescent="0.25">
      <c r="A6365" s="237">
        <v>42569</v>
      </c>
      <c r="B6365" s="237">
        <v>42569</v>
      </c>
      <c r="C6365" s="239">
        <v>2016</v>
      </c>
      <c r="D6365" s="351" t="s">
        <v>23</v>
      </c>
      <c r="E6365" s="267" t="s">
        <v>86</v>
      </c>
      <c r="F6365" s="28" t="s">
        <v>157</v>
      </c>
      <c r="G6365" s="238" t="s">
        <v>8886</v>
      </c>
      <c r="H6365" s="238" t="s">
        <v>9048</v>
      </c>
      <c r="I6365" s="239">
        <v>0</v>
      </c>
      <c r="J6365" s="252" t="s">
        <v>110</v>
      </c>
      <c r="K6365" s="239">
        <v>0</v>
      </c>
      <c r="L6365" s="239">
        <v>0</v>
      </c>
      <c r="M6365" s="239">
        <v>0</v>
      </c>
      <c r="N6365" s="239">
        <v>2</v>
      </c>
      <c r="O6365" s="240">
        <v>0</v>
      </c>
      <c r="P6365" s="241">
        <v>0</v>
      </c>
      <c r="Q6365" s="239" t="s">
        <v>154</v>
      </c>
      <c r="S6365" s="242"/>
    </row>
    <row r="6366" spans="1:19" s="162" customFormat="1" ht="96" x14ac:dyDescent="0.25">
      <c r="A6366" s="237">
        <v>42516</v>
      </c>
      <c r="B6366" s="237">
        <v>42516</v>
      </c>
      <c r="C6366" s="239">
        <v>2016</v>
      </c>
      <c r="D6366" s="351" t="s">
        <v>23</v>
      </c>
      <c r="E6366" s="267" t="s">
        <v>5893</v>
      </c>
      <c r="F6366" s="7" t="s">
        <v>82</v>
      </c>
      <c r="G6366" s="238" t="s">
        <v>9049</v>
      </c>
      <c r="H6366" s="238" t="s">
        <v>9050</v>
      </c>
      <c r="I6366" s="239">
        <v>2</v>
      </c>
      <c r="J6366" s="252">
        <v>5</v>
      </c>
      <c r="K6366" s="239">
        <v>0</v>
      </c>
      <c r="L6366" s="239">
        <v>0</v>
      </c>
      <c r="M6366" s="239">
        <v>0</v>
      </c>
      <c r="N6366" s="239">
        <v>0</v>
      </c>
      <c r="O6366" s="240">
        <v>0</v>
      </c>
      <c r="P6366" s="241">
        <v>0</v>
      </c>
      <c r="Q6366" s="239" t="s">
        <v>154</v>
      </c>
      <c r="S6366" s="242"/>
    </row>
    <row r="6367" spans="1:19" s="162" customFormat="1" ht="276" x14ac:dyDescent="0.25">
      <c r="A6367" s="237">
        <v>42587</v>
      </c>
      <c r="B6367" s="237">
        <v>42588</v>
      </c>
      <c r="C6367" s="268">
        <v>2016</v>
      </c>
      <c r="D6367" s="351" t="s">
        <v>23</v>
      </c>
      <c r="E6367" s="267" t="s">
        <v>86</v>
      </c>
      <c r="F6367" s="7" t="s">
        <v>75</v>
      </c>
      <c r="G6367" s="238" t="s">
        <v>9051</v>
      </c>
      <c r="H6367" s="259" t="s">
        <v>9052</v>
      </c>
      <c r="I6367" s="239">
        <v>41</v>
      </c>
      <c r="J6367" s="252">
        <v>995332</v>
      </c>
      <c r="K6367" s="239">
        <v>1067</v>
      </c>
      <c r="L6367" s="239">
        <v>30</v>
      </c>
      <c r="M6367" s="239">
        <v>0</v>
      </c>
      <c r="N6367" s="239">
        <v>60</v>
      </c>
      <c r="O6367" s="240">
        <v>7450</v>
      </c>
      <c r="P6367" s="260">
        <v>2092.4</v>
      </c>
      <c r="Q6367" s="239" t="s">
        <v>22</v>
      </c>
      <c r="S6367" s="242"/>
    </row>
    <row r="6368" spans="1:19" s="162" customFormat="1" ht="84" x14ac:dyDescent="0.25">
      <c r="A6368" s="231">
        <v>42373</v>
      </c>
      <c r="B6368" s="231">
        <v>42373</v>
      </c>
      <c r="C6368" s="345">
        <v>2016</v>
      </c>
      <c r="D6368" s="24" t="s">
        <v>141</v>
      </c>
      <c r="E6368" s="30" t="s">
        <v>142</v>
      </c>
      <c r="F6368" s="7" t="s">
        <v>65</v>
      </c>
      <c r="G6368" s="177" t="s">
        <v>418</v>
      </c>
      <c r="H6368" s="253" t="s">
        <v>9053</v>
      </c>
      <c r="I6368" s="233">
        <v>1</v>
      </c>
      <c r="J6368" s="233">
        <v>11</v>
      </c>
      <c r="K6368" s="233">
        <v>0</v>
      </c>
      <c r="L6368" s="233">
        <v>0</v>
      </c>
      <c r="M6368" s="233">
        <v>0</v>
      </c>
      <c r="N6368" s="233">
        <v>0</v>
      </c>
      <c r="O6368" s="233">
        <v>0</v>
      </c>
      <c r="P6368" s="244">
        <v>2.5000000000000001E-2</v>
      </c>
      <c r="Q6368" s="235" t="s">
        <v>154</v>
      </c>
      <c r="S6368" s="236"/>
    </row>
    <row r="6369" spans="1:19" s="162" customFormat="1" ht="96" x14ac:dyDescent="0.25">
      <c r="A6369" s="231">
        <v>42384</v>
      </c>
      <c r="B6369" s="231">
        <v>42384</v>
      </c>
      <c r="C6369" s="345">
        <v>2016</v>
      </c>
      <c r="D6369" s="35" t="s">
        <v>28</v>
      </c>
      <c r="E6369" s="267" t="s">
        <v>133</v>
      </c>
      <c r="F6369" s="7" t="s">
        <v>53</v>
      </c>
      <c r="G6369" s="177" t="s">
        <v>170</v>
      </c>
      <c r="H6369" s="253" t="s">
        <v>9054</v>
      </c>
      <c r="I6369" s="233">
        <v>1</v>
      </c>
      <c r="J6369" s="233">
        <v>3</v>
      </c>
      <c r="K6369" s="233">
        <v>0</v>
      </c>
      <c r="L6369" s="233">
        <v>0</v>
      </c>
      <c r="M6369" s="233">
        <v>0</v>
      </c>
      <c r="N6369" s="233">
        <v>0</v>
      </c>
      <c r="O6369" s="233">
        <v>0</v>
      </c>
      <c r="P6369" s="241">
        <v>0</v>
      </c>
      <c r="Q6369" s="235" t="s">
        <v>154</v>
      </c>
      <c r="S6369" s="236"/>
    </row>
    <row r="6370" spans="1:19" s="162" customFormat="1" ht="72" x14ac:dyDescent="0.25">
      <c r="A6370" s="237">
        <v>42455</v>
      </c>
      <c r="B6370" s="237">
        <v>42455</v>
      </c>
      <c r="C6370" s="239">
        <v>2016</v>
      </c>
      <c r="D6370" s="24" t="s">
        <v>141</v>
      </c>
      <c r="E6370" s="30" t="s">
        <v>142</v>
      </c>
      <c r="F6370" s="7" t="s">
        <v>53</v>
      </c>
      <c r="G6370" s="238" t="s">
        <v>9055</v>
      </c>
      <c r="H6370" s="232" t="s">
        <v>9056</v>
      </c>
      <c r="I6370" s="239">
        <v>1</v>
      </c>
      <c r="J6370" s="239">
        <v>6</v>
      </c>
      <c r="K6370" s="239">
        <v>0</v>
      </c>
      <c r="L6370" s="239">
        <v>0</v>
      </c>
      <c r="M6370" s="239">
        <v>0</v>
      </c>
      <c r="N6370" s="239">
        <v>0</v>
      </c>
      <c r="O6370" s="239">
        <v>0</v>
      </c>
      <c r="P6370" s="241">
        <v>0.05</v>
      </c>
      <c r="Q6370" s="239" t="s">
        <v>154</v>
      </c>
      <c r="S6370" s="242"/>
    </row>
    <row r="6371" spans="1:19" s="162" customFormat="1" ht="120" x14ac:dyDescent="0.25">
      <c r="A6371" s="237">
        <v>42457</v>
      </c>
      <c r="B6371" s="237">
        <v>42457</v>
      </c>
      <c r="C6371" s="239">
        <v>2016</v>
      </c>
      <c r="D6371" s="24" t="s">
        <v>141</v>
      </c>
      <c r="E6371" s="30" t="s">
        <v>142</v>
      </c>
      <c r="F6371" s="7" t="s">
        <v>53</v>
      </c>
      <c r="G6371" s="238" t="s">
        <v>460</v>
      </c>
      <c r="H6371" s="232" t="s">
        <v>9057</v>
      </c>
      <c r="I6371" s="239">
        <v>1</v>
      </c>
      <c r="J6371" s="239">
        <v>26</v>
      </c>
      <c r="K6371" s="239">
        <v>0</v>
      </c>
      <c r="L6371" s="239">
        <v>0</v>
      </c>
      <c r="M6371" s="239">
        <v>0</v>
      </c>
      <c r="N6371" s="239">
        <v>0</v>
      </c>
      <c r="O6371" s="239">
        <v>0</v>
      </c>
      <c r="P6371" s="241">
        <v>0.05</v>
      </c>
      <c r="Q6371" s="239" t="s">
        <v>154</v>
      </c>
      <c r="S6371" s="242"/>
    </row>
    <row r="6372" spans="1:19" s="162" customFormat="1" ht="84" x14ac:dyDescent="0.25">
      <c r="A6372" s="237">
        <v>42459</v>
      </c>
      <c r="B6372" s="237">
        <v>42459</v>
      </c>
      <c r="C6372" s="239">
        <v>2016</v>
      </c>
      <c r="D6372" s="24" t="s">
        <v>141</v>
      </c>
      <c r="E6372" s="30" t="s">
        <v>142</v>
      </c>
      <c r="F6372" s="7" t="s">
        <v>53</v>
      </c>
      <c r="G6372" s="238" t="s">
        <v>2224</v>
      </c>
      <c r="H6372" s="232" t="s">
        <v>9058</v>
      </c>
      <c r="I6372" s="239">
        <v>1</v>
      </c>
      <c r="J6372" s="239">
        <v>23</v>
      </c>
      <c r="K6372" s="239">
        <v>0</v>
      </c>
      <c r="L6372" s="239">
        <v>0</v>
      </c>
      <c r="M6372" s="239">
        <v>0</v>
      </c>
      <c r="N6372" s="239">
        <v>0</v>
      </c>
      <c r="O6372" s="239">
        <v>0</v>
      </c>
      <c r="P6372" s="241">
        <v>2.5000000000000001E-2</v>
      </c>
      <c r="Q6372" s="239" t="s">
        <v>154</v>
      </c>
      <c r="S6372" s="242"/>
    </row>
    <row r="6373" spans="1:19" s="162" customFormat="1" ht="60" x14ac:dyDescent="0.25">
      <c r="A6373" s="237">
        <v>42461</v>
      </c>
      <c r="B6373" s="237">
        <v>42461</v>
      </c>
      <c r="C6373" s="239">
        <v>2016</v>
      </c>
      <c r="D6373" s="24" t="s">
        <v>141</v>
      </c>
      <c r="E6373" s="30" t="s">
        <v>142</v>
      </c>
      <c r="F6373" s="7" t="s">
        <v>62</v>
      </c>
      <c r="G6373" s="238" t="s">
        <v>6016</v>
      </c>
      <c r="H6373" s="232" t="s">
        <v>9059</v>
      </c>
      <c r="I6373" s="239">
        <v>1</v>
      </c>
      <c r="J6373" s="239">
        <v>16</v>
      </c>
      <c r="K6373" s="239">
        <v>0</v>
      </c>
      <c r="L6373" s="239">
        <v>0</v>
      </c>
      <c r="M6373" s="239">
        <v>0</v>
      </c>
      <c r="N6373" s="239">
        <v>0</v>
      </c>
      <c r="O6373" s="239">
        <v>0</v>
      </c>
      <c r="P6373" s="241">
        <v>2.5000000000000001E-2</v>
      </c>
      <c r="Q6373" s="239" t="s">
        <v>154</v>
      </c>
      <c r="S6373" s="242"/>
    </row>
    <row r="6374" spans="1:19" s="162" customFormat="1" ht="108" x14ac:dyDescent="0.25">
      <c r="A6374" s="237">
        <v>42474</v>
      </c>
      <c r="B6374" s="237">
        <v>42474</v>
      </c>
      <c r="C6374" s="239">
        <v>2016</v>
      </c>
      <c r="D6374" s="24" t="s">
        <v>141</v>
      </c>
      <c r="E6374" s="30" t="s">
        <v>142</v>
      </c>
      <c r="F6374" s="25" t="s">
        <v>781</v>
      </c>
      <c r="G6374" s="238" t="s">
        <v>5007</v>
      </c>
      <c r="H6374" s="238" t="s">
        <v>9060</v>
      </c>
      <c r="I6374" s="239">
        <v>1</v>
      </c>
      <c r="J6374" s="239">
        <v>26</v>
      </c>
      <c r="K6374" s="239">
        <v>0</v>
      </c>
      <c r="L6374" s="239">
        <v>0</v>
      </c>
      <c r="M6374" s="239">
        <v>0</v>
      </c>
      <c r="N6374" s="239">
        <v>0</v>
      </c>
      <c r="O6374" s="239">
        <v>0</v>
      </c>
      <c r="P6374" s="241">
        <v>0.05</v>
      </c>
      <c r="Q6374" s="239" t="s">
        <v>154</v>
      </c>
      <c r="S6374" s="242"/>
    </row>
    <row r="6375" spans="1:19" s="162" customFormat="1" ht="22.5" x14ac:dyDescent="0.25">
      <c r="A6375" s="245">
        <v>42370</v>
      </c>
      <c r="B6375" s="245">
        <v>42735</v>
      </c>
      <c r="C6375" s="266">
        <v>2016</v>
      </c>
      <c r="D6375" s="351" t="s">
        <v>23</v>
      </c>
      <c r="E6375" s="346" t="s">
        <v>4089</v>
      </c>
      <c r="F6375" s="7" t="s">
        <v>68</v>
      </c>
      <c r="G6375" s="246" t="s">
        <v>26</v>
      </c>
      <c r="H6375" s="247" t="s">
        <v>9061</v>
      </c>
      <c r="I6375" s="247">
        <v>1</v>
      </c>
      <c r="J6375" s="248">
        <v>5</v>
      </c>
      <c r="K6375" s="247">
        <v>0</v>
      </c>
      <c r="L6375" s="247">
        <v>0</v>
      </c>
      <c r="M6375" s="247">
        <v>0</v>
      </c>
      <c r="N6375" s="247">
        <v>0</v>
      </c>
      <c r="O6375" s="249">
        <v>0</v>
      </c>
      <c r="P6375" s="250">
        <v>0</v>
      </c>
      <c r="Q6375" s="247" t="s">
        <v>2218</v>
      </c>
      <c r="S6375" s="251"/>
    </row>
    <row r="6376" spans="1:19" s="162" customFormat="1" ht="36" x14ac:dyDescent="0.25">
      <c r="A6376" s="245">
        <v>42370</v>
      </c>
      <c r="B6376" s="245">
        <v>42735</v>
      </c>
      <c r="C6376" s="266">
        <v>2016</v>
      </c>
      <c r="D6376" s="351" t="s">
        <v>23</v>
      </c>
      <c r="E6376" s="346" t="s">
        <v>4089</v>
      </c>
      <c r="F6376" s="7" t="s">
        <v>49</v>
      </c>
      <c r="G6376" s="246" t="s">
        <v>26</v>
      </c>
      <c r="H6376" s="238" t="s">
        <v>9062</v>
      </c>
      <c r="I6376" s="247">
        <v>1</v>
      </c>
      <c r="J6376" s="248">
        <v>21</v>
      </c>
      <c r="K6376" s="247">
        <v>0</v>
      </c>
      <c r="L6376" s="247">
        <v>0</v>
      </c>
      <c r="M6376" s="247">
        <v>0</v>
      </c>
      <c r="N6376" s="247">
        <v>0</v>
      </c>
      <c r="O6376" s="249">
        <v>0</v>
      </c>
      <c r="P6376" s="250">
        <v>0</v>
      </c>
      <c r="Q6376" s="247" t="s">
        <v>2218</v>
      </c>
      <c r="S6376" s="251"/>
    </row>
    <row r="6377" spans="1:19" s="162" customFormat="1" ht="84" x14ac:dyDescent="0.25">
      <c r="A6377" s="237">
        <v>42532</v>
      </c>
      <c r="B6377" s="237">
        <v>42532</v>
      </c>
      <c r="C6377" s="239">
        <v>2016</v>
      </c>
      <c r="D6377" s="35" t="s">
        <v>28</v>
      </c>
      <c r="E6377" s="267" t="s">
        <v>133</v>
      </c>
      <c r="F6377" s="7" t="s">
        <v>60</v>
      </c>
      <c r="G6377" s="238" t="s">
        <v>1605</v>
      </c>
      <c r="H6377" s="238" t="s">
        <v>9063</v>
      </c>
      <c r="I6377" s="239">
        <v>1</v>
      </c>
      <c r="J6377" s="239">
        <v>5</v>
      </c>
      <c r="K6377" s="239">
        <v>1</v>
      </c>
      <c r="L6377" s="239">
        <v>0</v>
      </c>
      <c r="M6377" s="239">
        <v>0</v>
      </c>
      <c r="N6377" s="239">
        <v>0</v>
      </c>
      <c r="O6377" s="240">
        <v>0</v>
      </c>
      <c r="P6377" s="241">
        <f>0.03</f>
        <v>0.03</v>
      </c>
      <c r="Q6377" s="239" t="s">
        <v>154</v>
      </c>
      <c r="S6377" s="242"/>
    </row>
    <row r="6378" spans="1:19" s="162" customFormat="1" ht="96" x14ac:dyDescent="0.25">
      <c r="A6378" s="237">
        <v>42555</v>
      </c>
      <c r="B6378" s="237">
        <v>42555</v>
      </c>
      <c r="C6378" s="239">
        <v>2016</v>
      </c>
      <c r="D6378" s="35" t="s">
        <v>28</v>
      </c>
      <c r="E6378" s="267" t="s">
        <v>133</v>
      </c>
      <c r="F6378" s="7" t="s">
        <v>56</v>
      </c>
      <c r="G6378" s="238" t="s">
        <v>358</v>
      </c>
      <c r="H6378" s="238" t="s">
        <v>9064</v>
      </c>
      <c r="I6378" s="239">
        <v>1</v>
      </c>
      <c r="J6378" s="239">
        <v>4</v>
      </c>
      <c r="K6378" s="239">
        <v>1</v>
      </c>
      <c r="L6378" s="239">
        <v>0</v>
      </c>
      <c r="M6378" s="239">
        <v>0</v>
      </c>
      <c r="N6378" s="239">
        <v>0</v>
      </c>
      <c r="O6378" s="240">
        <v>0</v>
      </c>
      <c r="P6378" s="241">
        <v>0.03</v>
      </c>
      <c r="Q6378" s="239" t="s">
        <v>154</v>
      </c>
      <c r="S6378" s="242"/>
    </row>
    <row r="6379" spans="1:19" s="162" customFormat="1" ht="120" x14ac:dyDescent="0.25">
      <c r="A6379" s="237">
        <v>42555</v>
      </c>
      <c r="B6379" s="237">
        <v>42555</v>
      </c>
      <c r="C6379" s="239">
        <v>2016</v>
      </c>
      <c r="D6379" s="24" t="s">
        <v>141</v>
      </c>
      <c r="E6379" s="30" t="s">
        <v>142</v>
      </c>
      <c r="F6379" s="7" t="s">
        <v>56</v>
      </c>
      <c r="G6379" s="238" t="s">
        <v>5085</v>
      </c>
      <c r="H6379" s="238" t="s">
        <v>9065</v>
      </c>
      <c r="I6379" s="239">
        <v>1</v>
      </c>
      <c r="J6379" s="239">
        <v>11</v>
      </c>
      <c r="K6379" s="239">
        <v>0</v>
      </c>
      <c r="L6379" s="239">
        <v>0</v>
      </c>
      <c r="M6379" s="239">
        <v>0</v>
      </c>
      <c r="N6379" s="239">
        <v>0</v>
      </c>
      <c r="O6379" s="240">
        <v>0</v>
      </c>
      <c r="P6379" s="241">
        <v>0.05</v>
      </c>
      <c r="Q6379" s="239" t="s">
        <v>154</v>
      </c>
      <c r="S6379" s="242"/>
    </row>
    <row r="6380" spans="1:19" s="162" customFormat="1" ht="36" x14ac:dyDescent="0.25">
      <c r="A6380" s="245">
        <v>42370</v>
      </c>
      <c r="B6380" s="245">
        <v>42735</v>
      </c>
      <c r="C6380" s="266">
        <v>2016</v>
      </c>
      <c r="D6380" s="351" t="s">
        <v>23</v>
      </c>
      <c r="E6380" s="346" t="s">
        <v>4089</v>
      </c>
      <c r="F6380" s="7" t="s">
        <v>56</v>
      </c>
      <c r="G6380" s="246" t="s">
        <v>26</v>
      </c>
      <c r="H6380" s="238" t="s">
        <v>9066</v>
      </c>
      <c r="I6380" s="247">
        <v>1</v>
      </c>
      <c r="J6380" s="248">
        <v>4</v>
      </c>
      <c r="K6380" s="247">
        <v>0</v>
      </c>
      <c r="L6380" s="247">
        <v>0</v>
      </c>
      <c r="M6380" s="247">
        <v>0</v>
      </c>
      <c r="N6380" s="247">
        <v>0</v>
      </c>
      <c r="O6380" s="249">
        <v>0</v>
      </c>
      <c r="P6380" s="250">
        <v>0</v>
      </c>
      <c r="Q6380" s="247" t="s">
        <v>2218</v>
      </c>
      <c r="S6380" s="251"/>
    </row>
    <row r="6381" spans="1:19" s="162" customFormat="1" ht="33.75" x14ac:dyDescent="0.25">
      <c r="A6381" s="245">
        <v>42370</v>
      </c>
      <c r="B6381" s="245">
        <v>42735</v>
      </c>
      <c r="C6381" s="266">
        <v>2016</v>
      </c>
      <c r="D6381" s="351" t="s">
        <v>23</v>
      </c>
      <c r="E6381" s="346" t="s">
        <v>327</v>
      </c>
      <c r="F6381" s="7" t="s">
        <v>84</v>
      </c>
      <c r="G6381" s="246" t="s">
        <v>26</v>
      </c>
      <c r="H6381" s="254" t="s">
        <v>9067</v>
      </c>
      <c r="I6381" s="247">
        <v>1</v>
      </c>
      <c r="J6381" s="248">
        <v>34</v>
      </c>
      <c r="K6381" s="247">
        <v>0</v>
      </c>
      <c r="L6381" s="247">
        <v>0</v>
      </c>
      <c r="M6381" s="247">
        <v>0</v>
      </c>
      <c r="N6381" s="247">
        <v>0</v>
      </c>
      <c r="O6381" s="249">
        <v>0</v>
      </c>
      <c r="P6381" s="250">
        <v>0</v>
      </c>
      <c r="Q6381" s="247" t="s">
        <v>2218</v>
      </c>
      <c r="S6381" s="251"/>
    </row>
    <row r="6382" spans="1:19" s="162" customFormat="1" ht="45" x14ac:dyDescent="0.25">
      <c r="A6382" s="245">
        <v>42370</v>
      </c>
      <c r="B6382" s="245">
        <v>42735</v>
      </c>
      <c r="C6382" s="266">
        <v>2016</v>
      </c>
      <c r="D6382" s="351" t="s">
        <v>23</v>
      </c>
      <c r="E6382" s="346" t="s">
        <v>327</v>
      </c>
      <c r="F6382" s="7" t="s">
        <v>40</v>
      </c>
      <c r="G6382" s="246" t="s">
        <v>26</v>
      </c>
      <c r="H6382" s="254" t="s">
        <v>9068</v>
      </c>
      <c r="I6382" s="247">
        <v>1</v>
      </c>
      <c r="J6382" s="248">
        <v>24</v>
      </c>
      <c r="K6382" s="247">
        <v>0</v>
      </c>
      <c r="L6382" s="247">
        <v>0</v>
      </c>
      <c r="M6382" s="247">
        <v>0</v>
      </c>
      <c r="N6382" s="247">
        <v>0</v>
      </c>
      <c r="O6382" s="249">
        <v>0</v>
      </c>
      <c r="P6382" s="250">
        <v>0</v>
      </c>
      <c r="Q6382" s="247" t="s">
        <v>2218</v>
      </c>
      <c r="S6382" s="251"/>
    </row>
    <row r="6383" spans="1:19" s="162" customFormat="1" ht="33.75" x14ac:dyDescent="0.25">
      <c r="A6383" s="245">
        <v>42370</v>
      </c>
      <c r="B6383" s="245">
        <v>42735</v>
      </c>
      <c r="C6383" s="266">
        <v>2016</v>
      </c>
      <c r="D6383" s="351" t="s">
        <v>23</v>
      </c>
      <c r="E6383" s="346" t="s">
        <v>327</v>
      </c>
      <c r="F6383" s="7" t="s">
        <v>82</v>
      </c>
      <c r="G6383" s="246" t="s">
        <v>26</v>
      </c>
      <c r="H6383" s="254" t="s">
        <v>9069</v>
      </c>
      <c r="I6383" s="247">
        <v>1</v>
      </c>
      <c r="J6383" s="248">
        <v>3</v>
      </c>
      <c r="K6383" s="247">
        <v>0</v>
      </c>
      <c r="L6383" s="247">
        <v>0</v>
      </c>
      <c r="M6383" s="247">
        <v>0</v>
      </c>
      <c r="N6383" s="247">
        <v>0</v>
      </c>
      <c r="O6383" s="249">
        <v>0</v>
      </c>
      <c r="P6383" s="250">
        <v>0</v>
      </c>
      <c r="Q6383" s="247" t="s">
        <v>2218</v>
      </c>
      <c r="S6383" s="251"/>
    </row>
    <row r="6384" spans="1:19" s="162" customFormat="1" ht="84" x14ac:dyDescent="0.25">
      <c r="A6384" s="237">
        <v>42643</v>
      </c>
      <c r="B6384" s="237">
        <v>42643</v>
      </c>
      <c r="C6384" s="239">
        <v>2016</v>
      </c>
      <c r="D6384" s="24" t="s">
        <v>141</v>
      </c>
      <c r="E6384" s="30" t="s">
        <v>142</v>
      </c>
      <c r="F6384" s="28" t="s">
        <v>210</v>
      </c>
      <c r="G6384" s="238" t="s">
        <v>9070</v>
      </c>
      <c r="H6384" s="238" t="s">
        <v>9071</v>
      </c>
      <c r="I6384" s="239">
        <v>1</v>
      </c>
      <c r="J6384" s="239">
        <v>14</v>
      </c>
      <c r="K6384" s="239">
        <v>0</v>
      </c>
      <c r="L6384" s="239">
        <v>0</v>
      </c>
      <c r="M6384" s="239">
        <v>0</v>
      </c>
      <c r="N6384" s="239">
        <v>0</v>
      </c>
      <c r="O6384" s="240">
        <v>0</v>
      </c>
      <c r="P6384" s="241">
        <v>0.1</v>
      </c>
      <c r="Q6384" s="239" t="s">
        <v>154</v>
      </c>
      <c r="S6384" s="242"/>
    </row>
    <row r="6385" spans="1:19" s="162" customFormat="1" ht="96" x14ac:dyDescent="0.25">
      <c r="A6385" s="237">
        <v>42649</v>
      </c>
      <c r="B6385" s="237">
        <v>42649</v>
      </c>
      <c r="C6385" s="239">
        <v>2016</v>
      </c>
      <c r="D6385" s="24" t="s">
        <v>141</v>
      </c>
      <c r="E6385" s="30" t="s">
        <v>142</v>
      </c>
      <c r="F6385" s="28" t="s">
        <v>210</v>
      </c>
      <c r="G6385" s="238" t="s">
        <v>3003</v>
      </c>
      <c r="H6385" s="238" t="s">
        <v>9072</v>
      </c>
      <c r="I6385" s="239">
        <v>1</v>
      </c>
      <c r="J6385" s="239">
        <v>1</v>
      </c>
      <c r="K6385" s="239">
        <v>0</v>
      </c>
      <c r="L6385" s="239">
        <v>0</v>
      </c>
      <c r="M6385" s="239">
        <v>0</v>
      </c>
      <c r="N6385" s="239">
        <v>0</v>
      </c>
      <c r="O6385" s="240">
        <v>0</v>
      </c>
      <c r="P6385" s="241">
        <v>0.5</v>
      </c>
      <c r="Q6385" s="239" t="s">
        <v>154</v>
      </c>
      <c r="S6385" s="242"/>
    </row>
    <row r="6386" spans="1:19" s="162" customFormat="1" ht="22.5" x14ac:dyDescent="0.25">
      <c r="A6386" s="245">
        <v>42370</v>
      </c>
      <c r="B6386" s="245">
        <v>42735</v>
      </c>
      <c r="C6386" s="266">
        <v>2016</v>
      </c>
      <c r="D6386" s="351" t="s">
        <v>23</v>
      </c>
      <c r="E6386" s="346" t="s">
        <v>327</v>
      </c>
      <c r="F6386" s="7" t="s">
        <v>68</v>
      </c>
      <c r="G6386" s="246" t="s">
        <v>26</v>
      </c>
      <c r="H6386" s="254" t="s">
        <v>9073</v>
      </c>
      <c r="I6386" s="247">
        <v>1</v>
      </c>
      <c r="J6386" s="248">
        <v>1</v>
      </c>
      <c r="K6386" s="247">
        <v>0</v>
      </c>
      <c r="L6386" s="247">
        <v>0</v>
      </c>
      <c r="M6386" s="247">
        <v>0</v>
      </c>
      <c r="N6386" s="247">
        <v>0</v>
      </c>
      <c r="O6386" s="249">
        <v>0</v>
      </c>
      <c r="P6386" s="250">
        <v>0</v>
      </c>
      <c r="Q6386" s="247" t="s">
        <v>2218</v>
      </c>
      <c r="S6386" s="251"/>
    </row>
    <row r="6387" spans="1:19" s="162" customFormat="1" ht="84" x14ac:dyDescent="0.25">
      <c r="A6387" s="237">
        <v>42715</v>
      </c>
      <c r="B6387" s="237">
        <v>42715</v>
      </c>
      <c r="C6387" s="239">
        <v>2016</v>
      </c>
      <c r="D6387" s="24" t="s">
        <v>141</v>
      </c>
      <c r="E6387" s="30" t="s">
        <v>142</v>
      </c>
      <c r="F6387" s="7" t="s">
        <v>56</v>
      </c>
      <c r="G6387" s="238" t="s">
        <v>495</v>
      </c>
      <c r="H6387" s="238" t="s">
        <v>9074</v>
      </c>
      <c r="I6387" s="239">
        <v>1</v>
      </c>
      <c r="J6387" s="239">
        <v>13</v>
      </c>
      <c r="K6387" s="239">
        <v>0</v>
      </c>
      <c r="L6387" s="239">
        <v>0</v>
      </c>
      <c r="M6387" s="239">
        <v>0</v>
      </c>
      <c r="N6387" s="239">
        <v>0</v>
      </c>
      <c r="O6387" s="240">
        <v>0</v>
      </c>
      <c r="P6387" s="241">
        <v>0.1</v>
      </c>
      <c r="Q6387" s="239" t="s">
        <v>154</v>
      </c>
      <c r="S6387" s="242"/>
    </row>
    <row r="6388" spans="1:19" s="162" customFormat="1" ht="84" x14ac:dyDescent="0.25">
      <c r="A6388" s="237">
        <v>42717</v>
      </c>
      <c r="B6388" s="237">
        <v>42717</v>
      </c>
      <c r="C6388" s="239">
        <v>2016</v>
      </c>
      <c r="D6388" s="24" t="s">
        <v>141</v>
      </c>
      <c r="E6388" s="30" t="s">
        <v>142</v>
      </c>
      <c r="F6388" s="7" t="s">
        <v>56</v>
      </c>
      <c r="G6388" s="238" t="s">
        <v>2957</v>
      </c>
      <c r="H6388" s="238" t="s">
        <v>9075</v>
      </c>
      <c r="I6388" s="239">
        <v>1</v>
      </c>
      <c r="J6388" s="239">
        <v>24</v>
      </c>
      <c r="K6388" s="239">
        <v>0</v>
      </c>
      <c r="L6388" s="239">
        <v>0</v>
      </c>
      <c r="M6388" s="239">
        <v>0</v>
      </c>
      <c r="N6388" s="239">
        <v>0</v>
      </c>
      <c r="O6388" s="240">
        <v>0</v>
      </c>
      <c r="P6388" s="241">
        <v>0.1</v>
      </c>
      <c r="Q6388" s="239" t="s">
        <v>154</v>
      </c>
      <c r="S6388" s="242"/>
    </row>
    <row r="6389" spans="1:19" s="162" customFormat="1" ht="120" x14ac:dyDescent="0.25">
      <c r="A6389" s="237">
        <v>42729</v>
      </c>
      <c r="B6389" s="237">
        <v>42729</v>
      </c>
      <c r="C6389" s="239">
        <v>2016</v>
      </c>
      <c r="D6389" s="24" t="s">
        <v>141</v>
      </c>
      <c r="E6389" s="30" t="s">
        <v>142</v>
      </c>
      <c r="F6389" s="28" t="s">
        <v>210</v>
      </c>
      <c r="G6389" s="238" t="s">
        <v>9076</v>
      </c>
      <c r="H6389" s="238" t="s">
        <v>9077</v>
      </c>
      <c r="I6389" s="239">
        <v>1</v>
      </c>
      <c r="J6389" s="239">
        <v>43</v>
      </c>
      <c r="K6389" s="239">
        <v>0</v>
      </c>
      <c r="L6389" s="239">
        <v>0</v>
      </c>
      <c r="M6389" s="239">
        <v>0</v>
      </c>
      <c r="N6389" s="239">
        <v>0</v>
      </c>
      <c r="O6389" s="240">
        <v>0</v>
      </c>
      <c r="P6389" s="241">
        <v>0.1</v>
      </c>
      <c r="Q6389" s="239" t="s">
        <v>154</v>
      </c>
      <c r="S6389" s="242"/>
    </row>
    <row r="6390" spans="1:19" s="162" customFormat="1" ht="84" x14ac:dyDescent="0.25">
      <c r="A6390" s="237">
        <v>42517</v>
      </c>
      <c r="B6390" s="237">
        <v>42517</v>
      </c>
      <c r="C6390" s="239">
        <v>2016</v>
      </c>
      <c r="D6390" s="351" t="s">
        <v>23</v>
      </c>
      <c r="E6390" s="267" t="s">
        <v>5893</v>
      </c>
      <c r="F6390" s="7" t="s">
        <v>82</v>
      </c>
      <c r="G6390" s="238" t="s">
        <v>220</v>
      </c>
      <c r="H6390" s="238" t="s">
        <v>9078</v>
      </c>
      <c r="I6390" s="239">
        <v>1</v>
      </c>
      <c r="J6390" s="252">
        <v>1</v>
      </c>
      <c r="K6390" s="239">
        <v>0</v>
      </c>
      <c r="L6390" s="239">
        <v>0</v>
      </c>
      <c r="M6390" s="239">
        <v>0</v>
      </c>
      <c r="N6390" s="239">
        <v>0</v>
      </c>
      <c r="O6390" s="240">
        <v>0</v>
      </c>
      <c r="P6390" s="241">
        <v>0</v>
      </c>
      <c r="Q6390" s="239" t="s">
        <v>154</v>
      </c>
      <c r="S6390" s="242"/>
    </row>
    <row r="6391" spans="1:19" s="162" customFormat="1" ht="108" x14ac:dyDescent="0.25">
      <c r="A6391" s="237">
        <v>42615</v>
      </c>
      <c r="B6391" s="237">
        <v>42617</v>
      </c>
      <c r="C6391" s="268">
        <v>2016</v>
      </c>
      <c r="D6391" s="351" t="s">
        <v>23</v>
      </c>
      <c r="E6391" s="267" t="s">
        <v>86</v>
      </c>
      <c r="F6391" s="7" t="s">
        <v>58</v>
      </c>
      <c r="G6391" s="238" t="s">
        <v>9079</v>
      </c>
      <c r="H6391" s="259" t="s">
        <v>9080</v>
      </c>
      <c r="I6391" s="239">
        <v>0</v>
      </c>
      <c r="J6391" s="252" t="s">
        <v>110</v>
      </c>
      <c r="K6391" s="239">
        <v>0</v>
      </c>
      <c r="L6391" s="239">
        <v>0</v>
      </c>
      <c r="M6391" s="239">
        <v>0</v>
      </c>
      <c r="N6391" s="239">
        <v>0</v>
      </c>
      <c r="O6391" s="240">
        <v>0</v>
      </c>
      <c r="P6391" s="260">
        <f>75.93+1795.239</f>
        <v>1871.1690000000001</v>
      </c>
      <c r="Q6391" s="239" t="s">
        <v>9081</v>
      </c>
      <c r="S6391" s="242"/>
    </row>
    <row r="6392" spans="1:19" s="162" customFormat="1" ht="108" x14ac:dyDescent="0.25">
      <c r="A6392" s="237">
        <v>42593</v>
      </c>
      <c r="B6392" s="237">
        <v>42598</v>
      </c>
      <c r="C6392" s="268">
        <v>2016</v>
      </c>
      <c r="D6392" s="351" t="s">
        <v>23</v>
      </c>
      <c r="E6392" s="267" t="s">
        <v>86</v>
      </c>
      <c r="F6392" s="7" t="s">
        <v>49</v>
      </c>
      <c r="G6392" s="238" t="s">
        <v>9082</v>
      </c>
      <c r="H6392" s="259" t="s">
        <v>9083</v>
      </c>
      <c r="I6392" s="239">
        <v>5</v>
      </c>
      <c r="J6392" s="252">
        <v>33325</v>
      </c>
      <c r="K6392" s="239">
        <v>744</v>
      </c>
      <c r="L6392" s="239">
        <v>55</v>
      </c>
      <c r="M6392" s="239">
        <v>1</v>
      </c>
      <c r="N6392" s="239">
        <v>496</v>
      </c>
      <c r="O6392" s="240">
        <v>0</v>
      </c>
      <c r="P6392" s="260">
        <v>1422.9</v>
      </c>
      <c r="Q6392" s="239" t="s">
        <v>22</v>
      </c>
      <c r="S6392" s="242"/>
    </row>
    <row r="6393" spans="1:19" s="162" customFormat="1" ht="36" x14ac:dyDescent="0.25">
      <c r="A6393" s="237">
        <v>42585</v>
      </c>
      <c r="B6393" s="237">
        <v>42587</v>
      </c>
      <c r="C6393" s="239">
        <v>2016</v>
      </c>
      <c r="D6393" s="351" t="s">
        <v>23</v>
      </c>
      <c r="E6393" s="267" t="s">
        <v>86</v>
      </c>
      <c r="F6393" s="28" t="s">
        <v>151</v>
      </c>
      <c r="G6393" s="238" t="s">
        <v>9084</v>
      </c>
      <c r="H6393" s="238" t="s">
        <v>9085</v>
      </c>
      <c r="I6393" s="239">
        <v>0</v>
      </c>
      <c r="J6393" s="252">
        <v>0</v>
      </c>
      <c r="K6393" s="239">
        <v>0</v>
      </c>
      <c r="L6393" s="239">
        <v>0</v>
      </c>
      <c r="M6393" s="239">
        <v>0</v>
      </c>
      <c r="N6393" s="239">
        <v>0</v>
      </c>
      <c r="O6393" s="240">
        <v>0</v>
      </c>
      <c r="P6393" s="241">
        <v>1047.4390000000001</v>
      </c>
      <c r="Q6393" s="239" t="s">
        <v>186</v>
      </c>
      <c r="S6393" s="242"/>
    </row>
    <row r="6394" spans="1:19" s="162" customFormat="1" ht="60" x14ac:dyDescent="0.25">
      <c r="A6394" s="237">
        <v>42614</v>
      </c>
      <c r="B6394" s="237">
        <v>42614</v>
      </c>
      <c r="C6394" s="239">
        <v>2016</v>
      </c>
      <c r="D6394" s="351" t="s">
        <v>23</v>
      </c>
      <c r="E6394" s="267" t="s">
        <v>86</v>
      </c>
      <c r="F6394" s="7" t="s">
        <v>40</v>
      </c>
      <c r="G6394" s="238" t="s">
        <v>9086</v>
      </c>
      <c r="H6394" s="238" t="s">
        <v>9087</v>
      </c>
      <c r="I6394" s="239">
        <v>0</v>
      </c>
      <c r="J6394" s="252">
        <v>0</v>
      </c>
      <c r="K6394" s="239">
        <v>0</v>
      </c>
      <c r="L6394" s="239">
        <v>0</v>
      </c>
      <c r="M6394" s="239">
        <v>0</v>
      </c>
      <c r="N6394" s="239">
        <v>0</v>
      </c>
      <c r="O6394" s="240">
        <v>0</v>
      </c>
      <c r="P6394" s="241">
        <v>833.71900000000005</v>
      </c>
      <c r="Q6394" s="239" t="s">
        <v>186</v>
      </c>
      <c r="S6394" s="242"/>
    </row>
    <row r="6395" spans="1:19" s="162" customFormat="1" ht="84" x14ac:dyDescent="0.25">
      <c r="A6395" s="231">
        <v>42382</v>
      </c>
      <c r="B6395" s="231">
        <v>42382</v>
      </c>
      <c r="C6395" s="345">
        <v>2016</v>
      </c>
      <c r="D6395" s="24" t="s">
        <v>141</v>
      </c>
      <c r="E6395" s="30" t="s">
        <v>142</v>
      </c>
      <c r="F6395" s="7" t="s">
        <v>68</v>
      </c>
      <c r="G6395" s="177" t="s">
        <v>2097</v>
      </c>
      <c r="H6395" s="253" t="s">
        <v>9088</v>
      </c>
      <c r="I6395" s="233">
        <v>0</v>
      </c>
      <c r="J6395" s="233">
        <v>35</v>
      </c>
      <c r="K6395" s="233">
        <v>0</v>
      </c>
      <c r="L6395" s="233">
        <v>0</v>
      </c>
      <c r="M6395" s="233">
        <v>0</v>
      </c>
      <c r="N6395" s="233">
        <v>0</v>
      </c>
      <c r="O6395" s="233">
        <v>0</v>
      </c>
      <c r="P6395" s="244">
        <v>2.5000000000000001E-2</v>
      </c>
      <c r="Q6395" s="235" t="s">
        <v>154</v>
      </c>
      <c r="S6395" s="236"/>
    </row>
    <row r="6396" spans="1:19" s="162" customFormat="1" ht="108" x14ac:dyDescent="0.25">
      <c r="A6396" s="231">
        <v>42384</v>
      </c>
      <c r="B6396" s="231">
        <v>42384</v>
      </c>
      <c r="C6396" s="345">
        <v>2016</v>
      </c>
      <c r="D6396" s="24" t="s">
        <v>141</v>
      </c>
      <c r="E6396" s="30" t="s">
        <v>142</v>
      </c>
      <c r="F6396" s="28" t="s">
        <v>210</v>
      </c>
      <c r="G6396" s="177" t="s">
        <v>7518</v>
      </c>
      <c r="H6396" s="253" t="s">
        <v>9089</v>
      </c>
      <c r="I6396" s="233">
        <v>0</v>
      </c>
      <c r="J6396" s="233">
        <v>0</v>
      </c>
      <c r="K6396" s="233">
        <v>0</v>
      </c>
      <c r="L6396" s="233">
        <v>0</v>
      </c>
      <c r="M6396" s="233">
        <v>0</v>
      </c>
      <c r="N6396" s="233">
        <v>0</v>
      </c>
      <c r="O6396" s="233">
        <v>0</v>
      </c>
      <c r="P6396" s="244">
        <v>0.1</v>
      </c>
      <c r="Q6396" s="235" t="s">
        <v>154</v>
      </c>
      <c r="S6396" s="236"/>
    </row>
    <row r="6397" spans="1:19" s="162" customFormat="1" ht="180" x14ac:dyDescent="0.25">
      <c r="A6397" s="231">
        <v>42385</v>
      </c>
      <c r="B6397" s="231">
        <v>42385</v>
      </c>
      <c r="C6397" s="345">
        <v>2016</v>
      </c>
      <c r="D6397" s="24" t="s">
        <v>141</v>
      </c>
      <c r="E6397" s="30" t="s">
        <v>142</v>
      </c>
      <c r="F6397" s="7" t="s">
        <v>75</v>
      </c>
      <c r="G6397" s="177" t="s">
        <v>3876</v>
      </c>
      <c r="H6397" s="253" t="s">
        <v>9090</v>
      </c>
      <c r="I6397" s="233">
        <v>0</v>
      </c>
      <c r="J6397" s="233">
        <v>100</v>
      </c>
      <c r="K6397" s="233">
        <v>0</v>
      </c>
      <c r="L6397" s="233">
        <v>0</v>
      </c>
      <c r="M6397" s="233">
        <v>0</v>
      </c>
      <c r="N6397" s="233">
        <v>0</v>
      </c>
      <c r="O6397" s="233">
        <v>0</v>
      </c>
      <c r="P6397" s="244">
        <f>(20*128000)/1000000</f>
        <v>2.56</v>
      </c>
      <c r="Q6397" s="235" t="s">
        <v>154</v>
      </c>
      <c r="S6397" s="236"/>
    </row>
    <row r="6398" spans="1:19" s="162" customFormat="1" ht="120" x14ac:dyDescent="0.25">
      <c r="A6398" s="231">
        <v>42388</v>
      </c>
      <c r="B6398" s="231">
        <v>42388</v>
      </c>
      <c r="C6398" s="345">
        <v>2016</v>
      </c>
      <c r="D6398" s="24" t="s">
        <v>141</v>
      </c>
      <c r="E6398" s="30" t="s">
        <v>142</v>
      </c>
      <c r="F6398" s="7" t="s">
        <v>60</v>
      </c>
      <c r="G6398" s="177" t="s">
        <v>2797</v>
      </c>
      <c r="H6398" s="253" t="s">
        <v>9091</v>
      </c>
      <c r="I6398" s="233">
        <v>0</v>
      </c>
      <c r="J6398" s="233">
        <v>256</v>
      </c>
      <c r="K6398" s="233">
        <v>0</v>
      </c>
      <c r="L6398" s="233">
        <v>0</v>
      </c>
      <c r="M6398" s="233">
        <v>0</v>
      </c>
      <c r="N6398" s="233">
        <v>0</v>
      </c>
      <c r="O6398" s="233">
        <v>0</v>
      </c>
      <c r="P6398" s="244">
        <f>(10000*11.55)/1000000</f>
        <v>0.11550000000000001</v>
      </c>
      <c r="Q6398" s="235" t="s">
        <v>154</v>
      </c>
      <c r="S6398" s="236"/>
    </row>
    <row r="6399" spans="1:19" s="162" customFormat="1" ht="96" x14ac:dyDescent="0.25">
      <c r="A6399" s="237">
        <v>42389</v>
      </c>
      <c r="B6399" s="237">
        <v>42389</v>
      </c>
      <c r="C6399" s="345">
        <v>2016</v>
      </c>
      <c r="D6399" s="35" t="s">
        <v>28</v>
      </c>
      <c r="E6399" s="347" t="s">
        <v>125</v>
      </c>
      <c r="F6399" s="7" t="s">
        <v>30</v>
      </c>
      <c r="G6399" s="177" t="s">
        <v>1078</v>
      </c>
      <c r="H6399" s="253" t="s">
        <v>9092</v>
      </c>
      <c r="I6399" s="233">
        <v>0</v>
      </c>
      <c r="J6399" s="233">
        <v>4000</v>
      </c>
      <c r="K6399" s="233">
        <v>0</v>
      </c>
      <c r="L6399" s="233">
        <v>0</v>
      </c>
      <c r="M6399" s="233">
        <v>0</v>
      </c>
      <c r="N6399" s="233">
        <v>0</v>
      </c>
      <c r="O6399" s="233">
        <v>0</v>
      </c>
      <c r="P6399" s="241">
        <v>0</v>
      </c>
      <c r="Q6399" s="235" t="s">
        <v>154</v>
      </c>
      <c r="S6399" s="236"/>
    </row>
    <row r="6400" spans="1:19" s="162" customFormat="1" ht="132" x14ac:dyDescent="0.25">
      <c r="A6400" s="231">
        <v>42395</v>
      </c>
      <c r="B6400" s="231">
        <v>42395</v>
      </c>
      <c r="C6400" s="345">
        <v>2016</v>
      </c>
      <c r="D6400" s="35" t="s">
        <v>28</v>
      </c>
      <c r="E6400" s="347" t="s">
        <v>125</v>
      </c>
      <c r="F6400" s="7" t="s">
        <v>77</v>
      </c>
      <c r="G6400" s="177" t="s">
        <v>681</v>
      </c>
      <c r="H6400" s="253" t="s">
        <v>9093</v>
      </c>
      <c r="I6400" s="233">
        <v>0</v>
      </c>
      <c r="J6400" s="233">
        <v>190</v>
      </c>
      <c r="K6400" s="233">
        <v>0</v>
      </c>
      <c r="L6400" s="233">
        <v>0</v>
      </c>
      <c r="M6400" s="233">
        <v>0</v>
      </c>
      <c r="N6400" s="233">
        <v>0</v>
      </c>
      <c r="O6400" s="233">
        <v>0</v>
      </c>
      <c r="P6400" s="241">
        <v>0</v>
      </c>
      <c r="Q6400" s="235" t="s">
        <v>154</v>
      </c>
      <c r="S6400" s="236"/>
    </row>
    <row r="6401" spans="1:19" s="162" customFormat="1" ht="156" x14ac:dyDescent="0.25">
      <c r="A6401" s="237">
        <v>42395</v>
      </c>
      <c r="B6401" s="237">
        <v>42395</v>
      </c>
      <c r="C6401" s="268">
        <v>2016</v>
      </c>
      <c r="D6401" s="35" t="s">
        <v>28</v>
      </c>
      <c r="E6401" s="267" t="s">
        <v>149</v>
      </c>
      <c r="F6401" s="7" t="s">
        <v>56</v>
      </c>
      <c r="G6401" s="261" t="s">
        <v>2957</v>
      </c>
      <c r="H6401" s="262" t="s">
        <v>9094</v>
      </c>
      <c r="I6401" s="263">
        <v>0</v>
      </c>
      <c r="J6401" s="263" t="s">
        <v>110</v>
      </c>
      <c r="K6401" s="263">
        <v>0</v>
      </c>
      <c r="L6401" s="263">
        <v>0</v>
      </c>
      <c r="M6401" s="263">
        <v>0</v>
      </c>
      <c r="N6401" s="263">
        <v>0</v>
      </c>
      <c r="O6401" s="263">
        <v>0</v>
      </c>
      <c r="P6401" s="264">
        <v>0</v>
      </c>
      <c r="Q6401" s="243" t="s">
        <v>154</v>
      </c>
      <c r="S6401" s="265"/>
    </row>
    <row r="6402" spans="1:19" s="162" customFormat="1" ht="108" x14ac:dyDescent="0.25">
      <c r="A6402" s="231">
        <v>42404</v>
      </c>
      <c r="B6402" s="231">
        <v>42404</v>
      </c>
      <c r="C6402" s="345">
        <v>2016</v>
      </c>
      <c r="D6402" s="35" t="s">
        <v>28</v>
      </c>
      <c r="E6402" s="267" t="s">
        <v>149</v>
      </c>
      <c r="F6402" s="28" t="s">
        <v>157</v>
      </c>
      <c r="G6402" s="177" t="s">
        <v>1089</v>
      </c>
      <c r="H6402" s="253" t="s">
        <v>9095</v>
      </c>
      <c r="I6402" s="233">
        <v>0</v>
      </c>
      <c r="J6402" s="233">
        <v>100</v>
      </c>
      <c r="K6402" s="233">
        <v>0</v>
      </c>
      <c r="L6402" s="233">
        <v>0</v>
      </c>
      <c r="M6402" s="233">
        <v>0</v>
      </c>
      <c r="N6402" s="233">
        <v>0</v>
      </c>
      <c r="O6402" s="233">
        <v>0</v>
      </c>
      <c r="P6402" s="234">
        <v>0.05</v>
      </c>
      <c r="Q6402" s="235" t="s">
        <v>154</v>
      </c>
      <c r="S6402" s="236"/>
    </row>
    <row r="6403" spans="1:19" s="162" customFormat="1" ht="120" x14ac:dyDescent="0.25">
      <c r="A6403" s="231">
        <v>42404</v>
      </c>
      <c r="B6403" s="231">
        <v>42404</v>
      </c>
      <c r="C6403" s="345">
        <v>2016</v>
      </c>
      <c r="D6403" s="24" t="s">
        <v>141</v>
      </c>
      <c r="E6403" s="30" t="s">
        <v>142</v>
      </c>
      <c r="F6403" s="7" t="s">
        <v>75</v>
      </c>
      <c r="G6403" s="177" t="s">
        <v>5902</v>
      </c>
      <c r="H6403" s="253" t="s">
        <v>9096</v>
      </c>
      <c r="I6403" s="233">
        <v>0</v>
      </c>
      <c r="J6403" s="233">
        <v>17</v>
      </c>
      <c r="K6403" s="233">
        <v>0</v>
      </c>
      <c r="L6403" s="233">
        <v>0</v>
      </c>
      <c r="M6403" s="233">
        <v>0</v>
      </c>
      <c r="N6403" s="233">
        <v>0</v>
      </c>
      <c r="O6403" s="233">
        <v>0</v>
      </c>
      <c r="P6403" s="234">
        <v>3.5000000000000003E-2</v>
      </c>
      <c r="Q6403" s="235" t="s">
        <v>154</v>
      </c>
      <c r="S6403" s="236"/>
    </row>
    <row r="6404" spans="1:19" s="162" customFormat="1" ht="132" x14ac:dyDescent="0.25">
      <c r="A6404" s="231">
        <v>42405</v>
      </c>
      <c r="B6404" s="231">
        <v>42405</v>
      </c>
      <c r="C6404" s="345">
        <v>2016</v>
      </c>
      <c r="D6404" s="24" t="s">
        <v>141</v>
      </c>
      <c r="E6404" s="30" t="s">
        <v>142</v>
      </c>
      <c r="F6404" s="7" t="s">
        <v>53</v>
      </c>
      <c r="G6404" s="177" t="s">
        <v>4816</v>
      </c>
      <c r="H6404" s="253" t="s">
        <v>9097</v>
      </c>
      <c r="I6404" s="233">
        <v>0</v>
      </c>
      <c r="J6404" s="233">
        <v>0</v>
      </c>
      <c r="K6404" s="233">
        <v>0</v>
      </c>
      <c r="L6404" s="233">
        <v>0</v>
      </c>
      <c r="M6404" s="233">
        <v>0</v>
      </c>
      <c r="N6404" s="233">
        <v>0</v>
      </c>
      <c r="O6404" s="233">
        <v>0</v>
      </c>
      <c r="P6404" s="234">
        <v>0.05</v>
      </c>
      <c r="Q6404" s="235" t="s">
        <v>154</v>
      </c>
      <c r="S6404" s="236"/>
    </row>
    <row r="6405" spans="1:19" s="162" customFormat="1" ht="192" x14ac:dyDescent="0.25">
      <c r="A6405" s="231">
        <v>42409</v>
      </c>
      <c r="B6405" s="231">
        <v>42409</v>
      </c>
      <c r="C6405" s="345">
        <v>2016</v>
      </c>
      <c r="D6405" s="24" t="s">
        <v>141</v>
      </c>
      <c r="E6405" s="30" t="s">
        <v>142</v>
      </c>
      <c r="F6405" s="7" t="s">
        <v>82</v>
      </c>
      <c r="G6405" s="177" t="s">
        <v>9098</v>
      </c>
      <c r="H6405" s="253" t="s">
        <v>9099</v>
      </c>
      <c r="I6405" s="233">
        <v>0</v>
      </c>
      <c r="J6405" s="233">
        <v>100</v>
      </c>
      <c r="K6405" s="233">
        <v>0</v>
      </c>
      <c r="L6405" s="233">
        <v>0</v>
      </c>
      <c r="M6405" s="233">
        <v>0</v>
      </c>
      <c r="N6405" s="233">
        <v>0</v>
      </c>
      <c r="O6405" s="233">
        <v>0</v>
      </c>
      <c r="P6405" s="241">
        <v>0</v>
      </c>
      <c r="Q6405" s="235" t="s">
        <v>154</v>
      </c>
      <c r="S6405" s="236"/>
    </row>
    <row r="6406" spans="1:19" s="162" customFormat="1" ht="156" x14ac:dyDescent="0.25">
      <c r="A6406" s="231">
        <v>42413</v>
      </c>
      <c r="B6406" s="231">
        <v>42413</v>
      </c>
      <c r="C6406" s="345">
        <v>2016</v>
      </c>
      <c r="D6406" s="24" t="s">
        <v>141</v>
      </c>
      <c r="E6406" s="30" t="s">
        <v>142</v>
      </c>
      <c r="F6406" s="7" t="s">
        <v>62</v>
      </c>
      <c r="G6406" s="177" t="s">
        <v>1533</v>
      </c>
      <c r="H6406" s="253" t="s">
        <v>9100</v>
      </c>
      <c r="I6406" s="233">
        <v>0</v>
      </c>
      <c r="J6406" s="233" t="s">
        <v>110</v>
      </c>
      <c r="K6406" s="233">
        <v>0</v>
      </c>
      <c r="L6406" s="233">
        <v>0</v>
      </c>
      <c r="M6406" s="233">
        <v>0</v>
      </c>
      <c r="N6406" s="233">
        <v>0</v>
      </c>
      <c r="O6406" s="233">
        <v>0</v>
      </c>
      <c r="P6406" s="241">
        <v>0</v>
      </c>
      <c r="Q6406" s="235" t="s">
        <v>154</v>
      </c>
      <c r="S6406" s="236"/>
    </row>
    <row r="6407" spans="1:19" s="162" customFormat="1" ht="132" x14ac:dyDescent="0.25">
      <c r="A6407" s="237">
        <v>42417</v>
      </c>
      <c r="B6407" s="237">
        <v>42417</v>
      </c>
      <c r="C6407" s="239">
        <v>2016</v>
      </c>
      <c r="D6407" s="24" t="s">
        <v>141</v>
      </c>
      <c r="E6407" s="30" t="s">
        <v>142</v>
      </c>
      <c r="F6407" s="7" t="s">
        <v>77</v>
      </c>
      <c r="G6407" s="238" t="s">
        <v>77</v>
      </c>
      <c r="H6407" s="232" t="s">
        <v>9101</v>
      </c>
      <c r="I6407" s="239">
        <v>0</v>
      </c>
      <c r="J6407" s="239">
        <v>14</v>
      </c>
      <c r="K6407" s="239">
        <v>0</v>
      </c>
      <c r="L6407" s="239">
        <v>0</v>
      </c>
      <c r="M6407" s="239">
        <v>0</v>
      </c>
      <c r="N6407" s="239">
        <v>0</v>
      </c>
      <c r="O6407" s="239">
        <v>0</v>
      </c>
      <c r="P6407" s="241">
        <v>0</v>
      </c>
      <c r="Q6407" s="239" t="s">
        <v>154</v>
      </c>
      <c r="S6407" s="242"/>
    </row>
    <row r="6408" spans="1:19" s="162" customFormat="1" ht="216" x14ac:dyDescent="0.25">
      <c r="A6408" s="237">
        <v>42423</v>
      </c>
      <c r="B6408" s="237">
        <v>42423</v>
      </c>
      <c r="C6408" s="239">
        <v>2016</v>
      </c>
      <c r="D6408" s="24" t="s">
        <v>141</v>
      </c>
      <c r="E6408" s="30" t="s">
        <v>142</v>
      </c>
      <c r="F6408" s="25" t="s">
        <v>781</v>
      </c>
      <c r="G6408" s="238" t="s">
        <v>3061</v>
      </c>
      <c r="H6408" s="232" t="s">
        <v>9102</v>
      </c>
      <c r="I6408" s="239">
        <v>0</v>
      </c>
      <c r="J6408" s="239">
        <v>4</v>
      </c>
      <c r="K6408" s="239">
        <v>0</v>
      </c>
      <c r="L6408" s="239">
        <v>0</v>
      </c>
      <c r="M6408" s="239">
        <v>0</v>
      </c>
      <c r="N6408" s="239">
        <v>0</v>
      </c>
      <c r="O6408" s="239">
        <v>0</v>
      </c>
      <c r="P6408" s="241">
        <v>0</v>
      </c>
      <c r="Q6408" s="239" t="s">
        <v>154</v>
      </c>
      <c r="S6408" s="242"/>
    </row>
    <row r="6409" spans="1:19" s="162" customFormat="1" ht="156" x14ac:dyDescent="0.25">
      <c r="A6409" s="237">
        <v>42426</v>
      </c>
      <c r="B6409" s="237">
        <v>42426</v>
      </c>
      <c r="C6409" s="239">
        <v>2016</v>
      </c>
      <c r="D6409" s="35" t="s">
        <v>28</v>
      </c>
      <c r="E6409" s="267" t="s">
        <v>149</v>
      </c>
      <c r="F6409" s="7" t="s">
        <v>82</v>
      </c>
      <c r="G6409" s="238" t="s">
        <v>82</v>
      </c>
      <c r="H6409" s="232" t="s">
        <v>9103</v>
      </c>
      <c r="I6409" s="239">
        <v>0</v>
      </c>
      <c r="J6409" s="239">
        <v>5</v>
      </c>
      <c r="K6409" s="239">
        <v>0</v>
      </c>
      <c r="L6409" s="239">
        <v>0</v>
      </c>
      <c r="M6409" s="239">
        <v>0</v>
      </c>
      <c r="N6409" s="239">
        <v>0</v>
      </c>
      <c r="O6409" s="239">
        <v>0</v>
      </c>
      <c r="P6409" s="241">
        <v>0</v>
      </c>
      <c r="Q6409" s="239" t="s">
        <v>154</v>
      </c>
      <c r="S6409" s="242"/>
    </row>
    <row r="6410" spans="1:19" s="162" customFormat="1" ht="132" x14ac:dyDescent="0.25">
      <c r="A6410" s="237">
        <v>42429</v>
      </c>
      <c r="B6410" s="237">
        <v>42429</v>
      </c>
      <c r="C6410" s="239">
        <v>2016</v>
      </c>
      <c r="D6410" s="35" t="s">
        <v>28</v>
      </c>
      <c r="E6410" s="267" t="s">
        <v>149</v>
      </c>
      <c r="F6410" s="7" t="s">
        <v>53</v>
      </c>
      <c r="G6410" s="238" t="s">
        <v>9104</v>
      </c>
      <c r="H6410" s="232" t="s">
        <v>9105</v>
      </c>
      <c r="I6410" s="239">
        <v>0</v>
      </c>
      <c r="J6410" s="239">
        <v>205</v>
      </c>
      <c r="K6410" s="239">
        <v>0</v>
      </c>
      <c r="L6410" s="239">
        <v>0</v>
      </c>
      <c r="M6410" s="239">
        <v>0</v>
      </c>
      <c r="N6410" s="239">
        <v>0</v>
      </c>
      <c r="O6410" s="239">
        <v>0</v>
      </c>
      <c r="P6410" s="241">
        <v>0</v>
      </c>
      <c r="Q6410" s="239" t="s">
        <v>154</v>
      </c>
      <c r="S6410" s="242"/>
    </row>
    <row r="6411" spans="1:19" s="162" customFormat="1" ht="192" x14ac:dyDescent="0.25">
      <c r="A6411" s="237">
        <v>42429</v>
      </c>
      <c r="B6411" s="237">
        <v>42429</v>
      </c>
      <c r="C6411" s="239">
        <v>2016</v>
      </c>
      <c r="D6411" s="35" t="s">
        <v>28</v>
      </c>
      <c r="E6411" s="267" t="s">
        <v>149</v>
      </c>
      <c r="F6411" s="7" t="s">
        <v>30</v>
      </c>
      <c r="G6411" s="238" t="s">
        <v>9106</v>
      </c>
      <c r="H6411" s="232" t="s">
        <v>9107</v>
      </c>
      <c r="I6411" s="239">
        <v>0</v>
      </c>
      <c r="J6411" s="243">
        <v>1203</v>
      </c>
      <c r="K6411" s="239">
        <v>0</v>
      </c>
      <c r="L6411" s="239">
        <v>0</v>
      </c>
      <c r="M6411" s="239">
        <v>0</v>
      </c>
      <c r="N6411" s="239">
        <v>0</v>
      </c>
      <c r="O6411" s="239">
        <v>0</v>
      </c>
      <c r="P6411" s="241">
        <v>0.5</v>
      </c>
      <c r="Q6411" s="239" t="s">
        <v>154</v>
      </c>
      <c r="S6411" s="242"/>
    </row>
    <row r="6412" spans="1:19" s="162" customFormat="1" ht="72" x14ac:dyDescent="0.25">
      <c r="A6412" s="237">
        <v>42455</v>
      </c>
      <c r="B6412" s="237">
        <v>42456</v>
      </c>
      <c r="C6412" s="239">
        <v>2016</v>
      </c>
      <c r="D6412" s="24" t="s">
        <v>141</v>
      </c>
      <c r="E6412" s="30" t="s">
        <v>142</v>
      </c>
      <c r="F6412" s="7" t="s">
        <v>56</v>
      </c>
      <c r="G6412" s="238" t="s">
        <v>358</v>
      </c>
      <c r="H6412" s="232" t="s">
        <v>9108</v>
      </c>
      <c r="I6412" s="239">
        <v>0</v>
      </c>
      <c r="J6412" s="239">
        <v>0</v>
      </c>
      <c r="K6412" s="239">
        <v>0</v>
      </c>
      <c r="L6412" s="239">
        <v>0</v>
      </c>
      <c r="M6412" s="239">
        <v>0</v>
      </c>
      <c r="N6412" s="239">
        <v>0</v>
      </c>
      <c r="O6412" s="239">
        <v>0</v>
      </c>
      <c r="P6412" s="241">
        <v>0</v>
      </c>
      <c r="Q6412" s="239" t="s">
        <v>154</v>
      </c>
      <c r="S6412" s="242"/>
    </row>
    <row r="6413" spans="1:19" s="162" customFormat="1" ht="120" x14ac:dyDescent="0.25">
      <c r="A6413" s="237">
        <v>42466</v>
      </c>
      <c r="B6413" s="237">
        <v>42466</v>
      </c>
      <c r="C6413" s="239">
        <v>2016</v>
      </c>
      <c r="D6413" s="35" t="s">
        <v>28</v>
      </c>
      <c r="E6413" s="267" t="s">
        <v>133</v>
      </c>
      <c r="F6413" s="7" t="s">
        <v>53</v>
      </c>
      <c r="G6413" s="238" t="s">
        <v>9109</v>
      </c>
      <c r="H6413" s="232" t="s">
        <v>9110</v>
      </c>
      <c r="I6413" s="239">
        <v>0</v>
      </c>
      <c r="J6413" s="239">
        <v>3</v>
      </c>
      <c r="K6413" s="239">
        <v>0</v>
      </c>
      <c r="L6413" s="239">
        <v>0</v>
      </c>
      <c r="M6413" s="239">
        <v>0</v>
      </c>
      <c r="N6413" s="239">
        <v>0</v>
      </c>
      <c r="O6413" s="239">
        <v>0</v>
      </c>
      <c r="P6413" s="241">
        <v>0</v>
      </c>
      <c r="Q6413" s="239" t="s">
        <v>154</v>
      </c>
      <c r="S6413" s="242"/>
    </row>
    <row r="6414" spans="1:19" s="162" customFormat="1" ht="108" x14ac:dyDescent="0.25">
      <c r="A6414" s="237">
        <v>42470</v>
      </c>
      <c r="B6414" s="237">
        <v>42470</v>
      </c>
      <c r="C6414" s="239">
        <v>2016</v>
      </c>
      <c r="D6414" s="24" t="s">
        <v>141</v>
      </c>
      <c r="E6414" s="30" t="s">
        <v>142</v>
      </c>
      <c r="F6414" s="7" t="s">
        <v>60</v>
      </c>
      <c r="G6414" s="238" t="s">
        <v>1256</v>
      </c>
      <c r="H6414" s="238" t="s">
        <v>9111</v>
      </c>
      <c r="I6414" s="239">
        <v>0</v>
      </c>
      <c r="J6414" s="239">
        <v>0</v>
      </c>
      <c r="K6414" s="239">
        <v>0</v>
      </c>
      <c r="L6414" s="239">
        <v>0</v>
      </c>
      <c r="M6414" s="239">
        <v>0</v>
      </c>
      <c r="N6414" s="239">
        <v>0</v>
      </c>
      <c r="O6414" s="239">
        <v>0</v>
      </c>
      <c r="P6414" s="241">
        <v>0.1</v>
      </c>
      <c r="Q6414" s="239" t="s">
        <v>154</v>
      </c>
      <c r="S6414" s="242"/>
    </row>
    <row r="6415" spans="1:19" s="162" customFormat="1" ht="96" x14ac:dyDescent="0.25">
      <c r="A6415" s="237">
        <v>42472</v>
      </c>
      <c r="B6415" s="237">
        <v>42472</v>
      </c>
      <c r="C6415" s="239">
        <v>2016</v>
      </c>
      <c r="D6415" s="24" t="s">
        <v>141</v>
      </c>
      <c r="E6415" s="30" t="s">
        <v>142</v>
      </c>
      <c r="F6415" s="7" t="s">
        <v>101</v>
      </c>
      <c r="G6415" s="238" t="s">
        <v>101</v>
      </c>
      <c r="H6415" s="238" t="s">
        <v>9112</v>
      </c>
      <c r="I6415" s="239">
        <v>0</v>
      </c>
      <c r="J6415" s="239">
        <v>0</v>
      </c>
      <c r="K6415" s="239">
        <v>2</v>
      </c>
      <c r="L6415" s="239">
        <v>0</v>
      </c>
      <c r="M6415" s="239">
        <v>0</v>
      </c>
      <c r="N6415" s="239">
        <v>2</v>
      </c>
      <c r="O6415" s="239">
        <v>0</v>
      </c>
      <c r="P6415" s="241">
        <v>0</v>
      </c>
      <c r="Q6415" s="239" t="s">
        <v>154</v>
      </c>
      <c r="S6415" s="242"/>
    </row>
    <row r="6416" spans="1:19" s="162" customFormat="1" ht="180" x14ac:dyDescent="0.25">
      <c r="A6416" s="237">
        <v>42495</v>
      </c>
      <c r="B6416" s="237">
        <v>42495</v>
      </c>
      <c r="C6416" s="239">
        <v>2016</v>
      </c>
      <c r="D6416" s="35" t="s">
        <v>28</v>
      </c>
      <c r="E6416" s="267" t="s">
        <v>149</v>
      </c>
      <c r="F6416" s="28" t="s">
        <v>157</v>
      </c>
      <c r="G6416" s="238" t="s">
        <v>4237</v>
      </c>
      <c r="H6416" s="238" t="s">
        <v>9113</v>
      </c>
      <c r="I6416" s="239">
        <v>0</v>
      </c>
      <c r="J6416" s="239">
        <v>615</v>
      </c>
      <c r="K6416" s="239">
        <v>0</v>
      </c>
      <c r="L6416" s="239">
        <v>0</v>
      </c>
      <c r="M6416" s="239">
        <v>0</v>
      </c>
      <c r="N6416" s="239">
        <v>0</v>
      </c>
      <c r="O6416" s="239">
        <v>0</v>
      </c>
      <c r="P6416" s="241">
        <v>2.5</v>
      </c>
      <c r="Q6416" s="239" t="s">
        <v>154</v>
      </c>
      <c r="S6416" s="242"/>
    </row>
    <row r="6417" spans="1:19" s="162" customFormat="1" ht="22.5" x14ac:dyDescent="0.25">
      <c r="A6417" s="245">
        <v>42370</v>
      </c>
      <c r="B6417" s="245">
        <v>42735</v>
      </c>
      <c r="C6417" s="266">
        <v>2016</v>
      </c>
      <c r="D6417" s="351" t="s">
        <v>23</v>
      </c>
      <c r="E6417" s="346" t="s">
        <v>4089</v>
      </c>
      <c r="F6417" s="7" t="s">
        <v>75</v>
      </c>
      <c r="G6417" s="246" t="s">
        <v>26</v>
      </c>
      <c r="H6417" s="247" t="s">
        <v>9114</v>
      </c>
      <c r="I6417" s="247">
        <v>0</v>
      </c>
      <c r="J6417" s="248">
        <v>10</v>
      </c>
      <c r="K6417" s="247">
        <v>0</v>
      </c>
      <c r="L6417" s="247">
        <v>0</v>
      </c>
      <c r="M6417" s="247">
        <v>0</v>
      </c>
      <c r="N6417" s="247">
        <v>0</v>
      </c>
      <c r="O6417" s="249">
        <v>0</v>
      </c>
      <c r="P6417" s="250">
        <v>0</v>
      </c>
      <c r="Q6417" s="247" t="s">
        <v>2218</v>
      </c>
      <c r="S6417" s="251"/>
    </row>
    <row r="6418" spans="1:19" s="162" customFormat="1" ht="60" x14ac:dyDescent="0.25">
      <c r="A6418" s="237">
        <v>42507</v>
      </c>
      <c r="B6418" s="237">
        <v>42507</v>
      </c>
      <c r="C6418" s="239">
        <v>2016</v>
      </c>
      <c r="D6418" s="35" t="s">
        <v>28</v>
      </c>
      <c r="E6418" s="267" t="s">
        <v>133</v>
      </c>
      <c r="F6418" s="7" t="s">
        <v>60</v>
      </c>
      <c r="G6418" s="238" t="s">
        <v>2797</v>
      </c>
      <c r="H6418" s="238" t="s">
        <v>9115</v>
      </c>
      <c r="I6418" s="239">
        <v>0</v>
      </c>
      <c r="J6418" s="239">
        <v>3</v>
      </c>
      <c r="K6418" s="239">
        <v>1</v>
      </c>
      <c r="L6418" s="239">
        <v>0</v>
      </c>
      <c r="M6418" s="239">
        <v>0</v>
      </c>
      <c r="N6418" s="239">
        <v>0</v>
      </c>
      <c r="O6418" s="240">
        <v>0</v>
      </c>
      <c r="P6418" s="241">
        <v>0.05</v>
      </c>
      <c r="Q6418" s="239" t="s">
        <v>154</v>
      </c>
      <c r="S6418" s="242"/>
    </row>
    <row r="6419" spans="1:19" s="162" customFormat="1" ht="24" x14ac:dyDescent="0.25">
      <c r="A6419" s="245">
        <v>42370</v>
      </c>
      <c r="B6419" s="245">
        <v>42735</v>
      </c>
      <c r="C6419" s="266">
        <v>2016</v>
      </c>
      <c r="D6419" s="351" t="s">
        <v>23</v>
      </c>
      <c r="E6419" s="346" t="s">
        <v>4089</v>
      </c>
      <c r="F6419" s="7" t="s">
        <v>36</v>
      </c>
      <c r="G6419" s="246" t="s">
        <v>26</v>
      </c>
      <c r="H6419" s="238" t="s">
        <v>9116</v>
      </c>
      <c r="I6419" s="247">
        <v>0</v>
      </c>
      <c r="J6419" s="248">
        <v>4</v>
      </c>
      <c r="K6419" s="247">
        <v>0</v>
      </c>
      <c r="L6419" s="247">
        <v>0</v>
      </c>
      <c r="M6419" s="247">
        <v>0</v>
      </c>
      <c r="N6419" s="247">
        <v>0</v>
      </c>
      <c r="O6419" s="249">
        <v>0</v>
      </c>
      <c r="P6419" s="250">
        <v>0</v>
      </c>
      <c r="Q6419" s="247" t="s">
        <v>2218</v>
      </c>
      <c r="S6419" s="251"/>
    </row>
    <row r="6420" spans="1:19" s="162" customFormat="1" ht="72" x14ac:dyDescent="0.25">
      <c r="A6420" s="237">
        <v>42543</v>
      </c>
      <c r="B6420" s="237">
        <v>42543</v>
      </c>
      <c r="C6420" s="239">
        <v>2016</v>
      </c>
      <c r="D6420" s="24" t="s">
        <v>141</v>
      </c>
      <c r="E6420" s="30" t="s">
        <v>142</v>
      </c>
      <c r="F6420" s="28" t="s">
        <v>210</v>
      </c>
      <c r="G6420" s="238" t="s">
        <v>893</v>
      </c>
      <c r="H6420" s="238" t="s">
        <v>9117</v>
      </c>
      <c r="I6420" s="239">
        <v>0</v>
      </c>
      <c r="J6420" s="239">
        <v>10</v>
      </c>
      <c r="K6420" s="239">
        <v>0</v>
      </c>
      <c r="L6420" s="239">
        <v>0</v>
      </c>
      <c r="M6420" s="239">
        <v>0</v>
      </c>
      <c r="N6420" s="239">
        <v>0</v>
      </c>
      <c r="O6420" s="240">
        <v>0</v>
      </c>
      <c r="P6420" s="241">
        <v>2.5000000000000001E-2</v>
      </c>
      <c r="Q6420" s="239" t="s">
        <v>154</v>
      </c>
      <c r="S6420" s="242"/>
    </row>
    <row r="6421" spans="1:19" s="162" customFormat="1" ht="84" x14ac:dyDescent="0.25">
      <c r="A6421" s="237">
        <v>42546</v>
      </c>
      <c r="B6421" s="237">
        <v>42546</v>
      </c>
      <c r="C6421" s="239">
        <v>2016</v>
      </c>
      <c r="D6421" s="24" t="s">
        <v>141</v>
      </c>
      <c r="E6421" s="30" t="s">
        <v>142</v>
      </c>
      <c r="F6421" s="7" t="s">
        <v>53</v>
      </c>
      <c r="G6421" s="238" t="s">
        <v>460</v>
      </c>
      <c r="H6421" s="238" t="s">
        <v>9118</v>
      </c>
      <c r="I6421" s="239">
        <v>0</v>
      </c>
      <c r="J6421" s="239">
        <v>15</v>
      </c>
      <c r="K6421" s="239">
        <v>0</v>
      </c>
      <c r="L6421" s="239">
        <v>0</v>
      </c>
      <c r="M6421" s="239">
        <v>0</v>
      </c>
      <c r="N6421" s="239">
        <v>0</v>
      </c>
      <c r="O6421" s="240">
        <v>0</v>
      </c>
      <c r="P6421" s="241">
        <v>0.05</v>
      </c>
      <c r="Q6421" s="239" t="s">
        <v>154</v>
      </c>
      <c r="S6421" s="242"/>
    </row>
    <row r="6422" spans="1:19" s="162" customFormat="1" ht="72" x14ac:dyDescent="0.25">
      <c r="A6422" s="237">
        <v>42548</v>
      </c>
      <c r="B6422" s="237">
        <v>42548</v>
      </c>
      <c r="C6422" s="239">
        <v>2016</v>
      </c>
      <c r="D6422" s="35" t="s">
        <v>28</v>
      </c>
      <c r="E6422" s="347" t="s">
        <v>125</v>
      </c>
      <c r="F6422" s="28" t="s">
        <v>210</v>
      </c>
      <c r="G6422" s="238" t="s">
        <v>9119</v>
      </c>
      <c r="H6422" s="238" t="s">
        <v>9120</v>
      </c>
      <c r="I6422" s="239">
        <v>0</v>
      </c>
      <c r="J6422" s="239">
        <v>348</v>
      </c>
      <c r="K6422" s="239">
        <v>0</v>
      </c>
      <c r="L6422" s="239">
        <v>0</v>
      </c>
      <c r="M6422" s="239">
        <v>0</v>
      </c>
      <c r="N6422" s="239">
        <v>0</v>
      </c>
      <c r="O6422" s="240">
        <v>0</v>
      </c>
      <c r="P6422" s="241">
        <v>0</v>
      </c>
      <c r="Q6422" s="239" t="s">
        <v>154</v>
      </c>
      <c r="S6422" s="242"/>
    </row>
    <row r="6423" spans="1:19" s="162" customFormat="1" ht="96" x14ac:dyDescent="0.25">
      <c r="A6423" s="237">
        <v>42559</v>
      </c>
      <c r="B6423" s="237">
        <v>42559</v>
      </c>
      <c r="C6423" s="239">
        <v>2016</v>
      </c>
      <c r="D6423" s="24" t="s">
        <v>141</v>
      </c>
      <c r="E6423" s="30" t="s">
        <v>142</v>
      </c>
      <c r="F6423" s="7" t="s">
        <v>91</v>
      </c>
      <c r="G6423" s="238" t="s">
        <v>2315</v>
      </c>
      <c r="H6423" s="238" t="s">
        <v>9121</v>
      </c>
      <c r="I6423" s="239">
        <v>0</v>
      </c>
      <c r="J6423" s="239">
        <v>8</v>
      </c>
      <c r="K6423" s="239">
        <v>0</v>
      </c>
      <c r="L6423" s="239">
        <v>0</v>
      </c>
      <c r="M6423" s="239">
        <v>0</v>
      </c>
      <c r="N6423" s="239">
        <v>0</v>
      </c>
      <c r="O6423" s="240">
        <v>0</v>
      </c>
      <c r="P6423" s="241">
        <v>0</v>
      </c>
      <c r="Q6423" s="239" t="s">
        <v>154</v>
      </c>
      <c r="S6423" s="242"/>
    </row>
    <row r="6424" spans="1:19" s="162" customFormat="1" ht="60" x14ac:dyDescent="0.25">
      <c r="A6424" s="237">
        <v>42559</v>
      </c>
      <c r="B6424" s="237">
        <v>42559</v>
      </c>
      <c r="C6424" s="239">
        <v>2016</v>
      </c>
      <c r="D6424" s="24" t="s">
        <v>141</v>
      </c>
      <c r="E6424" s="30" t="s">
        <v>142</v>
      </c>
      <c r="F6424" s="7" t="s">
        <v>87</v>
      </c>
      <c r="G6424" s="238" t="s">
        <v>2259</v>
      </c>
      <c r="H6424" s="238" t="s">
        <v>9122</v>
      </c>
      <c r="I6424" s="239">
        <v>0</v>
      </c>
      <c r="J6424" s="239" t="s">
        <v>110</v>
      </c>
      <c r="K6424" s="239">
        <v>0</v>
      </c>
      <c r="L6424" s="239">
        <v>0</v>
      </c>
      <c r="M6424" s="239">
        <v>0</v>
      </c>
      <c r="N6424" s="239">
        <v>0</v>
      </c>
      <c r="O6424" s="240">
        <v>0</v>
      </c>
      <c r="P6424" s="241">
        <v>0</v>
      </c>
      <c r="Q6424" s="239" t="s">
        <v>154</v>
      </c>
      <c r="S6424" s="242"/>
    </row>
    <row r="6425" spans="1:19" s="162" customFormat="1" ht="72" x14ac:dyDescent="0.25">
      <c r="A6425" s="231">
        <v>42559</v>
      </c>
      <c r="B6425" s="237">
        <v>42559</v>
      </c>
      <c r="C6425" s="239">
        <v>2016</v>
      </c>
      <c r="D6425" s="24" t="s">
        <v>141</v>
      </c>
      <c r="E6425" s="30" t="s">
        <v>142</v>
      </c>
      <c r="F6425" s="7" t="s">
        <v>87</v>
      </c>
      <c r="G6425" s="238" t="s">
        <v>7000</v>
      </c>
      <c r="H6425" s="238" t="s">
        <v>9123</v>
      </c>
      <c r="I6425" s="239">
        <v>0</v>
      </c>
      <c r="J6425" s="239">
        <v>0</v>
      </c>
      <c r="K6425" s="239">
        <v>0</v>
      </c>
      <c r="L6425" s="239">
        <v>0</v>
      </c>
      <c r="M6425" s="239">
        <v>0</v>
      </c>
      <c r="N6425" s="239">
        <v>0</v>
      </c>
      <c r="O6425" s="240">
        <v>0</v>
      </c>
      <c r="P6425" s="241">
        <v>0</v>
      </c>
      <c r="Q6425" s="239" t="s">
        <v>154</v>
      </c>
      <c r="S6425" s="242"/>
    </row>
    <row r="6426" spans="1:19" s="162" customFormat="1" ht="132" x14ac:dyDescent="0.25">
      <c r="A6426" s="237">
        <v>42567</v>
      </c>
      <c r="B6426" s="237">
        <v>42567</v>
      </c>
      <c r="C6426" s="256">
        <v>2016</v>
      </c>
      <c r="D6426" s="24" t="s">
        <v>141</v>
      </c>
      <c r="E6426" s="30" t="s">
        <v>142</v>
      </c>
      <c r="F6426" s="7" t="s">
        <v>58</v>
      </c>
      <c r="G6426" s="238" t="s">
        <v>9124</v>
      </c>
      <c r="H6426" s="238" t="s">
        <v>9125</v>
      </c>
      <c r="I6426" s="239">
        <v>0</v>
      </c>
      <c r="J6426" s="239">
        <v>0</v>
      </c>
      <c r="K6426" s="239">
        <v>0</v>
      </c>
      <c r="L6426" s="239">
        <v>0</v>
      </c>
      <c r="M6426" s="239">
        <v>0</v>
      </c>
      <c r="N6426" s="239">
        <v>0</v>
      </c>
      <c r="O6426" s="240">
        <v>0</v>
      </c>
      <c r="P6426" s="241">
        <v>0</v>
      </c>
      <c r="Q6426" s="239" t="s">
        <v>154</v>
      </c>
      <c r="S6426" s="242"/>
    </row>
    <row r="6427" spans="1:19" s="162" customFormat="1" ht="36" x14ac:dyDescent="0.25">
      <c r="A6427" s="245">
        <v>42370</v>
      </c>
      <c r="B6427" s="245">
        <v>42735</v>
      </c>
      <c r="C6427" s="266">
        <v>2016</v>
      </c>
      <c r="D6427" s="351" t="s">
        <v>23</v>
      </c>
      <c r="E6427" s="346" t="s">
        <v>4089</v>
      </c>
      <c r="F6427" s="7" t="s">
        <v>91</v>
      </c>
      <c r="G6427" s="246" t="s">
        <v>26</v>
      </c>
      <c r="H6427" s="238" t="s">
        <v>9126</v>
      </c>
      <c r="I6427" s="247">
        <v>0</v>
      </c>
      <c r="J6427" s="248">
        <v>4</v>
      </c>
      <c r="K6427" s="247">
        <v>0</v>
      </c>
      <c r="L6427" s="247">
        <v>0</v>
      </c>
      <c r="M6427" s="247">
        <v>0</v>
      </c>
      <c r="N6427" s="247">
        <v>0</v>
      </c>
      <c r="O6427" s="249">
        <v>0</v>
      </c>
      <c r="P6427" s="250">
        <v>0</v>
      </c>
      <c r="Q6427" s="247" t="s">
        <v>2218</v>
      </c>
      <c r="S6427" s="251"/>
    </row>
    <row r="6428" spans="1:19" s="162" customFormat="1" ht="24" x14ac:dyDescent="0.25">
      <c r="A6428" s="245">
        <v>42370</v>
      </c>
      <c r="B6428" s="245">
        <v>42735</v>
      </c>
      <c r="C6428" s="266">
        <v>2016</v>
      </c>
      <c r="D6428" s="351" t="s">
        <v>23</v>
      </c>
      <c r="E6428" s="346" t="s">
        <v>4089</v>
      </c>
      <c r="F6428" s="7" t="s">
        <v>25</v>
      </c>
      <c r="G6428" s="246" t="s">
        <v>26</v>
      </c>
      <c r="H6428" s="238" t="s">
        <v>9127</v>
      </c>
      <c r="I6428" s="247">
        <v>0</v>
      </c>
      <c r="J6428" s="248">
        <v>2</v>
      </c>
      <c r="K6428" s="247">
        <v>0</v>
      </c>
      <c r="L6428" s="247">
        <v>0</v>
      </c>
      <c r="M6428" s="247">
        <v>0</v>
      </c>
      <c r="N6428" s="247">
        <v>0</v>
      </c>
      <c r="O6428" s="249">
        <v>0</v>
      </c>
      <c r="P6428" s="250">
        <v>0</v>
      </c>
      <c r="Q6428" s="247" t="s">
        <v>2218</v>
      </c>
      <c r="S6428" s="251"/>
    </row>
    <row r="6429" spans="1:19" s="162" customFormat="1" ht="24" x14ac:dyDescent="0.25">
      <c r="A6429" s="245">
        <v>42370</v>
      </c>
      <c r="B6429" s="245">
        <v>42735</v>
      </c>
      <c r="C6429" s="266">
        <v>2016</v>
      </c>
      <c r="D6429" s="351" t="s">
        <v>23</v>
      </c>
      <c r="E6429" s="346" t="s">
        <v>4089</v>
      </c>
      <c r="F6429" s="28" t="s">
        <v>160</v>
      </c>
      <c r="G6429" s="246" t="s">
        <v>26</v>
      </c>
      <c r="H6429" s="238" t="s">
        <v>9128</v>
      </c>
      <c r="I6429" s="247">
        <v>0</v>
      </c>
      <c r="J6429" s="248">
        <v>7</v>
      </c>
      <c r="K6429" s="247">
        <v>0</v>
      </c>
      <c r="L6429" s="247">
        <v>0</v>
      </c>
      <c r="M6429" s="247">
        <v>0</v>
      </c>
      <c r="N6429" s="247">
        <v>0</v>
      </c>
      <c r="O6429" s="249">
        <v>0</v>
      </c>
      <c r="P6429" s="250">
        <v>0</v>
      </c>
      <c r="Q6429" s="247" t="s">
        <v>2218</v>
      </c>
      <c r="S6429" s="251"/>
    </row>
    <row r="6430" spans="1:19" s="162" customFormat="1" ht="24" x14ac:dyDescent="0.25">
      <c r="A6430" s="245">
        <v>42370</v>
      </c>
      <c r="B6430" s="245">
        <v>42735</v>
      </c>
      <c r="C6430" s="266">
        <v>2016</v>
      </c>
      <c r="D6430" s="351" t="s">
        <v>23</v>
      </c>
      <c r="E6430" s="346" t="s">
        <v>4089</v>
      </c>
      <c r="F6430" s="28" t="s">
        <v>157</v>
      </c>
      <c r="G6430" s="246" t="s">
        <v>26</v>
      </c>
      <c r="H6430" s="238" t="s">
        <v>9129</v>
      </c>
      <c r="I6430" s="247">
        <v>0</v>
      </c>
      <c r="J6430" s="248">
        <v>1</v>
      </c>
      <c r="K6430" s="247">
        <v>0</v>
      </c>
      <c r="L6430" s="247">
        <v>0</v>
      </c>
      <c r="M6430" s="247">
        <v>0</v>
      </c>
      <c r="N6430" s="247">
        <v>0</v>
      </c>
      <c r="O6430" s="249">
        <v>0</v>
      </c>
      <c r="P6430" s="250">
        <v>0</v>
      </c>
      <c r="Q6430" s="247" t="s">
        <v>2218</v>
      </c>
      <c r="S6430" s="251"/>
    </row>
    <row r="6431" spans="1:19" s="162" customFormat="1" ht="120" x14ac:dyDescent="0.25">
      <c r="A6431" s="237">
        <v>42577</v>
      </c>
      <c r="B6431" s="237">
        <v>42577</v>
      </c>
      <c r="C6431" s="256">
        <v>2016</v>
      </c>
      <c r="D6431" s="35" t="s">
        <v>28</v>
      </c>
      <c r="E6431" s="267" t="s">
        <v>133</v>
      </c>
      <c r="F6431" s="7" t="s">
        <v>53</v>
      </c>
      <c r="G6431" s="238" t="s">
        <v>2997</v>
      </c>
      <c r="H6431" s="238" t="s">
        <v>9130</v>
      </c>
      <c r="I6431" s="239">
        <v>0</v>
      </c>
      <c r="J6431" s="239">
        <v>83</v>
      </c>
      <c r="K6431" s="239">
        <v>38</v>
      </c>
      <c r="L6431" s="239">
        <v>0</v>
      </c>
      <c r="M6431" s="239">
        <v>0</v>
      </c>
      <c r="N6431" s="239">
        <v>0</v>
      </c>
      <c r="O6431" s="240">
        <v>0</v>
      </c>
      <c r="P6431" s="241">
        <f>((1*120000)+(35*1050))/1000000</f>
        <v>0.15675</v>
      </c>
      <c r="Q6431" s="239" t="s">
        <v>154</v>
      </c>
      <c r="S6431" s="242"/>
    </row>
    <row r="6432" spans="1:19" s="162" customFormat="1" ht="24" x14ac:dyDescent="0.25">
      <c r="A6432" s="245">
        <v>42370</v>
      </c>
      <c r="B6432" s="245">
        <v>42735</v>
      </c>
      <c r="C6432" s="266">
        <v>2016</v>
      </c>
      <c r="D6432" s="351" t="s">
        <v>23</v>
      </c>
      <c r="E6432" s="346" t="s">
        <v>4089</v>
      </c>
      <c r="F6432" s="7" t="s">
        <v>84</v>
      </c>
      <c r="G6432" s="246" t="s">
        <v>26</v>
      </c>
      <c r="H6432" s="238" t="s">
        <v>9131</v>
      </c>
      <c r="I6432" s="247">
        <v>0</v>
      </c>
      <c r="J6432" s="248">
        <v>2</v>
      </c>
      <c r="K6432" s="247">
        <v>0</v>
      </c>
      <c r="L6432" s="247">
        <v>0</v>
      </c>
      <c r="M6432" s="247">
        <v>0</v>
      </c>
      <c r="N6432" s="247">
        <v>0</v>
      </c>
      <c r="O6432" s="249">
        <v>0</v>
      </c>
      <c r="P6432" s="250">
        <v>0</v>
      </c>
      <c r="Q6432" s="247" t="s">
        <v>2218</v>
      </c>
      <c r="S6432" s="251"/>
    </row>
    <row r="6433" spans="1:19" s="162" customFormat="1" ht="22.5" x14ac:dyDescent="0.25">
      <c r="A6433" s="245">
        <v>42370</v>
      </c>
      <c r="B6433" s="245">
        <v>42735</v>
      </c>
      <c r="C6433" s="266">
        <v>2016</v>
      </c>
      <c r="D6433" s="351" t="s">
        <v>23</v>
      </c>
      <c r="E6433" s="346" t="s">
        <v>327</v>
      </c>
      <c r="F6433" s="28" t="s">
        <v>210</v>
      </c>
      <c r="G6433" s="246" t="s">
        <v>26</v>
      </c>
      <c r="H6433" s="254" t="s">
        <v>9132</v>
      </c>
      <c r="I6433" s="247">
        <v>0</v>
      </c>
      <c r="J6433" s="248">
        <v>36</v>
      </c>
      <c r="K6433" s="247">
        <v>0</v>
      </c>
      <c r="L6433" s="247">
        <v>0</v>
      </c>
      <c r="M6433" s="247">
        <v>0</v>
      </c>
      <c r="N6433" s="247">
        <v>0</v>
      </c>
      <c r="O6433" s="249">
        <v>0</v>
      </c>
      <c r="P6433" s="250">
        <v>0</v>
      </c>
      <c r="Q6433" s="247" t="s">
        <v>2218</v>
      </c>
      <c r="S6433" s="251"/>
    </row>
    <row r="6434" spans="1:19" s="162" customFormat="1" ht="132" x14ac:dyDescent="0.25">
      <c r="A6434" s="237">
        <v>42607</v>
      </c>
      <c r="B6434" s="237">
        <v>42607</v>
      </c>
      <c r="C6434" s="239">
        <v>2016</v>
      </c>
      <c r="D6434" s="35" t="s">
        <v>28</v>
      </c>
      <c r="E6434" s="267" t="s">
        <v>149</v>
      </c>
      <c r="F6434" s="7" t="s">
        <v>60</v>
      </c>
      <c r="G6434" s="238" t="s">
        <v>908</v>
      </c>
      <c r="H6434" s="238" t="s">
        <v>9133</v>
      </c>
      <c r="I6434" s="239">
        <v>0</v>
      </c>
      <c r="J6434" s="239">
        <v>1</v>
      </c>
      <c r="K6434" s="239">
        <v>0</v>
      </c>
      <c r="L6434" s="239">
        <v>0</v>
      </c>
      <c r="M6434" s="239">
        <v>0</v>
      </c>
      <c r="N6434" s="239">
        <v>0</v>
      </c>
      <c r="O6434" s="240">
        <v>0</v>
      </c>
      <c r="P6434" s="241">
        <v>0.1</v>
      </c>
      <c r="Q6434" s="239" t="s">
        <v>154</v>
      </c>
      <c r="S6434" s="242"/>
    </row>
    <row r="6435" spans="1:19" s="162" customFormat="1" ht="22.5" x14ac:dyDescent="0.25">
      <c r="A6435" s="245">
        <v>42370</v>
      </c>
      <c r="B6435" s="245">
        <v>42735</v>
      </c>
      <c r="C6435" s="266">
        <v>2016</v>
      </c>
      <c r="D6435" s="351" t="s">
        <v>23</v>
      </c>
      <c r="E6435" s="346" t="s">
        <v>327</v>
      </c>
      <c r="F6435" s="28" t="s">
        <v>151</v>
      </c>
      <c r="G6435" s="246" t="s">
        <v>26</v>
      </c>
      <c r="H6435" s="254" t="s">
        <v>9134</v>
      </c>
      <c r="I6435" s="247">
        <v>0</v>
      </c>
      <c r="J6435" s="248">
        <v>26</v>
      </c>
      <c r="K6435" s="247">
        <v>0</v>
      </c>
      <c r="L6435" s="247">
        <v>0</v>
      </c>
      <c r="M6435" s="247">
        <v>0</v>
      </c>
      <c r="N6435" s="247">
        <v>0</v>
      </c>
      <c r="O6435" s="249">
        <v>0</v>
      </c>
      <c r="P6435" s="250">
        <v>0</v>
      </c>
      <c r="Q6435" s="247" t="s">
        <v>2218</v>
      </c>
      <c r="S6435" s="251"/>
    </row>
    <row r="6436" spans="1:19" s="162" customFormat="1" ht="96" x14ac:dyDescent="0.25">
      <c r="A6436" s="237">
        <v>42614</v>
      </c>
      <c r="B6436" s="237">
        <v>42614</v>
      </c>
      <c r="C6436" s="239">
        <v>2016</v>
      </c>
      <c r="D6436" s="35" t="s">
        <v>28</v>
      </c>
      <c r="E6436" s="347" t="s">
        <v>125</v>
      </c>
      <c r="F6436" s="7" t="s">
        <v>62</v>
      </c>
      <c r="G6436" s="238" t="s">
        <v>9135</v>
      </c>
      <c r="H6436" s="238" t="s">
        <v>9136</v>
      </c>
      <c r="I6436" s="239">
        <v>0</v>
      </c>
      <c r="J6436" s="239">
        <v>318</v>
      </c>
      <c r="K6436" s="239">
        <v>0</v>
      </c>
      <c r="L6436" s="239">
        <v>0</v>
      </c>
      <c r="M6436" s="239">
        <v>0</v>
      </c>
      <c r="N6436" s="239">
        <v>0</v>
      </c>
      <c r="O6436" s="240">
        <v>0</v>
      </c>
      <c r="P6436" s="241">
        <v>0</v>
      </c>
      <c r="Q6436" s="239" t="s">
        <v>154</v>
      </c>
      <c r="S6436" s="242"/>
    </row>
    <row r="6437" spans="1:19" s="162" customFormat="1" ht="22.5" x14ac:dyDescent="0.25">
      <c r="A6437" s="245">
        <v>42370</v>
      </c>
      <c r="B6437" s="245">
        <v>42735</v>
      </c>
      <c r="C6437" s="266">
        <v>2016</v>
      </c>
      <c r="D6437" s="351" t="s">
        <v>23</v>
      </c>
      <c r="E6437" s="346" t="s">
        <v>327</v>
      </c>
      <c r="F6437" s="7" t="s">
        <v>60</v>
      </c>
      <c r="G6437" s="246" t="s">
        <v>26</v>
      </c>
      <c r="H6437" s="254" t="s">
        <v>9137</v>
      </c>
      <c r="I6437" s="247">
        <v>0</v>
      </c>
      <c r="J6437" s="248">
        <v>13</v>
      </c>
      <c r="K6437" s="247">
        <v>0</v>
      </c>
      <c r="L6437" s="247">
        <v>0</v>
      </c>
      <c r="M6437" s="247">
        <v>0</v>
      </c>
      <c r="N6437" s="247">
        <v>0</v>
      </c>
      <c r="O6437" s="249">
        <v>0</v>
      </c>
      <c r="P6437" s="250">
        <v>0</v>
      </c>
      <c r="Q6437" s="247" t="s">
        <v>2218</v>
      </c>
      <c r="S6437" s="251"/>
    </row>
    <row r="6438" spans="1:19" s="162" customFormat="1" ht="72" x14ac:dyDescent="0.25">
      <c r="A6438" s="237">
        <v>42620</v>
      </c>
      <c r="B6438" s="237">
        <v>42620</v>
      </c>
      <c r="C6438" s="239">
        <v>2016</v>
      </c>
      <c r="D6438" s="35" t="s">
        <v>28</v>
      </c>
      <c r="E6438" s="267" t="s">
        <v>133</v>
      </c>
      <c r="F6438" s="7" t="s">
        <v>53</v>
      </c>
      <c r="G6438" s="238" t="s">
        <v>451</v>
      </c>
      <c r="H6438" s="238" t="s">
        <v>9138</v>
      </c>
      <c r="I6438" s="239">
        <v>0</v>
      </c>
      <c r="J6438" s="239">
        <v>1</v>
      </c>
      <c r="K6438" s="239">
        <v>1</v>
      </c>
      <c r="L6438" s="239">
        <v>0</v>
      </c>
      <c r="M6438" s="239">
        <v>0</v>
      </c>
      <c r="N6438" s="239">
        <v>0</v>
      </c>
      <c r="O6438" s="240">
        <v>0</v>
      </c>
      <c r="P6438" s="241">
        <v>0.03</v>
      </c>
      <c r="Q6438" s="239" t="s">
        <v>154</v>
      </c>
      <c r="S6438" s="242"/>
    </row>
    <row r="6439" spans="1:19" s="162" customFormat="1" ht="33.75" x14ac:dyDescent="0.25">
      <c r="A6439" s="245">
        <v>42370</v>
      </c>
      <c r="B6439" s="245">
        <v>42735</v>
      </c>
      <c r="C6439" s="266">
        <v>2016</v>
      </c>
      <c r="D6439" s="351" t="s">
        <v>23</v>
      </c>
      <c r="E6439" s="346" t="s">
        <v>327</v>
      </c>
      <c r="F6439" s="7" t="s">
        <v>33</v>
      </c>
      <c r="G6439" s="246" t="s">
        <v>26</v>
      </c>
      <c r="H6439" s="254" t="s">
        <v>9139</v>
      </c>
      <c r="I6439" s="247">
        <v>0</v>
      </c>
      <c r="J6439" s="248">
        <v>12</v>
      </c>
      <c r="K6439" s="247">
        <v>0</v>
      </c>
      <c r="L6439" s="247">
        <v>0</v>
      </c>
      <c r="M6439" s="247">
        <v>0</v>
      </c>
      <c r="N6439" s="247">
        <v>0</v>
      </c>
      <c r="O6439" s="249">
        <v>0</v>
      </c>
      <c r="P6439" s="250">
        <v>0</v>
      </c>
      <c r="Q6439" s="247" t="s">
        <v>2218</v>
      </c>
      <c r="S6439" s="251"/>
    </row>
    <row r="6440" spans="1:19" s="162" customFormat="1" ht="120" x14ac:dyDescent="0.25">
      <c r="A6440" s="237">
        <v>42625</v>
      </c>
      <c r="B6440" s="237">
        <v>42625</v>
      </c>
      <c r="C6440" s="239">
        <v>2016</v>
      </c>
      <c r="D6440" s="35" t="s">
        <v>28</v>
      </c>
      <c r="E6440" s="267" t="s">
        <v>149</v>
      </c>
      <c r="F6440" s="28" t="s">
        <v>210</v>
      </c>
      <c r="G6440" s="238" t="s">
        <v>921</v>
      </c>
      <c r="H6440" s="238" t="s">
        <v>9140</v>
      </c>
      <c r="I6440" s="239">
        <v>0</v>
      </c>
      <c r="J6440" s="239">
        <v>3</v>
      </c>
      <c r="K6440" s="239">
        <v>0</v>
      </c>
      <c r="L6440" s="239">
        <v>0</v>
      </c>
      <c r="M6440" s="239">
        <v>0</v>
      </c>
      <c r="N6440" s="239">
        <v>0</v>
      </c>
      <c r="O6440" s="240">
        <v>0</v>
      </c>
      <c r="P6440" s="241">
        <v>0</v>
      </c>
      <c r="Q6440" s="239" t="s">
        <v>154</v>
      </c>
      <c r="S6440" s="242"/>
    </row>
    <row r="6441" spans="1:19" s="162" customFormat="1" ht="168" x14ac:dyDescent="0.25">
      <c r="A6441" s="237">
        <v>42632</v>
      </c>
      <c r="B6441" s="237">
        <v>42632</v>
      </c>
      <c r="C6441" s="239">
        <v>2016</v>
      </c>
      <c r="D6441" s="35" t="s">
        <v>28</v>
      </c>
      <c r="E6441" s="267" t="s">
        <v>149</v>
      </c>
      <c r="F6441" s="7" t="s">
        <v>77</v>
      </c>
      <c r="G6441" s="238" t="s">
        <v>9141</v>
      </c>
      <c r="H6441" s="238" t="s">
        <v>9142</v>
      </c>
      <c r="I6441" s="239">
        <v>0</v>
      </c>
      <c r="J6441" s="239">
        <v>452</v>
      </c>
      <c r="K6441" s="239">
        <v>0</v>
      </c>
      <c r="L6441" s="239">
        <v>0</v>
      </c>
      <c r="M6441" s="239">
        <v>0</v>
      </c>
      <c r="N6441" s="239">
        <v>0</v>
      </c>
      <c r="O6441" s="240">
        <v>0</v>
      </c>
      <c r="P6441" s="241">
        <v>0.1</v>
      </c>
      <c r="Q6441" s="239" t="s">
        <v>154</v>
      </c>
      <c r="S6441" s="242"/>
    </row>
    <row r="6442" spans="1:19" s="162" customFormat="1" ht="33.75" x14ac:dyDescent="0.25">
      <c r="A6442" s="245">
        <v>42370</v>
      </c>
      <c r="B6442" s="245">
        <v>42735</v>
      </c>
      <c r="C6442" s="266">
        <v>2016</v>
      </c>
      <c r="D6442" s="351" t="s">
        <v>23</v>
      </c>
      <c r="E6442" s="346" t="s">
        <v>327</v>
      </c>
      <c r="F6442" s="25" t="s">
        <v>781</v>
      </c>
      <c r="G6442" s="246" t="s">
        <v>26</v>
      </c>
      <c r="H6442" s="254" t="s">
        <v>9143</v>
      </c>
      <c r="I6442" s="247">
        <v>0</v>
      </c>
      <c r="J6442" s="248">
        <v>5</v>
      </c>
      <c r="K6442" s="247">
        <v>0</v>
      </c>
      <c r="L6442" s="247">
        <v>0</v>
      </c>
      <c r="M6442" s="247">
        <v>0</v>
      </c>
      <c r="N6442" s="247">
        <v>0</v>
      </c>
      <c r="O6442" s="249">
        <v>0</v>
      </c>
      <c r="P6442" s="250">
        <v>0</v>
      </c>
      <c r="Q6442" s="247" t="s">
        <v>2218</v>
      </c>
      <c r="S6442" s="251"/>
    </row>
    <row r="6443" spans="1:19" s="162" customFormat="1" ht="156" x14ac:dyDescent="0.25">
      <c r="A6443" s="237">
        <v>42637</v>
      </c>
      <c r="B6443" s="237">
        <v>42637</v>
      </c>
      <c r="C6443" s="239">
        <v>2016</v>
      </c>
      <c r="D6443" s="35" t="s">
        <v>28</v>
      </c>
      <c r="E6443" s="267" t="s">
        <v>149</v>
      </c>
      <c r="F6443" s="28" t="s">
        <v>210</v>
      </c>
      <c r="G6443" s="238" t="s">
        <v>210</v>
      </c>
      <c r="H6443" s="238" t="s">
        <v>9144</v>
      </c>
      <c r="I6443" s="239">
        <v>0</v>
      </c>
      <c r="J6443" s="239">
        <v>31</v>
      </c>
      <c r="K6443" s="239">
        <v>0</v>
      </c>
      <c r="L6443" s="239">
        <v>0</v>
      </c>
      <c r="M6443" s="239">
        <v>0</v>
      </c>
      <c r="N6443" s="239">
        <v>0</v>
      </c>
      <c r="O6443" s="240">
        <v>0</v>
      </c>
      <c r="P6443" s="241">
        <v>0</v>
      </c>
      <c r="Q6443" s="239" t="s">
        <v>154</v>
      </c>
      <c r="S6443" s="242"/>
    </row>
    <row r="6444" spans="1:19" s="162" customFormat="1" ht="33.75" x14ac:dyDescent="0.25">
      <c r="A6444" s="245">
        <v>42370</v>
      </c>
      <c r="B6444" s="245">
        <v>42735</v>
      </c>
      <c r="C6444" s="266">
        <v>2016</v>
      </c>
      <c r="D6444" s="351" t="s">
        <v>23</v>
      </c>
      <c r="E6444" s="346" t="s">
        <v>327</v>
      </c>
      <c r="F6444" s="7" t="s">
        <v>65</v>
      </c>
      <c r="G6444" s="246" t="s">
        <v>26</v>
      </c>
      <c r="H6444" s="254" t="s">
        <v>9145</v>
      </c>
      <c r="I6444" s="247">
        <v>0</v>
      </c>
      <c r="J6444" s="248">
        <v>4</v>
      </c>
      <c r="K6444" s="247">
        <v>0</v>
      </c>
      <c r="L6444" s="247">
        <v>0</v>
      </c>
      <c r="M6444" s="247">
        <v>0</v>
      </c>
      <c r="N6444" s="247">
        <v>0</v>
      </c>
      <c r="O6444" s="249">
        <v>0</v>
      </c>
      <c r="P6444" s="250">
        <v>0</v>
      </c>
      <c r="Q6444" s="247" t="s">
        <v>2218</v>
      </c>
      <c r="S6444" s="251"/>
    </row>
    <row r="6445" spans="1:19" s="162" customFormat="1" ht="108" x14ac:dyDescent="0.25">
      <c r="A6445" s="237">
        <v>42640</v>
      </c>
      <c r="B6445" s="237">
        <v>42640</v>
      </c>
      <c r="C6445" s="239">
        <v>2016</v>
      </c>
      <c r="D6445" s="35" t="s">
        <v>28</v>
      </c>
      <c r="E6445" s="267" t="s">
        <v>133</v>
      </c>
      <c r="F6445" s="7" t="s">
        <v>68</v>
      </c>
      <c r="G6445" s="238" t="s">
        <v>9146</v>
      </c>
      <c r="H6445" s="238" t="s">
        <v>9147</v>
      </c>
      <c r="I6445" s="239">
        <v>0</v>
      </c>
      <c r="J6445" s="239">
        <v>3</v>
      </c>
      <c r="K6445" s="239">
        <v>0</v>
      </c>
      <c r="L6445" s="239">
        <v>0</v>
      </c>
      <c r="M6445" s="239">
        <v>0</v>
      </c>
      <c r="N6445" s="239">
        <v>0</v>
      </c>
      <c r="O6445" s="240">
        <v>0</v>
      </c>
      <c r="P6445" s="241">
        <v>0.05</v>
      </c>
      <c r="Q6445" s="239" t="s">
        <v>154</v>
      </c>
      <c r="S6445" s="242"/>
    </row>
    <row r="6446" spans="1:19" s="162" customFormat="1" ht="22.5" x14ac:dyDescent="0.25">
      <c r="A6446" s="245">
        <v>42370</v>
      </c>
      <c r="B6446" s="245">
        <v>42735</v>
      </c>
      <c r="C6446" s="266">
        <v>2016</v>
      </c>
      <c r="D6446" s="351" t="s">
        <v>23</v>
      </c>
      <c r="E6446" s="346" t="s">
        <v>327</v>
      </c>
      <c r="F6446" s="7" t="s">
        <v>36</v>
      </c>
      <c r="G6446" s="246" t="s">
        <v>26</v>
      </c>
      <c r="H6446" s="254" t="s">
        <v>9148</v>
      </c>
      <c r="I6446" s="247">
        <v>0</v>
      </c>
      <c r="J6446" s="248">
        <v>3</v>
      </c>
      <c r="K6446" s="247">
        <v>0</v>
      </c>
      <c r="L6446" s="247">
        <v>0</v>
      </c>
      <c r="M6446" s="247">
        <v>0</v>
      </c>
      <c r="N6446" s="247">
        <v>0</v>
      </c>
      <c r="O6446" s="249">
        <v>0</v>
      </c>
      <c r="P6446" s="250">
        <v>0</v>
      </c>
      <c r="Q6446" s="247" t="s">
        <v>2218</v>
      </c>
      <c r="S6446" s="251"/>
    </row>
    <row r="6447" spans="1:19" s="162" customFormat="1" ht="108" x14ac:dyDescent="0.25">
      <c r="A6447" s="237">
        <v>42641</v>
      </c>
      <c r="B6447" s="237">
        <v>42641</v>
      </c>
      <c r="C6447" s="239">
        <v>2016</v>
      </c>
      <c r="D6447" s="35" t="s">
        <v>28</v>
      </c>
      <c r="E6447" s="267" t="s">
        <v>149</v>
      </c>
      <c r="F6447" s="7" t="s">
        <v>87</v>
      </c>
      <c r="G6447" s="238" t="s">
        <v>4751</v>
      </c>
      <c r="H6447" s="238" t="s">
        <v>9149</v>
      </c>
      <c r="I6447" s="239">
        <v>0</v>
      </c>
      <c r="J6447" s="239">
        <v>449</v>
      </c>
      <c r="K6447" s="239">
        <v>0</v>
      </c>
      <c r="L6447" s="239">
        <v>0</v>
      </c>
      <c r="M6447" s="239">
        <v>0</v>
      </c>
      <c r="N6447" s="239">
        <v>0</v>
      </c>
      <c r="O6447" s="240">
        <v>0</v>
      </c>
      <c r="P6447" s="241">
        <v>0.05</v>
      </c>
      <c r="Q6447" s="239" t="s">
        <v>154</v>
      </c>
      <c r="S6447" s="242"/>
    </row>
    <row r="6448" spans="1:19" s="162" customFormat="1" ht="22.5" x14ac:dyDescent="0.25">
      <c r="A6448" s="245">
        <v>42370</v>
      </c>
      <c r="B6448" s="245">
        <v>42735</v>
      </c>
      <c r="C6448" s="266">
        <v>2016</v>
      </c>
      <c r="D6448" s="351" t="s">
        <v>23</v>
      </c>
      <c r="E6448" s="346" t="s">
        <v>327</v>
      </c>
      <c r="F6448" s="7" t="s">
        <v>62</v>
      </c>
      <c r="G6448" s="246" t="s">
        <v>26</v>
      </c>
      <c r="H6448" s="254" t="s">
        <v>9150</v>
      </c>
      <c r="I6448" s="247">
        <v>0</v>
      </c>
      <c r="J6448" s="248">
        <v>2</v>
      </c>
      <c r="K6448" s="247">
        <v>0</v>
      </c>
      <c r="L6448" s="247">
        <v>0</v>
      </c>
      <c r="M6448" s="247">
        <v>0</v>
      </c>
      <c r="N6448" s="247">
        <v>0</v>
      </c>
      <c r="O6448" s="249">
        <v>0</v>
      </c>
      <c r="P6448" s="250">
        <v>0</v>
      </c>
      <c r="Q6448" s="247" t="s">
        <v>2218</v>
      </c>
      <c r="S6448" s="251"/>
    </row>
    <row r="6449" spans="1:19" s="162" customFormat="1" ht="22.5" x14ac:dyDescent="0.25">
      <c r="A6449" s="245">
        <v>42370</v>
      </c>
      <c r="B6449" s="245">
        <v>42735</v>
      </c>
      <c r="C6449" s="266">
        <v>2016</v>
      </c>
      <c r="D6449" s="351" t="s">
        <v>23</v>
      </c>
      <c r="E6449" s="346" t="s">
        <v>327</v>
      </c>
      <c r="F6449" s="7" t="s">
        <v>67</v>
      </c>
      <c r="G6449" s="246" t="s">
        <v>26</v>
      </c>
      <c r="H6449" s="254" t="s">
        <v>9151</v>
      </c>
      <c r="I6449" s="247">
        <v>0</v>
      </c>
      <c r="J6449" s="248">
        <v>1</v>
      </c>
      <c r="K6449" s="247">
        <v>0</v>
      </c>
      <c r="L6449" s="247">
        <v>0</v>
      </c>
      <c r="M6449" s="247">
        <v>0</v>
      </c>
      <c r="N6449" s="247">
        <v>0</v>
      </c>
      <c r="O6449" s="249">
        <v>0</v>
      </c>
      <c r="P6449" s="250">
        <v>0</v>
      </c>
      <c r="Q6449" s="247" t="s">
        <v>2218</v>
      </c>
      <c r="S6449" s="251"/>
    </row>
    <row r="6450" spans="1:19" s="162" customFormat="1" ht="84" x14ac:dyDescent="0.25">
      <c r="A6450" s="237">
        <v>42660</v>
      </c>
      <c r="B6450" s="237">
        <v>42660</v>
      </c>
      <c r="C6450" s="239">
        <v>2016</v>
      </c>
      <c r="D6450" s="24" t="s">
        <v>141</v>
      </c>
      <c r="E6450" s="30" t="s">
        <v>142</v>
      </c>
      <c r="F6450" s="7" t="s">
        <v>97</v>
      </c>
      <c r="G6450" s="238" t="s">
        <v>2633</v>
      </c>
      <c r="H6450" s="238" t="s">
        <v>9152</v>
      </c>
      <c r="I6450" s="239">
        <v>0</v>
      </c>
      <c r="J6450" s="239">
        <v>0</v>
      </c>
      <c r="K6450" s="239">
        <v>0</v>
      </c>
      <c r="L6450" s="239">
        <v>0</v>
      </c>
      <c r="M6450" s="239">
        <v>0</v>
      </c>
      <c r="N6450" s="239">
        <v>0</v>
      </c>
      <c r="O6450" s="240">
        <v>0</v>
      </c>
      <c r="P6450" s="241">
        <v>0</v>
      </c>
      <c r="Q6450" s="239" t="s">
        <v>154</v>
      </c>
      <c r="S6450" s="242"/>
    </row>
    <row r="6451" spans="1:19" s="162" customFormat="1" ht="108" x14ac:dyDescent="0.25">
      <c r="A6451" s="237">
        <v>42664</v>
      </c>
      <c r="B6451" s="237">
        <v>42664</v>
      </c>
      <c r="C6451" s="239">
        <v>2016</v>
      </c>
      <c r="D6451" s="35" t="s">
        <v>28</v>
      </c>
      <c r="E6451" s="347" t="s">
        <v>125</v>
      </c>
      <c r="F6451" s="7" t="s">
        <v>84</v>
      </c>
      <c r="G6451" s="238" t="s">
        <v>4988</v>
      </c>
      <c r="H6451" s="238" t="s">
        <v>9153</v>
      </c>
      <c r="I6451" s="239">
        <v>0</v>
      </c>
      <c r="J6451" s="239">
        <v>479</v>
      </c>
      <c r="K6451" s="239">
        <v>0</v>
      </c>
      <c r="L6451" s="239">
        <v>0</v>
      </c>
      <c r="M6451" s="239">
        <v>0</v>
      </c>
      <c r="N6451" s="239">
        <v>0</v>
      </c>
      <c r="O6451" s="240">
        <v>0</v>
      </c>
      <c r="P6451" s="241">
        <v>0</v>
      </c>
      <c r="Q6451" s="239" t="s">
        <v>154</v>
      </c>
      <c r="S6451" s="242"/>
    </row>
    <row r="6452" spans="1:19" s="162" customFormat="1" ht="204" x14ac:dyDescent="0.25">
      <c r="A6452" s="237">
        <v>42664</v>
      </c>
      <c r="B6452" s="237">
        <v>42664</v>
      </c>
      <c r="C6452" s="239">
        <v>2016</v>
      </c>
      <c r="D6452" s="35" t="s">
        <v>28</v>
      </c>
      <c r="E6452" s="267" t="s">
        <v>149</v>
      </c>
      <c r="F6452" s="7" t="s">
        <v>91</v>
      </c>
      <c r="G6452" s="238" t="s">
        <v>2315</v>
      </c>
      <c r="H6452" s="238" t="s">
        <v>9154</v>
      </c>
      <c r="I6452" s="239">
        <v>0</v>
      </c>
      <c r="J6452" s="239">
        <v>466</v>
      </c>
      <c r="K6452" s="239">
        <v>0</v>
      </c>
      <c r="L6452" s="239">
        <v>0</v>
      </c>
      <c r="M6452" s="239">
        <v>0</v>
      </c>
      <c r="N6452" s="239">
        <v>0</v>
      </c>
      <c r="O6452" s="240">
        <v>0</v>
      </c>
      <c r="P6452" s="241">
        <v>0.1</v>
      </c>
      <c r="Q6452" s="239" t="s">
        <v>154</v>
      </c>
      <c r="S6452" s="242"/>
    </row>
    <row r="6453" spans="1:19" s="162" customFormat="1" ht="168" x14ac:dyDescent="0.25">
      <c r="A6453" s="237">
        <v>42664</v>
      </c>
      <c r="B6453" s="237">
        <v>42664</v>
      </c>
      <c r="C6453" s="239">
        <v>2016</v>
      </c>
      <c r="D6453" s="35" t="s">
        <v>28</v>
      </c>
      <c r="E6453" s="347" t="s">
        <v>125</v>
      </c>
      <c r="F6453" s="7" t="s">
        <v>56</v>
      </c>
      <c r="G6453" s="238" t="s">
        <v>351</v>
      </c>
      <c r="H6453" s="238" t="s">
        <v>9155</v>
      </c>
      <c r="I6453" s="239">
        <v>0</v>
      </c>
      <c r="J6453" s="239">
        <v>617</v>
      </c>
      <c r="K6453" s="239">
        <v>0</v>
      </c>
      <c r="L6453" s="239">
        <v>0</v>
      </c>
      <c r="M6453" s="239">
        <v>0</v>
      </c>
      <c r="N6453" s="239">
        <v>0</v>
      </c>
      <c r="O6453" s="240">
        <v>0</v>
      </c>
      <c r="P6453" s="241">
        <v>0</v>
      </c>
      <c r="Q6453" s="239" t="s">
        <v>154</v>
      </c>
      <c r="S6453" s="242"/>
    </row>
    <row r="6454" spans="1:19" s="162" customFormat="1" ht="84" x14ac:dyDescent="0.25">
      <c r="A6454" s="237">
        <v>42671</v>
      </c>
      <c r="B6454" s="237">
        <v>42671</v>
      </c>
      <c r="C6454" s="239">
        <v>2016</v>
      </c>
      <c r="D6454" s="24" t="s">
        <v>141</v>
      </c>
      <c r="E6454" s="30" t="s">
        <v>142</v>
      </c>
      <c r="F6454" s="7" t="s">
        <v>91</v>
      </c>
      <c r="G6454" s="238" t="s">
        <v>1003</v>
      </c>
      <c r="H6454" s="238" t="s">
        <v>9156</v>
      </c>
      <c r="I6454" s="239">
        <v>0</v>
      </c>
      <c r="J6454" s="239">
        <v>0</v>
      </c>
      <c r="K6454" s="239">
        <v>0</v>
      </c>
      <c r="L6454" s="239">
        <v>0</v>
      </c>
      <c r="M6454" s="239">
        <v>0</v>
      </c>
      <c r="N6454" s="239">
        <v>0</v>
      </c>
      <c r="O6454" s="240">
        <v>0</v>
      </c>
      <c r="P6454" s="241">
        <v>0</v>
      </c>
      <c r="Q6454" s="239" t="s">
        <v>154</v>
      </c>
      <c r="S6454" s="242"/>
    </row>
    <row r="6455" spans="1:19" s="162" customFormat="1" ht="22.5" x14ac:dyDescent="0.25">
      <c r="A6455" s="245">
        <v>42370</v>
      </c>
      <c r="B6455" s="245">
        <v>42735</v>
      </c>
      <c r="C6455" s="266">
        <v>2016</v>
      </c>
      <c r="D6455" s="351" t="s">
        <v>23</v>
      </c>
      <c r="E6455" s="346" t="s">
        <v>327</v>
      </c>
      <c r="F6455" s="7" t="s">
        <v>47</v>
      </c>
      <c r="G6455" s="246" t="s">
        <v>26</v>
      </c>
      <c r="H6455" s="254" t="s">
        <v>9151</v>
      </c>
      <c r="I6455" s="247">
        <v>0</v>
      </c>
      <c r="J6455" s="248">
        <v>1</v>
      </c>
      <c r="K6455" s="247">
        <v>0</v>
      </c>
      <c r="L6455" s="247">
        <v>0</v>
      </c>
      <c r="M6455" s="247">
        <v>0</v>
      </c>
      <c r="N6455" s="247">
        <v>0</v>
      </c>
      <c r="O6455" s="249">
        <v>0</v>
      </c>
      <c r="P6455" s="250">
        <v>0</v>
      </c>
      <c r="Q6455" s="247" t="s">
        <v>2218</v>
      </c>
      <c r="S6455" s="251"/>
    </row>
    <row r="6456" spans="1:19" s="162" customFormat="1" ht="300" x14ac:dyDescent="0.25">
      <c r="A6456" s="237">
        <v>42675</v>
      </c>
      <c r="B6456" s="237">
        <v>42675</v>
      </c>
      <c r="C6456" s="239">
        <v>2016</v>
      </c>
      <c r="D6456" s="35" t="s">
        <v>28</v>
      </c>
      <c r="E6456" s="267" t="s">
        <v>369</v>
      </c>
      <c r="F6456" s="7" t="s">
        <v>72</v>
      </c>
      <c r="G6456" s="238" t="s">
        <v>9157</v>
      </c>
      <c r="H6456" s="238" t="s">
        <v>9158</v>
      </c>
      <c r="I6456" s="239">
        <v>0</v>
      </c>
      <c r="J6456" s="239">
        <v>137</v>
      </c>
      <c r="K6456" s="239">
        <v>50</v>
      </c>
      <c r="L6456" s="239">
        <v>0</v>
      </c>
      <c r="M6456" s="239">
        <v>0</v>
      </c>
      <c r="N6456" s="239">
        <v>0</v>
      </c>
      <c r="O6456" s="240">
        <v>0</v>
      </c>
      <c r="P6456" s="241">
        <v>0</v>
      </c>
      <c r="Q6456" s="239" t="s">
        <v>154</v>
      </c>
      <c r="S6456" s="242"/>
    </row>
    <row r="6457" spans="1:19" s="162" customFormat="1" ht="60" x14ac:dyDescent="0.25">
      <c r="A6457" s="237">
        <v>42376</v>
      </c>
      <c r="B6457" s="237">
        <v>42378</v>
      </c>
      <c r="C6457" s="268">
        <v>2016</v>
      </c>
      <c r="D6457" s="351" t="s">
        <v>23</v>
      </c>
      <c r="E6457" s="267" t="s">
        <v>1565</v>
      </c>
      <c r="F6457" s="7" t="s">
        <v>40</v>
      </c>
      <c r="G6457" s="238" t="s">
        <v>9159</v>
      </c>
      <c r="H6457" s="259" t="s">
        <v>9160</v>
      </c>
      <c r="I6457" s="239">
        <v>0</v>
      </c>
      <c r="J6457" s="252">
        <v>15684</v>
      </c>
      <c r="K6457" s="239">
        <v>0</v>
      </c>
      <c r="L6457" s="239">
        <v>0</v>
      </c>
      <c r="M6457" s="239">
        <v>0</v>
      </c>
      <c r="N6457" s="239">
        <v>0</v>
      </c>
      <c r="O6457" s="240">
        <v>0</v>
      </c>
      <c r="P6457" s="260">
        <v>8.144247</v>
      </c>
      <c r="Q6457" s="239" t="s">
        <v>9161</v>
      </c>
      <c r="S6457" s="242"/>
    </row>
    <row r="6458" spans="1:19" s="162" customFormat="1" ht="36" x14ac:dyDescent="0.25">
      <c r="A6458" s="237">
        <v>42377</v>
      </c>
      <c r="B6458" s="237">
        <v>42379</v>
      </c>
      <c r="C6458" s="268">
        <v>2016</v>
      </c>
      <c r="D6458" s="351" t="s">
        <v>23</v>
      </c>
      <c r="E6458" s="267" t="s">
        <v>1565</v>
      </c>
      <c r="F6458" s="7" t="s">
        <v>40</v>
      </c>
      <c r="G6458" s="238" t="s">
        <v>9162</v>
      </c>
      <c r="H6458" s="259" t="s">
        <v>9160</v>
      </c>
      <c r="I6458" s="239">
        <v>0</v>
      </c>
      <c r="J6458" s="252">
        <v>12432</v>
      </c>
      <c r="K6458" s="239">
        <v>0</v>
      </c>
      <c r="L6458" s="239">
        <v>0</v>
      </c>
      <c r="M6458" s="239">
        <v>0</v>
      </c>
      <c r="N6458" s="239">
        <v>0</v>
      </c>
      <c r="O6458" s="240">
        <v>0</v>
      </c>
      <c r="P6458" s="260">
        <v>5.2383459999999999</v>
      </c>
      <c r="Q6458" s="239" t="s">
        <v>9161</v>
      </c>
      <c r="S6458" s="242"/>
    </row>
    <row r="6459" spans="1:19" s="162" customFormat="1" ht="24" x14ac:dyDescent="0.25">
      <c r="A6459" s="237">
        <v>42384</v>
      </c>
      <c r="B6459" s="237">
        <v>42388</v>
      </c>
      <c r="C6459" s="268">
        <v>2016</v>
      </c>
      <c r="D6459" s="351" t="s">
        <v>23</v>
      </c>
      <c r="E6459" s="30" t="s">
        <v>2689</v>
      </c>
      <c r="F6459" s="7" t="s">
        <v>101</v>
      </c>
      <c r="G6459" s="238" t="s">
        <v>9163</v>
      </c>
      <c r="H6459" s="259" t="s">
        <v>9164</v>
      </c>
      <c r="I6459" s="239">
        <v>0</v>
      </c>
      <c r="J6459" s="252">
        <v>30500</v>
      </c>
      <c r="K6459" s="239">
        <v>0</v>
      </c>
      <c r="L6459" s="239">
        <v>0</v>
      </c>
      <c r="M6459" s="239">
        <v>0</v>
      </c>
      <c r="N6459" s="239">
        <v>0</v>
      </c>
      <c r="O6459" s="240">
        <v>0</v>
      </c>
      <c r="P6459" s="260">
        <v>4.7039350000000004</v>
      </c>
      <c r="Q6459" s="239" t="s">
        <v>9161</v>
      </c>
      <c r="S6459" s="242"/>
    </row>
    <row r="6460" spans="1:19" s="162" customFormat="1" ht="144" x14ac:dyDescent="0.25">
      <c r="A6460" s="237">
        <v>42705</v>
      </c>
      <c r="B6460" s="237">
        <v>42705</v>
      </c>
      <c r="C6460" s="239">
        <v>2016</v>
      </c>
      <c r="D6460" s="35" t="s">
        <v>28</v>
      </c>
      <c r="E6460" s="267" t="s">
        <v>369</v>
      </c>
      <c r="F6460" s="7" t="s">
        <v>87</v>
      </c>
      <c r="G6460" s="238" t="s">
        <v>4751</v>
      </c>
      <c r="H6460" s="238" t="s">
        <v>9165</v>
      </c>
      <c r="I6460" s="239">
        <v>0</v>
      </c>
      <c r="J6460" s="239">
        <v>11</v>
      </c>
      <c r="K6460" s="239">
        <v>0</v>
      </c>
      <c r="L6460" s="239">
        <v>0</v>
      </c>
      <c r="M6460" s="239">
        <v>0</v>
      </c>
      <c r="N6460" s="239">
        <v>0</v>
      </c>
      <c r="O6460" s="240">
        <v>0</v>
      </c>
      <c r="P6460" s="241">
        <v>0</v>
      </c>
      <c r="Q6460" s="239" t="s">
        <v>154</v>
      </c>
      <c r="S6460" s="242"/>
    </row>
    <row r="6461" spans="1:19" s="162" customFormat="1" ht="48" x14ac:dyDescent="0.25">
      <c r="A6461" s="237">
        <v>42394</v>
      </c>
      <c r="B6461" s="237">
        <v>42397</v>
      </c>
      <c r="C6461" s="268">
        <v>2016</v>
      </c>
      <c r="D6461" s="351" t="s">
        <v>23</v>
      </c>
      <c r="E6461" s="30" t="s">
        <v>2689</v>
      </c>
      <c r="F6461" s="7" t="s">
        <v>25</v>
      </c>
      <c r="G6461" s="238" t="s">
        <v>9166</v>
      </c>
      <c r="H6461" s="259" t="s">
        <v>9164</v>
      </c>
      <c r="I6461" s="239">
        <v>0</v>
      </c>
      <c r="J6461" s="252">
        <v>1830</v>
      </c>
      <c r="K6461" s="239">
        <v>0</v>
      </c>
      <c r="L6461" s="239">
        <v>0</v>
      </c>
      <c r="M6461" s="239">
        <v>0</v>
      </c>
      <c r="N6461" s="239">
        <v>0</v>
      </c>
      <c r="O6461" s="240">
        <v>0</v>
      </c>
      <c r="P6461" s="260">
        <v>0.62527699999999997</v>
      </c>
      <c r="Q6461" s="239" t="s">
        <v>9161</v>
      </c>
      <c r="R6461" s="242"/>
      <c r="S6461" s="242"/>
    </row>
    <row r="6462" spans="1:19" s="162" customFormat="1" ht="168" x14ac:dyDescent="0.25">
      <c r="A6462" s="237">
        <v>42734</v>
      </c>
      <c r="B6462" s="237">
        <v>42734</v>
      </c>
      <c r="C6462" s="239">
        <v>2016</v>
      </c>
      <c r="D6462" s="24" t="s">
        <v>141</v>
      </c>
      <c r="E6462" s="30" t="s">
        <v>142</v>
      </c>
      <c r="F6462" s="7" t="s">
        <v>30</v>
      </c>
      <c r="G6462" s="238" t="s">
        <v>3656</v>
      </c>
      <c r="H6462" s="238" t="s">
        <v>9167</v>
      </c>
      <c r="I6462" s="239">
        <v>0</v>
      </c>
      <c r="J6462" s="239">
        <v>22</v>
      </c>
      <c r="K6462" s="239">
        <v>0</v>
      </c>
      <c r="L6462" s="239">
        <v>0</v>
      </c>
      <c r="M6462" s="239">
        <v>0</v>
      </c>
      <c r="N6462" s="239">
        <v>0</v>
      </c>
      <c r="O6462" s="240">
        <v>0</v>
      </c>
      <c r="P6462" s="241">
        <v>0</v>
      </c>
      <c r="Q6462" s="239" t="s">
        <v>154</v>
      </c>
      <c r="R6462" s="242"/>
      <c r="S6462" s="242"/>
    </row>
    <row r="6463" spans="1:19" s="162" customFormat="1" ht="24" x14ac:dyDescent="0.25">
      <c r="A6463" s="237">
        <v>42394</v>
      </c>
      <c r="B6463" s="237">
        <v>42407</v>
      </c>
      <c r="C6463" s="268">
        <v>2016</v>
      </c>
      <c r="D6463" s="351" t="s">
        <v>23</v>
      </c>
      <c r="E6463" s="30" t="s">
        <v>2689</v>
      </c>
      <c r="F6463" s="7" t="s">
        <v>30</v>
      </c>
      <c r="G6463" s="238" t="s">
        <v>1070</v>
      </c>
      <c r="H6463" s="259" t="s">
        <v>9164</v>
      </c>
      <c r="I6463" s="239">
        <v>0</v>
      </c>
      <c r="J6463" s="252">
        <v>10118</v>
      </c>
      <c r="K6463" s="239">
        <v>0</v>
      </c>
      <c r="L6463" s="239">
        <v>0</v>
      </c>
      <c r="M6463" s="239">
        <v>0</v>
      </c>
      <c r="N6463" s="239">
        <v>0</v>
      </c>
      <c r="O6463" s="240">
        <v>0</v>
      </c>
      <c r="P6463" s="260">
        <v>3.4577010000000001</v>
      </c>
      <c r="Q6463" s="239" t="s">
        <v>9161</v>
      </c>
      <c r="R6463" s="242"/>
      <c r="S6463" s="242"/>
    </row>
    <row r="6464" spans="1:19" s="162" customFormat="1" ht="24" x14ac:dyDescent="0.25">
      <c r="A6464" s="237">
        <v>42394</v>
      </c>
      <c r="B6464" s="237">
        <v>42397</v>
      </c>
      <c r="C6464" s="268">
        <v>2016</v>
      </c>
      <c r="D6464" s="351" t="s">
        <v>23</v>
      </c>
      <c r="E6464" s="30" t="s">
        <v>2689</v>
      </c>
      <c r="F6464" s="7" t="s">
        <v>33</v>
      </c>
      <c r="G6464" s="238" t="s">
        <v>9168</v>
      </c>
      <c r="H6464" s="259" t="s">
        <v>9164</v>
      </c>
      <c r="I6464" s="239">
        <v>0</v>
      </c>
      <c r="J6464" s="252">
        <v>59114</v>
      </c>
      <c r="K6464" s="239">
        <v>0</v>
      </c>
      <c r="L6464" s="239">
        <v>0</v>
      </c>
      <c r="M6464" s="239">
        <v>0</v>
      </c>
      <c r="N6464" s="239">
        <v>0</v>
      </c>
      <c r="O6464" s="240">
        <v>0</v>
      </c>
      <c r="P6464" s="260">
        <v>2.2567200000000001</v>
      </c>
      <c r="Q6464" s="239" t="s">
        <v>9161</v>
      </c>
      <c r="R6464" s="242"/>
      <c r="S6464" s="242"/>
    </row>
    <row r="6465" spans="1:19" s="162" customFormat="1" ht="48" x14ac:dyDescent="0.25">
      <c r="A6465" s="237">
        <v>42394</v>
      </c>
      <c r="B6465" s="237">
        <v>42397</v>
      </c>
      <c r="C6465" s="268">
        <v>2016</v>
      </c>
      <c r="D6465" s="351" t="s">
        <v>23</v>
      </c>
      <c r="E6465" s="30" t="s">
        <v>2689</v>
      </c>
      <c r="F6465" s="7" t="s">
        <v>36</v>
      </c>
      <c r="G6465" s="238" t="s">
        <v>9169</v>
      </c>
      <c r="H6465" s="259" t="s">
        <v>9164</v>
      </c>
      <c r="I6465" s="239">
        <v>0</v>
      </c>
      <c r="J6465" s="252">
        <v>18480</v>
      </c>
      <c r="K6465" s="239">
        <v>0</v>
      </c>
      <c r="L6465" s="239">
        <v>0</v>
      </c>
      <c r="M6465" s="239">
        <v>0</v>
      </c>
      <c r="N6465" s="239">
        <v>0</v>
      </c>
      <c r="O6465" s="240">
        <v>0</v>
      </c>
      <c r="P6465" s="260">
        <v>6.3155400000000004</v>
      </c>
      <c r="Q6465" s="239" t="s">
        <v>9161</v>
      </c>
      <c r="R6465" s="242"/>
      <c r="S6465" s="242"/>
    </row>
    <row r="6466" spans="1:19" s="162" customFormat="1" ht="120" x14ac:dyDescent="0.25">
      <c r="A6466" s="237">
        <v>42394</v>
      </c>
      <c r="B6466" s="237">
        <v>42397</v>
      </c>
      <c r="C6466" s="268">
        <v>2016</v>
      </c>
      <c r="D6466" s="351" t="s">
        <v>23</v>
      </c>
      <c r="E6466" s="30" t="s">
        <v>2689</v>
      </c>
      <c r="F6466" s="7" t="s">
        <v>45</v>
      </c>
      <c r="G6466" s="238" t="s">
        <v>9170</v>
      </c>
      <c r="H6466" s="259" t="s">
        <v>9164</v>
      </c>
      <c r="I6466" s="239">
        <v>0</v>
      </c>
      <c r="J6466" s="252">
        <v>35462</v>
      </c>
      <c r="K6466" s="239">
        <v>0</v>
      </c>
      <c r="L6466" s="239">
        <v>0</v>
      </c>
      <c r="M6466" s="239">
        <v>0</v>
      </c>
      <c r="N6466" s="239">
        <v>0</v>
      </c>
      <c r="O6466" s="240">
        <v>0</v>
      </c>
      <c r="P6466" s="260">
        <v>12.119013000000001</v>
      </c>
      <c r="Q6466" s="239" t="s">
        <v>9161</v>
      </c>
      <c r="R6466" s="242"/>
      <c r="S6466" s="242"/>
    </row>
    <row r="6467" spans="1:19" s="162" customFormat="1" ht="180" x14ac:dyDescent="0.25">
      <c r="A6467" s="237">
        <v>42394</v>
      </c>
      <c r="B6467" s="237">
        <v>42397</v>
      </c>
      <c r="C6467" s="268">
        <v>2016</v>
      </c>
      <c r="D6467" s="351" t="s">
        <v>23</v>
      </c>
      <c r="E6467" s="30" t="s">
        <v>2689</v>
      </c>
      <c r="F6467" s="7" t="s">
        <v>49</v>
      </c>
      <c r="G6467" s="238" t="s">
        <v>9171</v>
      </c>
      <c r="H6467" s="259" t="s">
        <v>9164</v>
      </c>
      <c r="I6467" s="239">
        <v>0</v>
      </c>
      <c r="J6467" s="252">
        <v>36039</v>
      </c>
      <c r="K6467" s="239">
        <v>0</v>
      </c>
      <c r="L6467" s="239">
        <v>0</v>
      </c>
      <c r="M6467" s="239">
        <v>0</v>
      </c>
      <c r="N6467" s="239">
        <v>0</v>
      </c>
      <c r="O6467" s="240">
        <v>0</v>
      </c>
      <c r="P6467" s="260">
        <v>12.316140000000001</v>
      </c>
      <c r="Q6467" s="239" t="s">
        <v>9161</v>
      </c>
      <c r="R6467" s="242"/>
      <c r="S6467" s="242"/>
    </row>
    <row r="6468" spans="1:19" s="162" customFormat="1" ht="60" x14ac:dyDescent="0.25">
      <c r="A6468" s="237">
        <v>42394</v>
      </c>
      <c r="B6468" s="237">
        <v>42397</v>
      </c>
      <c r="C6468" s="268">
        <v>2016</v>
      </c>
      <c r="D6468" s="351" t="s">
        <v>23</v>
      </c>
      <c r="E6468" s="30" t="s">
        <v>2689</v>
      </c>
      <c r="F6468" s="7" t="s">
        <v>56</v>
      </c>
      <c r="G6468" s="255" t="s">
        <v>9172</v>
      </c>
      <c r="H6468" s="259" t="s">
        <v>9164</v>
      </c>
      <c r="I6468" s="239">
        <v>0</v>
      </c>
      <c r="J6468" s="252">
        <v>2738</v>
      </c>
      <c r="K6468" s="239">
        <v>0</v>
      </c>
      <c r="L6468" s="239">
        <v>0</v>
      </c>
      <c r="M6468" s="239">
        <v>0</v>
      </c>
      <c r="N6468" s="239">
        <v>0</v>
      </c>
      <c r="O6468" s="240">
        <v>0</v>
      </c>
      <c r="P6468" s="260">
        <v>3.7428460000000001</v>
      </c>
      <c r="Q6468" s="239" t="s">
        <v>9161</v>
      </c>
      <c r="R6468" s="242"/>
      <c r="S6468" s="242"/>
    </row>
    <row r="6469" spans="1:19" s="162" customFormat="1" ht="240" x14ac:dyDescent="0.25">
      <c r="A6469" s="237">
        <v>42394</v>
      </c>
      <c r="B6469" s="237">
        <v>42397</v>
      </c>
      <c r="C6469" s="268">
        <v>2016</v>
      </c>
      <c r="D6469" s="351" t="s">
        <v>23</v>
      </c>
      <c r="E6469" s="30" t="s">
        <v>2689</v>
      </c>
      <c r="F6469" s="28" t="s">
        <v>160</v>
      </c>
      <c r="G6469" s="238" t="s">
        <v>9173</v>
      </c>
      <c r="H6469" s="239" t="s">
        <v>9164</v>
      </c>
      <c r="I6469" s="239">
        <v>0</v>
      </c>
      <c r="J6469" s="252">
        <v>15164</v>
      </c>
      <c r="K6469" s="239">
        <v>0</v>
      </c>
      <c r="L6469" s="239">
        <v>0</v>
      </c>
      <c r="M6469" s="239">
        <v>0</v>
      </c>
      <c r="N6469" s="239">
        <v>0</v>
      </c>
      <c r="O6469" s="240">
        <v>0</v>
      </c>
      <c r="P6469" s="260">
        <v>5.1822970000000002</v>
      </c>
      <c r="Q6469" s="239" t="s">
        <v>9161</v>
      </c>
      <c r="R6469" s="242"/>
      <c r="S6469" s="242"/>
    </row>
    <row r="6470" spans="1:19" s="162" customFormat="1" ht="156" x14ac:dyDescent="0.25">
      <c r="A6470" s="237">
        <v>42394</v>
      </c>
      <c r="B6470" s="237">
        <v>42397</v>
      </c>
      <c r="C6470" s="268">
        <v>2016</v>
      </c>
      <c r="D6470" s="351" t="s">
        <v>23</v>
      </c>
      <c r="E6470" s="30" t="s">
        <v>2689</v>
      </c>
      <c r="F6470" s="7" t="s">
        <v>60</v>
      </c>
      <c r="G6470" s="238" t="s">
        <v>9174</v>
      </c>
      <c r="H6470" s="259" t="s">
        <v>9164</v>
      </c>
      <c r="I6470" s="239">
        <v>0</v>
      </c>
      <c r="J6470" s="252">
        <v>11939</v>
      </c>
      <c r="K6470" s="239">
        <v>0</v>
      </c>
      <c r="L6470" s="239">
        <v>0</v>
      </c>
      <c r="M6470" s="239">
        <v>0</v>
      </c>
      <c r="N6470" s="239">
        <v>0</v>
      </c>
      <c r="O6470" s="240">
        <v>0</v>
      </c>
      <c r="P6470" s="260">
        <v>4.0799649999999996</v>
      </c>
      <c r="Q6470" s="239" t="s">
        <v>9161</v>
      </c>
      <c r="R6470" s="242"/>
      <c r="S6470" s="242"/>
    </row>
    <row r="6471" spans="1:19" s="162" customFormat="1" ht="144" x14ac:dyDescent="0.25">
      <c r="A6471" s="237">
        <v>42394</v>
      </c>
      <c r="B6471" s="237">
        <v>42397</v>
      </c>
      <c r="C6471" s="268">
        <v>2016</v>
      </c>
      <c r="D6471" s="351" t="s">
        <v>23</v>
      </c>
      <c r="E6471" s="30" t="s">
        <v>2689</v>
      </c>
      <c r="F6471" s="7" t="s">
        <v>53</v>
      </c>
      <c r="G6471" s="238" t="s">
        <v>9175</v>
      </c>
      <c r="H6471" s="259" t="s">
        <v>9164</v>
      </c>
      <c r="I6471" s="239">
        <v>0</v>
      </c>
      <c r="J6471" s="252">
        <v>96621</v>
      </c>
      <c r="K6471" s="239">
        <v>0</v>
      </c>
      <c r="L6471" s="239">
        <v>0</v>
      </c>
      <c r="M6471" s="239">
        <v>0</v>
      </c>
      <c r="N6471" s="239">
        <v>0</v>
      </c>
      <c r="O6471" s="240">
        <v>0</v>
      </c>
      <c r="P6471" s="260">
        <v>33.020164000000001</v>
      </c>
      <c r="Q6471" s="239" t="s">
        <v>9161</v>
      </c>
      <c r="R6471" s="242"/>
      <c r="S6471" s="242"/>
    </row>
    <row r="6472" spans="1:19" s="162" customFormat="1" ht="24" x14ac:dyDescent="0.25">
      <c r="A6472" s="237">
        <v>42394</v>
      </c>
      <c r="B6472" s="237">
        <v>42397</v>
      </c>
      <c r="C6472" s="268">
        <v>2016</v>
      </c>
      <c r="D6472" s="351" t="s">
        <v>23</v>
      </c>
      <c r="E6472" s="30" t="s">
        <v>2689</v>
      </c>
      <c r="F6472" s="7" t="s">
        <v>62</v>
      </c>
      <c r="G6472" s="238" t="s">
        <v>9176</v>
      </c>
      <c r="H6472" s="259" t="s">
        <v>9164</v>
      </c>
      <c r="I6472" s="239">
        <v>0</v>
      </c>
      <c r="J6472" s="252">
        <v>12453</v>
      </c>
      <c r="K6472" s="239">
        <v>0</v>
      </c>
      <c r="L6472" s="239">
        <v>0</v>
      </c>
      <c r="M6472" s="239">
        <v>0</v>
      </c>
      <c r="N6472" s="239">
        <v>0</v>
      </c>
      <c r="O6472" s="240">
        <v>0</v>
      </c>
      <c r="P6472" s="260">
        <v>4.2557499999999999</v>
      </c>
      <c r="Q6472" s="239" t="s">
        <v>9161</v>
      </c>
      <c r="R6472" s="242"/>
      <c r="S6472" s="242"/>
    </row>
    <row r="6473" spans="1:19" s="162" customFormat="1" ht="132" x14ac:dyDescent="0.25">
      <c r="A6473" s="237">
        <v>42394</v>
      </c>
      <c r="B6473" s="237">
        <v>42397</v>
      </c>
      <c r="C6473" s="268">
        <v>2016</v>
      </c>
      <c r="D6473" s="351" t="s">
        <v>23</v>
      </c>
      <c r="E6473" s="30" t="s">
        <v>2689</v>
      </c>
      <c r="F6473" s="7" t="s">
        <v>68</v>
      </c>
      <c r="G6473" s="238" t="s">
        <v>9177</v>
      </c>
      <c r="H6473" s="259" t="s">
        <v>9164</v>
      </c>
      <c r="I6473" s="239">
        <v>0</v>
      </c>
      <c r="J6473" s="252">
        <v>8439</v>
      </c>
      <c r="K6473" s="239">
        <v>0</v>
      </c>
      <c r="L6473" s="239">
        <v>0</v>
      </c>
      <c r="M6473" s="239">
        <v>0</v>
      </c>
      <c r="N6473" s="239">
        <v>0</v>
      </c>
      <c r="O6473" s="240">
        <v>0</v>
      </c>
      <c r="P6473" s="260">
        <v>2.8843700000000001</v>
      </c>
      <c r="Q6473" s="239" t="s">
        <v>9161</v>
      </c>
      <c r="R6473" s="242"/>
      <c r="S6473" s="242"/>
    </row>
    <row r="6474" spans="1:19" s="162" customFormat="1" ht="156" x14ac:dyDescent="0.25">
      <c r="A6474" s="237">
        <v>42394</v>
      </c>
      <c r="B6474" s="237">
        <v>42397</v>
      </c>
      <c r="C6474" s="268">
        <v>2016</v>
      </c>
      <c r="D6474" s="351" t="s">
        <v>23</v>
      </c>
      <c r="E6474" s="30" t="s">
        <v>2689</v>
      </c>
      <c r="F6474" s="7" t="s">
        <v>72</v>
      </c>
      <c r="G6474" s="238" t="s">
        <v>9178</v>
      </c>
      <c r="H6474" s="259" t="s">
        <v>9164</v>
      </c>
      <c r="I6474" s="239">
        <v>0</v>
      </c>
      <c r="J6474" s="252">
        <v>2663</v>
      </c>
      <c r="K6474" s="239">
        <v>0</v>
      </c>
      <c r="L6474" s="239">
        <v>0</v>
      </c>
      <c r="M6474" s="239">
        <v>0</v>
      </c>
      <c r="N6474" s="239">
        <v>0</v>
      </c>
      <c r="O6474" s="240">
        <v>0</v>
      </c>
      <c r="P6474" s="260">
        <v>0.52029700000000001</v>
      </c>
      <c r="Q6474" s="239" t="s">
        <v>9161</v>
      </c>
      <c r="R6474" s="242"/>
      <c r="S6474" s="242"/>
    </row>
    <row r="6475" spans="1:19" s="162" customFormat="1" ht="300" x14ac:dyDescent="0.25">
      <c r="A6475" s="237">
        <v>42394</v>
      </c>
      <c r="B6475" s="237">
        <v>42397</v>
      </c>
      <c r="C6475" s="268">
        <v>2016</v>
      </c>
      <c r="D6475" s="351" t="s">
        <v>23</v>
      </c>
      <c r="E6475" s="30" t="s">
        <v>2689</v>
      </c>
      <c r="F6475" s="7" t="s">
        <v>75</v>
      </c>
      <c r="G6475" s="238" t="s">
        <v>9179</v>
      </c>
      <c r="H6475" s="259" t="s">
        <v>9164</v>
      </c>
      <c r="I6475" s="239">
        <v>0</v>
      </c>
      <c r="J6475" s="252">
        <v>52112</v>
      </c>
      <c r="K6475" s="239">
        <v>0</v>
      </c>
      <c r="L6475" s="239">
        <v>0</v>
      </c>
      <c r="M6475" s="239">
        <v>0</v>
      </c>
      <c r="N6475" s="239">
        <v>0</v>
      </c>
      <c r="O6475" s="240">
        <v>0</v>
      </c>
      <c r="P6475" s="260">
        <v>17.809276000000001</v>
      </c>
      <c r="Q6475" s="239" t="s">
        <v>9161</v>
      </c>
      <c r="R6475" s="242"/>
      <c r="S6475" s="242"/>
    </row>
    <row r="6476" spans="1:19" s="162" customFormat="1" ht="36" x14ac:dyDescent="0.25">
      <c r="A6476" s="237">
        <v>42394</v>
      </c>
      <c r="B6476" s="237">
        <v>42397</v>
      </c>
      <c r="C6476" s="268">
        <v>2016</v>
      </c>
      <c r="D6476" s="351" t="s">
        <v>23</v>
      </c>
      <c r="E6476" s="30" t="s">
        <v>2689</v>
      </c>
      <c r="F6476" s="7" t="s">
        <v>77</v>
      </c>
      <c r="G6476" s="238" t="s">
        <v>9180</v>
      </c>
      <c r="H6476" s="259" t="s">
        <v>9164</v>
      </c>
      <c r="I6476" s="239">
        <v>0</v>
      </c>
      <c r="J6476" s="252">
        <v>3719</v>
      </c>
      <c r="K6476" s="239">
        <v>0</v>
      </c>
      <c r="L6476" s="239">
        <v>0</v>
      </c>
      <c r="M6476" s="239">
        <v>0</v>
      </c>
      <c r="N6476" s="239">
        <v>0</v>
      </c>
      <c r="O6476" s="240">
        <v>0</v>
      </c>
      <c r="P6476" s="260">
        <v>1.27078</v>
      </c>
      <c r="Q6476" s="239" t="s">
        <v>9161</v>
      </c>
      <c r="R6476" s="242"/>
      <c r="S6476" s="242"/>
    </row>
    <row r="6477" spans="1:19" s="162" customFormat="1" ht="84" x14ac:dyDescent="0.25">
      <c r="A6477" s="237">
        <v>42394</v>
      </c>
      <c r="B6477" s="237">
        <v>42397</v>
      </c>
      <c r="C6477" s="268">
        <v>2016</v>
      </c>
      <c r="D6477" s="351" t="s">
        <v>23</v>
      </c>
      <c r="E6477" s="30" t="s">
        <v>2689</v>
      </c>
      <c r="F6477" s="7" t="s">
        <v>82</v>
      </c>
      <c r="G6477" s="238" t="s">
        <v>9181</v>
      </c>
      <c r="H6477" s="259" t="s">
        <v>9164</v>
      </c>
      <c r="I6477" s="239">
        <v>0</v>
      </c>
      <c r="J6477" s="252">
        <v>4963</v>
      </c>
      <c r="K6477" s="239">
        <v>0</v>
      </c>
      <c r="L6477" s="239">
        <v>0</v>
      </c>
      <c r="M6477" s="239">
        <v>0</v>
      </c>
      <c r="N6477" s="239">
        <v>0</v>
      </c>
      <c r="O6477" s="240">
        <v>0</v>
      </c>
      <c r="P6477" s="260">
        <v>1.6037699999999999</v>
      </c>
      <c r="Q6477" s="239" t="s">
        <v>9161</v>
      </c>
      <c r="R6477" s="242"/>
      <c r="S6477" s="242"/>
    </row>
    <row r="6478" spans="1:19" s="162" customFormat="1" ht="24" x14ac:dyDescent="0.25">
      <c r="A6478" s="237">
        <v>42394</v>
      </c>
      <c r="B6478" s="237">
        <v>42397</v>
      </c>
      <c r="C6478" s="268">
        <v>2016</v>
      </c>
      <c r="D6478" s="351" t="s">
        <v>23</v>
      </c>
      <c r="E6478" s="30" t="s">
        <v>2689</v>
      </c>
      <c r="F6478" s="7" t="s">
        <v>84</v>
      </c>
      <c r="G6478" s="238" t="s">
        <v>9182</v>
      </c>
      <c r="H6478" s="259" t="s">
        <v>9164</v>
      </c>
      <c r="I6478" s="239">
        <v>0</v>
      </c>
      <c r="J6478" s="252">
        <v>11191</v>
      </c>
      <c r="K6478" s="239">
        <v>0</v>
      </c>
      <c r="L6478" s="239">
        <v>0</v>
      </c>
      <c r="M6478" s="239">
        <v>0</v>
      </c>
      <c r="N6478" s="239">
        <v>0</v>
      </c>
      <c r="O6478" s="240">
        <v>0</v>
      </c>
      <c r="P6478" s="260">
        <v>5.2284300000000004</v>
      </c>
      <c r="Q6478" s="239" t="s">
        <v>9161</v>
      </c>
      <c r="R6478" s="242"/>
      <c r="S6478" s="242"/>
    </row>
    <row r="6479" spans="1:19" s="162" customFormat="1" ht="144" x14ac:dyDescent="0.25">
      <c r="A6479" s="237">
        <v>42394</v>
      </c>
      <c r="B6479" s="237">
        <v>42397</v>
      </c>
      <c r="C6479" s="268">
        <v>2016</v>
      </c>
      <c r="D6479" s="351" t="s">
        <v>23</v>
      </c>
      <c r="E6479" s="30" t="s">
        <v>2689</v>
      </c>
      <c r="F6479" s="7" t="s">
        <v>87</v>
      </c>
      <c r="G6479" s="238" t="s">
        <v>9183</v>
      </c>
      <c r="H6479" s="259" t="s">
        <v>9164</v>
      </c>
      <c r="I6479" s="239">
        <v>0</v>
      </c>
      <c r="J6479" s="252">
        <v>15421</v>
      </c>
      <c r="K6479" s="239">
        <v>0</v>
      </c>
      <c r="L6479" s="239">
        <v>0</v>
      </c>
      <c r="M6479" s="239">
        <v>0</v>
      </c>
      <c r="N6479" s="239">
        <v>0</v>
      </c>
      <c r="O6479" s="240">
        <v>0</v>
      </c>
      <c r="P6479" s="260">
        <v>5.2700639999999996</v>
      </c>
      <c r="Q6479" s="239" t="s">
        <v>9161</v>
      </c>
      <c r="R6479" s="242"/>
      <c r="S6479" s="242"/>
    </row>
    <row r="6480" spans="1:19" s="162" customFormat="1" ht="72" x14ac:dyDescent="0.25">
      <c r="A6480" s="237">
        <v>42394</v>
      </c>
      <c r="B6480" s="237">
        <v>42397</v>
      </c>
      <c r="C6480" s="268">
        <v>2016</v>
      </c>
      <c r="D6480" s="351" t="s">
        <v>23</v>
      </c>
      <c r="E6480" s="30" t="s">
        <v>2689</v>
      </c>
      <c r="F6480" s="7" t="s">
        <v>91</v>
      </c>
      <c r="G6480" s="238" t="s">
        <v>9184</v>
      </c>
      <c r="H6480" s="259" t="s">
        <v>9164</v>
      </c>
      <c r="I6480" s="239">
        <v>0</v>
      </c>
      <c r="J6480" s="252">
        <v>19249</v>
      </c>
      <c r="K6480" s="239">
        <v>0</v>
      </c>
      <c r="L6480" s="239">
        <v>0</v>
      </c>
      <c r="M6480" s="239">
        <v>0</v>
      </c>
      <c r="N6480" s="239">
        <v>0</v>
      </c>
      <c r="O6480" s="240">
        <v>0</v>
      </c>
      <c r="P6480" s="260">
        <v>6.5782829999999999</v>
      </c>
      <c r="Q6480" s="239" t="s">
        <v>9161</v>
      </c>
      <c r="R6480" s="242"/>
      <c r="S6480" s="242"/>
    </row>
    <row r="6481" spans="1:19" s="162" customFormat="1" ht="156" x14ac:dyDescent="0.25">
      <c r="A6481" s="237">
        <v>42394</v>
      </c>
      <c r="B6481" s="237">
        <v>42397</v>
      </c>
      <c r="C6481" s="268">
        <v>2016</v>
      </c>
      <c r="D6481" s="351" t="s">
        <v>23</v>
      </c>
      <c r="E6481" s="30" t="s">
        <v>2689</v>
      </c>
      <c r="F6481" s="7" t="s">
        <v>97</v>
      </c>
      <c r="G6481" s="238" t="s">
        <v>9185</v>
      </c>
      <c r="H6481" s="259" t="s">
        <v>9164</v>
      </c>
      <c r="I6481" s="239">
        <v>0</v>
      </c>
      <c r="J6481" s="252">
        <v>8751</v>
      </c>
      <c r="K6481" s="239">
        <v>0</v>
      </c>
      <c r="L6481" s="239">
        <v>0</v>
      </c>
      <c r="M6481" s="239">
        <v>0</v>
      </c>
      <c r="N6481" s="239">
        <v>0</v>
      </c>
      <c r="O6481" s="240">
        <v>0</v>
      </c>
      <c r="P6481" s="260">
        <v>2.9904660000000001</v>
      </c>
      <c r="Q6481" s="239" t="s">
        <v>9161</v>
      </c>
      <c r="R6481" s="242"/>
      <c r="S6481" s="242"/>
    </row>
    <row r="6482" spans="1:19" s="162" customFormat="1" ht="48" x14ac:dyDescent="0.25">
      <c r="A6482" s="237">
        <v>42394</v>
      </c>
      <c r="B6482" s="237">
        <v>42397</v>
      </c>
      <c r="C6482" s="268">
        <v>2016</v>
      </c>
      <c r="D6482" s="351" t="s">
        <v>23</v>
      </c>
      <c r="E6482" s="30" t="s">
        <v>2689</v>
      </c>
      <c r="F6482" s="28" t="s">
        <v>210</v>
      </c>
      <c r="G6482" s="238" t="s">
        <v>9186</v>
      </c>
      <c r="H6482" s="259" t="s">
        <v>9164</v>
      </c>
      <c r="I6482" s="239">
        <v>0</v>
      </c>
      <c r="J6482" s="252">
        <v>9958</v>
      </c>
      <c r="K6482" s="239">
        <v>0</v>
      </c>
      <c r="L6482" s="239">
        <v>0</v>
      </c>
      <c r="M6482" s="239">
        <v>0</v>
      </c>
      <c r="N6482" s="239">
        <v>0</v>
      </c>
      <c r="O6482" s="240">
        <v>0</v>
      </c>
      <c r="P6482" s="260">
        <v>3.4030209999999999</v>
      </c>
      <c r="Q6482" s="239" t="s">
        <v>9161</v>
      </c>
      <c r="R6482" s="242"/>
      <c r="S6482" s="242"/>
    </row>
    <row r="6483" spans="1:19" s="162" customFormat="1" ht="252" x14ac:dyDescent="0.25">
      <c r="A6483" s="237">
        <v>42394</v>
      </c>
      <c r="B6483" s="237">
        <v>42397</v>
      </c>
      <c r="C6483" s="268">
        <v>2016</v>
      </c>
      <c r="D6483" s="351" t="s">
        <v>23</v>
      </c>
      <c r="E6483" s="30" t="s">
        <v>2689</v>
      </c>
      <c r="F6483" s="7" t="s">
        <v>101</v>
      </c>
      <c r="G6483" s="238" t="s">
        <v>9187</v>
      </c>
      <c r="H6483" s="259" t="s">
        <v>9164</v>
      </c>
      <c r="I6483" s="239">
        <v>0</v>
      </c>
      <c r="J6483" s="252">
        <v>10986</v>
      </c>
      <c r="K6483" s="239">
        <v>0</v>
      </c>
      <c r="L6483" s="239">
        <v>0</v>
      </c>
      <c r="M6483" s="239">
        <v>0</v>
      </c>
      <c r="N6483" s="239">
        <v>0</v>
      </c>
      <c r="O6483" s="240">
        <v>0</v>
      </c>
      <c r="P6483" s="260">
        <v>3.75434</v>
      </c>
      <c r="Q6483" s="239" t="s">
        <v>9161</v>
      </c>
      <c r="R6483" s="242"/>
      <c r="S6483" s="242"/>
    </row>
    <row r="6484" spans="1:19" s="162" customFormat="1" ht="348" x14ac:dyDescent="0.25">
      <c r="A6484" s="237">
        <v>42394</v>
      </c>
      <c r="B6484" s="237">
        <v>42397</v>
      </c>
      <c r="C6484" s="268">
        <v>2016</v>
      </c>
      <c r="D6484" s="351" t="s">
        <v>23</v>
      </c>
      <c r="E6484" s="267" t="s">
        <v>1565</v>
      </c>
      <c r="F6484" s="7" t="s">
        <v>40</v>
      </c>
      <c r="G6484" s="238" t="s">
        <v>9188</v>
      </c>
      <c r="H6484" s="259" t="s">
        <v>9160</v>
      </c>
      <c r="I6484" s="239">
        <v>0</v>
      </c>
      <c r="J6484" s="252">
        <v>393648</v>
      </c>
      <c r="K6484" s="239">
        <v>0</v>
      </c>
      <c r="L6484" s="239">
        <v>0</v>
      </c>
      <c r="M6484" s="239">
        <v>0</v>
      </c>
      <c r="N6484" s="239">
        <v>0</v>
      </c>
      <c r="O6484" s="240">
        <v>0</v>
      </c>
      <c r="P6484" s="260">
        <v>61.310676000000001</v>
      </c>
      <c r="Q6484" s="239" t="s">
        <v>9161</v>
      </c>
      <c r="R6484" s="242"/>
      <c r="S6484" s="242"/>
    </row>
    <row r="6485" spans="1:19" s="162" customFormat="1" ht="36" x14ac:dyDescent="0.25">
      <c r="A6485" s="237">
        <v>42407</v>
      </c>
      <c r="B6485" s="237">
        <v>42412</v>
      </c>
      <c r="C6485" s="268">
        <v>2016</v>
      </c>
      <c r="D6485" s="351" t="s">
        <v>23</v>
      </c>
      <c r="E6485" s="30" t="s">
        <v>2689</v>
      </c>
      <c r="F6485" s="7" t="s">
        <v>72</v>
      </c>
      <c r="G6485" s="238" t="s">
        <v>9189</v>
      </c>
      <c r="H6485" s="259" t="s">
        <v>9164</v>
      </c>
      <c r="I6485" s="239">
        <v>0</v>
      </c>
      <c r="J6485" s="252" t="s">
        <v>110</v>
      </c>
      <c r="K6485" s="239">
        <v>0</v>
      </c>
      <c r="L6485" s="239">
        <v>0</v>
      </c>
      <c r="M6485" s="239">
        <v>0</v>
      </c>
      <c r="N6485" s="239">
        <v>0</v>
      </c>
      <c r="O6485" s="240">
        <v>0</v>
      </c>
      <c r="P6485" s="260">
        <v>0</v>
      </c>
      <c r="Q6485" s="239" t="s">
        <v>9161</v>
      </c>
      <c r="R6485" s="242"/>
      <c r="S6485" s="242"/>
    </row>
    <row r="6486" spans="1:19" s="162" customFormat="1" ht="132" x14ac:dyDescent="0.25">
      <c r="A6486" s="237">
        <v>42436</v>
      </c>
      <c r="B6486" s="237">
        <v>42439</v>
      </c>
      <c r="C6486" s="268">
        <v>2016</v>
      </c>
      <c r="D6486" s="351" t="s">
        <v>23</v>
      </c>
      <c r="E6486" s="267" t="s">
        <v>2691</v>
      </c>
      <c r="F6486" s="28" t="s">
        <v>210</v>
      </c>
      <c r="G6486" s="238" t="s">
        <v>9190</v>
      </c>
      <c r="H6486" s="259" t="s">
        <v>9191</v>
      </c>
      <c r="I6486" s="239">
        <v>0</v>
      </c>
      <c r="J6486" s="252">
        <v>212604</v>
      </c>
      <c r="K6486" s="239">
        <v>0</v>
      </c>
      <c r="L6486" s="239">
        <v>0</v>
      </c>
      <c r="M6486" s="239">
        <v>0</v>
      </c>
      <c r="N6486" s="239">
        <v>0</v>
      </c>
      <c r="O6486" s="240">
        <v>0</v>
      </c>
      <c r="P6486" s="260">
        <v>48.203612999999997</v>
      </c>
      <c r="Q6486" s="239" t="s">
        <v>9161</v>
      </c>
      <c r="R6486" s="242"/>
      <c r="S6486" s="242"/>
    </row>
    <row r="6487" spans="1:19" s="162" customFormat="1" ht="24" x14ac:dyDescent="0.25">
      <c r="A6487" s="237">
        <v>42436</v>
      </c>
      <c r="B6487" s="237">
        <v>42440</v>
      </c>
      <c r="C6487" s="268">
        <v>2016</v>
      </c>
      <c r="D6487" s="351" t="s">
        <v>23</v>
      </c>
      <c r="E6487" s="267" t="s">
        <v>2691</v>
      </c>
      <c r="F6487" s="28" t="s">
        <v>210</v>
      </c>
      <c r="G6487" s="238" t="s">
        <v>9192</v>
      </c>
      <c r="H6487" s="259" t="s">
        <v>9191</v>
      </c>
      <c r="I6487" s="239">
        <v>0</v>
      </c>
      <c r="J6487" s="252">
        <v>25832</v>
      </c>
      <c r="K6487" s="239">
        <v>0</v>
      </c>
      <c r="L6487" s="239">
        <v>0</v>
      </c>
      <c r="M6487" s="239">
        <v>0</v>
      </c>
      <c r="N6487" s="239">
        <v>0</v>
      </c>
      <c r="O6487" s="240">
        <v>0</v>
      </c>
      <c r="P6487" s="260">
        <v>11.038543000000001</v>
      </c>
      <c r="Q6487" s="239" t="s">
        <v>9161</v>
      </c>
      <c r="R6487" s="242"/>
      <c r="S6487" s="242"/>
    </row>
    <row r="6488" spans="1:19" s="162" customFormat="1" ht="24" x14ac:dyDescent="0.25">
      <c r="A6488" s="237">
        <v>42437</v>
      </c>
      <c r="B6488" s="237">
        <v>42439</v>
      </c>
      <c r="C6488" s="268">
        <v>2016</v>
      </c>
      <c r="D6488" s="351" t="s">
        <v>23</v>
      </c>
      <c r="E6488" s="267" t="s">
        <v>2691</v>
      </c>
      <c r="F6488" s="7" t="s">
        <v>49</v>
      </c>
      <c r="G6488" s="238" t="s">
        <v>49</v>
      </c>
      <c r="H6488" s="259" t="s">
        <v>9193</v>
      </c>
      <c r="I6488" s="239">
        <v>0</v>
      </c>
      <c r="J6488" s="252">
        <v>214003</v>
      </c>
      <c r="K6488" s="239">
        <v>0</v>
      </c>
      <c r="L6488" s="239">
        <v>0</v>
      </c>
      <c r="M6488" s="239">
        <v>0</v>
      </c>
      <c r="N6488" s="239">
        <v>0</v>
      </c>
      <c r="O6488" s="240">
        <v>0</v>
      </c>
      <c r="P6488" s="260">
        <v>10.547083000000001</v>
      </c>
      <c r="Q6488" s="239" t="s">
        <v>9161</v>
      </c>
      <c r="R6488" s="242"/>
      <c r="S6488" s="242"/>
    </row>
    <row r="6489" spans="1:19" s="162" customFormat="1" ht="120" x14ac:dyDescent="0.25">
      <c r="A6489" s="237">
        <v>42437</v>
      </c>
      <c r="B6489" s="237">
        <v>42439</v>
      </c>
      <c r="C6489" s="268">
        <v>2016</v>
      </c>
      <c r="D6489" s="351" t="s">
        <v>23</v>
      </c>
      <c r="E6489" s="267" t="s">
        <v>1565</v>
      </c>
      <c r="F6489" s="7" t="s">
        <v>49</v>
      </c>
      <c r="G6489" s="238" t="s">
        <v>9194</v>
      </c>
      <c r="H6489" s="259" t="s">
        <v>9160</v>
      </c>
      <c r="I6489" s="239">
        <v>0</v>
      </c>
      <c r="J6489" s="252">
        <v>186216</v>
      </c>
      <c r="K6489" s="239">
        <v>0</v>
      </c>
      <c r="L6489" s="239">
        <v>0</v>
      </c>
      <c r="M6489" s="239">
        <v>0</v>
      </c>
      <c r="N6489" s="239">
        <v>0</v>
      </c>
      <c r="O6489" s="240">
        <v>0</v>
      </c>
      <c r="P6489" s="260">
        <v>29.548141000000001</v>
      </c>
      <c r="Q6489" s="239" t="s">
        <v>9161</v>
      </c>
      <c r="R6489" s="242"/>
      <c r="S6489" s="242"/>
    </row>
    <row r="6490" spans="1:19" s="162" customFormat="1" ht="36" x14ac:dyDescent="0.25">
      <c r="A6490" s="237">
        <v>42615</v>
      </c>
      <c r="B6490" s="237">
        <v>42615</v>
      </c>
      <c r="C6490" s="239">
        <v>2016</v>
      </c>
      <c r="D6490" s="351" t="s">
        <v>23</v>
      </c>
      <c r="E6490" s="267" t="s">
        <v>86</v>
      </c>
      <c r="F6490" s="7" t="s">
        <v>36</v>
      </c>
      <c r="G6490" s="238" t="s">
        <v>3747</v>
      </c>
      <c r="H6490" s="238" t="s">
        <v>9195</v>
      </c>
      <c r="I6490" s="239">
        <v>0</v>
      </c>
      <c r="J6490" s="252">
        <v>0</v>
      </c>
      <c r="K6490" s="239">
        <v>0</v>
      </c>
      <c r="L6490" s="239">
        <v>0</v>
      </c>
      <c r="M6490" s="239">
        <v>0</v>
      </c>
      <c r="N6490" s="239">
        <v>0</v>
      </c>
      <c r="O6490" s="240" t="s">
        <v>110</v>
      </c>
      <c r="P6490" s="241">
        <v>337.11799999999999</v>
      </c>
      <c r="Q6490" s="239" t="s">
        <v>186</v>
      </c>
      <c r="R6490" s="242"/>
      <c r="S6490" s="242"/>
    </row>
    <row r="6491" spans="1:19" s="162" customFormat="1" ht="24" x14ac:dyDescent="0.25">
      <c r="A6491" s="237">
        <v>42437</v>
      </c>
      <c r="B6491" s="237">
        <v>42440</v>
      </c>
      <c r="C6491" s="268">
        <v>2016</v>
      </c>
      <c r="D6491" s="351" t="s">
        <v>23</v>
      </c>
      <c r="E6491" s="30" t="s">
        <v>2689</v>
      </c>
      <c r="F6491" s="7" t="s">
        <v>84</v>
      </c>
      <c r="G6491" s="238" t="s">
        <v>8321</v>
      </c>
      <c r="H6491" s="259" t="s">
        <v>9164</v>
      </c>
      <c r="I6491" s="239">
        <v>0</v>
      </c>
      <c r="J6491" s="252">
        <v>5900</v>
      </c>
      <c r="K6491" s="239">
        <v>0</v>
      </c>
      <c r="L6491" s="239">
        <v>0</v>
      </c>
      <c r="M6491" s="239">
        <v>0</v>
      </c>
      <c r="N6491" s="239">
        <v>0</v>
      </c>
      <c r="O6491" s="240">
        <v>0</v>
      </c>
      <c r="P6491" s="260">
        <v>1.287738</v>
      </c>
      <c r="Q6491" s="239" t="s">
        <v>9161</v>
      </c>
      <c r="R6491" s="242"/>
      <c r="S6491" s="242"/>
    </row>
    <row r="6492" spans="1:19" s="162" customFormat="1" ht="144" x14ac:dyDescent="0.25">
      <c r="A6492" s="237">
        <v>42437</v>
      </c>
      <c r="B6492" s="237">
        <v>42438</v>
      </c>
      <c r="C6492" s="268">
        <v>2016</v>
      </c>
      <c r="D6492" s="351" t="s">
        <v>23</v>
      </c>
      <c r="E6492" s="267" t="s">
        <v>1565</v>
      </c>
      <c r="F6492" s="7" t="s">
        <v>40</v>
      </c>
      <c r="G6492" s="238" t="s">
        <v>9196</v>
      </c>
      <c r="H6492" s="259" t="s">
        <v>9160</v>
      </c>
      <c r="I6492" s="239">
        <v>0</v>
      </c>
      <c r="J6492" s="252">
        <v>49048</v>
      </c>
      <c r="K6492" s="239">
        <v>0</v>
      </c>
      <c r="L6492" s="239">
        <v>0</v>
      </c>
      <c r="M6492" s="239">
        <v>0</v>
      </c>
      <c r="N6492" s="239">
        <v>0</v>
      </c>
      <c r="O6492" s="240">
        <v>0</v>
      </c>
      <c r="P6492" s="260">
        <v>19.813078000000001</v>
      </c>
      <c r="Q6492" s="239" t="s">
        <v>9161</v>
      </c>
      <c r="R6492" s="242"/>
      <c r="S6492" s="242"/>
    </row>
    <row r="6493" spans="1:19" s="162" customFormat="1" ht="72" x14ac:dyDescent="0.25">
      <c r="A6493" s="237">
        <v>42640</v>
      </c>
      <c r="B6493" s="237">
        <v>42641</v>
      </c>
      <c r="C6493" s="239">
        <v>2016</v>
      </c>
      <c r="D6493" s="351" t="s">
        <v>23</v>
      </c>
      <c r="E6493" s="267" t="s">
        <v>86</v>
      </c>
      <c r="F6493" s="28" t="s">
        <v>210</v>
      </c>
      <c r="G6493" s="238" t="s">
        <v>9197</v>
      </c>
      <c r="H6493" s="238" t="s">
        <v>9198</v>
      </c>
      <c r="I6493" s="239">
        <v>0</v>
      </c>
      <c r="J6493" s="252">
        <v>0</v>
      </c>
      <c r="K6493" s="239">
        <v>0</v>
      </c>
      <c r="L6493" s="239">
        <v>0</v>
      </c>
      <c r="M6493" s="239">
        <v>0</v>
      </c>
      <c r="N6493" s="239">
        <v>0</v>
      </c>
      <c r="O6493" s="240">
        <v>0</v>
      </c>
      <c r="P6493" s="241">
        <v>269.42399999999998</v>
      </c>
      <c r="Q6493" s="239" t="s">
        <v>186</v>
      </c>
      <c r="R6493" s="242"/>
      <c r="S6493" s="242"/>
    </row>
    <row r="6494" spans="1:19" s="162" customFormat="1" ht="276" x14ac:dyDescent="0.25">
      <c r="A6494" s="237">
        <v>42438</v>
      </c>
      <c r="B6494" s="237">
        <v>42439</v>
      </c>
      <c r="C6494" s="268">
        <v>2016</v>
      </c>
      <c r="D6494" s="351" t="s">
        <v>23</v>
      </c>
      <c r="E6494" s="267" t="s">
        <v>1565</v>
      </c>
      <c r="F6494" s="7" t="s">
        <v>101</v>
      </c>
      <c r="G6494" s="238" t="s">
        <v>9199</v>
      </c>
      <c r="H6494" s="259" t="s">
        <v>9160</v>
      </c>
      <c r="I6494" s="239">
        <v>0</v>
      </c>
      <c r="J6494" s="252">
        <v>54337</v>
      </c>
      <c r="K6494" s="239">
        <v>0</v>
      </c>
      <c r="L6494" s="239">
        <v>0</v>
      </c>
      <c r="M6494" s="239">
        <v>0</v>
      </c>
      <c r="N6494" s="239">
        <v>0</v>
      </c>
      <c r="O6494" s="240">
        <v>0</v>
      </c>
      <c r="P6494" s="260">
        <v>17.392530000000001</v>
      </c>
      <c r="Q6494" s="239" t="s">
        <v>9161</v>
      </c>
      <c r="R6494" s="242"/>
      <c r="S6494" s="242"/>
    </row>
    <row r="6495" spans="1:19" s="162" customFormat="1" ht="36" x14ac:dyDescent="0.25">
      <c r="A6495" s="237">
        <v>42458</v>
      </c>
      <c r="B6495" s="237">
        <v>42460</v>
      </c>
      <c r="C6495" s="268">
        <v>2016</v>
      </c>
      <c r="D6495" s="351" t="s">
        <v>23</v>
      </c>
      <c r="E6495" s="267" t="s">
        <v>2691</v>
      </c>
      <c r="F6495" s="7" t="s">
        <v>40</v>
      </c>
      <c r="G6495" s="238" t="s">
        <v>9200</v>
      </c>
      <c r="H6495" s="259" t="s">
        <v>9191</v>
      </c>
      <c r="I6495" s="239">
        <v>0</v>
      </c>
      <c r="J6495" s="252">
        <v>21025</v>
      </c>
      <c r="K6495" s="239">
        <v>0</v>
      </c>
      <c r="L6495" s="239">
        <v>0</v>
      </c>
      <c r="M6495" s="239">
        <v>0</v>
      </c>
      <c r="N6495" s="239">
        <v>0</v>
      </c>
      <c r="O6495" s="240">
        <v>0</v>
      </c>
      <c r="P6495" s="260">
        <v>8.8161810000000003</v>
      </c>
      <c r="Q6495" s="239" t="s">
        <v>9161</v>
      </c>
      <c r="R6495" s="242"/>
      <c r="S6495" s="242"/>
    </row>
    <row r="6496" spans="1:19" s="162" customFormat="1" ht="409.5" x14ac:dyDescent="0.25">
      <c r="A6496" s="237">
        <v>42587</v>
      </c>
      <c r="B6496" s="237">
        <v>42589</v>
      </c>
      <c r="C6496" s="268">
        <v>2016</v>
      </c>
      <c r="D6496" s="351" t="s">
        <v>23</v>
      </c>
      <c r="E6496" s="267" t="s">
        <v>86</v>
      </c>
      <c r="F6496" s="28" t="s">
        <v>210</v>
      </c>
      <c r="G6496" s="238" t="s">
        <v>9201</v>
      </c>
      <c r="H6496" s="239" t="s">
        <v>9202</v>
      </c>
      <c r="I6496" s="239">
        <v>13</v>
      </c>
      <c r="J6496" s="252">
        <v>618137</v>
      </c>
      <c r="K6496" s="239">
        <v>6900</v>
      </c>
      <c r="L6496" s="239">
        <v>10</v>
      </c>
      <c r="M6496" s="239">
        <v>0</v>
      </c>
      <c r="N6496" s="239">
        <v>0</v>
      </c>
      <c r="O6496" s="240">
        <v>0</v>
      </c>
      <c r="P6496" s="260">
        <f>59.266598+70.89</f>
        <v>130.156598</v>
      </c>
      <c r="Q6496" s="239" t="s">
        <v>9203</v>
      </c>
      <c r="R6496" s="242"/>
      <c r="S6496" s="242"/>
    </row>
    <row r="6497" spans="1:19" s="162" customFormat="1" ht="24" x14ac:dyDescent="0.25">
      <c r="A6497" s="237">
        <v>42493</v>
      </c>
      <c r="B6497" s="237">
        <v>42494</v>
      </c>
      <c r="C6497" s="268">
        <v>2016</v>
      </c>
      <c r="D6497" s="351" t="s">
        <v>23</v>
      </c>
      <c r="E6497" s="267" t="s">
        <v>2691</v>
      </c>
      <c r="F6497" s="7" t="s">
        <v>80</v>
      </c>
      <c r="G6497" s="238" t="s">
        <v>9204</v>
      </c>
      <c r="H6497" s="259" t="s">
        <v>9193</v>
      </c>
      <c r="I6497" s="239">
        <v>0</v>
      </c>
      <c r="J6497" s="252">
        <v>37187</v>
      </c>
      <c r="K6497" s="239">
        <v>0</v>
      </c>
      <c r="L6497" s="239">
        <v>0</v>
      </c>
      <c r="M6497" s="239">
        <v>0</v>
      </c>
      <c r="N6497" s="239">
        <v>0</v>
      </c>
      <c r="O6497" s="240">
        <v>0</v>
      </c>
      <c r="P6497" s="260">
        <v>67.782522</v>
      </c>
      <c r="Q6497" s="239" t="s">
        <v>9161</v>
      </c>
      <c r="R6497" s="242"/>
      <c r="S6497" s="242"/>
    </row>
    <row r="6498" spans="1:19" s="162" customFormat="1" ht="36" x14ac:dyDescent="0.25">
      <c r="A6498" s="237">
        <v>42677</v>
      </c>
      <c r="B6498" s="237">
        <v>42678</v>
      </c>
      <c r="C6498" s="239">
        <v>2016</v>
      </c>
      <c r="D6498" s="351" t="s">
        <v>23</v>
      </c>
      <c r="E6498" s="267" t="s">
        <v>52</v>
      </c>
      <c r="F6498" s="7" t="s">
        <v>40</v>
      </c>
      <c r="G6498" s="238" t="s">
        <v>9205</v>
      </c>
      <c r="H6498" s="238" t="s">
        <v>9206</v>
      </c>
      <c r="I6498" s="239">
        <v>0</v>
      </c>
      <c r="J6498" s="252">
        <v>0</v>
      </c>
      <c r="K6498" s="239">
        <v>0</v>
      </c>
      <c r="L6498" s="239">
        <v>0</v>
      </c>
      <c r="M6498" s="239">
        <v>0</v>
      </c>
      <c r="N6498" s="239">
        <v>0</v>
      </c>
      <c r="O6498" s="240">
        <v>0</v>
      </c>
      <c r="P6498" s="241">
        <v>116.16539999999999</v>
      </c>
      <c r="Q6498" s="239" t="s">
        <v>186</v>
      </c>
      <c r="R6498" s="242"/>
      <c r="S6498" s="242"/>
    </row>
    <row r="6499" spans="1:19" s="162" customFormat="1" ht="24" x14ac:dyDescent="0.25">
      <c r="A6499" s="237">
        <v>42504</v>
      </c>
      <c r="B6499" s="237">
        <v>42505</v>
      </c>
      <c r="C6499" s="268">
        <v>2016</v>
      </c>
      <c r="D6499" s="351" t="s">
        <v>23</v>
      </c>
      <c r="E6499" s="267" t="s">
        <v>2691</v>
      </c>
      <c r="F6499" s="7" t="s">
        <v>40</v>
      </c>
      <c r="G6499" s="238" t="s">
        <v>9207</v>
      </c>
      <c r="H6499" s="259" t="s">
        <v>9191</v>
      </c>
      <c r="I6499" s="239">
        <v>0</v>
      </c>
      <c r="J6499" s="252">
        <v>4015</v>
      </c>
      <c r="K6499" s="239">
        <v>0</v>
      </c>
      <c r="L6499" s="239">
        <v>0</v>
      </c>
      <c r="M6499" s="239">
        <v>0</v>
      </c>
      <c r="N6499" s="239">
        <v>0</v>
      </c>
      <c r="O6499" s="240">
        <v>0</v>
      </c>
      <c r="P6499" s="260">
        <v>1.2942279999999999</v>
      </c>
      <c r="Q6499" s="239" t="s">
        <v>9161</v>
      </c>
      <c r="R6499" s="242"/>
      <c r="S6499" s="242"/>
    </row>
    <row r="6500" spans="1:19" s="162" customFormat="1" ht="24" x14ac:dyDescent="0.25">
      <c r="A6500" s="237">
        <v>42505</v>
      </c>
      <c r="B6500" s="237">
        <v>42505</v>
      </c>
      <c r="C6500" s="268">
        <v>2016</v>
      </c>
      <c r="D6500" s="351" t="s">
        <v>23</v>
      </c>
      <c r="E6500" s="267" t="s">
        <v>5893</v>
      </c>
      <c r="F6500" s="7" t="s">
        <v>40</v>
      </c>
      <c r="G6500" s="238" t="s">
        <v>40</v>
      </c>
      <c r="H6500" s="259" t="s">
        <v>9208</v>
      </c>
      <c r="I6500" s="239">
        <v>0</v>
      </c>
      <c r="J6500" s="252">
        <v>17258</v>
      </c>
      <c r="K6500" s="239">
        <v>0</v>
      </c>
      <c r="L6500" s="239">
        <v>0</v>
      </c>
      <c r="M6500" s="239">
        <v>0</v>
      </c>
      <c r="N6500" s="239">
        <v>0</v>
      </c>
      <c r="O6500" s="240">
        <v>0</v>
      </c>
      <c r="P6500" s="260">
        <v>4.205978</v>
      </c>
      <c r="Q6500" s="239" t="s">
        <v>9161</v>
      </c>
      <c r="R6500" s="242"/>
      <c r="S6500" s="242"/>
    </row>
    <row r="6501" spans="1:19" s="162" customFormat="1" ht="60" x14ac:dyDescent="0.25">
      <c r="A6501" s="237">
        <v>42507</v>
      </c>
      <c r="B6501" s="237">
        <v>42507</v>
      </c>
      <c r="C6501" s="239">
        <v>2016</v>
      </c>
      <c r="D6501" s="351" t="s">
        <v>23</v>
      </c>
      <c r="E6501" s="267" t="s">
        <v>2691</v>
      </c>
      <c r="F6501" s="7" t="s">
        <v>36</v>
      </c>
      <c r="G6501" s="238" t="s">
        <v>522</v>
      </c>
      <c r="H6501" s="238" t="s">
        <v>9209</v>
      </c>
      <c r="I6501" s="239">
        <v>0</v>
      </c>
      <c r="J6501" s="252">
        <v>165</v>
      </c>
      <c r="K6501" s="239">
        <v>60</v>
      </c>
      <c r="L6501" s="239">
        <v>0</v>
      </c>
      <c r="M6501" s="239">
        <v>0</v>
      </c>
      <c r="N6501" s="239">
        <v>0</v>
      </c>
      <c r="O6501" s="240" t="s">
        <v>110</v>
      </c>
      <c r="P6501" s="241">
        <f>(60*5500)/1000000</f>
        <v>0.33</v>
      </c>
      <c r="Q6501" s="239" t="s">
        <v>154</v>
      </c>
      <c r="R6501" s="242"/>
      <c r="S6501" s="242"/>
    </row>
    <row r="6502" spans="1:19" s="162" customFormat="1" ht="36" x14ac:dyDescent="0.25">
      <c r="A6502" s="237">
        <v>42608</v>
      </c>
      <c r="B6502" s="237">
        <v>42608</v>
      </c>
      <c r="C6502" s="239">
        <v>2016</v>
      </c>
      <c r="D6502" s="351" t="s">
        <v>23</v>
      </c>
      <c r="E6502" s="267" t="s">
        <v>86</v>
      </c>
      <c r="F6502" s="7" t="s">
        <v>45</v>
      </c>
      <c r="G6502" s="238" t="s">
        <v>8579</v>
      </c>
      <c r="H6502" s="238" t="s">
        <v>9210</v>
      </c>
      <c r="I6502" s="239">
        <v>0</v>
      </c>
      <c r="J6502" s="252">
        <v>0</v>
      </c>
      <c r="K6502" s="239">
        <v>0</v>
      </c>
      <c r="L6502" s="239">
        <v>0</v>
      </c>
      <c r="M6502" s="239">
        <v>0</v>
      </c>
      <c r="N6502" s="239">
        <v>0</v>
      </c>
      <c r="O6502" s="240">
        <v>0</v>
      </c>
      <c r="P6502" s="241">
        <v>112.133</v>
      </c>
      <c r="Q6502" s="239" t="s">
        <v>186</v>
      </c>
      <c r="R6502" s="242"/>
      <c r="S6502" s="242"/>
    </row>
    <row r="6503" spans="1:19" s="162" customFormat="1" ht="120" x14ac:dyDescent="0.25">
      <c r="A6503" s="237">
        <v>42677</v>
      </c>
      <c r="B6503" s="237">
        <v>42677</v>
      </c>
      <c r="C6503" s="239">
        <v>2016</v>
      </c>
      <c r="D6503" s="351" t="s">
        <v>23</v>
      </c>
      <c r="E6503" s="267" t="s">
        <v>86</v>
      </c>
      <c r="F6503" s="7" t="s">
        <v>91</v>
      </c>
      <c r="G6503" s="238" t="s">
        <v>9211</v>
      </c>
      <c r="H6503" s="238" t="s">
        <v>9212</v>
      </c>
      <c r="I6503" s="239">
        <v>0</v>
      </c>
      <c r="J6503" s="252">
        <v>104</v>
      </c>
      <c r="K6503" s="239">
        <v>8000</v>
      </c>
      <c r="L6503" s="239">
        <v>0</v>
      </c>
      <c r="M6503" s="239">
        <v>0</v>
      </c>
      <c r="N6503" s="239">
        <v>0</v>
      </c>
      <c r="O6503" s="240">
        <v>0</v>
      </c>
      <c r="P6503" s="241">
        <v>103.67700000000001</v>
      </c>
      <c r="Q6503" s="239" t="s">
        <v>9213</v>
      </c>
      <c r="R6503" s="242"/>
      <c r="S6503" s="242"/>
    </row>
    <row r="6504" spans="1:19" s="162" customFormat="1" ht="96" x14ac:dyDescent="0.25">
      <c r="A6504" s="237">
        <v>42437</v>
      </c>
      <c r="B6504" s="237">
        <v>42439</v>
      </c>
      <c r="C6504" s="268">
        <v>2016</v>
      </c>
      <c r="D6504" s="351" t="s">
        <v>23</v>
      </c>
      <c r="E6504" s="267" t="s">
        <v>86</v>
      </c>
      <c r="F6504" s="7" t="s">
        <v>58</v>
      </c>
      <c r="G6504" s="238" t="s">
        <v>9214</v>
      </c>
      <c r="H6504" s="259" t="s">
        <v>9083</v>
      </c>
      <c r="I6504" s="239">
        <v>0</v>
      </c>
      <c r="J6504" s="252">
        <v>333091</v>
      </c>
      <c r="K6504" s="239">
        <v>0</v>
      </c>
      <c r="L6504" s="239">
        <v>0</v>
      </c>
      <c r="M6504" s="239">
        <v>0</v>
      </c>
      <c r="N6504" s="239">
        <v>0</v>
      </c>
      <c r="O6504" s="240">
        <v>0</v>
      </c>
      <c r="P6504" s="260">
        <v>75.933589999999995</v>
      </c>
      <c r="Q6504" s="239" t="s">
        <v>9161</v>
      </c>
      <c r="R6504" s="242"/>
      <c r="S6504" s="242"/>
    </row>
    <row r="6505" spans="1:19" s="162" customFormat="1" ht="36" x14ac:dyDescent="0.25">
      <c r="A6505" s="237">
        <v>42605</v>
      </c>
      <c r="B6505" s="237">
        <v>42605</v>
      </c>
      <c r="C6505" s="239">
        <v>2016</v>
      </c>
      <c r="D6505" s="351" t="s">
        <v>23</v>
      </c>
      <c r="E6505" s="267" t="s">
        <v>52</v>
      </c>
      <c r="F6505" s="7" t="s">
        <v>56</v>
      </c>
      <c r="G6505" s="238" t="s">
        <v>2786</v>
      </c>
      <c r="H6505" s="238" t="s">
        <v>9195</v>
      </c>
      <c r="I6505" s="239">
        <v>0</v>
      </c>
      <c r="J6505" s="252">
        <v>0</v>
      </c>
      <c r="K6505" s="239">
        <v>0</v>
      </c>
      <c r="L6505" s="239">
        <v>0</v>
      </c>
      <c r="M6505" s="239">
        <v>0</v>
      </c>
      <c r="N6505" s="239">
        <v>0</v>
      </c>
      <c r="O6505" s="240">
        <v>0</v>
      </c>
      <c r="P6505" s="241">
        <v>29.010099999999998</v>
      </c>
      <c r="Q6505" s="239" t="s">
        <v>186</v>
      </c>
      <c r="R6505" s="242"/>
      <c r="S6505" s="242"/>
    </row>
    <row r="6506" spans="1:19" s="162" customFormat="1" ht="24" x14ac:dyDescent="0.25">
      <c r="A6506" s="237">
        <v>42587</v>
      </c>
      <c r="B6506" s="237">
        <v>42589</v>
      </c>
      <c r="C6506" s="268">
        <v>2016</v>
      </c>
      <c r="D6506" s="351" t="s">
        <v>23</v>
      </c>
      <c r="E6506" s="267" t="s">
        <v>86</v>
      </c>
      <c r="F6506" s="7" t="s">
        <v>58</v>
      </c>
      <c r="G6506" s="238" t="s">
        <v>9215</v>
      </c>
      <c r="H6506" s="259" t="s">
        <v>9083</v>
      </c>
      <c r="I6506" s="239">
        <v>0</v>
      </c>
      <c r="J6506" s="252">
        <v>78213</v>
      </c>
      <c r="K6506" s="239">
        <v>0</v>
      </c>
      <c r="L6506" s="239">
        <v>0</v>
      </c>
      <c r="M6506" s="239">
        <v>0</v>
      </c>
      <c r="N6506" s="239">
        <v>0</v>
      </c>
      <c r="O6506" s="240">
        <v>0</v>
      </c>
      <c r="P6506" s="260">
        <v>22.253814999999999</v>
      </c>
      <c r="Q6506" s="239" t="s">
        <v>9161</v>
      </c>
      <c r="R6506" s="242"/>
      <c r="S6506" s="242"/>
    </row>
    <row r="6507" spans="1:19" s="162" customFormat="1" ht="84" x14ac:dyDescent="0.25">
      <c r="A6507" s="237">
        <v>42570</v>
      </c>
      <c r="B6507" s="237">
        <v>42573</v>
      </c>
      <c r="C6507" s="268">
        <v>2016</v>
      </c>
      <c r="D6507" s="351" t="s">
        <v>23</v>
      </c>
      <c r="E6507" s="267" t="s">
        <v>86</v>
      </c>
      <c r="F6507" s="28" t="s">
        <v>210</v>
      </c>
      <c r="G6507" s="238" t="s">
        <v>9216</v>
      </c>
      <c r="H6507" s="259" t="s">
        <v>9083</v>
      </c>
      <c r="I6507" s="239">
        <v>0</v>
      </c>
      <c r="J6507" s="252">
        <v>131684</v>
      </c>
      <c r="K6507" s="239">
        <v>0</v>
      </c>
      <c r="L6507" s="239">
        <v>0</v>
      </c>
      <c r="M6507" s="239">
        <v>0</v>
      </c>
      <c r="N6507" s="239">
        <v>0</v>
      </c>
      <c r="O6507" s="240">
        <v>0</v>
      </c>
      <c r="P6507" s="260">
        <v>20.855391999999998</v>
      </c>
      <c r="Q6507" s="239" t="s">
        <v>9161</v>
      </c>
      <c r="R6507" s="242"/>
      <c r="S6507" s="242"/>
    </row>
    <row r="6508" spans="1:19" s="162" customFormat="1" ht="24" x14ac:dyDescent="0.25">
      <c r="A6508" s="237">
        <v>42589</v>
      </c>
      <c r="B6508" s="237">
        <v>42590</v>
      </c>
      <c r="C6508" s="268">
        <v>2016</v>
      </c>
      <c r="D6508" s="351" t="s">
        <v>23</v>
      </c>
      <c r="E6508" s="267" t="s">
        <v>86</v>
      </c>
      <c r="F6508" s="7" t="s">
        <v>33</v>
      </c>
      <c r="G6508" s="238" t="s">
        <v>34</v>
      </c>
      <c r="H6508" s="259" t="s">
        <v>9083</v>
      </c>
      <c r="I6508" s="239">
        <v>0</v>
      </c>
      <c r="J6508" s="252">
        <v>490358</v>
      </c>
      <c r="K6508" s="239">
        <v>0</v>
      </c>
      <c r="L6508" s="239">
        <v>0</v>
      </c>
      <c r="M6508" s="239">
        <v>0</v>
      </c>
      <c r="N6508" s="239">
        <v>0</v>
      </c>
      <c r="O6508" s="240">
        <v>0</v>
      </c>
      <c r="P6508" s="260">
        <v>10.088996</v>
      </c>
      <c r="Q6508" s="239" t="s">
        <v>154</v>
      </c>
      <c r="R6508" s="242"/>
      <c r="S6508" s="242"/>
    </row>
    <row r="6509" spans="1:19" s="162" customFormat="1" ht="96" x14ac:dyDescent="0.25">
      <c r="A6509" s="237">
        <v>42599</v>
      </c>
      <c r="B6509" s="237">
        <v>42600</v>
      </c>
      <c r="C6509" s="268">
        <v>2016</v>
      </c>
      <c r="D6509" s="351" t="s">
        <v>23</v>
      </c>
      <c r="E6509" s="267" t="s">
        <v>86</v>
      </c>
      <c r="F6509" s="7" t="s">
        <v>84</v>
      </c>
      <c r="G6509" s="238" t="s">
        <v>9217</v>
      </c>
      <c r="H6509" s="259" t="s">
        <v>9218</v>
      </c>
      <c r="I6509" s="239">
        <v>1</v>
      </c>
      <c r="J6509" s="252">
        <v>11300</v>
      </c>
      <c r="K6509" s="239">
        <v>600</v>
      </c>
      <c r="L6509" s="239">
        <v>0</v>
      </c>
      <c r="M6509" s="239">
        <v>0</v>
      </c>
      <c r="N6509" s="239">
        <v>0</v>
      </c>
      <c r="O6509" s="240">
        <v>0</v>
      </c>
      <c r="P6509" s="260">
        <f>5.446827+3.3</f>
        <v>8.7468269999999997</v>
      </c>
      <c r="Q6509" s="239" t="s">
        <v>154</v>
      </c>
      <c r="R6509" s="242"/>
      <c r="S6509" s="242"/>
    </row>
    <row r="6510" spans="1:19" s="162" customFormat="1" ht="144" x14ac:dyDescent="0.25">
      <c r="A6510" s="237">
        <v>42437</v>
      </c>
      <c r="B6510" s="237">
        <v>42439</v>
      </c>
      <c r="C6510" s="268">
        <v>2016</v>
      </c>
      <c r="D6510" s="351" t="s">
        <v>23</v>
      </c>
      <c r="E6510" s="267" t="s">
        <v>86</v>
      </c>
      <c r="F6510" s="7" t="s">
        <v>60</v>
      </c>
      <c r="G6510" s="238" t="s">
        <v>9219</v>
      </c>
      <c r="H6510" s="238" t="s">
        <v>9220</v>
      </c>
      <c r="I6510" s="239">
        <v>0</v>
      </c>
      <c r="J6510" s="252">
        <v>27400</v>
      </c>
      <c r="K6510" s="239">
        <v>0</v>
      </c>
      <c r="L6510" s="239">
        <v>0</v>
      </c>
      <c r="M6510" s="239">
        <v>0</v>
      </c>
      <c r="N6510" s="239">
        <v>0</v>
      </c>
      <c r="O6510" s="240">
        <v>0</v>
      </c>
      <c r="P6510" s="260">
        <v>7.0406599999999999</v>
      </c>
      <c r="Q6510" s="239" t="s">
        <v>154</v>
      </c>
      <c r="R6510" s="242"/>
      <c r="S6510" s="242"/>
    </row>
    <row r="6511" spans="1:19" s="162" customFormat="1" ht="24" x14ac:dyDescent="0.25">
      <c r="A6511" s="237">
        <v>42538</v>
      </c>
      <c r="B6511" s="237">
        <v>42539</v>
      </c>
      <c r="C6511" s="268">
        <v>2016</v>
      </c>
      <c r="D6511" s="351" t="s">
        <v>23</v>
      </c>
      <c r="E6511" s="267" t="s">
        <v>86</v>
      </c>
      <c r="F6511" s="7" t="s">
        <v>80</v>
      </c>
      <c r="G6511" s="238" t="s">
        <v>8866</v>
      </c>
      <c r="H6511" s="259" t="s">
        <v>9083</v>
      </c>
      <c r="I6511" s="239">
        <v>0</v>
      </c>
      <c r="J6511" s="252">
        <v>14931</v>
      </c>
      <c r="K6511" s="239">
        <v>0</v>
      </c>
      <c r="L6511" s="239">
        <v>0</v>
      </c>
      <c r="M6511" s="239">
        <v>0</v>
      </c>
      <c r="N6511" s="239">
        <v>0</v>
      </c>
      <c r="O6511" s="240">
        <v>0</v>
      </c>
      <c r="P6511" s="260">
        <v>6.9687159999999997</v>
      </c>
      <c r="Q6511" s="239" t="s">
        <v>154</v>
      </c>
      <c r="R6511" s="242"/>
      <c r="S6511" s="242"/>
    </row>
    <row r="6512" spans="1:19" s="162" customFormat="1" ht="72" x14ac:dyDescent="0.25">
      <c r="A6512" s="237">
        <v>42573</v>
      </c>
      <c r="B6512" s="237">
        <v>42573</v>
      </c>
      <c r="C6512" s="256">
        <v>2016</v>
      </c>
      <c r="D6512" s="351" t="s">
        <v>23</v>
      </c>
      <c r="E6512" s="267" t="s">
        <v>86</v>
      </c>
      <c r="F6512" s="28" t="s">
        <v>210</v>
      </c>
      <c r="G6512" s="238" t="s">
        <v>9221</v>
      </c>
      <c r="H6512" s="238" t="s">
        <v>9222</v>
      </c>
      <c r="I6512" s="239">
        <v>0</v>
      </c>
      <c r="J6512" s="252">
        <v>3998</v>
      </c>
      <c r="K6512" s="239">
        <v>999</v>
      </c>
      <c r="L6512" s="239">
        <v>4</v>
      </c>
      <c r="M6512" s="239">
        <v>0</v>
      </c>
      <c r="N6512" s="239">
        <v>23</v>
      </c>
      <c r="O6512" s="240">
        <v>0</v>
      </c>
      <c r="P6512" s="241">
        <f>((999*5500)+(23*10000))/1000000</f>
        <v>5.7244999999999999</v>
      </c>
      <c r="Q6512" s="239" t="s">
        <v>154</v>
      </c>
      <c r="R6512" s="242"/>
      <c r="S6512" s="242"/>
    </row>
    <row r="6513" spans="1:19" s="162" customFormat="1" ht="36" x14ac:dyDescent="0.25">
      <c r="A6513" s="237">
        <v>42576</v>
      </c>
      <c r="B6513" s="237">
        <v>42580</v>
      </c>
      <c r="C6513" s="268">
        <v>2016</v>
      </c>
      <c r="D6513" s="35" t="s">
        <v>17</v>
      </c>
      <c r="E6513" s="267" t="s">
        <v>1597</v>
      </c>
      <c r="F6513" s="7" t="s">
        <v>58</v>
      </c>
      <c r="G6513" s="238" t="s">
        <v>9223</v>
      </c>
      <c r="H6513" s="259" t="s">
        <v>9224</v>
      </c>
      <c r="I6513" s="239">
        <v>0</v>
      </c>
      <c r="J6513" s="239">
        <v>183340</v>
      </c>
      <c r="K6513" s="239">
        <v>0</v>
      </c>
      <c r="L6513" s="239">
        <v>0</v>
      </c>
      <c r="M6513" s="239">
        <v>0</v>
      </c>
      <c r="N6513" s="239">
        <v>0</v>
      </c>
      <c r="O6513" s="240">
        <v>0</v>
      </c>
      <c r="P6513" s="260">
        <v>44.681207000000001</v>
      </c>
      <c r="Q6513" s="239" t="s">
        <v>154</v>
      </c>
      <c r="R6513" s="242"/>
      <c r="S6513" s="242"/>
    </row>
    <row r="6514" spans="1:19" s="162" customFormat="1" ht="252" x14ac:dyDescent="0.25">
      <c r="A6514" s="237">
        <v>42521</v>
      </c>
      <c r="B6514" s="237">
        <v>42522</v>
      </c>
      <c r="C6514" s="268">
        <v>2016</v>
      </c>
      <c r="D6514" s="351" t="s">
        <v>23</v>
      </c>
      <c r="E6514" s="267" t="s">
        <v>86</v>
      </c>
      <c r="F6514" s="7" t="s">
        <v>91</v>
      </c>
      <c r="G6514" s="238" t="s">
        <v>2315</v>
      </c>
      <c r="H6514" s="259" t="s">
        <v>9225</v>
      </c>
      <c r="I6514" s="239">
        <v>0</v>
      </c>
      <c r="J6514" s="252">
        <v>9455</v>
      </c>
      <c r="K6514" s="239">
        <v>0</v>
      </c>
      <c r="L6514" s="239">
        <v>0</v>
      </c>
      <c r="M6514" s="239">
        <v>0</v>
      </c>
      <c r="N6514" s="239">
        <v>0</v>
      </c>
      <c r="O6514" s="240">
        <v>0</v>
      </c>
      <c r="P6514" s="260">
        <v>5.5168460000000001</v>
      </c>
      <c r="Q6514" s="239" t="s">
        <v>154</v>
      </c>
      <c r="R6514" s="242"/>
      <c r="S6514" s="242"/>
    </row>
    <row r="6515" spans="1:19" s="162" customFormat="1" ht="204" x14ac:dyDescent="0.25">
      <c r="A6515" s="237">
        <v>42602</v>
      </c>
      <c r="B6515" s="237">
        <v>42605</v>
      </c>
      <c r="C6515" s="268">
        <v>2016</v>
      </c>
      <c r="D6515" s="351" t="s">
        <v>23</v>
      </c>
      <c r="E6515" s="267" t="s">
        <v>86</v>
      </c>
      <c r="F6515" s="7" t="s">
        <v>84</v>
      </c>
      <c r="G6515" s="238" t="s">
        <v>9226</v>
      </c>
      <c r="H6515" s="259" t="s">
        <v>9227</v>
      </c>
      <c r="I6515" s="239">
        <v>0</v>
      </c>
      <c r="J6515" s="252">
        <v>31400</v>
      </c>
      <c r="K6515" s="239">
        <v>600</v>
      </c>
      <c r="L6515" s="239">
        <v>0</v>
      </c>
      <c r="M6515" s="239">
        <v>0</v>
      </c>
      <c r="N6515" s="239">
        <v>0</v>
      </c>
      <c r="O6515" s="240">
        <v>0</v>
      </c>
      <c r="P6515" s="260">
        <v>5.0694429999999997</v>
      </c>
      <c r="Q6515" s="239" t="s">
        <v>154</v>
      </c>
      <c r="R6515" s="242"/>
      <c r="S6515" s="242"/>
    </row>
    <row r="6516" spans="1:19" s="162" customFormat="1" ht="24" x14ac:dyDescent="0.25">
      <c r="A6516" s="237">
        <v>42584</v>
      </c>
      <c r="B6516" s="237">
        <v>42587</v>
      </c>
      <c r="C6516" s="268">
        <v>2016</v>
      </c>
      <c r="D6516" s="351" t="s">
        <v>23</v>
      </c>
      <c r="E6516" s="267" t="s">
        <v>86</v>
      </c>
      <c r="F6516" s="7" t="s">
        <v>80</v>
      </c>
      <c r="G6516" s="238" t="s">
        <v>9228</v>
      </c>
      <c r="H6516" s="259" t="s">
        <v>9083</v>
      </c>
      <c r="I6516" s="239">
        <v>0</v>
      </c>
      <c r="J6516" s="252">
        <v>22215</v>
      </c>
      <c r="K6516" s="239">
        <v>0</v>
      </c>
      <c r="L6516" s="239">
        <v>0</v>
      </c>
      <c r="M6516" s="239">
        <v>0</v>
      </c>
      <c r="N6516" s="239">
        <v>0</v>
      </c>
      <c r="O6516" s="240">
        <v>0</v>
      </c>
      <c r="P6516" s="260">
        <v>4.9749999999999996</v>
      </c>
      <c r="Q6516" s="239" t="s">
        <v>9161</v>
      </c>
      <c r="R6516" s="242"/>
      <c r="S6516" s="242"/>
    </row>
    <row r="6517" spans="1:19" s="162" customFormat="1" ht="324" x14ac:dyDescent="0.25">
      <c r="A6517" s="237">
        <v>42522</v>
      </c>
      <c r="B6517" s="237">
        <v>42522</v>
      </c>
      <c r="C6517" s="239">
        <v>2016</v>
      </c>
      <c r="D6517" s="351" t="s">
        <v>23</v>
      </c>
      <c r="E6517" s="267" t="s">
        <v>52</v>
      </c>
      <c r="F6517" s="28" t="s">
        <v>157</v>
      </c>
      <c r="G6517" s="238" t="s">
        <v>206</v>
      </c>
      <c r="H6517" s="238" t="s">
        <v>9229</v>
      </c>
      <c r="I6517" s="239">
        <v>0</v>
      </c>
      <c r="J6517" s="252" t="s">
        <v>110</v>
      </c>
      <c r="K6517" s="239">
        <v>880</v>
      </c>
      <c r="L6517" s="239">
        <v>0</v>
      </c>
      <c r="M6517" s="239">
        <v>0</v>
      </c>
      <c r="N6517" s="239">
        <v>0</v>
      </c>
      <c r="O6517" s="240">
        <v>0</v>
      </c>
      <c r="P6517" s="241">
        <f>(K6517*5500)/1000000</f>
        <v>4.84</v>
      </c>
      <c r="Q6517" s="239" t="s">
        <v>154</v>
      </c>
      <c r="R6517" s="242"/>
      <c r="S6517" s="242"/>
    </row>
    <row r="6518" spans="1:19" s="162" customFormat="1" ht="60" x14ac:dyDescent="0.25">
      <c r="A6518" s="237">
        <v>42602</v>
      </c>
      <c r="B6518" s="237">
        <v>42614</v>
      </c>
      <c r="C6518" s="268">
        <v>2016</v>
      </c>
      <c r="D6518" s="351" t="s">
        <v>23</v>
      </c>
      <c r="E6518" s="267" t="s">
        <v>86</v>
      </c>
      <c r="F6518" s="7" t="s">
        <v>40</v>
      </c>
      <c r="G6518" s="238" t="s">
        <v>9230</v>
      </c>
      <c r="H6518" s="259" t="s">
        <v>9083</v>
      </c>
      <c r="I6518" s="239">
        <v>0</v>
      </c>
      <c r="J6518" s="252">
        <v>22590</v>
      </c>
      <c r="K6518" s="239">
        <v>0</v>
      </c>
      <c r="L6518" s="239">
        <v>0</v>
      </c>
      <c r="M6518" s="239">
        <v>0</v>
      </c>
      <c r="N6518" s="239">
        <v>0</v>
      </c>
      <c r="O6518" s="240">
        <v>0</v>
      </c>
      <c r="P6518" s="260">
        <v>4.138395</v>
      </c>
      <c r="Q6518" s="239" t="s">
        <v>9161</v>
      </c>
      <c r="R6518" s="242"/>
      <c r="S6518" s="242"/>
    </row>
    <row r="6519" spans="1:19" s="162" customFormat="1" ht="108" x14ac:dyDescent="0.25">
      <c r="A6519" s="237">
        <v>42576</v>
      </c>
      <c r="B6519" s="237">
        <v>42576</v>
      </c>
      <c r="C6519" s="256">
        <v>2016</v>
      </c>
      <c r="D6519" s="351" t="s">
        <v>23</v>
      </c>
      <c r="E6519" s="267" t="s">
        <v>86</v>
      </c>
      <c r="F6519" s="7" t="s">
        <v>53</v>
      </c>
      <c r="G6519" s="238" t="s">
        <v>4816</v>
      </c>
      <c r="H6519" s="238" t="s">
        <v>9231</v>
      </c>
      <c r="I6519" s="239">
        <v>0</v>
      </c>
      <c r="J6519" s="252">
        <v>0</v>
      </c>
      <c r="K6519" s="239">
        <v>700</v>
      </c>
      <c r="L6519" s="239">
        <v>0</v>
      </c>
      <c r="M6519" s="239">
        <v>0</v>
      </c>
      <c r="N6519" s="239">
        <v>0</v>
      </c>
      <c r="O6519" s="240">
        <v>0</v>
      </c>
      <c r="P6519" s="241">
        <f>(K6519*5500)/1000000</f>
        <v>3.85</v>
      </c>
      <c r="Q6519" s="239" t="s">
        <v>154</v>
      </c>
      <c r="R6519" s="242"/>
      <c r="S6519" s="242"/>
    </row>
    <row r="6520" spans="1:19" s="162" customFormat="1" ht="36" x14ac:dyDescent="0.25">
      <c r="A6520" s="237">
        <v>42541</v>
      </c>
      <c r="B6520" s="237">
        <v>42543</v>
      </c>
      <c r="C6520" s="268">
        <v>2016</v>
      </c>
      <c r="D6520" s="351" t="s">
        <v>23</v>
      </c>
      <c r="E6520" s="267" t="s">
        <v>86</v>
      </c>
      <c r="F6520" s="28" t="s">
        <v>210</v>
      </c>
      <c r="G6520" s="238" t="s">
        <v>9232</v>
      </c>
      <c r="H6520" s="259" t="s">
        <v>9083</v>
      </c>
      <c r="I6520" s="239">
        <v>0</v>
      </c>
      <c r="J6520" s="252">
        <v>32202</v>
      </c>
      <c r="K6520" s="239">
        <v>0</v>
      </c>
      <c r="L6520" s="239">
        <v>0</v>
      </c>
      <c r="M6520" s="239">
        <v>0</v>
      </c>
      <c r="N6520" s="239">
        <v>0</v>
      </c>
      <c r="O6520" s="240">
        <v>0</v>
      </c>
      <c r="P6520" s="260">
        <v>3.6389740000000002</v>
      </c>
      <c r="Q6520" s="239" t="s">
        <v>9161</v>
      </c>
      <c r="R6520" s="242"/>
      <c r="S6520" s="242"/>
    </row>
    <row r="6521" spans="1:19" s="162" customFormat="1" ht="24" x14ac:dyDescent="0.25">
      <c r="A6521" s="237">
        <v>42585</v>
      </c>
      <c r="B6521" s="237">
        <v>42587</v>
      </c>
      <c r="C6521" s="268">
        <v>2016</v>
      </c>
      <c r="D6521" s="351" t="s">
        <v>23</v>
      </c>
      <c r="E6521" s="267" t="s">
        <v>86</v>
      </c>
      <c r="F6521" s="7" t="s">
        <v>36</v>
      </c>
      <c r="G6521" s="238" t="s">
        <v>9233</v>
      </c>
      <c r="H6521" s="259" t="s">
        <v>9083</v>
      </c>
      <c r="I6521" s="239">
        <v>0</v>
      </c>
      <c r="J6521" s="252">
        <v>7599</v>
      </c>
      <c r="K6521" s="239">
        <v>0</v>
      </c>
      <c r="L6521" s="239">
        <v>0</v>
      </c>
      <c r="M6521" s="239">
        <v>0</v>
      </c>
      <c r="N6521" s="239">
        <v>0</v>
      </c>
      <c r="O6521" s="240">
        <v>0</v>
      </c>
      <c r="P6521" s="260">
        <v>3.6002399999999999</v>
      </c>
      <c r="Q6521" s="239" t="s">
        <v>9161</v>
      </c>
      <c r="R6521" s="242"/>
      <c r="S6521" s="242"/>
    </row>
    <row r="6522" spans="1:19" s="162" customFormat="1" ht="360" x14ac:dyDescent="0.25">
      <c r="A6522" s="237">
        <v>42638</v>
      </c>
      <c r="B6522" s="237">
        <v>42638</v>
      </c>
      <c r="C6522" s="239">
        <v>2016</v>
      </c>
      <c r="D6522" s="351" t="s">
        <v>23</v>
      </c>
      <c r="E6522" s="267" t="s">
        <v>86</v>
      </c>
      <c r="F6522" s="28" t="s">
        <v>157</v>
      </c>
      <c r="G6522" s="238" t="s">
        <v>401</v>
      </c>
      <c r="H6522" s="238" t="s">
        <v>9234</v>
      </c>
      <c r="I6522" s="239">
        <v>0</v>
      </c>
      <c r="J6522" s="252">
        <v>3000</v>
      </c>
      <c r="K6522" s="239">
        <v>600</v>
      </c>
      <c r="L6522" s="239">
        <v>6</v>
      </c>
      <c r="M6522" s="239">
        <v>0</v>
      </c>
      <c r="N6522" s="239">
        <v>0</v>
      </c>
      <c r="O6522" s="240">
        <v>27.8</v>
      </c>
      <c r="P6522" s="241">
        <f>(K6522*5500)/1000000</f>
        <v>3.3</v>
      </c>
      <c r="Q6522" s="239" t="s">
        <v>154</v>
      </c>
      <c r="R6522" s="242"/>
      <c r="S6522" s="242"/>
    </row>
    <row r="6523" spans="1:19" s="162" customFormat="1" ht="120" x14ac:dyDescent="0.25">
      <c r="A6523" s="237">
        <v>42686</v>
      </c>
      <c r="B6523" s="237">
        <v>42686</v>
      </c>
      <c r="C6523" s="239">
        <v>2016</v>
      </c>
      <c r="D6523" s="351" t="s">
        <v>23</v>
      </c>
      <c r="E6523" s="267" t="s">
        <v>86</v>
      </c>
      <c r="F6523" s="25" t="s">
        <v>781</v>
      </c>
      <c r="G6523" s="238" t="s">
        <v>9235</v>
      </c>
      <c r="H6523" s="238" t="s">
        <v>9236</v>
      </c>
      <c r="I6523" s="239">
        <v>0</v>
      </c>
      <c r="J6523" s="252">
        <v>1856</v>
      </c>
      <c r="K6523" s="239">
        <v>464</v>
      </c>
      <c r="L6523" s="239">
        <v>0</v>
      </c>
      <c r="M6523" s="239">
        <v>0</v>
      </c>
      <c r="N6523" s="239">
        <v>0</v>
      </c>
      <c r="O6523" s="240">
        <v>0</v>
      </c>
      <c r="P6523" s="241">
        <f>(K6523*5500)/1000000</f>
        <v>2.552</v>
      </c>
      <c r="Q6523" s="239" t="s">
        <v>154</v>
      </c>
      <c r="R6523" s="242"/>
      <c r="S6523" s="242"/>
    </row>
    <row r="6524" spans="1:19" s="162" customFormat="1" ht="240" x14ac:dyDescent="0.25">
      <c r="A6524" s="237">
        <v>42627</v>
      </c>
      <c r="B6524" s="237">
        <v>42627</v>
      </c>
      <c r="C6524" s="239">
        <v>2016</v>
      </c>
      <c r="D6524" s="351" t="s">
        <v>23</v>
      </c>
      <c r="E6524" s="267" t="s">
        <v>86</v>
      </c>
      <c r="F6524" s="7" t="s">
        <v>36</v>
      </c>
      <c r="G6524" s="238" t="s">
        <v>9237</v>
      </c>
      <c r="H6524" s="238" t="s">
        <v>9238</v>
      </c>
      <c r="I6524" s="239">
        <v>2</v>
      </c>
      <c r="J6524" s="252">
        <v>8</v>
      </c>
      <c r="K6524" s="239">
        <v>244</v>
      </c>
      <c r="L6524" s="239">
        <v>0</v>
      </c>
      <c r="M6524" s="239">
        <v>0</v>
      </c>
      <c r="N6524" s="239">
        <v>0</v>
      </c>
      <c r="O6524" s="240">
        <v>0</v>
      </c>
      <c r="P6524" s="241">
        <f>(K6524*5500)/1000000</f>
        <v>1.3420000000000001</v>
      </c>
      <c r="Q6524" s="239" t="s">
        <v>154</v>
      </c>
      <c r="R6524" s="242"/>
      <c r="S6524" s="242"/>
    </row>
    <row r="6525" spans="1:19" s="162" customFormat="1" ht="96" x14ac:dyDescent="0.25">
      <c r="A6525" s="237">
        <v>42587</v>
      </c>
      <c r="B6525" s="237">
        <v>42589</v>
      </c>
      <c r="C6525" s="268">
        <v>2016</v>
      </c>
      <c r="D6525" s="351" t="s">
        <v>23</v>
      </c>
      <c r="E6525" s="267" t="s">
        <v>86</v>
      </c>
      <c r="F6525" s="28" t="s">
        <v>160</v>
      </c>
      <c r="G6525" s="238" t="s">
        <v>9239</v>
      </c>
      <c r="H6525" s="259" t="s">
        <v>9240</v>
      </c>
      <c r="I6525" s="239">
        <v>1</v>
      </c>
      <c r="J6525" s="252">
        <v>41</v>
      </c>
      <c r="K6525" s="239">
        <v>8</v>
      </c>
      <c r="L6525" s="239">
        <v>0</v>
      </c>
      <c r="M6525" s="239">
        <v>0</v>
      </c>
      <c r="N6525" s="239">
        <v>0</v>
      </c>
      <c r="O6525" s="240">
        <v>0</v>
      </c>
      <c r="P6525" s="260">
        <v>0.96</v>
      </c>
      <c r="Q6525" s="239" t="s">
        <v>9241</v>
      </c>
      <c r="R6525" s="242"/>
      <c r="S6525" s="242"/>
    </row>
    <row r="6526" spans="1:19" s="162" customFormat="1" ht="84" x14ac:dyDescent="0.25">
      <c r="A6526" s="237">
        <v>42651</v>
      </c>
      <c r="B6526" s="237">
        <v>42651</v>
      </c>
      <c r="C6526" s="239">
        <v>2016</v>
      </c>
      <c r="D6526" s="351" t="s">
        <v>23</v>
      </c>
      <c r="E6526" s="267" t="s">
        <v>86</v>
      </c>
      <c r="F6526" s="28" t="s">
        <v>210</v>
      </c>
      <c r="G6526" s="238" t="s">
        <v>9242</v>
      </c>
      <c r="H6526" s="238" t="s">
        <v>9243</v>
      </c>
      <c r="I6526" s="239">
        <v>0</v>
      </c>
      <c r="J6526" s="252">
        <v>150</v>
      </c>
      <c r="K6526" s="239">
        <v>146</v>
      </c>
      <c r="L6526" s="239">
        <v>0</v>
      </c>
      <c r="M6526" s="239">
        <v>0</v>
      </c>
      <c r="N6526" s="239">
        <v>0</v>
      </c>
      <c r="O6526" s="240">
        <v>0</v>
      </c>
      <c r="P6526" s="241">
        <f>(K6526*5500)/1000000</f>
        <v>0.80300000000000005</v>
      </c>
      <c r="Q6526" s="239" t="s">
        <v>154</v>
      </c>
      <c r="R6526" s="242"/>
      <c r="S6526" s="242"/>
    </row>
    <row r="6527" spans="1:19" s="162" customFormat="1" ht="156" x14ac:dyDescent="0.25">
      <c r="A6527" s="237">
        <v>42572</v>
      </c>
      <c r="B6527" s="237">
        <v>42572</v>
      </c>
      <c r="C6527" s="256">
        <v>2016</v>
      </c>
      <c r="D6527" s="351" t="s">
        <v>23</v>
      </c>
      <c r="E6527" s="267" t="s">
        <v>86</v>
      </c>
      <c r="F6527" s="7" t="s">
        <v>67</v>
      </c>
      <c r="G6527" s="238" t="s">
        <v>2973</v>
      </c>
      <c r="H6527" s="238" t="s">
        <v>9244</v>
      </c>
      <c r="I6527" s="239">
        <v>0</v>
      </c>
      <c r="J6527" s="252">
        <v>100</v>
      </c>
      <c r="K6527" s="239">
        <v>120</v>
      </c>
      <c r="L6527" s="239">
        <v>0</v>
      </c>
      <c r="M6527" s="239">
        <v>0</v>
      </c>
      <c r="N6527" s="239">
        <v>0</v>
      </c>
      <c r="O6527" s="240">
        <v>0</v>
      </c>
      <c r="P6527" s="241">
        <f>(K6527*5500)/1000000</f>
        <v>0.66</v>
      </c>
      <c r="Q6527" s="239" t="s">
        <v>154</v>
      </c>
      <c r="R6527" s="242"/>
      <c r="S6527" s="242"/>
    </row>
    <row r="6528" spans="1:19" s="162" customFormat="1" ht="132" x14ac:dyDescent="0.25">
      <c r="A6528" s="237">
        <v>42666</v>
      </c>
      <c r="B6528" s="237">
        <v>42666</v>
      </c>
      <c r="C6528" s="239">
        <v>2016</v>
      </c>
      <c r="D6528" s="351" t="s">
        <v>23</v>
      </c>
      <c r="E6528" s="267" t="s">
        <v>86</v>
      </c>
      <c r="F6528" s="7" t="s">
        <v>101</v>
      </c>
      <c r="G6528" s="238" t="s">
        <v>9245</v>
      </c>
      <c r="H6528" s="238" t="s">
        <v>9246</v>
      </c>
      <c r="I6528" s="239">
        <v>0</v>
      </c>
      <c r="J6528" s="252">
        <v>0</v>
      </c>
      <c r="K6528" s="239">
        <v>527</v>
      </c>
      <c r="L6528" s="239">
        <v>0</v>
      </c>
      <c r="M6528" s="239">
        <v>0</v>
      </c>
      <c r="N6528" s="239">
        <v>0</v>
      </c>
      <c r="O6528" s="240">
        <v>0</v>
      </c>
      <c r="P6528" s="241">
        <f>(K6528*1050)/1000000</f>
        <v>0.55335000000000001</v>
      </c>
      <c r="Q6528" s="239" t="s">
        <v>154</v>
      </c>
      <c r="R6528" s="242"/>
      <c r="S6528" s="242"/>
    </row>
    <row r="6529" spans="1:19" s="162" customFormat="1" ht="72" x14ac:dyDescent="0.25">
      <c r="A6529" s="237">
        <v>42618</v>
      </c>
      <c r="B6529" s="237">
        <v>42619</v>
      </c>
      <c r="C6529" s="268">
        <v>2016</v>
      </c>
      <c r="D6529" s="351" t="s">
        <v>23</v>
      </c>
      <c r="E6529" s="14" t="s">
        <v>32</v>
      </c>
      <c r="F6529" s="7" t="s">
        <v>33</v>
      </c>
      <c r="G6529" s="238" t="s">
        <v>9247</v>
      </c>
      <c r="H6529" s="259" t="s">
        <v>9248</v>
      </c>
      <c r="I6529" s="239">
        <v>0</v>
      </c>
      <c r="J6529" s="252">
        <v>637026</v>
      </c>
      <c r="K6529" s="239">
        <v>0</v>
      </c>
      <c r="L6529" s="239">
        <v>0</v>
      </c>
      <c r="M6529" s="239">
        <v>0</v>
      </c>
      <c r="N6529" s="239">
        <v>0</v>
      </c>
      <c r="O6529" s="240">
        <v>0</v>
      </c>
      <c r="P6529" s="260">
        <f>30.959398+1398.8</f>
        <v>1429.7593979999999</v>
      </c>
      <c r="Q6529" s="239" t="s">
        <v>9081</v>
      </c>
      <c r="R6529" s="242"/>
      <c r="S6529" s="242"/>
    </row>
    <row r="6530" spans="1:19" s="162" customFormat="1" ht="192" x14ac:dyDescent="0.25">
      <c r="A6530" s="237">
        <v>42618</v>
      </c>
      <c r="B6530" s="237">
        <v>42620</v>
      </c>
      <c r="C6530" s="268">
        <v>2016</v>
      </c>
      <c r="D6530" s="351" t="s">
        <v>23</v>
      </c>
      <c r="E6530" s="14" t="s">
        <v>32</v>
      </c>
      <c r="F6530" s="7" t="s">
        <v>84</v>
      </c>
      <c r="G6530" s="238" t="s">
        <v>9249</v>
      </c>
      <c r="H6530" s="259" t="s">
        <v>9250</v>
      </c>
      <c r="I6530" s="239">
        <v>0</v>
      </c>
      <c r="J6530" s="252">
        <v>19137</v>
      </c>
      <c r="K6530" s="239">
        <v>0</v>
      </c>
      <c r="L6530" s="239">
        <v>0</v>
      </c>
      <c r="M6530" s="239">
        <v>0</v>
      </c>
      <c r="N6530" s="239">
        <v>0</v>
      </c>
      <c r="O6530" s="240">
        <v>0</v>
      </c>
      <c r="P6530" s="260">
        <f>11.265155+1332.463+1.4</f>
        <v>1345.1281550000001</v>
      </c>
      <c r="Q6530" s="239" t="s">
        <v>9251</v>
      </c>
      <c r="R6530" s="242"/>
      <c r="S6530" s="242"/>
    </row>
    <row r="6531" spans="1:19" s="162" customFormat="1" ht="180" x14ac:dyDescent="0.25">
      <c r="A6531" s="237">
        <v>42619</v>
      </c>
      <c r="B6531" s="237">
        <v>42620</v>
      </c>
      <c r="C6531" s="268">
        <v>2016</v>
      </c>
      <c r="D6531" s="351" t="s">
        <v>23</v>
      </c>
      <c r="E6531" s="14" t="s">
        <v>32</v>
      </c>
      <c r="F6531" s="7" t="s">
        <v>87</v>
      </c>
      <c r="G6531" s="238" t="s">
        <v>9252</v>
      </c>
      <c r="H6531" s="259" t="s">
        <v>9253</v>
      </c>
      <c r="I6531" s="239">
        <v>0</v>
      </c>
      <c r="J6531" s="252">
        <v>10000</v>
      </c>
      <c r="K6531" s="239">
        <v>0</v>
      </c>
      <c r="L6531" s="239">
        <v>0</v>
      </c>
      <c r="M6531" s="239">
        <v>0</v>
      </c>
      <c r="N6531" s="239">
        <v>0</v>
      </c>
      <c r="O6531" s="240">
        <v>0</v>
      </c>
      <c r="P6531" s="260">
        <f>18.838357+5.65+138.847</f>
        <v>163.33535700000002</v>
      </c>
      <c r="Q6531" s="239" t="s">
        <v>9081</v>
      </c>
      <c r="R6531" s="242"/>
      <c r="S6531" s="242"/>
    </row>
    <row r="6532" spans="1:19" s="162" customFormat="1" ht="108" x14ac:dyDescent="0.25">
      <c r="A6532" s="237">
        <v>42625</v>
      </c>
      <c r="B6532" s="237">
        <v>42625</v>
      </c>
      <c r="C6532" s="239">
        <v>2016</v>
      </c>
      <c r="D6532" s="351" t="s">
        <v>23</v>
      </c>
      <c r="E6532" s="267" t="s">
        <v>86</v>
      </c>
      <c r="F6532" s="7" t="s">
        <v>65</v>
      </c>
      <c r="G6532" s="238" t="s">
        <v>2952</v>
      </c>
      <c r="H6532" s="238" t="s">
        <v>9254</v>
      </c>
      <c r="I6532" s="239">
        <v>0</v>
      </c>
      <c r="J6532" s="252">
        <v>400</v>
      </c>
      <c r="K6532" s="239">
        <v>100</v>
      </c>
      <c r="L6532" s="239">
        <v>0</v>
      </c>
      <c r="M6532" s="239">
        <v>0</v>
      </c>
      <c r="N6532" s="239">
        <v>0</v>
      </c>
      <c r="O6532" s="240">
        <v>0</v>
      </c>
      <c r="P6532" s="241">
        <f>(K6532*5500)/1000000</f>
        <v>0.55000000000000004</v>
      </c>
      <c r="Q6532" s="239" t="s">
        <v>154</v>
      </c>
      <c r="R6532" s="242"/>
      <c r="S6532" s="242"/>
    </row>
    <row r="6533" spans="1:19" s="162" customFormat="1" ht="228" x14ac:dyDescent="0.25">
      <c r="A6533" s="237">
        <v>42602</v>
      </c>
      <c r="B6533" s="237">
        <v>42602</v>
      </c>
      <c r="C6533" s="239">
        <v>2016</v>
      </c>
      <c r="D6533" s="351" t="s">
        <v>23</v>
      </c>
      <c r="E6533" s="267" t="s">
        <v>86</v>
      </c>
      <c r="F6533" s="7" t="s">
        <v>56</v>
      </c>
      <c r="G6533" s="238" t="s">
        <v>9255</v>
      </c>
      <c r="H6533" s="238" t="s">
        <v>9256</v>
      </c>
      <c r="I6533" s="239">
        <v>0</v>
      </c>
      <c r="J6533" s="252">
        <v>656</v>
      </c>
      <c r="K6533" s="239">
        <v>95</v>
      </c>
      <c r="L6533" s="239">
        <v>0</v>
      </c>
      <c r="M6533" s="239">
        <v>0</v>
      </c>
      <c r="N6533" s="239">
        <v>0</v>
      </c>
      <c r="O6533" s="240">
        <v>0</v>
      </c>
      <c r="P6533" s="241">
        <f>(K6533*5500)/1000000</f>
        <v>0.52249999999999996</v>
      </c>
      <c r="Q6533" s="239" t="s">
        <v>154</v>
      </c>
      <c r="R6533" s="242"/>
      <c r="S6533" s="242"/>
    </row>
    <row r="6534" spans="1:19" s="162" customFormat="1" ht="84" x14ac:dyDescent="0.25">
      <c r="A6534" s="237">
        <v>42614</v>
      </c>
      <c r="B6534" s="237">
        <v>42616</v>
      </c>
      <c r="C6534" s="239">
        <v>2016</v>
      </c>
      <c r="D6534" s="351" t="s">
        <v>23</v>
      </c>
      <c r="E6534" s="267" t="s">
        <v>86</v>
      </c>
      <c r="F6534" s="7" t="s">
        <v>62</v>
      </c>
      <c r="G6534" s="238" t="s">
        <v>1011</v>
      </c>
      <c r="H6534" s="238" t="s">
        <v>9257</v>
      </c>
      <c r="I6534" s="239">
        <v>0</v>
      </c>
      <c r="J6534" s="252">
        <v>138</v>
      </c>
      <c r="K6534" s="239">
        <v>86</v>
      </c>
      <c r="L6534" s="239">
        <v>0</v>
      </c>
      <c r="M6534" s="239">
        <v>0</v>
      </c>
      <c r="N6534" s="239">
        <v>0</v>
      </c>
      <c r="O6534" s="240">
        <v>0</v>
      </c>
      <c r="P6534" s="241">
        <f>(K6534*5500)/1000000</f>
        <v>0.47299999999999998</v>
      </c>
      <c r="Q6534" s="239" t="s">
        <v>154</v>
      </c>
      <c r="R6534" s="242"/>
      <c r="S6534" s="242"/>
    </row>
    <row r="6535" spans="1:19" s="162" customFormat="1" ht="120" x14ac:dyDescent="0.25">
      <c r="A6535" s="237">
        <v>42640</v>
      </c>
      <c r="B6535" s="237">
        <v>42640</v>
      </c>
      <c r="C6535" s="239">
        <v>2016</v>
      </c>
      <c r="D6535" s="35" t="s">
        <v>17</v>
      </c>
      <c r="E6535" s="267" t="s">
        <v>1597</v>
      </c>
      <c r="F6535" s="28" t="s">
        <v>160</v>
      </c>
      <c r="G6535" s="238" t="s">
        <v>4164</v>
      </c>
      <c r="H6535" s="238" t="s">
        <v>9258</v>
      </c>
      <c r="I6535" s="239">
        <v>0</v>
      </c>
      <c r="J6535" s="239">
        <v>4</v>
      </c>
      <c r="K6535" s="239">
        <v>0</v>
      </c>
      <c r="L6535" s="239">
        <v>0</v>
      </c>
      <c r="M6535" s="239">
        <v>0</v>
      </c>
      <c r="N6535" s="239">
        <v>0</v>
      </c>
      <c r="O6535" s="240">
        <v>0</v>
      </c>
      <c r="P6535" s="241">
        <v>0</v>
      </c>
      <c r="Q6535" s="239" t="s">
        <v>154</v>
      </c>
      <c r="R6535" s="242"/>
      <c r="S6535" s="242"/>
    </row>
    <row r="6536" spans="1:19" s="162" customFormat="1" ht="108" x14ac:dyDescent="0.25">
      <c r="A6536" s="237">
        <v>42574</v>
      </c>
      <c r="B6536" s="237">
        <v>42574</v>
      </c>
      <c r="C6536" s="256">
        <v>2016</v>
      </c>
      <c r="D6536" s="351" t="s">
        <v>23</v>
      </c>
      <c r="E6536" s="267" t="s">
        <v>86</v>
      </c>
      <c r="F6536" s="7" t="s">
        <v>56</v>
      </c>
      <c r="G6536" s="238" t="s">
        <v>358</v>
      </c>
      <c r="H6536" s="238" t="s">
        <v>9259</v>
      </c>
      <c r="I6536" s="239">
        <v>0</v>
      </c>
      <c r="J6536" s="252" t="s">
        <v>110</v>
      </c>
      <c r="K6536" s="239">
        <v>67</v>
      </c>
      <c r="L6536" s="239">
        <v>0</v>
      </c>
      <c r="M6536" s="239">
        <v>1</v>
      </c>
      <c r="N6536" s="239">
        <v>4</v>
      </c>
      <c r="O6536" s="240">
        <v>0</v>
      </c>
      <c r="P6536" s="241">
        <f>((67*5500)+(4*10000))/1000000</f>
        <v>0.40849999999999997</v>
      </c>
      <c r="Q6536" s="239" t="s">
        <v>154</v>
      </c>
      <c r="R6536" s="242"/>
      <c r="S6536" s="242"/>
    </row>
    <row r="6537" spans="1:19" s="162" customFormat="1" ht="120" x14ac:dyDescent="0.25">
      <c r="A6537" s="237">
        <v>42612</v>
      </c>
      <c r="B6537" s="237">
        <v>42612</v>
      </c>
      <c r="C6537" s="239">
        <v>2016</v>
      </c>
      <c r="D6537" s="351" t="s">
        <v>23</v>
      </c>
      <c r="E6537" s="267" t="s">
        <v>86</v>
      </c>
      <c r="F6537" s="7" t="s">
        <v>58</v>
      </c>
      <c r="G6537" s="238" t="s">
        <v>9260</v>
      </c>
      <c r="H6537" s="238" t="s">
        <v>9261</v>
      </c>
      <c r="I6537" s="239">
        <v>0</v>
      </c>
      <c r="J6537" s="252">
        <v>0</v>
      </c>
      <c r="K6537" s="239">
        <v>44</v>
      </c>
      <c r="L6537" s="239">
        <v>0</v>
      </c>
      <c r="M6537" s="239">
        <v>0</v>
      </c>
      <c r="N6537" s="239">
        <v>0</v>
      </c>
      <c r="O6537" s="240">
        <v>0</v>
      </c>
      <c r="P6537" s="241">
        <f>(K6537*5500)/1000000</f>
        <v>0.24199999999999999</v>
      </c>
      <c r="Q6537" s="239" t="s">
        <v>154</v>
      </c>
      <c r="R6537" s="242"/>
      <c r="S6537" s="242"/>
    </row>
    <row r="6538" spans="1:19" s="162" customFormat="1" ht="33.75" x14ac:dyDescent="0.25">
      <c r="A6538" s="269">
        <v>42370</v>
      </c>
      <c r="B6538" s="269">
        <v>42735</v>
      </c>
      <c r="C6538" s="266">
        <v>2016</v>
      </c>
      <c r="D6538" s="35" t="s">
        <v>28</v>
      </c>
      <c r="E6538" s="270" t="s">
        <v>29</v>
      </c>
      <c r="F6538" s="7" t="s">
        <v>25</v>
      </c>
      <c r="G6538" s="271" t="s">
        <v>2109</v>
      </c>
      <c r="H6538" s="272" t="s">
        <v>9262</v>
      </c>
      <c r="I6538" s="273">
        <v>0</v>
      </c>
      <c r="J6538" s="274">
        <v>0</v>
      </c>
      <c r="K6538" s="273">
        <v>0</v>
      </c>
      <c r="L6538" s="273">
        <v>0</v>
      </c>
      <c r="M6538" s="273">
        <v>0</v>
      </c>
      <c r="N6538" s="273">
        <v>0</v>
      </c>
      <c r="O6538" s="352">
        <v>2671.7</v>
      </c>
      <c r="P6538" s="260">
        <f t="shared" ref="P6538:P6569" si="18">(O6538*1000)/1000000</f>
        <v>2.6717</v>
      </c>
      <c r="Q6538" s="360" t="s">
        <v>3556</v>
      </c>
      <c r="R6538" s="275"/>
      <c r="S6538" s="275"/>
    </row>
    <row r="6539" spans="1:19" s="162" customFormat="1" ht="33.75" x14ac:dyDescent="0.25">
      <c r="A6539" s="269">
        <v>42370</v>
      </c>
      <c r="B6539" s="269">
        <v>42735</v>
      </c>
      <c r="C6539" s="266">
        <v>2016</v>
      </c>
      <c r="D6539" s="35" t="s">
        <v>28</v>
      </c>
      <c r="E6539" s="270" t="s">
        <v>29</v>
      </c>
      <c r="F6539" s="7" t="s">
        <v>30</v>
      </c>
      <c r="G6539" s="271" t="s">
        <v>2109</v>
      </c>
      <c r="H6539" s="272" t="s">
        <v>9263</v>
      </c>
      <c r="I6539" s="273">
        <v>0</v>
      </c>
      <c r="J6539" s="274">
        <v>0</v>
      </c>
      <c r="K6539" s="273">
        <v>0</v>
      </c>
      <c r="L6539" s="273">
        <v>0</v>
      </c>
      <c r="M6539" s="273">
        <v>0</v>
      </c>
      <c r="N6539" s="273">
        <v>0</v>
      </c>
      <c r="O6539" s="352">
        <v>5727.92</v>
      </c>
      <c r="P6539" s="260">
        <f t="shared" si="18"/>
        <v>5.7279200000000001</v>
      </c>
      <c r="Q6539" s="360" t="s">
        <v>3556</v>
      </c>
      <c r="R6539" s="275"/>
      <c r="S6539" s="275"/>
    </row>
    <row r="6540" spans="1:19" s="162" customFormat="1" ht="33.75" x14ac:dyDescent="0.25">
      <c r="A6540" s="269">
        <v>42370</v>
      </c>
      <c r="B6540" s="269">
        <v>42735</v>
      </c>
      <c r="C6540" s="266">
        <v>2016</v>
      </c>
      <c r="D6540" s="35" t="s">
        <v>28</v>
      </c>
      <c r="E6540" s="270" t="s">
        <v>29</v>
      </c>
      <c r="F6540" s="7" t="s">
        <v>33</v>
      </c>
      <c r="G6540" s="271" t="s">
        <v>2109</v>
      </c>
      <c r="H6540" s="272" t="s">
        <v>9264</v>
      </c>
      <c r="I6540" s="273">
        <v>0</v>
      </c>
      <c r="J6540" s="274">
        <v>0</v>
      </c>
      <c r="K6540" s="273">
        <v>0</v>
      </c>
      <c r="L6540" s="273">
        <v>0</v>
      </c>
      <c r="M6540" s="273">
        <v>0</v>
      </c>
      <c r="N6540" s="273">
        <v>0</v>
      </c>
      <c r="O6540" s="352">
        <v>283.56</v>
      </c>
      <c r="P6540" s="260">
        <f t="shared" si="18"/>
        <v>0.28355999999999998</v>
      </c>
      <c r="Q6540" s="360" t="s">
        <v>3556</v>
      </c>
      <c r="R6540" s="275"/>
      <c r="S6540" s="275"/>
    </row>
    <row r="6541" spans="1:19" s="162" customFormat="1" ht="33.75" x14ac:dyDescent="0.25">
      <c r="A6541" s="269">
        <v>42370</v>
      </c>
      <c r="B6541" s="269">
        <v>42735</v>
      </c>
      <c r="C6541" s="266">
        <v>2016</v>
      </c>
      <c r="D6541" s="35" t="s">
        <v>28</v>
      </c>
      <c r="E6541" s="270" t="s">
        <v>29</v>
      </c>
      <c r="F6541" s="28" t="s">
        <v>151</v>
      </c>
      <c r="G6541" s="271" t="s">
        <v>2109</v>
      </c>
      <c r="H6541" s="272" t="s">
        <v>9265</v>
      </c>
      <c r="I6541" s="273">
        <v>0</v>
      </c>
      <c r="J6541" s="274">
        <v>0</v>
      </c>
      <c r="K6541" s="273">
        <v>0</v>
      </c>
      <c r="L6541" s="273">
        <v>0</v>
      </c>
      <c r="M6541" s="273">
        <v>0</v>
      </c>
      <c r="N6541" s="273">
        <v>0</v>
      </c>
      <c r="O6541" s="352">
        <v>5176.5</v>
      </c>
      <c r="P6541" s="260">
        <f t="shared" si="18"/>
        <v>5.1764999999999999</v>
      </c>
      <c r="Q6541" s="360" t="s">
        <v>3556</v>
      </c>
      <c r="R6541" s="275"/>
      <c r="S6541" s="275"/>
    </row>
    <row r="6542" spans="1:19" s="162" customFormat="1" ht="45" x14ac:dyDescent="0.25">
      <c r="A6542" s="269">
        <v>42370</v>
      </c>
      <c r="B6542" s="269">
        <v>42735</v>
      </c>
      <c r="C6542" s="266">
        <v>2016</v>
      </c>
      <c r="D6542" s="35" t="s">
        <v>28</v>
      </c>
      <c r="E6542" s="270" t="s">
        <v>29</v>
      </c>
      <c r="F6542" s="7" t="s">
        <v>36</v>
      </c>
      <c r="G6542" s="271" t="s">
        <v>2109</v>
      </c>
      <c r="H6542" s="272" t="s">
        <v>9266</v>
      </c>
      <c r="I6542" s="273">
        <v>0</v>
      </c>
      <c r="J6542" s="274">
        <v>0</v>
      </c>
      <c r="K6542" s="273">
        <v>0</v>
      </c>
      <c r="L6542" s="273">
        <v>0</v>
      </c>
      <c r="M6542" s="273">
        <v>0</v>
      </c>
      <c r="N6542" s="273">
        <v>0</v>
      </c>
      <c r="O6542" s="352">
        <v>9017.4</v>
      </c>
      <c r="P6542" s="260">
        <f t="shared" si="18"/>
        <v>9.0174000000000003</v>
      </c>
      <c r="Q6542" s="360" t="s">
        <v>3556</v>
      </c>
      <c r="R6542" s="275"/>
      <c r="S6542" s="275"/>
    </row>
    <row r="6543" spans="1:19" s="162" customFormat="1" ht="45" x14ac:dyDescent="0.25">
      <c r="A6543" s="269">
        <v>42370</v>
      </c>
      <c r="B6543" s="269">
        <v>42735</v>
      </c>
      <c r="C6543" s="266">
        <v>2016</v>
      </c>
      <c r="D6543" s="35" t="s">
        <v>28</v>
      </c>
      <c r="E6543" s="270" t="s">
        <v>29</v>
      </c>
      <c r="F6543" s="7" t="s">
        <v>40</v>
      </c>
      <c r="G6543" s="271" t="s">
        <v>2109</v>
      </c>
      <c r="H6543" s="272" t="s">
        <v>9267</v>
      </c>
      <c r="I6543" s="273">
        <v>0</v>
      </c>
      <c r="J6543" s="274">
        <v>0</v>
      </c>
      <c r="K6543" s="273">
        <v>0</v>
      </c>
      <c r="L6543" s="273">
        <v>0</v>
      </c>
      <c r="M6543" s="273">
        <v>0</v>
      </c>
      <c r="N6543" s="273">
        <v>0</v>
      </c>
      <c r="O6543" s="352">
        <v>13418.33</v>
      </c>
      <c r="P6543" s="260">
        <f t="shared" si="18"/>
        <v>13.418329999999999</v>
      </c>
      <c r="Q6543" s="360" t="s">
        <v>3556</v>
      </c>
      <c r="R6543" s="275"/>
      <c r="S6543" s="275"/>
    </row>
    <row r="6544" spans="1:19" s="162" customFormat="1" ht="45" x14ac:dyDescent="0.25">
      <c r="A6544" s="269">
        <v>42370</v>
      </c>
      <c r="B6544" s="269">
        <v>42735</v>
      </c>
      <c r="C6544" s="266">
        <v>2016</v>
      </c>
      <c r="D6544" s="35" t="s">
        <v>28</v>
      </c>
      <c r="E6544" s="270" t="s">
        <v>29</v>
      </c>
      <c r="F6544" s="7" t="s">
        <v>45</v>
      </c>
      <c r="G6544" s="271" t="s">
        <v>2109</v>
      </c>
      <c r="H6544" s="272" t="s">
        <v>9268</v>
      </c>
      <c r="I6544" s="273">
        <v>0</v>
      </c>
      <c r="J6544" s="274">
        <v>0</v>
      </c>
      <c r="K6544" s="273">
        <v>0</v>
      </c>
      <c r="L6544" s="273">
        <v>0</v>
      </c>
      <c r="M6544" s="273">
        <v>0</v>
      </c>
      <c r="N6544" s="273">
        <v>0</v>
      </c>
      <c r="O6544" s="352">
        <v>4039.65</v>
      </c>
      <c r="P6544" s="260">
        <f t="shared" si="18"/>
        <v>4.03965</v>
      </c>
      <c r="Q6544" s="360" t="s">
        <v>3556</v>
      </c>
      <c r="R6544" s="275"/>
      <c r="S6544" s="275"/>
    </row>
    <row r="6545" spans="1:19" s="162" customFormat="1" ht="33.75" x14ac:dyDescent="0.25">
      <c r="A6545" s="269">
        <v>42370</v>
      </c>
      <c r="B6545" s="269">
        <v>42735</v>
      </c>
      <c r="C6545" s="266">
        <v>2016</v>
      </c>
      <c r="D6545" s="35" t="s">
        <v>28</v>
      </c>
      <c r="E6545" s="270" t="s">
        <v>29</v>
      </c>
      <c r="F6545" s="7" t="s">
        <v>47</v>
      </c>
      <c r="G6545" s="271" t="s">
        <v>2109</v>
      </c>
      <c r="H6545" s="272" t="s">
        <v>9269</v>
      </c>
      <c r="I6545" s="273">
        <v>0</v>
      </c>
      <c r="J6545" s="274">
        <v>0</v>
      </c>
      <c r="K6545" s="273">
        <v>0</v>
      </c>
      <c r="L6545" s="273">
        <v>0</v>
      </c>
      <c r="M6545" s="273">
        <v>0</v>
      </c>
      <c r="N6545" s="273">
        <v>0</v>
      </c>
      <c r="O6545" s="352">
        <v>6120.04</v>
      </c>
      <c r="P6545" s="260">
        <f t="shared" si="18"/>
        <v>6.1200400000000004</v>
      </c>
      <c r="Q6545" s="360" t="s">
        <v>3556</v>
      </c>
      <c r="R6545" s="275"/>
      <c r="S6545" s="275"/>
    </row>
    <row r="6546" spans="1:19" s="162" customFormat="1" ht="33.75" x14ac:dyDescent="0.25">
      <c r="A6546" s="269">
        <v>42370</v>
      </c>
      <c r="B6546" s="269">
        <v>42735</v>
      </c>
      <c r="C6546" s="266">
        <v>2016</v>
      </c>
      <c r="D6546" s="35" t="s">
        <v>28</v>
      </c>
      <c r="E6546" s="270" t="s">
        <v>29</v>
      </c>
      <c r="F6546" s="28" t="s">
        <v>157</v>
      </c>
      <c r="G6546" s="271" t="s">
        <v>2109</v>
      </c>
      <c r="H6546" s="272" t="s">
        <v>9270</v>
      </c>
      <c r="I6546" s="273">
        <v>0</v>
      </c>
      <c r="J6546" s="274">
        <v>0</v>
      </c>
      <c r="K6546" s="273">
        <v>0</v>
      </c>
      <c r="L6546" s="273">
        <v>0</v>
      </c>
      <c r="M6546" s="273">
        <v>0</v>
      </c>
      <c r="N6546" s="273">
        <v>0</v>
      </c>
      <c r="O6546" s="352">
        <v>1535.54</v>
      </c>
      <c r="P6546" s="260">
        <f t="shared" si="18"/>
        <v>1.5355399999999999</v>
      </c>
      <c r="Q6546" s="360" t="s">
        <v>3556</v>
      </c>
      <c r="R6546" s="275"/>
      <c r="S6546" s="275"/>
    </row>
    <row r="6547" spans="1:19" s="162" customFormat="1" ht="45" x14ac:dyDescent="0.25">
      <c r="A6547" s="269">
        <v>42370</v>
      </c>
      <c r="B6547" s="269">
        <v>42735</v>
      </c>
      <c r="C6547" s="266">
        <v>2016</v>
      </c>
      <c r="D6547" s="35" t="s">
        <v>28</v>
      </c>
      <c r="E6547" s="270" t="s">
        <v>29</v>
      </c>
      <c r="F6547" s="7" t="s">
        <v>49</v>
      </c>
      <c r="G6547" s="271" t="s">
        <v>2109</v>
      </c>
      <c r="H6547" s="272" t="s">
        <v>9271</v>
      </c>
      <c r="I6547" s="273">
        <v>0</v>
      </c>
      <c r="J6547" s="274">
        <v>0</v>
      </c>
      <c r="K6547" s="273">
        <v>0</v>
      </c>
      <c r="L6547" s="273">
        <v>0</v>
      </c>
      <c r="M6547" s="273">
        <v>0</v>
      </c>
      <c r="N6547" s="273">
        <v>0</v>
      </c>
      <c r="O6547" s="352">
        <v>9907.9599999999991</v>
      </c>
      <c r="P6547" s="260">
        <f t="shared" si="18"/>
        <v>9.9079599999999992</v>
      </c>
      <c r="Q6547" s="360" t="s">
        <v>3556</v>
      </c>
      <c r="R6547" s="275"/>
      <c r="S6547" s="275"/>
    </row>
    <row r="6548" spans="1:19" s="162" customFormat="1" ht="33.75" x14ac:dyDescent="0.25">
      <c r="A6548" s="269">
        <v>42370</v>
      </c>
      <c r="B6548" s="269">
        <v>42735</v>
      </c>
      <c r="C6548" s="266">
        <v>2016</v>
      </c>
      <c r="D6548" s="35" t="s">
        <v>28</v>
      </c>
      <c r="E6548" s="270" t="s">
        <v>29</v>
      </c>
      <c r="F6548" s="7" t="s">
        <v>56</v>
      </c>
      <c r="G6548" s="271" t="s">
        <v>2109</v>
      </c>
      <c r="H6548" s="272" t="s">
        <v>9272</v>
      </c>
      <c r="I6548" s="273">
        <v>0</v>
      </c>
      <c r="J6548" s="274">
        <v>0</v>
      </c>
      <c r="K6548" s="273">
        <v>0</v>
      </c>
      <c r="L6548" s="273">
        <v>0</v>
      </c>
      <c r="M6548" s="273">
        <v>0</v>
      </c>
      <c r="N6548" s="273">
        <v>0</v>
      </c>
      <c r="O6548" s="352">
        <v>2380.2600000000002</v>
      </c>
      <c r="P6548" s="260">
        <f t="shared" si="18"/>
        <v>2.3802599999999998</v>
      </c>
      <c r="Q6548" s="360" t="s">
        <v>3556</v>
      </c>
      <c r="R6548" s="275"/>
      <c r="S6548" s="275"/>
    </row>
    <row r="6549" spans="1:19" s="162" customFormat="1" ht="33.75" x14ac:dyDescent="0.25">
      <c r="A6549" s="269">
        <v>42370</v>
      </c>
      <c r="B6549" s="269">
        <v>42735</v>
      </c>
      <c r="C6549" s="266">
        <v>2016</v>
      </c>
      <c r="D6549" s="35" t="s">
        <v>28</v>
      </c>
      <c r="E6549" s="270" t="s">
        <v>29</v>
      </c>
      <c r="F6549" s="7" t="s">
        <v>58</v>
      </c>
      <c r="G6549" s="271" t="s">
        <v>2109</v>
      </c>
      <c r="H6549" s="272" t="s">
        <v>9273</v>
      </c>
      <c r="I6549" s="273">
        <v>0</v>
      </c>
      <c r="J6549" s="274">
        <v>0</v>
      </c>
      <c r="K6549" s="273">
        <v>0</v>
      </c>
      <c r="L6549" s="273">
        <v>0</v>
      </c>
      <c r="M6549" s="273">
        <v>0</v>
      </c>
      <c r="N6549" s="273">
        <v>0</v>
      </c>
      <c r="O6549" s="352">
        <v>11128.43</v>
      </c>
      <c r="P6549" s="260">
        <f t="shared" si="18"/>
        <v>11.12843</v>
      </c>
      <c r="Q6549" s="360" t="s">
        <v>3556</v>
      </c>
      <c r="R6549" s="275"/>
      <c r="S6549" s="275"/>
    </row>
    <row r="6550" spans="1:19" s="162" customFormat="1" ht="45" x14ac:dyDescent="0.25">
      <c r="A6550" s="269">
        <v>42370</v>
      </c>
      <c r="B6550" s="269">
        <v>42735</v>
      </c>
      <c r="C6550" s="266">
        <v>2016</v>
      </c>
      <c r="D6550" s="35" t="s">
        <v>28</v>
      </c>
      <c r="E6550" s="270" t="s">
        <v>29</v>
      </c>
      <c r="F6550" s="28" t="s">
        <v>160</v>
      </c>
      <c r="G6550" s="271" t="s">
        <v>2109</v>
      </c>
      <c r="H6550" s="272" t="s">
        <v>9274</v>
      </c>
      <c r="I6550" s="273">
        <v>0</v>
      </c>
      <c r="J6550" s="274">
        <v>0</v>
      </c>
      <c r="K6550" s="273">
        <v>0</v>
      </c>
      <c r="L6550" s="273">
        <v>0</v>
      </c>
      <c r="M6550" s="273">
        <v>0</v>
      </c>
      <c r="N6550" s="273">
        <v>0</v>
      </c>
      <c r="O6550" s="352">
        <v>3206.15</v>
      </c>
      <c r="P6550" s="260">
        <f t="shared" si="18"/>
        <v>3.2061500000000001</v>
      </c>
      <c r="Q6550" s="360" t="s">
        <v>3556</v>
      </c>
      <c r="R6550" s="275"/>
      <c r="S6550" s="275"/>
    </row>
    <row r="6551" spans="1:19" s="162" customFormat="1" ht="45" x14ac:dyDescent="0.25">
      <c r="A6551" s="269">
        <v>42370</v>
      </c>
      <c r="B6551" s="269">
        <v>42735</v>
      </c>
      <c r="C6551" s="266">
        <v>2016</v>
      </c>
      <c r="D6551" s="35" t="s">
        <v>28</v>
      </c>
      <c r="E6551" s="270" t="s">
        <v>29</v>
      </c>
      <c r="F6551" s="7" t="s">
        <v>60</v>
      </c>
      <c r="G6551" s="271" t="s">
        <v>2109</v>
      </c>
      <c r="H6551" s="272" t="s">
        <v>9275</v>
      </c>
      <c r="I6551" s="273">
        <v>0</v>
      </c>
      <c r="J6551" s="274">
        <v>0</v>
      </c>
      <c r="K6551" s="273">
        <v>0</v>
      </c>
      <c r="L6551" s="273">
        <v>0</v>
      </c>
      <c r="M6551" s="273">
        <v>0</v>
      </c>
      <c r="N6551" s="273">
        <v>0</v>
      </c>
      <c r="O6551" s="352">
        <v>68245.58</v>
      </c>
      <c r="P6551" s="260">
        <f t="shared" si="18"/>
        <v>68.245580000000004</v>
      </c>
      <c r="Q6551" s="360" t="s">
        <v>3556</v>
      </c>
      <c r="R6551" s="275"/>
      <c r="S6551" s="275"/>
    </row>
    <row r="6552" spans="1:19" s="162" customFormat="1" ht="45" x14ac:dyDescent="0.25">
      <c r="A6552" s="269">
        <v>42370</v>
      </c>
      <c r="B6552" s="269">
        <v>42735</v>
      </c>
      <c r="C6552" s="266">
        <v>2016</v>
      </c>
      <c r="D6552" s="35" t="s">
        <v>28</v>
      </c>
      <c r="E6552" s="270" t="s">
        <v>29</v>
      </c>
      <c r="F6552" s="7" t="s">
        <v>53</v>
      </c>
      <c r="G6552" s="271" t="s">
        <v>2109</v>
      </c>
      <c r="H6552" s="272" t="s">
        <v>9276</v>
      </c>
      <c r="I6552" s="273">
        <v>0</v>
      </c>
      <c r="J6552" s="274">
        <v>0</v>
      </c>
      <c r="K6552" s="273">
        <v>0</v>
      </c>
      <c r="L6552" s="273">
        <v>0</v>
      </c>
      <c r="M6552" s="273">
        <v>0</v>
      </c>
      <c r="N6552" s="273">
        <v>0</v>
      </c>
      <c r="O6552" s="352">
        <v>5935.45</v>
      </c>
      <c r="P6552" s="260">
        <f t="shared" si="18"/>
        <v>5.9354500000000003</v>
      </c>
      <c r="Q6552" s="360" t="s">
        <v>3556</v>
      </c>
      <c r="R6552" s="275"/>
      <c r="S6552" s="275"/>
    </row>
    <row r="6553" spans="1:19" s="162" customFormat="1" ht="45" x14ac:dyDescent="0.25">
      <c r="A6553" s="269">
        <v>42370</v>
      </c>
      <c r="B6553" s="269">
        <v>42735</v>
      </c>
      <c r="C6553" s="266">
        <v>2016</v>
      </c>
      <c r="D6553" s="35" t="s">
        <v>28</v>
      </c>
      <c r="E6553" s="270" t="s">
        <v>29</v>
      </c>
      <c r="F6553" s="7" t="s">
        <v>62</v>
      </c>
      <c r="G6553" s="271" t="s">
        <v>2109</v>
      </c>
      <c r="H6553" s="272" t="s">
        <v>9277</v>
      </c>
      <c r="I6553" s="273">
        <v>0</v>
      </c>
      <c r="J6553" s="274">
        <v>0</v>
      </c>
      <c r="K6553" s="273">
        <v>0</v>
      </c>
      <c r="L6553" s="273">
        <v>0</v>
      </c>
      <c r="M6553" s="273">
        <v>0</v>
      </c>
      <c r="N6553" s="273">
        <v>0</v>
      </c>
      <c r="O6553" s="352">
        <v>18097.78</v>
      </c>
      <c r="P6553" s="260">
        <f t="shared" si="18"/>
        <v>18.09778</v>
      </c>
      <c r="Q6553" s="360" t="s">
        <v>3556</v>
      </c>
      <c r="R6553" s="275"/>
      <c r="S6553" s="275"/>
    </row>
    <row r="6554" spans="1:19" s="162" customFormat="1" ht="45" x14ac:dyDescent="0.25">
      <c r="A6554" s="269">
        <v>42370</v>
      </c>
      <c r="B6554" s="269">
        <v>42735</v>
      </c>
      <c r="C6554" s="266">
        <v>2016</v>
      </c>
      <c r="D6554" s="35" t="s">
        <v>28</v>
      </c>
      <c r="E6554" s="270" t="s">
        <v>29</v>
      </c>
      <c r="F6554" s="7" t="s">
        <v>65</v>
      </c>
      <c r="G6554" s="271" t="s">
        <v>2109</v>
      </c>
      <c r="H6554" s="272" t="s">
        <v>9278</v>
      </c>
      <c r="I6554" s="273">
        <v>0</v>
      </c>
      <c r="J6554" s="274">
        <v>0</v>
      </c>
      <c r="K6554" s="273">
        <v>0</v>
      </c>
      <c r="L6554" s="273">
        <v>0</v>
      </c>
      <c r="M6554" s="273">
        <v>0</v>
      </c>
      <c r="N6554" s="273">
        <v>0</v>
      </c>
      <c r="O6554" s="352">
        <v>1424.26</v>
      </c>
      <c r="P6554" s="260">
        <f t="shared" si="18"/>
        <v>1.4242600000000001</v>
      </c>
      <c r="Q6554" s="360" t="s">
        <v>3556</v>
      </c>
      <c r="R6554" s="275"/>
      <c r="S6554" s="275"/>
    </row>
    <row r="6555" spans="1:19" s="162" customFormat="1" ht="33.75" x14ac:dyDescent="0.25">
      <c r="A6555" s="269">
        <v>42370</v>
      </c>
      <c r="B6555" s="269">
        <v>42735</v>
      </c>
      <c r="C6555" s="266">
        <v>2016</v>
      </c>
      <c r="D6555" s="35" t="s">
        <v>28</v>
      </c>
      <c r="E6555" s="270" t="s">
        <v>29</v>
      </c>
      <c r="F6555" s="7" t="s">
        <v>67</v>
      </c>
      <c r="G6555" s="271" t="s">
        <v>2109</v>
      </c>
      <c r="H6555" s="272" t="s">
        <v>9279</v>
      </c>
      <c r="I6555" s="273">
        <v>0</v>
      </c>
      <c r="J6555" s="274">
        <v>0</v>
      </c>
      <c r="K6555" s="273">
        <v>0</v>
      </c>
      <c r="L6555" s="273">
        <v>0</v>
      </c>
      <c r="M6555" s="273">
        <v>0</v>
      </c>
      <c r="N6555" s="273">
        <v>0</v>
      </c>
      <c r="O6555" s="352">
        <v>2740</v>
      </c>
      <c r="P6555" s="260">
        <f t="shared" si="18"/>
        <v>2.74</v>
      </c>
      <c r="Q6555" s="360" t="s">
        <v>3556</v>
      </c>
      <c r="R6555" s="275"/>
      <c r="S6555" s="275"/>
    </row>
    <row r="6556" spans="1:19" s="162" customFormat="1" ht="33.75" x14ac:dyDescent="0.25">
      <c r="A6556" s="269">
        <v>42370</v>
      </c>
      <c r="B6556" s="269">
        <v>42735</v>
      </c>
      <c r="C6556" s="266">
        <v>2016</v>
      </c>
      <c r="D6556" s="35" t="s">
        <v>28</v>
      </c>
      <c r="E6556" s="270" t="s">
        <v>29</v>
      </c>
      <c r="F6556" s="7" t="s">
        <v>68</v>
      </c>
      <c r="G6556" s="271" t="s">
        <v>2109</v>
      </c>
      <c r="H6556" s="272" t="s">
        <v>9280</v>
      </c>
      <c r="I6556" s="273">
        <v>0</v>
      </c>
      <c r="J6556" s="274">
        <v>0</v>
      </c>
      <c r="K6556" s="273">
        <v>0</v>
      </c>
      <c r="L6556" s="273">
        <v>0</v>
      </c>
      <c r="M6556" s="273">
        <v>0</v>
      </c>
      <c r="N6556" s="273">
        <v>0</v>
      </c>
      <c r="O6556" s="352">
        <v>1192.6300000000001</v>
      </c>
      <c r="P6556" s="260">
        <f t="shared" si="18"/>
        <v>1.1926300000000001</v>
      </c>
      <c r="Q6556" s="360" t="s">
        <v>3556</v>
      </c>
      <c r="R6556" s="275"/>
      <c r="S6556" s="275"/>
    </row>
    <row r="6557" spans="1:19" s="162" customFormat="1" ht="45" x14ac:dyDescent="0.25">
      <c r="A6557" s="269">
        <v>42370</v>
      </c>
      <c r="B6557" s="269">
        <v>42735</v>
      </c>
      <c r="C6557" s="266">
        <v>2016</v>
      </c>
      <c r="D6557" s="35" t="s">
        <v>28</v>
      </c>
      <c r="E6557" s="270" t="s">
        <v>29</v>
      </c>
      <c r="F6557" s="7" t="s">
        <v>72</v>
      </c>
      <c r="G6557" s="271" t="s">
        <v>2109</v>
      </c>
      <c r="H6557" s="272" t="s">
        <v>9281</v>
      </c>
      <c r="I6557" s="273">
        <v>0</v>
      </c>
      <c r="J6557" s="274">
        <v>0</v>
      </c>
      <c r="K6557" s="273">
        <v>0</v>
      </c>
      <c r="L6557" s="273">
        <v>0</v>
      </c>
      <c r="M6557" s="273">
        <v>0</v>
      </c>
      <c r="N6557" s="273">
        <v>0</v>
      </c>
      <c r="O6557" s="352">
        <v>21287.69</v>
      </c>
      <c r="P6557" s="260">
        <f t="shared" si="18"/>
        <v>21.287690000000001</v>
      </c>
      <c r="Q6557" s="360" t="s">
        <v>3556</v>
      </c>
      <c r="R6557" s="275"/>
      <c r="S6557" s="275"/>
    </row>
    <row r="6558" spans="1:19" s="162" customFormat="1" ht="45" x14ac:dyDescent="0.25">
      <c r="A6558" s="269">
        <v>42370</v>
      </c>
      <c r="B6558" s="269">
        <v>42735</v>
      </c>
      <c r="C6558" s="266">
        <v>2016</v>
      </c>
      <c r="D6558" s="35" t="s">
        <v>28</v>
      </c>
      <c r="E6558" s="270" t="s">
        <v>29</v>
      </c>
      <c r="F6558" s="7" t="s">
        <v>75</v>
      </c>
      <c r="G6558" s="271" t="s">
        <v>2109</v>
      </c>
      <c r="H6558" s="272" t="s">
        <v>9282</v>
      </c>
      <c r="I6558" s="273">
        <v>0</v>
      </c>
      <c r="J6558" s="274">
        <v>0</v>
      </c>
      <c r="K6558" s="273">
        <v>0</v>
      </c>
      <c r="L6558" s="273">
        <v>0</v>
      </c>
      <c r="M6558" s="273">
        <v>0</v>
      </c>
      <c r="N6558" s="273">
        <v>0</v>
      </c>
      <c r="O6558" s="352">
        <v>8953.0300000000007</v>
      </c>
      <c r="P6558" s="260">
        <f t="shared" si="18"/>
        <v>8.95303</v>
      </c>
      <c r="Q6558" s="360" t="s">
        <v>3556</v>
      </c>
      <c r="R6558" s="275"/>
      <c r="S6558" s="275"/>
    </row>
    <row r="6559" spans="1:19" s="162" customFormat="1" ht="33.75" x14ac:dyDescent="0.25">
      <c r="A6559" s="269">
        <v>42370</v>
      </c>
      <c r="B6559" s="269">
        <v>42735</v>
      </c>
      <c r="C6559" s="266">
        <v>2016</v>
      </c>
      <c r="D6559" s="35" t="s">
        <v>28</v>
      </c>
      <c r="E6559" s="270" t="s">
        <v>29</v>
      </c>
      <c r="F6559" s="7" t="s">
        <v>77</v>
      </c>
      <c r="G6559" s="271" t="s">
        <v>2109</v>
      </c>
      <c r="H6559" s="272" t="s">
        <v>9283</v>
      </c>
      <c r="I6559" s="273">
        <v>0</v>
      </c>
      <c r="J6559" s="274">
        <v>0</v>
      </c>
      <c r="K6559" s="273">
        <v>0</v>
      </c>
      <c r="L6559" s="273">
        <v>0</v>
      </c>
      <c r="M6559" s="273">
        <v>0</v>
      </c>
      <c r="N6559" s="273">
        <v>0</v>
      </c>
      <c r="O6559" s="352">
        <v>1413.49</v>
      </c>
      <c r="P6559" s="260">
        <f t="shared" si="18"/>
        <v>1.4134899999999999</v>
      </c>
      <c r="Q6559" s="360" t="s">
        <v>3556</v>
      </c>
      <c r="R6559" s="275"/>
      <c r="S6559" s="275"/>
    </row>
    <row r="6560" spans="1:19" s="162" customFormat="1" ht="33.75" x14ac:dyDescent="0.25">
      <c r="A6560" s="269">
        <v>42370</v>
      </c>
      <c r="B6560" s="269">
        <v>42735</v>
      </c>
      <c r="C6560" s="266">
        <v>2016</v>
      </c>
      <c r="D6560" s="35" t="s">
        <v>28</v>
      </c>
      <c r="E6560" s="270" t="s">
        <v>29</v>
      </c>
      <c r="F6560" s="7" t="s">
        <v>80</v>
      </c>
      <c r="G6560" s="271" t="s">
        <v>2109</v>
      </c>
      <c r="H6560" s="272" t="s">
        <v>9284</v>
      </c>
      <c r="I6560" s="273">
        <v>0</v>
      </c>
      <c r="J6560" s="274">
        <v>0</v>
      </c>
      <c r="K6560" s="273">
        <v>0</v>
      </c>
      <c r="L6560" s="273">
        <v>0</v>
      </c>
      <c r="M6560" s="273">
        <v>0</v>
      </c>
      <c r="N6560" s="273">
        <v>0</v>
      </c>
      <c r="O6560" s="352">
        <v>2301.4499999999998</v>
      </c>
      <c r="P6560" s="260">
        <f t="shared" si="18"/>
        <v>2.30145</v>
      </c>
      <c r="Q6560" s="360" t="s">
        <v>3556</v>
      </c>
      <c r="R6560" s="275"/>
      <c r="S6560" s="275"/>
    </row>
    <row r="6561" spans="1:19" s="162" customFormat="1" ht="45" x14ac:dyDescent="0.25">
      <c r="A6561" s="269">
        <v>42370</v>
      </c>
      <c r="B6561" s="269">
        <v>42735</v>
      </c>
      <c r="C6561" s="266">
        <v>2016</v>
      </c>
      <c r="D6561" s="35" t="s">
        <v>28</v>
      </c>
      <c r="E6561" s="270" t="s">
        <v>29</v>
      </c>
      <c r="F6561" s="7" t="s">
        <v>82</v>
      </c>
      <c r="G6561" s="271" t="s">
        <v>2109</v>
      </c>
      <c r="H6561" s="272" t="s">
        <v>9285</v>
      </c>
      <c r="I6561" s="273">
        <v>0</v>
      </c>
      <c r="J6561" s="274">
        <v>0</v>
      </c>
      <c r="K6561" s="273">
        <v>0</v>
      </c>
      <c r="L6561" s="273">
        <v>0</v>
      </c>
      <c r="M6561" s="273">
        <v>0</v>
      </c>
      <c r="N6561" s="273">
        <v>0</v>
      </c>
      <c r="O6561" s="352">
        <v>2974.62</v>
      </c>
      <c r="P6561" s="260">
        <f t="shared" si="18"/>
        <v>2.9746199999999998</v>
      </c>
      <c r="Q6561" s="360" t="s">
        <v>3556</v>
      </c>
      <c r="R6561" s="275"/>
      <c r="S6561" s="275"/>
    </row>
    <row r="6562" spans="1:19" s="162" customFormat="1" ht="33.75" x14ac:dyDescent="0.25">
      <c r="A6562" s="269">
        <v>42370</v>
      </c>
      <c r="B6562" s="269">
        <v>42735</v>
      </c>
      <c r="C6562" s="266">
        <v>2016</v>
      </c>
      <c r="D6562" s="35" t="s">
        <v>28</v>
      </c>
      <c r="E6562" s="270" t="s">
        <v>29</v>
      </c>
      <c r="F6562" s="7" t="s">
        <v>84</v>
      </c>
      <c r="G6562" s="271" t="s">
        <v>2109</v>
      </c>
      <c r="H6562" s="272" t="s">
        <v>9286</v>
      </c>
      <c r="I6562" s="273">
        <v>0</v>
      </c>
      <c r="J6562" s="274">
        <v>0</v>
      </c>
      <c r="K6562" s="273">
        <v>0</v>
      </c>
      <c r="L6562" s="273">
        <v>0</v>
      </c>
      <c r="M6562" s="273">
        <v>0</v>
      </c>
      <c r="N6562" s="273">
        <v>0</v>
      </c>
      <c r="O6562" s="352">
        <v>1557.12</v>
      </c>
      <c r="P6562" s="260">
        <f t="shared" si="18"/>
        <v>1.5571200000000001</v>
      </c>
      <c r="Q6562" s="360" t="s">
        <v>3556</v>
      </c>
      <c r="R6562" s="275"/>
      <c r="S6562" s="275"/>
    </row>
    <row r="6563" spans="1:19" s="162" customFormat="1" ht="33.75" x14ac:dyDescent="0.25">
      <c r="A6563" s="269">
        <v>42370</v>
      </c>
      <c r="B6563" s="269">
        <v>42735</v>
      </c>
      <c r="C6563" s="266">
        <v>2016</v>
      </c>
      <c r="D6563" s="35" t="s">
        <v>28</v>
      </c>
      <c r="E6563" s="270" t="s">
        <v>29</v>
      </c>
      <c r="F6563" s="7" t="s">
        <v>87</v>
      </c>
      <c r="G6563" s="271" t="s">
        <v>2109</v>
      </c>
      <c r="H6563" s="272" t="s">
        <v>9287</v>
      </c>
      <c r="I6563" s="273">
        <v>0</v>
      </c>
      <c r="J6563" s="274">
        <v>0</v>
      </c>
      <c r="K6563" s="273">
        <v>0</v>
      </c>
      <c r="L6563" s="273">
        <v>0</v>
      </c>
      <c r="M6563" s="273">
        <v>0</v>
      </c>
      <c r="N6563" s="273">
        <v>0</v>
      </c>
      <c r="O6563" s="352">
        <v>39271.230000000003</v>
      </c>
      <c r="P6563" s="260">
        <f t="shared" si="18"/>
        <v>39.271230000000003</v>
      </c>
      <c r="Q6563" s="360" t="s">
        <v>3556</v>
      </c>
      <c r="R6563" s="275"/>
      <c r="S6563" s="275"/>
    </row>
    <row r="6564" spans="1:19" s="162" customFormat="1" ht="22.5" x14ac:dyDescent="0.25">
      <c r="A6564" s="269">
        <v>42370</v>
      </c>
      <c r="B6564" s="269">
        <v>42735</v>
      </c>
      <c r="C6564" s="266">
        <v>2016</v>
      </c>
      <c r="D6564" s="35" t="s">
        <v>28</v>
      </c>
      <c r="E6564" s="270" t="s">
        <v>29</v>
      </c>
      <c r="F6564" s="25" t="s">
        <v>781</v>
      </c>
      <c r="G6564" s="271" t="s">
        <v>2109</v>
      </c>
      <c r="H6564" s="272" t="s">
        <v>9288</v>
      </c>
      <c r="I6564" s="273">
        <v>0</v>
      </c>
      <c r="J6564" s="274">
        <v>0</v>
      </c>
      <c r="K6564" s="273">
        <v>0</v>
      </c>
      <c r="L6564" s="273">
        <v>0</v>
      </c>
      <c r="M6564" s="273">
        <v>0</v>
      </c>
      <c r="N6564" s="273">
        <v>0</v>
      </c>
      <c r="O6564" s="352">
        <v>3048.87</v>
      </c>
      <c r="P6564" s="260">
        <f t="shared" si="18"/>
        <v>3.04887</v>
      </c>
      <c r="Q6564" s="360" t="s">
        <v>3556</v>
      </c>
      <c r="R6564" s="275"/>
      <c r="S6564" s="275"/>
    </row>
    <row r="6565" spans="1:19" s="162" customFormat="1" ht="33.75" x14ac:dyDescent="0.25">
      <c r="A6565" s="269">
        <v>42370</v>
      </c>
      <c r="B6565" s="269">
        <v>42735</v>
      </c>
      <c r="C6565" s="266">
        <v>2016</v>
      </c>
      <c r="D6565" s="35" t="s">
        <v>28</v>
      </c>
      <c r="E6565" s="270" t="s">
        <v>29</v>
      </c>
      <c r="F6565" s="7" t="s">
        <v>91</v>
      </c>
      <c r="G6565" s="271" t="s">
        <v>2109</v>
      </c>
      <c r="H6565" s="272" t="s">
        <v>9289</v>
      </c>
      <c r="I6565" s="273">
        <v>0</v>
      </c>
      <c r="J6565" s="274">
        <v>0</v>
      </c>
      <c r="K6565" s="273">
        <v>0</v>
      </c>
      <c r="L6565" s="273">
        <v>0</v>
      </c>
      <c r="M6565" s="273">
        <v>0</v>
      </c>
      <c r="N6565" s="273">
        <v>0</v>
      </c>
      <c r="O6565" s="352">
        <v>640.5</v>
      </c>
      <c r="P6565" s="260">
        <f t="shared" si="18"/>
        <v>0.64049999999999996</v>
      </c>
      <c r="Q6565" s="360" t="s">
        <v>3556</v>
      </c>
      <c r="R6565" s="275"/>
      <c r="S6565" s="275"/>
    </row>
    <row r="6566" spans="1:19" s="162" customFormat="1" ht="33.75" x14ac:dyDescent="0.25">
      <c r="A6566" s="269">
        <v>42370</v>
      </c>
      <c r="B6566" s="269">
        <v>42735</v>
      </c>
      <c r="C6566" s="266">
        <v>2016</v>
      </c>
      <c r="D6566" s="35" t="s">
        <v>28</v>
      </c>
      <c r="E6566" s="270" t="s">
        <v>29</v>
      </c>
      <c r="F6566" s="7" t="s">
        <v>97</v>
      </c>
      <c r="G6566" s="271" t="s">
        <v>2109</v>
      </c>
      <c r="H6566" s="272" t="s">
        <v>9290</v>
      </c>
      <c r="I6566" s="273">
        <v>0</v>
      </c>
      <c r="J6566" s="274">
        <v>0</v>
      </c>
      <c r="K6566" s="273">
        <v>0</v>
      </c>
      <c r="L6566" s="273">
        <v>0</v>
      </c>
      <c r="M6566" s="273">
        <v>0</v>
      </c>
      <c r="N6566" s="273">
        <v>0</v>
      </c>
      <c r="O6566" s="352">
        <v>1497.88</v>
      </c>
      <c r="P6566" s="260">
        <f t="shared" si="18"/>
        <v>1.4978800000000001</v>
      </c>
      <c r="Q6566" s="360" t="s">
        <v>3556</v>
      </c>
      <c r="R6566" s="275"/>
      <c r="S6566" s="275"/>
    </row>
    <row r="6567" spans="1:19" s="162" customFormat="1" ht="33.75" x14ac:dyDescent="0.25">
      <c r="A6567" s="269">
        <v>42370</v>
      </c>
      <c r="B6567" s="269">
        <v>42735</v>
      </c>
      <c r="C6567" s="266">
        <v>2016</v>
      </c>
      <c r="D6567" s="35" t="s">
        <v>28</v>
      </c>
      <c r="E6567" s="270" t="s">
        <v>29</v>
      </c>
      <c r="F6567" s="28" t="s">
        <v>210</v>
      </c>
      <c r="G6567" s="271" t="s">
        <v>2109</v>
      </c>
      <c r="H6567" s="272" t="s">
        <v>9291</v>
      </c>
      <c r="I6567" s="273">
        <v>0</v>
      </c>
      <c r="J6567" s="274">
        <v>0</v>
      </c>
      <c r="K6567" s="273">
        <v>0</v>
      </c>
      <c r="L6567" s="273">
        <v>0</v>
      </c>
      <c r="M6567" s="273">
        <v>0</v>
      </c>
      <c r="N6567" s="273">
        <v>0</v>
      </c>
      <c r="O6567" s="352">
        <v>3011.25</v>
      </c>
      <c r="P6567" s="260">
        <f t="shared" si="18"/>
        <v>3.01125</v>
      </c>
      <c r="Q6567" s="360" t="s">
        <v>3556</v>
      </c>
      <c r="R6567" s="275"/>
      <c r="S6567" s="275"/>
    </row>
    <row r="6568" spans="1:19" s="162" customFormat="1" ht="45" x14ac:dyDescent="0.25">
      <c r="A6568" s="269">
        <v>42370</v>
      </c>
      <c r="B6568" s="269">
        <v>42735</v>
      </c>
      <c r="C6568" s="266">
        <v>2016</v>
      </c>
      <c r="D6568" s="35" t="s">
        <v>28</v>
      </c>
      <c r="E6568" s="270" t="s">
        <v>29</v>
      </c>
      <c r="F6568" s="28" t="s">
        <v>163</v>
      </c>
      <c r="G6568" s="271" t="s">
        <v>2109</v>
      </c>
      <c r="H6568" s="272" t="s">
        <v>9292</v>
      </c>
      <c r="I6568" s="273">
        <v>0</v>
      </c>
      <c r="J6568" s="274">
        <v>0</v>
      </c>
      <c r="K6568" s="273">
        <v>0</v>
      </c>
      <c r="L6568" s="273">
        <v>0</v>
      </c>
      <c r="M6568" s="273">
        <v>0</v>
      </c>
      <c r="N6568" s="273">
        <v>0</v>
      </c>
      <c r="O6568" s="352">
        <v>7020.9</v>
      </c>
      <c r="P6568" s="260">
        <f t="shared" si="18"/>
        <v>7.0209000000000001</v>
      </c>
      <c r="Q6568" s="360" t="s">
        <v>3556</v>
      </c>
      <c r="R6568" s="275"/>
      <c r="S6568" s="275"/>
    </row>
    <row r="6569" spans="1:19" s="162" customFormat="1" ht="33.75" x14ac:dyDescent="0.25">
      <c r="A6569" s="269">
        <v>42370</v>
      </c>
      <c r="B6569" s="269">
        <v>42735</v>
      </c>
      <c r="C6569" s="266">
        <v>2016</v>
      </c>
      <c r="D6569" s="35" t="s">
        <v>28</v>
      </c>
      <c r="E6569" s="270" t="s">
        <v>29</v>
      </c>
      <c r="F6569" s="7" t="s">
        <v>101</v>
      </c>
      <c r="G6569" s="271" t="s">
        <v>2109</v>
      </c>
      <c r="H6569" s="272" t="s">
        <v>9293</v>
      </c>
      <c r="I6569" s="273">
        <v>0</v>
      </c>
      <c r="J6569" s="274">
        <v>0</v>
      </c>
      <c r="K6569" s="273">
        <v>0</v>
      </c>
      <c r="L6569" s="273">
        <v>0</v>
      </c>
      <c r="M6569" s="273">
        <v>0</v>
      </c>
      <c r="N6569" s="273">
        <v>0</v>
      </c>
      <c r="O6569" s="352">
        <v>7389.51</v>
      </c>
      <c r="P6569" s="260">
        <f t="shared" si="18"/>
        <v>7.3895099999999996</v>
      </c>
      <c r="Q6569" s="360" t="s">
        <v>3556</v>
      </c>
      <c r="R6569" s="275"/>
      <c r="S6569" s="275"/>
    </row>
    <row r="6570" spans="1:19" s="162" customFormat="1" ht="216" x14ac:dyDescent="0.25">
      <c r="A6570" s="231">
        <v>42561</v>
      </c>
      <c r="B6570" s="231">
        <v>42561</v>
      </c>
      <c r="C6570" s="256">
        <v>2016</v>
      </c>
      <c r="D6570" s="351" t="s">
        <v>23</v>
      </c>
      <c r="E6570" s="267" t="s">
        <v>86</v>
      </c>
      <c r="F6570" s="7" t="s">
        <v>58</v>
      </c>
      <c r="G6570" s="255" t="s">
        <v>9294</v>
      </c>
      <c r="H6570" s="255" t="s">
        <v>9295</v>
      </c>
      <c r="I6570" s="256">
        <v>0</v>
      </c>
      <c r="J6570" s="276">
        <v>0</v>
      </c>
      <c r="K6570" s="256">
        <v>33</v>
      </c>
      <c r="L6570" s="256">
        <v>1</v>
      </c>
      <c r="M6570" s="256">
        <v>0</v>
      </c>
      <c r="N6570" s="256">
        <v>1</v>
      </c>
      <c r="O6570" s="257">
        <v>0</v>
      </c>
      <c r="P6570" s="234">
        <f>(K6570*5500)/1000000</f>
        <v>0.18149999999999999</v>
      </c>
      <c r="Q6570" s="256" t="s">
        <v>154</v>
      </c>
      <c r="R6570" s="258"/>
      <c r="S6570" s="258"/>
    </row>
    <row r="6571" spans="1:19" s="162" customFormat="1" ht="108" x14ac:dyDescent="0.25">
      <c r="A6571" s="237">
        <v>42674</v>
      </c>
      <c r="B6571" s="237">
        <v>42674</v>
      </c>
      <c r="C6571" s="239">
        <v>2016</v>
      </c>
      <c r="D6571" s="351" t="s">
        <v>23</v>
      </c>
      <c r="E6571" s="267" t="s">
        <v>52</v>
      </c>
      <c r="F6571" s="7" t="s">
        <v>56</v>
      </c>
      <c r="G6571" s="238" t="s">
        <v>4348</v>
      </c>
      <c r="H6571" s="238" t="s">
        <v>9019</v>
      </c>
      <c r="I6571" s="239">
        <v>0</v>
      </c>
      <c r="J6571" s="252">
        <v>17</v>
      </c>
      <c r="K6571" s="239">
        <v>11</v>
      </c>
      <c r="L6571" s="239">
        <v>0</v>
      </c>
      <c r="M6571" s="239">
        <v>0</v>
      </c>
      <c r="N6571" s="239">
        <v>0</v>
      </c>
      <c r="O6571" s="240">
        <v>0</v>
      </c>
      <c r="P6571" s="241">
        <v>7.4999999999999997E-2</v>
      </c>
      <c r="Q6571" s="239" t="s">
        <v>154</v>
      </c>
      <c r="R6571" s="242"/>
      <c r="S6571" s="242"/>
    </row>
    <row r="6572" spans="1:19" s="162" customFormat="1" ht="192" x14ac:dyDescent="0.25">
      <c r="A6572" s="237">
        <v>42484</v>
      </c>
      <c r="B6572" s="237">
        <v>42484</v>
      </c>
      <c r="C6572" s="239">
        <v>2016</v>
      </c>
      <c r="D6572" s="351" t="s">
        <v>23</v>
      </c>
      <c r="E6572" s="267" t="s">
        <v>86</v>
      </c>
      <c r="F6572" s="7" t="s">
        <v>58</v>
      </c>
      <c r="G6572" s="238" t="s">
        <v>2922</v>
      </c>
      <c r="H6572" s="238" t="s">
        <v>9296</v>
      </c>
      <c r="I6572" s="239">
        <v>2</v>
      </c>
      <c r="J6572" s="252">
        <v>40</v>
      </c>
      <c r="K6572" s="239">
        <v>45</v>
      </c>
      <c r="L6572" s="239">
        <v>0</v>
      </c>
      <c r="M6572" s="239">
        <v>0</v>
      </c>
      <c r="N6572" s="239">
        <v>0</v>
      </c>
      <c r="O6572" s="239">
        <v>0</v>
      </c>
      <c r="P6572" s="241">
        <f>(K6572*1050)/1000000</f>
        <v>4.725E-2</v>
      </c>
      <c r="Q6572" s="239" t="s">
        <v>154</v>
      </c>
      <c r="R6572" s="242"/>
      <c r="S6572" s="242"/>
    </row>
    <row r="6573" spans="1:19" s="162" customFormat="1" ht="72" x14ac:dyDescent="0.25">
      <c r="A6573" s="237">
        <v>42634</v>
      </c>
      <c r="B6573" s="237">
        <v>42634</v>
      </c>
      <c r="C6573" s="239">
        <v>2016</v>
      </c>
      <c r="D6573" s="351" t="s">
        <v>23</v>
      </c>
      <c r="E6573" s="267" t="s">
        <v>86</v>
      </c>
      <c r="F6573" s="7" t="s">
        <v>62</v>
      </c>
      <c r="G6573" s="238" t="s">
        <v>9297</v>
      </c>
      <c r="H6573" s="238" t="s">
        <v>9298</v>
      </c>
      <c r="I6573" s="239">
        <v>0</v>
      </c>
      <c r="J6573" s="252">
        <v>50</v>
      </c>
      <c r="K6573" s="239">
        <v>10</v>
      </c>
      <c r="L6573" s="239">
        <v>0</v>
      </c>
      <c r="M6573" s="239">
        <v>0</v>
      </c>
      <c r="N6573" s="239">
        <v>0</v>
      </c>
      <c r="O6573" s="240">
        <v>0</v>
      </c>
      <c r="P6573" s="241">
        <f>(K6573*1050)/1000000</f>
        <v>1.0500000000000001E-2</v>
      </c>
      <c r="Q6573" s="239" t="s">
        <v>154</v>
      </c>
      <c r="R6573" s="242"/>
      <c r="S6573" s="242"/>
    </row>
    <row r="6574" spans="1:19" s="162" customFormat="1" ht="36" x14ac:dyDescent="0.25">
      <c r="A6574" s="237">
        <v>42478</v>
      </c>
      <c r="B6574" s="237">
        <v>42482</v>
      </c>
      <c r="C6574" s="268">
        <v>2016</v>
      </c>
      <c r="D6574" s="351" t="s">
        <v>23</v>
      </c>
      <c r="E6574" s="267" t="s">
        <v>86</v>
      </c>
      <c r="F6574" s="28" t="s">
        <v>210</v>
      </c>
      <c r="G6574" s="238" t="s">
        <v>9299</v>
      </c>
      <c r="H6574" s="259" t="s">
        <v>9300</v>
      </c>
      <c r="I6574" s="239">
        <v>0</v>
      </c>
      <c r="J6574" s="252" t="s">
        <v>110</v>
      </c>
      <c r="K6574" s="239">
        <v>0</v>
      </c>
      <c r="L6574" s="239">
        <v>0</v>
      </c>
      <c r="M6574" s="239">
        <v>0</v>
      </c>
      <c r="N6574" s="239">
        <v>0</v>
      </c>
      <c r="O6574" s="240">
        <v>0</v>
      </c>
      <c r="P6574" s="260">
        <v>0</v>
      </c>
      <c r="Q6574" s="239" t="s">
        <v>9161</v>
      </c>
      <c r="R6574" s="242"/>
      <c r="S6574" s="242"/>
    </row>
    <row r="6575" spans="1:19" s="162" customFormat="1" ht="144" x14ac:dyDescent="0.25">
      <c r="A6575" s="237">
        <v>42722</v>
      </c>
      <c r="B6575" s="237">
        <v>42722</v>
      </c>
      <c r="C6575" s="239">
        <v>2016</v>
      </c>
      <c r="D6575" s="351" t="s">
        <v>23</v>
      </c>
      <c r="E6575" s="267" t="s">
        <v>2691</v>
      </c>
      <c r="F6575" s="28" t="s">
        <v>210</v>
      </c>
      <c r="G6575" s="238" t="s">
        <v>9301</v>
      </c>
      <c r="H6575" s="238" t="s">
        <v>9302</v>
      </c>
      <c r="I6575" s="239">
        <v>0</v>
      </c>
      <c r="J6575" s="252">
        <v>8</v>
      </c>
      <c r="K6575" s="239">
        <v>5</v>
      </c>
      <c r="L6575" s="239">
        <v>2</v>
      </c>
      <c r="M6575" s="239">
        <v>0</v>
      </c>
      <c r="N6575" s="239">
        <v>0</v>
      </c>
      <c r="O6575" s="240">
        <v>0</v>
      </c>
      <c r="P6575" s="241">
        <f>(K6575*1050)/1000000</f>
        <v>5.2500000000000003E-3</v>
      </c>
      <c r="Q6575" s="239" t="s">
        <v>154</v>
      </c>
      <c r="R6575" s="242"/>
      <c r="S6575" s="242"/>
    </row>
    <row r="6576" spans="1:19" s="162" customFormat="1" ht="24" x14ac:dyDescent="0.25">
      <c r="A6576" s="184">
        <v>42916</v>
      </c>
      <c r="B6576" s="184">
        <v>42916</v>
      </c>
      <c r="C6576" s="138">
        <v>2017</v>
      </c>
      <c r="D6576" s="35" t="s">
        <v>17</v>
      </c>
      <c r="E6576" s="217" t="s">
        <v>1597</v>
      </c>
      <c r="F6576" s="7" t="s">
        <v>36</v>
      </c>
      <c r="G6576" s="33" t="s">
        <v>9303</v>
      </c>
      <c r="H6576" s="33" t="s">
        <v>9304</v>
      </c>
      <c r="I6576" s="157">
        <v>0</v>
      </c>
      <c r="J6576" s="142">
        <v>0</v>
      </c>
      <c r="K6576" s="142">
        <v>0</v>
      </c>
      <c r="L6576" s="142">
        <v>0</v>
      </c>
      <c r="M6576" s="142">
        <v>0</v>
      </c>
      <c r="N6576" s="142">
        <v>0</v>
      </c>
      <c r="O6576" s="142">
        <v>0</v>
      </c>
      <c r="P6576" s="158">
        <v>81.620199999999997</v>
      </c>
      <c r="Q6576" s="35" t="s">
        <v>154</v>
      </c>
    </row>
    <row r="6577" spans="1:17" s="162" customFormat="1" ht="72" x14ac:dyDescent="0.25">
      <c r="A6577" s="184">
        <v>42985</v>
      </c>
      <c r="B6577" s="184">
        <v>42985</v>
      </c>
      <c r="C6577" s="138">
        <v>2017</v>
      </c>
      <c r="D6577" s="35" t="s">
        <v>17</v>
      </c>
      <c r="E6577" s="30" t="s">
        <v>122</v>
      </c>
      <c r="F6577" s="7" t="s">
        <v>36</v>
      </c>
      <c r="G6577" s="33" t="s">
        <v>9305</v>
      </c>
      <c r="H6577" s="33" t="s">
        <v>9306</v>
      </c>
      <c r="I6577" s="157">
        <v>16</v>
      </c>
      <c r="J6577" s="142">
        <v>1579575</v>
      </c>
      <c r="K6577" s="142">
        <v>46773</v>
      </c>
      <c r="L6577" s="142">
        <v>2842</v>
      </c>
      <c r="M6577" s="142">
        <v>12</v>
      </c>
      <c r="N6577" s="142">
        <v>1867</v>
      </c>
      <c r="O6577" s="142">
        <v>0</v>
      </c>
      <c r="P6577" s="158">
        <v>8860.8202999999994</v>
      </c>
      <c r="Q6577" s="35" t="s">
        <v>3933</v>
      </c>
    </row>
    <row r="6578" spans="1:17" s="162" customFormat="1" ht="132" x14ac:dyDescent="0.25">
      <c r="A6578" s="184">
        <v>42900</v>
      </c>
      <c r="B6578" s="184">
        <v>42900</v>
      </c>
      <c r="C6578" s="138">
        <v>2017</v>
      </c>
      <c r="D6578" s="35" t="s">
        <v>17</v>
      </c>
      <c r="E6578" s="30" t="s">
        <v>122</v>
      </c>
      <c r="F6578" s="7" t="s">
        <v>36</v>
      </c>
      <c r="G6578" s="33" t="s">
        <v>9307</v>
      </c>
      <c r="H6578" s="33" t="s">
        <v>9308</v>
      </c>
      <c r="I6578" s="157">
        <v>0</v>
      </c>
      <c r="J6578" s="142">
        <v>830032</v>
      </c>
      <c r="K6578" s="142">
        <v>0</v>
      </c>
      <c r="L6578" s="142">
        <v>0</v>
      </c>
      <c r="M6578" s="142">
        <v>0</v>
      </c>
      <c r="N6578" s="142">
        <v>0</v>
      </c>
      <c r="O6578" s="142">
        <v>0</v>
      </c>
      <c r="P6578" s="158">
        <v>260.60000000000002</v>
      </c>
      <c r="Q6578" s="35" t="s">
        <v>3933</v>
      </c>
    </row>
    <row r="6579" spans="1:17" s="162" customFormat="1" ht="156" x14ac:dyDescent="0.25">
      <c r="A6579" s="184">
        <v>42997</v>
      </c>
      <c r="B6579" s="184">
        <v>42997</v>
      </c>
      <c r="C6579" s="138">
        <v>2017</v>
      </c>
      <c r="D6579" s="35" t="s">
        <v>17</v>
      </c>
      <c r="E6579" s="30" t="s">
        <v>122</v>
      </c>
      <c r="F6579" s="28" t="s">
        <v>157</v>
      </c>
      <c r="G6579" s="33" t="s">
        <v>9309</v>
      </c>
      <c r="H6579" s="33" t="s">
        <v>9310</v>
      </c>
      <c r="I6579" s="157">
        <v>228</v>
      </c>
      <c r="J6579" s="142">
        <v>1820000</v>
      </c>
      <c r="K6579" s="142">
        <v>14812</v>
      </c>
      <c r="L6579" s="142">
        <v>762</v>
      </c>
      <c r="M6579" s="142">
        <v>143</v>
      </c>
      <c r="N6579" s="142">
        <v>0</v>
      </c>
      <c r="O6579" s="142">
        <v>0</v>
      </c>
      <c r="P6579" s="158">
        <v>43996.124400000001</v>
      </c>
      <c r="Q6579" s="35" t="s">
        <v>3933</v>
      </c>
    </row>
    <row r="6580" spans="1:17" s="162" customFormat="1" ht="96" x14ac:dyDescent="0.25">
      <c r="A6580" s="184">
        <v>42997</v>
      </c>
      <c r="B6580" s="184">
        <v>42997</v>
      </c>
      <c r="C6580" s="138">
        <v>2017</v>
      </c>
      <c r="D6580" s="35" t="s">
        <v>17</v>
      </c>
      <c r="E6580" s="30" t="s">
        <v>122</v>
      </c>
      <c r="F6580" s="7" t="s">
        <v>58</v>
      </c>
      <c r="G6580" s="33" t="s">
        <v>9311</v>
      </c>
      <c r="H6580" s="33" t="s">
        <v>9312</v>
      </c>
      <c r="I6580" s="157">
        <v>6</v>
      </c>
      <c r="J6580" s="142">
        <v>535053</v>
      </c>
      <c r="K6580" s="142">
        <v>3928</v>
      </c>
      <c r="L6580" s="142">
        <v>217</v>
      </c>
      <c r="M6580" s="142">
        <v>19</v>
      </c>
      <c r="N6580" s="142">
        <v>0</v>
      </c>
      <c r="O6580" s="142">
        <v>0</v>
      </c>
      <c r="P6580" s="158">
        <v>1839.50614</v>
      </c>
      <c r="Q6580" s="35" t="s">
        <v>3933</v>
      </c>
    </row>
    <row r="6581" spans="1:17" s="162" customFormat="1" ht="84" x14ac:dyDescent="0.25">
      <c r="A6581" s="184">
        <v>43011</v>
      </c>
      <c r="B6581" s="184">
        <v>43011</v>
      </c>
      <c r="C6581" s="138">
        <v>2017</v>
      </c>
      <c r="D6581" s="35" t="s">
        <v>17</v>
      </c>
      <c r="E6581" s="217" t="s">
        <v>1597</v>
      </c>
      <c r="F6581" s="7" t="s">
        <v>58</v>
      </c>
      <c r="G6581" s="33" t="s">
        <v>2297</v>
      </c>
      <c r="H6581" s="33" t="s">
        <v>9313</v>
      </c>
      <c r="I6581" s="157">
        <v>2</v>
      </c>
      <c r="J6581" s="142">
        <v>13</v>
      </c>
      <c r="K6581" s="142">
        <v>0</v>
      </c>
      <c r="L6581" s="142">
        <v>0</v>
      </c>
      <c r="M6581" s="142">
        <v>0</v>
      </c>
      <c r="N6581" s="142">
        <v>0</v>
      </c>
      <c r="O6581" s="142">
        <v>0</v>
      </c>
      <c r="P6581" s="158">
        <v>0</v>
      </c>
      <c r="Q6581" s="35" t="s">
        <v>154</v>
      </c>
    </row>
    <row r="6582" spans="1:17" s="162" customFormat="1" ht="156" x14ac:dyDescent="0.25">
      <c r="A6582" s="184">
        <v>42997</v>
      </c>
      <c r="B6582" s="184">
        <v>42997</v>
      </c>
      <c r="C6582" s="138">
        <v>2017</v>
      </c>
      <c r="D6582" s="35" t="s">
        <v>17</v>
      </c>
      <c r="E6582" s="30" t="s">
        <v>122</v>
      </c>
      <c r="F6582" s="7" t="s">
        <v>53</v>
      </c>
      <c r="G6582" s="33" t="s">
        <v>9314</v>
      </c>
      <c r="H6582" s="33" t="s">
        <v>9310</v>
      </c>
      <c r="I6582" s="157">
        <v>15</v>
      </c>
      <c r="J6582" s="142">
        <v>1486691</v>
      </c>
      <c r="K6582" s="142">
        <v>6060</v>
      </c>
      <c r="L6582" s="142">
        <v>555</v>
      </c>
      <c r="M6582" s="142">
        <v>35</v>
      </c>
      <c r="N6582" s="142">
        <v>0</v>
      </c>
      <c r="O6582" s="142">
        <v>0</v>
      </c>
      <c r="P6582" s="158">
        <v>3929.178261</v>
      </c>
      <c r="Q6582" s="35" t="s">
        <v>3933</v>
      </c>
    </row>
    <row r="6583" spans="1:17" s="162" customFormat="1" ht="36" x14ac:dyDescent="0.25">
      <c r="A6583" s="184">
        <v>42822</v>
      </c>
      <c r="B6583" s="184">
        <v>42822</v>
      </c>
      <c r="C6583" s="138">
        <v>2017</v>
      </c>
      <c r="D6583" s="35" t="s">
        <v>17</v>
      </c>
      <c r="E6583" s="217" t="s">
        <v>1597</v>
      </c>
      <c r="F6583" s="7" t="s">
        <v>53</v>
      </c>
      <c r="G6583" s="33" t="s">
        <v>2247</v>
      </c>
      <c r="H6583" s="33" t="s">
        <v>9315</v>
      </c>
      <c r="I6583" s="157">
        <v>3</v>
      </c>
      <c r="J6583" s="142">
        <v>4</v>
      </c>
      <c r="K6583" s="142">
        <v>0</v>
      </c>
      <c r="L6583" s="142">
        <v>0</v>
      </c>
      <c r="M6583" s="142">
        <v>0</v>
      </c>
      <c r="N6583" s="142">
        <v>0</v>
      </c>
      <c r="O6583" s="142">
        <v>0</v>
      </c>
      <c r="P6583" s="158">
        <v>0</v>
      </c>
      <c r="Q6583" s="35" t="s">
        <v>154</v>
      </c>
    </row>
    <row r="6584" spans="1:17" s="162" customFormat="1" ht="108" x14ac:dyDescent="0.25">
      <c r="A6584" s="184">
        <v>42893</v>
      </c>
      <c r="B6584" s="184">
        <v>42893</v>
      </c>
      <c r="C6584" s="138">
        <v>2017</v>
      </c>
      <c r="D6584" s="35" t="s">
        <v>17</v>
      </c>
      <c r="E6584" s="217" t="s">
        <v>1597</v>
      </c>
      <c r="F6584" s="7" t="s">
        <v>53</v>
      </c>
      <c r="G6584" s="33" t="s">
        <v>4464</v>
      </c>
      <c r="H6584" s="33" t="s">
        <v>9316</v>
      </c>
      <c r="I6584" s="157">
        <v>0</v>
      </c>
      <c r="J6584" s="142">
        <v>144</v>
      </c>
      <c r="K6584" s="142">
        <v>6</v>
      </c>
      <c r="L6584" s="142">
        <v>0</v>
      </c>
      <c r="M6584" s="142">
        <v>0</v>
      </c>
      <c r="N6584" s="142">
        <v>0</v>
      </c>
      <c r="O6584" s="142">
        <v>0</v>
      </c>
      <c r="P6584" s="158">
        <v>0</v>
      </c>
      <c r="Q6584" s="35" t="s">
        <v>154</v>
      </c>
    </row>
    <row r="6585" spans="1:17" s="162" customFormat="1" ht="108" x14ac:dyDescent="0.25">
      <c r="A6585" s="184">
        <v>42928</v>
      </c>
      <c r="B6585" s="184">
        <v>42928</v>
      </c>
      <c r="C6585" s="138">
        <v>2017</v>
      </c>
      <c r="D6585" s="35" t="s">
        <v>17</v>
      </c>
      <c r="E6585" s="217" t="s">
        <v>1597</v>
      </c>
      <c r="F6585" s="7" t="s">
        <v>65</v>
      </c>
      <c r="G6585" s="33" t="s">
        <v>1632</v>
      </c>
      <c r="H6585" s="33" t="s">
        <v>9317</v>
      </c>
      <c r="I6585" s="157">
        <v>2</v>
      </c>
      <c r="J6585" s="142">
        <v>2</v>
      </c>
      <c r="K6585" s="142">
        <v>0</v>
      </c>
      <c r="L6585" s="142">
        <v>0</v>
      </c>
      <c r="M6585" s="142">
        <v>0</v>
      </c>
      <c r="N6585" s="142">
        <v>0</v>
      </c>
      <c r="O6585" s="142">
        <v>0</v>
      </c>
      <c r="P6585" s="158">
        <v>0</v>
      </c>
      <c r="Q6585" s="35" t="s">
        <v>154</v>
      </c>
    </row>
    <row r="6586" spans="1:17" s="162" customFormat="1" ht="156" x14ac:dyDescent="0.25">
      <c r="A6586" s="184">
        <v>42997</v>
      </c>
      <c r="B6586" s="184">
        <v>42997</v>
      </c>
      <c r="C6586" s="138">
        <v>2017</v>
      </c>
      <c r="D6586" s="35" t="s">
        <v>17</v>
      </c>
      <c r="E6586" s="30" t="s">
        <v>122</v>
      </c>
      <c r="F6586" s="7" t="s">
        <v>65</v>
      </c>
      <c r="G6586" s="33" t="s">
        <v>9318</v>
      </c>
      <c r="H6586" s="33" t="s">
        <v>9310</v>
      </c>
      <c r="I6586" s="157">
        <v>74</v>
      </c>
      <c r="J6586" s="142">
        <v>1903811</v>
      </c>
      <c r="K6586" s="142">
        <v>15801</v>
      </c>
      <c r="L6586" s="142">
        <v>1194</v>
      </c>
      <c r="M6586" s="142">
        <v>9</v>
      </c>
      <c r="N6586" s="142">
        <v>5141</v>
      </c>
      <c r="O6586" s="142">
        <v>0</v>
      </c>
      <c r="P6586" s="158">
        <v>7322.06</v>
      </c>
      <c r="Q6586" s="35" t="s">
        <v>3933</v>
      </c>
    </row>
    <row r="6587" spans="1:17" s="162" customFormat="1" ht="60" x14ac:dyDescent="0.25">
      <c r="A6587" s="184">
        <v>43061</v>
      </c>
      <c r="B6587" s="184">
        <v>43061</v>
      </c>
      <c r="C6587" s="138">
        <v>2017</v>
      </c>
      <c r="D6587" s="35" t="s">
        <v>17</v>
      </c>
      <c r="E6587" s="49" t="s">
        <v>1600</v>
      </c>
      <c r="F6587" s="7" t="s">
        <v>68</v>
      </c>
      <c r="G6587" s="33" t="s">
        <v>1121</v>
      </c>
      <c r="H6587" s="33" t="s">
        <v>9319</v>
      </c>
      <c r="I6587" s="157">
        <v>1</v>
      </c>
      <c r="J6587" s="142">
        <v>16</v>
      </c>
      <c r="K6587" s="142">
        <v>4</v>
      </c>
      <c r="L6587" s="142">
        <v>0</v>
      </c>
      <c r="M6587" s="142">
        <v>0</v>
      </c>
      <c r="N6587" s="142">
        <v>0</v>
      </c>
      <c r="O6587" s="142">
        <v>0</v>
      </c>
      <c r="P6587" s="158">
        <v>0</v>
      </c>
      <c r="Q6587" s="35" t="s">
        <v>154</v>
      </c>
    </row>
    <row r="6588" spans="1:17" s="162" customFormat="1" ht="84" x14ac:dyDescent="0.25">
      <c r="A6588" s="184">
        <v>42985</v>
      </c>
      <c r="B6588" s="184">
        <v>42985</v>
      </c>
      <c r="C6588" s="138">
        <v>2017</v>
      </c>
      <c r="D6588" s="35" t="s">
        <v>17</v>
      </c>
      <c r="E6588" s="49" t="s">
        <v>1597</v>
      </c>
      <c r="F6588" s="7" t="s">
        <v>72</v>
      </c>
      <c r="G6588" s="33" t="s">
        <v>8748</v>
      </c>
      <c r="H6588" s="33" t="s">
        <v>9320</v>
      </c>
      <c r="I6588" s="157">
        <v>3</v>
      </c>
      <c r="J6588" s="142">
        <v>3</v>
      </c>
      <c r="K6588" s="142">
        <v>1</v>
      </c>
      <c r="L6588" s="142">
        <v>0</v>
      </c>
      <c r="M6588" s="142">
        <v>0</v>
      </c>
      <c r="N6588" s="142">
        <v>0</v>
      </c>
      <c r="O6588" s="142">
        <v>0</v>
      </c>
      <c r="P6588" s="158">
        <v>0</v>
      </c>
      <c r="Q6588" s="35" t="s">
        <v>154</v>
      </c>
    </row>
    <row r="6589" spans="1:17" s="162" customFormat="1" ht="60" x14ac:dyDescent="0.25">
      <c r="A6589" s="184">
        <v>42985</v>
      </c>
      <c r="B6589" s="184">
        <v>42985</v>
      </c>
      <c r="C6589" s="138">
        <v>2017</v>
      </c>
      <c r="D6589" s="35" t="s">
        <v>17</v>
      </c>
      <c r="E6589" s="30" t="s">
        <v>122</v>
      </c>
      <c r="F6589" s="7" t="s">
        <v>72</v>
      </c>
      <c r="G6589" s="33" t="s">
        <v>9321</v>
      </c>
      <c r="H6589" s="33" t="s">
        <v>9322</v>
      </c>
      <c r="I6589" s="157">
        <v>79</v>
      </c>
      <c r="J6589" s="142">
        <v>1187585</v>
      </c>
      <c r="K6589" s="142">
        <v>65634</v>
      </c>
      <c r="L6589" s="142">
        <v>3307</v>
      </c>
      <c r="M6589" s="142">
        <v>39</v>
      </c>
      <c r="N6589" s="142">
        <v>5500</v>
      </c>
      <c r="O6589" s="142">
        <v>0</v>
      </c>
      <c r="P6589" s="158">
        <v>10322.602000000001</v>
      </c>
      <c r="Q6589" s="35" t="s">
        <v>3933</v>
      </c>
    </row>
    <row r="6590" spans="1:17" s="162" customFormat="1" ht="84" x14ac:dyDescent="0.25">
      <c r="A6590" s="184">
        <v>42997</v>
      </c>
      <c r="B6590" s="184">
        <v>42997</v>
      </c>
      <c r="C6590" s="138">
        <v>2017</v>
      </c>
      <c r="D6590" s="35" t="s">
        <v>17</v>
      </c>
      <c r="E6590" s="30" t="s">
        <v>122</v>
      </c>
      <c r="F6590" s="7" t="s">
        <v>72</v>
      </c>
      <c r="G6590" s="33" t="s">
        <v>9323</v>
      </c>
      <c r="H6590" s="33" t="s">
        <v>9324</v>
      </c>
      <c r="I6590" s="157">
        <v>1</v>
      </c>
      <c r="J6590" s="142">
        <v>240421</v>
      </c>
      <c r="K6590" s="142">
        <v>1410</v>
      </c>
      <c r="L6590" s="142">
        <v>0</v>
      </c>
      <c r="M6590" s="142">
        <v>0</v>
      </c>
      <c r="N6590" s="142">
        <v>0</v>
      </c>
      <c r="O6590" s="142">
        <v>0</v>
      </c>
      <c r="P6590" s="158">
        <v>218.7</v>
      </c>
      <c r="Q6590" s="35" t="s">
        <v>3933</v>
      </c>
    </row>
    <row r="6591" spans="1:17" s="162" customFormat="1" ht="48" x14ac:dyDescent="0.25">
      <c r="A6591" s="184">
        <v>43012</v>
      </c>
      <c r="B6591" s="184">
        <v>43012</v>
      </c>
      <c r="C6591" s="138">
        <v>2017</v>
      </c>
      <c r="D6591" s="35" t="s">
        <v>17</v>
      </c>
      <c r="E6591" s="217" t="s">
        <v>1597</v>
      </c>
      <c r="F6591" s="7" t="s">
        <v>72</v>
      </c>
      <c r="G6591" s="33" t="s">
        <v>9325</v>
      </c>
      <c r="H6591" s="33" t="s">
        <v>9326</v>
      </c>
      <c r="I6591" s="157">
        <v>2</v>
      </c>
      <c r="J6591" s="142">
        <v>4</v>
      </c>
      <c r="K6591" s="142">
        <v>1</v>
      </c>
      <c r="L6591" s="142">
        <v>0</v>
      </c>
      <c r="M6591" s="142">
        <v>0</v>
      </c>
      <c r="N6591" s="142">
        <v>0</v>
      </c>
      <c r="O6591" s="142">
        <v>0</v>
      </c>
      <c r="P6591" s="158">
        <v>0</v>
      </c>
      <c r="Q6591" s="35" t="s">
        <v>154</v>
      </c>
    </row>
    <row r="6592" spans="1:17" s="162" customFormat="1" ht="96" x14ac:dyDescent="0.25">
      <c r="A6592" s="184">
        <v>42997</v>
      </c>
      <c r="B6592" s="184">
        <v>42997</v>
      </c>
      <c r="C6592" s="138">
        <v>2017</v>
      </c>
      <c r="D6592" s="35" t="s">
        <v>17</v>
      </c>
      <c r="E6592" s="30" t="s">
        <v>122</v>
      </c>
      <c r="F6592" s="7" t="s">
        <v>75</v>
      </c>
      <c r="G6592" s="33" t="s">
        <v>9327</v>
      </c>
      <c r="H6592" s="33" t="s">
        <v>9312</v>
      </c>
      <c r="I6592" s="157">
        <v>45</v>
      </c>
      <c r="J6592" s="142">
        <v>4050452</v>
      </c>
      <c r="K6592" s="142">
        <v>28345</v>
      </c>
      <c r="L6592" s="142">
        <v>1152</v>
      </c>
      <c r="M6592" s="142">
        <v>8</v>
      </c>
      <c r="N6592" s="142">
        <v>0</v>
      </c>
      <c r="O6592" s="142">
        <v>0</v>
      </c>
      <c r="P6592" s="158">
        <v>4494.9287000000004</v>
      </c>
      <c r="Q6592" s="35" t="s">
        <v>3933</v>
      </c>
    </row>
    <row r="6593" spans="1:17" s="162" customFormat="1" ht="84" x14ac:dyDescent="0.25">
      <c r="A6593" s="184">
        <v>42997</v>
      </c>
      <c r="B6593" s="184">
        <v>42997</v>
      </c>
      <c r="C6593" s="138">
        <v>2017</v>
      </c>
      <c r="D6593" s="35" t="s">
        <v>17</v>
      </c>
      <c r="E6593" s="30" t="s">
        <v>122</v>
      </c>
      <c r="F6593" s="7" t="s">
        <v>97</v>
      </c>
      <c r="G6593" s="33" t="s">
        <v>9328</v>
      </c>
      <c r="H6593" s="33" t="s">
        <v>9329</v>
      </c>
      <c r="I6593" s="157">
        <v>0</v>
      </c>
      <c r="J6593" s="142">
        <v>145</v>
      </c>
      <c r="K6593" s="142">
        <v>34</v>
      </c>
      <c r="L6593" s="142">
        <v>441</v>
      </c>
      <c r="M6593" s="142">
        <v>0</v>
      </c>
      <c r="N6593" s="142">
        <v>0</v>
      </c>
      <c r="O6593" s="142">
        <v>0</v>
      </c>
      <c r="P6593" s="158">
        <v>298.60000000000002</v>
      </c>
      <c r="Q6593" s="35" t="s">
        <v>3933</v>
      </c>
    </row>
    <row r="6594" spans="1:17" s="162" customFormat="1" x14ac:dyDescent="0.25">
      <c r="A6594" s="184">
        <v>42997</v>
      </c>
      <c r="B6594" s="184">
        <v>42997</v>
      </c>
      <c r="C6594" s="138">
        <v>2017</v>
      </c>
      <c r="D6594" s="35" t="s">
        <v>17</v>
      </c>
      <c r="E6594" s="30" t="s">
        <v>122</v>
      </c>
      <c r="F6594" s="25" t="s">
        <v>781</v>
      </c>
      <c r="G6594" s="33" t="s">
        <v>110</v>
      </c>
      <c r="H6594" s="33" t="s">
        <v>110</v>
      </c>
      <c r="I6594" s="157">
        <v>4</v>
      </c>
      <c r="J6594" s="142">
        <v>4</v>
      </c>
      <c r="K6594" s="142">
        <v>0</v>
      </c>
      <c r="L6594" s="142">
        <v>0</v>
      </c>
      <c r="M6594" s="142">
        <v>0</v>
      </c>
      <c r="N6594" s="142">
        <v>0</v>
      </c>
      <c r="O6594" s="142">
        <v>0</v>
      </c>
      <c r="P6594" s="158">
        <v>0</v>
      </c>
      <c r="Q6594" s="35" t="s">
        <v>3933</v>
      </c>
    </row>
    <row r="6595" spans="1:17" s="162" customFormat="1" ht="216" x14ac:dyDescent="0.25">
      <c r="A6595" s="184">
        <v>42985</v>
      </c>
      <c r="B6595" s="184">
        <v>42985</v>
      </c>
      <c r="C6595" s="138">
        <v>2017</v>
      </c>
      <c r="D6595" s="35" t="s">
        <v>17</v>
      </c>
      <c r="E6595" s="30" t="s">
        <v>122</v>
      </c>
      <c r="F6595" s="28" t="s">
        <v>210</v>
      </c>
      <c r="G6595" s="33" t="s">
        <v>9330</v>
      </c>
      <c r="H6595" s="33" t="s">
        <v>9331</v>
      </c>
      <c r="I6595" s="157">
        <v>0</v>
      </c>
      <c r="J6595" s="142">
        <v>688225</v>
      </c>
      <c r="K6595" s="142">
        <v>0</v>
      </c>
      <c r="L6595" s="142">
        <v>0</v>
      </c>
      <c r="M6595" s="142">
        <v>0</v>
      </c>
      <c r="N6595" s="142">
        <v>0</v>
      </c>
      <c r="O6595" s="142">
        <v>0</v>
      </c>
      <c r="P6595" s="158">
        <v>73.599999999999994</v>
      </c>
      <c r="Q6595" s="35" t="s">
        <v>3933</v>
      </c>
    </row>
    <row r="6596" spans="1:17" s="162" customFormat="1" ht="24" x14ac:dyDescent="0.25">
      <c r="A6596" s="277">
        <v>42736</v>
      </c>
      <c r="B6596" s="277">
        <v>43100</v>
      </c>
      <c r="C6596" s="138">
        <v>2017</v>
      </c>
      <c r="D6596" s="351" t="s">
        <v>23</v>
      </c>
      <c r="E6596" s="28" t="s">
        <v>327</v>
      </c>
      <c r="F6596" s="7" t="s">
        <v>25</v>
      </c>
      <c r="G6596" s="206" t="s">
        <v>26</v>
      </c>
      <c r="H6596" s="147" t="s">
        <v>9332</v>
      </c>
      <c r="I6596" s="157">
        <v>1</v>
      </c>
      <c r="J6596" s="278">
        <v>1</v>
      </c>
      <c r="K6596" s="278">
        <v>0</v>
      </c>
      <c r="L6596" s="278">
        <v>0</v>
      </c>
      <c r="M6596" s="278">
        <v>0</v>
      </c>
      <c r="N6596" s="278">
        <v>0</v>
      </c>
      <c r="O6596" s="278">
        <v>0</v>
      </c>
      <c r="P6596" s="158">
        <v>0</v>
      </c>
      <c r="Q6596" s="35" t="s">
        <v>9333</v>
      </c>
    </row>
    <row r="6597" spans="1:17" s="162" customFormat="1" ht="48" x14ac:dyDescent="0.25">
      <c r="A6597" s="277">
        <v>42736</v>
      </c>
      <c r="B6597" s="277">
        <v>43100</v>
      </c>
      <c r="C6597" s="138">
        <v>2017</v>
      </c>
      <c r="D6597" s="351" t="s">
        <v>23</v>
      </c>
      <c r="E6597" s="28" t="s">
        <v>327</v>
      </c>
      <c r="F6597" s="7" t="s">
        <v>87</v>
      </c>
      <c r="G6597" s="206" t="s">
        <v>26</v>
      </c>
      <c r="H6597" s="147" t="s">
        <v>9334</v>
      </c>
      <c r="I6597" s="157">
        <v>14</v>
      </c>
      <c r="J6597" s="142">
        <v>340</v>
      </c>
      <c r="K6597" s="278">
        <v>0</v>
      </c>
      <c r="L6597" s="278">
        <v>0</v>
      </c>
      <c r="M6597" s="278">
        <v>0</v>
      </c>
      <c r="N6597" s="278">
        <v>0</v>
      </c>
      <c r="O6597" s="278">
        <v>0</v>
      </c>
      <c r="P6597" s="47">
        <v>0</v>
      </c>
      <c r="Q6597" s="35" t="s">
        <v>9333</v>
      </c>
    </row>
    <row r="6598" spans="1:17" s="162" customFormat="1" ht="84" x14ac:dyDescent="0.25">
      <c r="A6598" s="184">
        <v>42754</v>
      </c>
      <c r="B6598" s="184">
        <v>42754</v>
      </c>
      <c r="C6598" s="138">
        <v>2017</v>
      </c>
      <c r="D6598" s="351" t="s">
        <v>23</v>
      </c>
      <c r="E6598" s="22" t="s">
        <v>86</v>
      </c>
      <c r="F6598" s="7" t="s">
        <v>30</v>
      </c>
      <c r="G6598" s="33" t="s">
        <v>9335</v>
      </c>
      <c r="H6598" s="33" t="s">
        <v>9336</v>
      </c>
      <c r="I6598" s="157">
        <v>3</v>
      </c>
      <c r="J6598" s="142">
        <v>98</v>
      </c>
      <c r="K6598" s="142">
        <v>19</v>
      </c>
      <c r="L6598" s="142">
        <v>0</v>
      </c>
      <c r="M6598" s="142">
        <v>0</v>
      </c>
      <c r="N6598" s="142">
        <v>0</v>
      </c>
      <c r="O6598" s="142">
        <v>0</v>
      </c>
      <c r="P6598" s="158">
        <v>0</v>
      </c>
      <c r="Q6598" s="35" t="s">
        <v>154</v>
      </c>
    </row>
    <row r="6599" spans="1:17" s="162" customFormat="1" ht="36" x14ac:dyDescent="0.25">
      <c r="A6599" s="184">
        <v>42794</v>
      </c>
      <c r="B6599" s="184">
        <v>42794</v>
      </c>
      <c r="C6599" s="138">
        <v>2017</v>
      </c>
      <c r="D6599" s="351" t="s">
        <v>23</v>
      </c>
      <c r="E6599" s="22" t="s">
        <v>86</v>
      </c>
      <c r="F6599" s="7" t="s">
        <v>30</v>
      </c>
      <c r="G6599" s="33" t="s">
        <v>9335</v>
      </c>
      <c r="H6599" s="33" t="s">
        <v>9337</v>
      </c>
      <c r="I6599" s="157">
        <v>0</v>
      </c>
      <c r="J6599" s="142">
        <v>36</v>
      </c>
      <c r="K6599" s="142">
        <v>0</v>
      </c>
      <c r="L6599" s="142">
        <v>0</v>
      </c>
      <c r="M6599" s="142">
        <v>0</v>
      </c>
      <c r="N6599" s="142">
        <v>0</v>
      </c>
      <c r="O6599" s="142">
        <v>0</v>
      </c>
      <c r="P6599" s="158">
        <v>0</v>
      </c>
      <c r="Q6599" s="35" t="s">
        <v>154</v>
      </c>
    </row>
    <row r="6600" spans="1:17" s="162" customFormat="1" ht="24" x14ac:dyDescent="0.25">
      <c r="A6600" s="277">
        <v>42736</v>
      </c>
      <c r="B6600" s="277">
        <v>43100</v>
      </c>
      <c r="C6600" s="138">
        <v>2017</v>
      </c>
      <c r="D6600" s="351" t="s">
        <v>23</v>
      </c>
      <c r="E6600" s="22" t="s">
        <v>42</v>
      </c>
      <c r="F6600" s="7" t="s">
        <v>30</v>
      </c>
      <c r="G6600" s="206" t="s">
        <v>26</v>
      </c>
      <c r="H6600" s="206" t="s">
        <v>9338</v>
      </c>
      <c r="I6600" s="279">
        <v>1</v>
      </c>
      <c r="J6600" s="142">
        <v>10</v>
      </c>
      <c r="K6600" s="278">
        <v>0</v>
      </c>
      <c r="L6600" s="278">
        <v>0</v>
      </c>
      <c r="M6600" s="278">
        <v>0</v>
      </c>
      <c r="N6600" s="278">
        <v>0</v>
      </c>
      <c r="O6600" s="278">
        <v>0</v>
      </c>
      <c r="P6600" s="47">
        <v>0</v>
      </c>
      <c r="Q6600" s="35" t="s">
        <v>9333</v>
      </c>
    </row>
    <row r="6601" spans="1:17" s="162" customFormat="1" ht="216" x14ac:dyDescent="0.25">
      <c r="A6601" s="184">
        <v>42993</v>
      </c>
      <c r="B6601" s="184">
        <v>42993</v>
      </c>
      <c r="C6601" s="138">
        <v>2017</v>
      </c>
      <c r="D6601" s="351" t="s">
        <v>23</v>
      </c>
      <c r="E6601" s="14" t="s">
        <v>32</v>
      </c>
      <c r="F6601" s="7" t="s">
        <v>58</v>
      </c>
      <c r="G6601" s="33" t="s">
        <v>9339</v>
      </c>
      <c r="H6601" s="33" t="s">
        <v>9340</v>
      </c>
      <c r="I6601" s="157">
        <v>1</v>
      </c>
      <c r="J6601" s="142">
        <v>1996</v>
      </c>
      <c r="K6601" s="142">
        <v>439</v>
      </c>
      <c r="L6601" s="142">
        <v>5</v>
      </c>
      <c r="M6601" s="142">
        <v>0</v>
      </c>
      <c r="N6601" s="142">
        <v>0</v>
      </c>
      <c r="O6601" s="142">
        <v>0</v>
      </c>
      <c r="P6601" s="158">
        <v>671.7</v>
      </c>
      <c r="Q6601" s="35" t="s">
        <v>9341</v>
      </c>
    </row>
    <row r="6602" spans="1:17" s="162" customFormat="1" ht="48" x14ac:dyDescent="0.25">
      <c r="A6602" s="277">
        <v>42736</v>
      </c>
      <c r="B6602" s="277">
        <v>43100</v>
      </c>
      <c r="C6602" s="138">
        <v>2017</v>
      </c>
      <c r="D6602" s="351" t="s">
        <v>23</v>
      </c>
      <c r="E6602" s="28" t="s">
        <v>327</v>
      </c>
      <c r="F6602" s="7" t="s">
        <v>30</v>
      </c>
      <c r="G6602" s="206" t="s">
        <v>26</v>
      </c>
      <c r="H6602" s="147" t="s">
        <v>9342</v>
      </c>
      <c r="I6602" s="157">
        <v>7</v>
      </c>
      <c r="J6602" s="142">
        <v>56</v>
      </c>
      <c r="K6602" s="278">
        <v>0</v>
      </c>
      <c r="L6602" s="278">
        <v>0</v>
      </c>
      <c r="M6602" s="278">
        <v>0</v>
      </c>
      <c r="N6602" s="278">
        <v>0</v>
      </c>
      <c r="O6602" s="278">
        <v>0</v>
      </c>
      <c r="P6602" s="47">
        <v>0</v>
      </c>
      <c r="Q6602" s="35" t="s">
        <v>9333</v>
      </c>
    </row>
    <row r="6603" spans="1:17" s="162" customFormat="1" ht="96" x14ac:dyDescent="0.25">
      <c r="A6603" s="184">
        <v>42978</v>
      </c>
      <c r="B6603" s="184">
        <v>42978</v>
      </c>
      <c r="C6603" s="138">
        <v>2017</v>
      </c>
      <c r="D6603" s="351" t="s">
        <v>23</v>
      </c>
      <c r="E6603" s="14" t="s">
        <v>32</v>
      </c>
      <c r="F6603" s="7" t="s">
        <v>33</v>
      </c>
      <c r="G6603" s="33" t="s">
        <v>9343</v>
      </c>
      <c r="H6603" s="33" t="s">
        <v>9344</v>
      </c>
      <c r="I6603" s="157">
        <v>6</v>
      </c>
      <c r="J6603" s="142">
        <v>1400</v>
      </c>
      <c r="K6603" s="142">
        <v>0</v>
      </c>
      <c r="L6603" s="142">
        <v>0</v>
      </c>
      <c r="M6603" s="142">
        <v>0</v>
      </c>
      <c r="N6603" s="142">
        <v>0</v>
      </c>
      <c r="O6603" s="142">
        <v>0</v>
      </c>
      <c r="P6603" s="158">
        <v>313.10000000000002</v>
      </c>
      <c r="Q6603" s="35" t="s">
        <v>9345</v>
      </c>
    </row>
    <row r="6604" spans="1:17" s="162" customFormat="1" ht="24" x14ac:dyDescent="0.25">
      <c r="A6604" s="277">
        <v>42736</v>
      </c>
      <c r="B6604" s="277">
        <v>43100</v>
      </c>
      <c r="C6604" s="138">
        <v>2017</v>
      </c>
      <c r="D6604" s="351" t="s">
        <v>23</v>
      </c>
      <c r="E6604" s="28" t="s">
        <v>327</v>
      </c>
      <c r="F6604" s="7" t="s">
        <v>33</v>
      </c>
      <c r="G6604" s="206" t="s">
        <v>26</v>
      </c>
      <c r="H6604" s="147" t="s">
        <v>9346</v>
      </c>
      <c r="I6604" s="279">
        <v>0</v>
      </c>
      <c r="J6604" s="142">
        <v>13</v>
      </c>
      <c r="K6604" s="278">
        <v>0</v>
      </c>
      <c r="L6604" s="278">
        <v>0</v>
      </c>
      <c r="M6604" s="278">
        <v>0</v>
      </c>
      <c r="N6604" s="278">
        <v>0</v>
      </c>
      <c r="O6604" s="278">
        <v>0</v>
      </c>
      <c r="P6604" s="47">
        <v>0</v>
      </c>
      <c r="Q6604" s="35" t="s">
        <v>9333</v>
      </c>
    </row>
    <row r="6605" spans="1:17" s="162" customFormat="1" ht="36" x14ac:dyDescent="0.25">
      <c r="A6605" s="277">
        <v>42736</v>
      </c>
      <c r="B6605" s="277">
        <v>43100</v>
      </c>
      <c r="C6605" s="138">
        <v>2017</v>
      </c>
      <c r="D6605" s="351" t="s">
        <v>23</v>
      </c>
      <c r="E6605" s="28" t="s">
        <v>327</v>
      </c>
      <c r="F6605" s="28" t="s">
        <v>151</v>
      </c>
      <c r="G6605" s="206" t="s">
        <v>26</v>
      </c>
      <c r="H6605" s="147" t="s">
        <v>9347</v>
      </c>
      <c r="I6605" s="157">
        <v>1</v>
      </c>
      <c r="J6605" s="142">
        <v>2</v>
      </c>
      <c r="K6605" s="278">
        <v>0</v>
      </c>
      <c r="L6605" s="278">
        <v>0</v>
      </c>
      <c r="M6605" s="278">
        <v>0</v>
      </c>
      <c r="N6605" s="278">
        <v>0</v>
      </c>
      <c r="O6605" s="278">
        <v>0</v>
      </c>
      <c r="P6605" s="47">
        <v>0</v>
      </c>
      <c r="Q6605" s="35" t="s">
        <v>9333</v>
      </c>
    </row>
    <row r="6606" spans="1:17" s="162" customFormat="1" ht="84" x14ac:dyDescent="0.25">
      <c r="A6606" s="184">
        <v>42860</v>
      </c>
      <c r="B6606" s="184">
        <v>42860</v>
      </c>
      <c r="C6606" s="138">
        <v>2017</v>
      </c>
      <c r="D6606" s="351" t="s">
        <v>23</v>
      </c>
      <c r="E6606" s="49" t="s">
        <v>323</v>
      </c>
      <c r="F6606" s="28" t="s">
        <v>151</v>
      </c>
      <c r="G6606" s="33" t="s">
        <v>1477</v>
      </c>
      <c r="H6606" s="33" t="s">
        <v>9348</v>
      </c>
      <c r="I6606" s="157">
        <v>1</v>
      </c>
      <c r="J6606" s="142">
        <v>1</v>
      </c>
      <c r="K6606" s="142">
        <v>0</v>
      </c>
      <c r="L6606" s="142">
        <v>0</v>
      </c>
      <c r="M6606" s="142">
        <v>0</v>
      </c>
      <c r="N6606" s="142">
        <v>0</v>
      </c>
      <c r="O6606" s="142">
        <v>0</v>
      </c>
      <c r="P6606" s="158">
        <v>0</v>
      </c>
      <c r="Q6606" s="35" t="s">
        <v>154</v>
      </c>
    </row>
    <row r="6607" spans="1:17" s="162" customFormat="1" ht="36" x14ac:dyDescent="0.25">
      <c r="A6607" s="184">
        <v>43038</v>
      </c>
      <c r="B6607" s="184">
        <v>43038</v>
      </c>
      <c r="C6607" s="138">
        <v>2017</v>
      </c>
      <c r="D6607" s="351" t="s">
        <v>23</v>
      </c>
      <c r="E6607" s="22" t="s">
        <v>86</v>
      </c>
      <c r="F6607" s="7" t="s">
        <v>36</v>
      </c>
      <c r="G6607" s="33" t="s">
        <v>6121</v>
      </c>
      <c r="H6607" s="33" t="s">
        <v>9349</v>
      </c>
      <c r="I6607" s="157">
        <v>0</v>
      </c>
      <c r="J6607" s="142">
        <v>160</v>
      </c>
      <c r="K6607" s="142">
        <v>40</v>
      </c>
      <c r="L6607" s="142">
        <v>0</v>
      </c>
      <c r="M6607" s="142">
        <v>0</v>
      </c>
      <c r="N6607" s="142">
        <v>0</v>
      </c>
      <c r="O6607" s="142">
        <v>0</v>
      </c>
      <c r="P6607" s="158">
        <v>0</v>
      </c>
      <c r="Q6607" s="35" t="s">
        <v>154</v>
      </c>
    </row>
    <row r="6608" spans="1:17" s="162" customFormat="1" ht="156" x14ac:dyDescent="0.25">
      <c r="A6608" s="184">
        <v>42935</v>
      </c>
      <c r="B6608" s="184">
        <v>42935</v>
      </c>
      <c r="C6608" s="138">
        <v>2017</v>
      </c>
      <c r="D6608" s="351" t="s">
        <v>23</v>
      </c>
      <c r="E6608" s="22" t="s">
        <v>86</v>
      </c>
      <c r="F6608" s="7" t="s">
        <v>36</v>
      </c>
      <c r="G6608" s="33" t="s">
        <v>3106</v>
      </c>
      <c r="H6608" s="33" t="s">
        <v>9350</v>
      </c>
      <c r="I6608" s="157">
        <v>0</v>
      </c>
      <c r="J6608" s="142">
        <v>0</v>
      </c>
      <c r="K6608" s="142">
        <v>54</v>
      </c>
      <c r="L6608" s="142">
        <v>0</v>
      </c>
      <c r="M6608" s="142">
        <v>1</v>
      </c>
      <c r="N6608" s="142">
        <v>21</v>
      </c>
      <c r="O6608" s="142">
        <v>0</v>
      </c>
      <c r="P6608" s="158">
        <v>0</v>
      </c>
      <c r="Q6608" s="35" t="s">
        <v>154</v>
      </c>
    </row>
    <row r="6609" spans="1:17" s="162" customFormat="1" ht="240" x14ac:dyDescent="0.25">
      <c r="A6609" s="184">
        <v>42900</v>
      </c>
      <c r="B6609" s="184">
        <v>42900</v>
      </c>
      <c r="C6609" s="138">
        <v>2017</v>
      </c>
      <c r="D6609" s="351" t="s">
        <v>23</v>
      </c>
      <c r="E6609" s="14" t="s">
        <v>32</v>
      </c>
      <c r="F6609" s="7" t="s">
        <v>72</v>
      </c>
      <c r="G6609" s="33" t="s">
        <v>9351</v>
      </c>
      <c r="H6609" s="33" t="s">
        <v>9352</v>
      </c>
      <c r="I6609" s="157">
        <v>5</v>
      </c>
      <c r="J6609" s="142">
        <v>141705</v>
      </c>
      <c r="K6609" s="142">
        <v>420</v>
      </c>
      <c r="L6609" s="142">
        <v>54</v>
      </c>
      <c r="M6609" s="142">
        <v>0</v>
      </c>
      <c r="N6609" s="142">
        <v>0</v>
      </c>
      <c r="O6609" s="142">
        <v>9025.7000000000007</v>
      </c>
      <c r="P6609" s="158">
        <v>4242.8999999999996</v>
      </c>
      <c r="Q6609" s="35" t="s">
        <v>22</v>
      </c>
    </row>
    <row r="6610" spans="1:17" s="162" customFormat="1" ht="60" x14ac:dyDescent="0.25">
      <c r="A6610" s="184">
        <v>43033</v>
      </c>
      <c r="B6610" s="184">
        <v>43033</v>
      </c>
      <c r="C6610" s="138">
        <v>2017</v>
      </c>
      <c r="D6610" s="351" t="s">
        <v>23</v>
      </c>
      <c r="E6610" s="22" t="s">
        <v>86</v>
      </c>
      <c r="F6610" s="7" t="s">
        <v>36</v>
      </c>
      <c r="G6610" s="33" t="s">
        <v>9353</v>
      </c>
      <c r="H6610" s="33" t="s">
        <v>9354</v>
      </c>
      <c r="I6610" s="157">
        <v>5</v>
      </c>
      <c r="J6610" s="142">
        <v>7</v>
      </c>
      <c r="K6610" s="142">
        <v>1</v>
      </c>
      <c r="L6610" s="142">
        <v>0</v>
      </c>
      <c r="M6610" s="142">
        <v>0</v>
      </c>
      <c r="N6610" s="142">
        <v>0</v>
      </c>
      <c r="O6610" s="142">
        <v>0</v>
      </c>
      <c r="P6610" s="158">
        <v>0</v>
      </c>
      <c r="Q6610" s="35" t="s">
        <v>154</v>
      </c>
    </row>
    <row r="6611" spans="1:17" s="162" customFormat="1" ht="48" x14ac:dyDescent="0.25">
      <c r="A6611" s="184">
        <v>43017</v>
      </c>
      <c r="B6611" s="184">
        <v>43017</v>
      </c>
      <c r="C6611" s="138">
        <v>2017</v>
      </c>
      <c r="D6611" s="351" t="s">
        <v>23</v>
      </c>
      <c r="E6611" s="22" t="s">
        <v>86</v>
      </c>
      <c r="F6611" s="7" t="s">
        <v>36</v>
      </c>
      <c r="G6611" s="33" t="s">
        <v>3014</v>
      </c>
      <c r="H6611" s="33" t="s">
        <v>9355</v>
      </c>
      <c r="I6611" s="157">
        <v>0</v>
      </c>
      <c r="J6611" s="142">
        <v>160</v>
      </c>
      <c r="K6611" s="142">
        <v>40</v>
      </c>
      <c r="L6611" s="142">
        <v>0</v>
      </c>
      <c r="M6611" s="142">
        <v>0</v>
      </c>
      <c r="N6611" s="142">
        <v>0</v>
      </c>
      <c r="O6611" s="142">
        <v>0</v>
      </c>
      <c r="P6611" s="158">
        <v>0</v>
      </c>
      <c r="Q6611" s="35" t="s">
        <v>154</v>
      </c>
    </row>
    <row r="6612" spans="1:17" s="162" customFormat="1" ht="36" x14ac:dyDescent="0.25">
      <c r="A6612" s="277">
        <v>42736</v>
      </c>
      <c r="B6612" s="277">
        <v>43100</v>
      </c>
      <c r="C6612" s="138">
        <v>2017</v>
      </c>
      <c r="D6612" s="351" t="s">
        <v>23</v>
      </c>
      <c r="E6612" s="22" t="s">
        <v>42</v>
      </c>
      <c r="F6612" s="7" t="s">
        <v>49</v>
      </c>
      <c r="G6612" s="206" t="s">
        <v>26</v>
      </c>
      <c r="H6612" s="206" t="s">
        <v>9356</v>
      </c>
      <c r="I6612" s="157">
        <v>4</v>
      </c>
      <c r="J6612" s="142">
        <v>74</v>
      </c>
      <c r="K6612" s="278">
        <v>0</v>
      </c>
      <c r="L6612" s="278">
        <v>0</v>
      </c>
      <c r="M6612" s="278">
        <v>0</v>
      </c>
      <c r="N6612" s="278">
        <v>0</v>
      </c>
      <c r="O6612" s="278">
        <v>0</v>
      </c>
      <c r="P6612" s="47">
        <v>0</v>
      </c>
      <c r="Q6612" s="35" t="s">
        <v>9333</v>
      </c>
    </row>
    <row r="6613" spans="1:17" s="162" customFormat="1" ht="24" x14ac:dyDescent="0.25">
      <c r="A6613" s="277">
        <v>42736</v>
      </c>
      <c r="B6613" s="277">
        <v>43100</v>
      </c>
      <c r="C6613" s="138">
        <v>2017</v>
      </c>
      <c r="D6613" s="351" t="s">
        <v>23</v>
      </c>
      <c r="E6613" s="22" t="s">
        <v>42</v>
      </c>
      <c r="F6613" s="7" t="s">
        <v>56</v>
      </c>
      <c r="G6613" s="206" t="s">
        <v>26</v>
      </c>
      <c r="H6613" s="206" t="s">
        <v>9357</v>
      </c>
      <c r="I6613" s="279">
        <v>0</v>
      </c>
      <c r="J6613" s="142">
        <v>1</v>
      </c>
      <c r="K6613" s="278">
        <v>0</v>
      </c>
      <c r="L6613" s="278">
        <v>0</v>
      </c>
      <c r="M6613" s="278">
        <v>0</v>
      </c>
      <c r="N6613" s="278">
        <v>0</v>
      </c>
      <c r="O6613" s="278">
        <v>0</v>
      </c>
      <c r="P6613" s="47">
        <v>0</v>
      </c>
      <c r="Q6613" s="35" t="s">
        <v>9333</v>
      </c>
    </row>
    <row r="6614" spans="1:17" s="162" customFormat="1" ht="36" x14ac:dyDescent="0.25">
      <c r="A6614" s="277">
        <v>42736</v>
      </c>
      <c r="B6614" s="277">
        <v>43100</v>
      </c>
      <c r="C6614" s="138">
        <v>2017</v>
      </c>
      <c r="D6614" s="351" t="s">
        <v>23</v>
      </c>
      <c r="E6614" s="22" t="s">
        <v>42</v>
      </c>
      <c r="F6614" s="28" t="s">
        <v>160</v>
      </c>
      <c r="G6614" s="206" t="s">
        <v>26</v>
      </c>
      <c r="H6614" s="206" t="s">
        <v>9358</v>
      </c>
      <c r="I6614" s="157">
        <v>1</v>
      </c>
      <c r="J6614" s="142">
        <v>7</v>
      </c>
      <c r="K6614" s="278">
        <v>0</v>
      </c>
      <c r="L6614" s="278">
        <v>0</v>
      </c>
      <c r="M6614" s="278">
        <v>0</v>
      </c>
      <c r="N6614" s="278">
        <v>0</v>
      </c>
      <c r="O6614" s="278">
        <v>0</v>
      </c>
      <c r="P6614" s="47">
        <v>0</v>
      </c>
      <c r="Q6614" s="35" t="s">
        <v>9333</v>
      </c>
    </row>
    <row r="6615" spans="1:17" s="162" customFormat="1" ht="180" x14ac:dyDescent="0.25">
      <c r="A6615" s="184">
        <v>43020</v>
      </c>
      <c r="B6615" s="184">
        <v>43020</v>
      </c>
      <c r="C6615" s="138">
        <v>2017</v>
      </c>
      <c r="D6615" s="351" t="s">
        <v>23</v>
      </c>
      <c r="E6615" s="22" t="s">
        <v>86</v>
      </c>
      <c r="F6615" s="7" t="s">
        <v>36</v>
      </c>
      <c r="G6615" s="33" t="s">
        <v>310</v>
      </c>
      <c r="H6615" s="33" t="s">
        <v>9359</v>
      </c>
      <c r="I6615" s="157">
        <v>0</v>
      </c>
      <c r="J6615" s="142">
        <v>636</v>
      </c>
      <c r="K6615" s="142">
        <v>159</v>
      </c>
      <c r="L6615" s="142">
        <v>0</v>
      </c>
      <c r="M6615" s="142">
        <v>0</v>
      </c>
      <c r="N6615" s="142">
        <v>339</v>
      </c>
      <c r="O6615" s="142">
        <v>0</v>
      </c>
      <c r="P6615" s="158">
        <v>0</v>
      </c>
      <c r="Q6615" s="35" t="s">
        <v>154</v>
      </c>
    </row>
    <row r="6616" spans="1:17" s="162" customFormat="1" ht="108" x14ac:dyDescent="0.25">
      <c r="A6616" s="184">
        <v>42992</v>
      </c>
      <c r="B6616" s="184">
        <v>42992</v>
      </c>
      <c r="C6616" s="138">
        <v>2017</v>
      </c>
      <c r="D6616" s="351" t="s">
        <v>23</v>
      </c>
      <c r="E6616" s="22" t="s">
        <v>86</v>
      </c>
      <c r="F6616" s="7" t="s">
        <v>36</v>
      </c>
      <c r="G6616" s="33" t="s">
        <v>232</v>
      </c>
      <c r="H6616" s="33" t="s">
        <v>9360</v>
      </c>
      <c r="I6616" s="157">
        <v>3</v>
      </c>
      <c r="J6616" s="142">
        <v>47</v>
      </c>
      <c r="K6616" s="142">
        <v>2</v>
      </c>
      <c r="L6616" s="142">
        <v>0</v>
      </c>
      <c r="M6616" s="142">
        <v>0</v>
      </c>
      <c r="N6616" s="142">
        <v>0</v>
      </c>
      <c r="O6616" s="142">
        <v>0</v>
      </c>
      <c r="P6616" s="158">
        <v>0</v>
      </c>
      <c r="Q6616" s="35" t="s">
        <v>154</v>
      </c>
    </row>
    <row r="6617" spans="1:17" s="162" customFormat="1" ht="60" x14ac:dyDescent="0.25">
      <c r="A6617" s="184">
        <v>42877</v>
      </c>
      <c r="B6617" s="184">
        <v>42877</v>
      </c>
      <c r="C6617" s="138">
        <v>2017</v>
      </c>
      <c r="D6617" s="351" t="s">
        <v>23</v>
      </c>
      <c r="E6617" s="49" t="s">
        <v>323</v>
      </c>
      <c r="F6617" s="7" t="s">
        <v>36</v>
      </c>
      <c r="G6617" s="33" t="s">
        <v>1592</v>
      </c>
      <c r="H6617" s="33" t="s">
        <v>9361</v>
      </c>
      <c r="I6617" s="157">
        <v>0</v>
      </c>
      <c r="J6617" s="142">
        <v>40</v>
      </c>
      <c r="K6617" s="142">
        <v>10</v>
      </c>
      <c r="L6617" s="142">
        <v>0</v>
      </c>
      <c r="M6617" s="142">
        <v>0</v>
      </c>
      <c r="N6617" s="142">
        <v>0</v>
      </c>
      <c r="O6617" s="142">
        <v>0</v>
      </c>
      <c r="P6617" s="158">
        <v>0</v>
      </c>
      <c r="Q6617" s="35" t="s">
        <v>154</v>
      </c>
    </row>
    <row r="6618" spans="1:17" s="162" customFormat="1" ht="48" x14ac:dyDescent="0.25">
      <c r="A6618" s="277">
        <v>42736</v>
      </c>
      <c r="B6618" s="277">
        <v>43100</v>
      </c>
      <c r="C6618" s="138">
        <v>2017</v>
      </c>
      <c r="D6618" s="351" t="s">
        <v>23</v>
      </c>
      <c r="E6618" s="28" t="s">
        <v>327</v>
      </c>
      <c r="F6618" s="7" t="s">
        <v>62</v>
      </c>
      <c r="G6618" s="206" t="s">
        <v>26</v>
      </c>
      <c r="H6618" s="147" t="s">
        <v>9362</v>
      </c>
      <c r="I6618" s="157">
        <v>1</v>
      </c>
      <c r="J6618" s="142">
        <v>14</v>
      </c>
      <c r="K6618" s="278">
        <v>0</v>
      </c>
      <c r="L6618" s="278">
        <v>0</v>
      </c>
      <c r="M6618" s="278">
        <v>0</v>
      </c>
      <c r="N6618" s="278">
        <v>0</v>
      </c>
      <c r="O6618" s="278">
        <v>0</v>
      </c>
      <c r="P6618" s="47">
        <v>0</v>
      </c>
      <c r="Q6618" s="35" t="s">
        <v>9333</v>
      </c>
    </row>
    <row r="6619" spans="1:17" s="162" customFormat="1" ht="36" x14ac:dyDescent="0.25">
      <c r="A6619" s="277">
        <v>42736</v>
      </c>
      <c r="B6619" s="277">
        <v>43100</v>
      </c>
      <c r="C6619" s="138">
        <v>2017</v>
      </c>
      <c r="D6619" s="351" t="s">
        <v>23</v>
      </c>
      <c r="E6619" s="28" t="s">
        <v>327</v>
      </c>
      <c r="F6619" s="7" t="s">
        <v>80</v>
      </c>
      <c r="G6619" s="206" t="s">
        <v>26</v>
      </c>
      <c r="H6619" s="147" t="s">
        <v>9363</v>
      </c>
      <c r="I6619" s="157">
        <v>1</v>
      </c>
      <c r="J6619" s="142">
        <v>10</v>
      </c>
      <c r="K6619" s="278">
        <v>0</v>
      </c>
      <c r="L6619" s="278">
        <v>0</v>
      </c>
      <c r="M6619" s="278">
        <v>0</v>
      </c>
      <c r="N6619" s="278">
        <v>0</v>
      </c>
      <c r="O6619" s="278">
        <v>0</v>
      </c>
      <c r="P6619" s="47">
        <v>0</v>
      </c>
      <c r="Q6619" s="35" t="s">
        <v>9333</v>
      </c>
    </row>
    <row r="6620" spans="1:17" s="162" customFormat="1" ht="36" x14ac:dyDescent="0.25">
      <c r="A6620" s="277">
        <v>42736</v>
      </c>
      <c r="B6620" s="277">
        <v>43100</v>
      </c>
      <c r="C6620" s="138">
        <v>2017</v>
      </c>
      <c r="D6620" s="351" t="s">
        <v>23</v>
      </c>
      <c r="E6620" s="28" t="s">
        <v>327</v>
      </c>
      <c r="F6620" s="7" t="s">
        <v>84</v>
      </c>
      <c r="G6620" s="206" t="s">
        <v>26</v>
      </c>
      <c r="H6620" s="147" t="s">
        <v>9364</v>
      </c>
      <c r="I6620" s="157">
        <v>1</v>
      </c>
      <c r="J6620" s="142">
        <v>56</v>
      </c>
      <c r="K6620" s="278">
        <v>0</v>
      </c>
      <c r="L6620" s="278">
        <v>0</v>
      </c>
      <c r="M6620" s="278">
        <v>0</v>
      </c>
      <c r="N6620" s="278">
        <v>0</v>
      </c>
      <c r="O6620" s="278">
        <v>0</v>
      </c>
      <c r="P6620" s="47">
        <v>0</v>
      </c>
      <c r="Q6620" s="35" t="s">
        <v>9333</v>
      </c>
    </row>
    <row r="6621" spans="1:17" s="162" customFormat="1" ht="48" x14ac:dyDescent="0.25">
      <c r="A6621" s="277">
        <v>42736</v>
      </c>
      <c r="B6621" s="277">
        <v>43100</v>
      </c>
      <c r="C6621" s="138">
        <v>2017</v>
      </c>
      <c r="D6621" s="351" t="s">
        <v>23</v>
      </c>
      <c r="E6621" s="28" t="s">
        <v>327</v>
      </c>
      <c r="F6621" s="28" t="s">
        <v>210</v>
      </c>
      <c r="G6621" s="206" t="s">
        <v>26</v>
      </c>
      <c r="H6621" s="147" t="s">
        <v>9365</v>
      </c>
      <c r="I6621" s="157">
        <v>1</v>
      </c>
      <c r="J6621" s="142">
        <v>30</v>
      </c>
      <c r="K6621" s="278">
        <v>0</v>
      </c>
      <c r="L6621" s="278">
        <v>0</v>
      </c>
      <c r="M6621" s="278">
        <v>0</v>
      </c>
      <c r="N6621" s="278">
        <v>0</v>
      </c>
      <c r="O6621" s="278">
        <v>0</v>
      </c>
      <c r="P6621" s="47">
        <v>0</v>
      </c>
      <c r="Q6621" s="35" t="s">
        <v>9333</v>
      </c>
    </row>
    <row r="6622" spans="1:17" s="162" customFormat="1" ht="36" x14ac:dyDescent="0.25">
      <c r="A6622" s="184">
        <v>42956</v>
      </c>
      <c r="B6622" s="184">
        <v>42956</v>
      </c>
      <c r="C6622" s="138">
        <v>2017</v>
      </c>
      <c r="D6622" s="351" t="s">
        <v>23</v>
      </c>
      <c r="E6622" s="14" t="s">
        <v>32</v>
      </c>
      <c r="F6622" s="7" t="s">
        <v>75</v>
      </c>
      <c r="G6622" s="33" t="s">
        <v>9366</v>
      </c>
      <c r="H6622" s="33" t="s">
        <v>9367</v>
      </c>
      <c r="I6622" s="157">
        <v>0</v>
      </c>
      <c r="J6622" s="31">
        <v>999654</v>
      </c>
      <c r="K6622" s="142">
        <v>0</v>
      </c>
      <c r="L6622" s="142">
        <v>0</v>
      </c>
      <c r="M6622" s="142">
        <v>0</v>
      </c>
      <c r="N6622" s="142">
        <v>0</v>
      </c>
      <c r="O6622" s="142">
        <v>0</v>
      </c>
      <c r="P6622" s="158">
        <v>43.1</v>
      </c>
      <c r="Q6622" s="35" t="s">
        <v>186</v>
      </c>
    </row>
    <row r="6623" spans="1:17" s="162" customFormat="1" ht="72" x14ac:dyDescent="0.25">
      <c r="A6623" s="184">
        <v>42884</v>
      </c>
      <c r="B6623" s="184">
        <v>42884</v>
      </c>
      <c r="C6623" s="138">
        <v>2017</v>
      </c>
      <c r="D6623" s="351" t="s">
        <v>23</v>
      </c>
      <c r="E6623" s="49" t="s">
        <v>323</v>
      </c>
      <c r="F6623" s="7" t="s">
        <v>36</v>
      </c>
      <c r="G6623" s="33" t="s">
        <v>310</v>
      </c>
      <c r="H6623" s="33" t="s">
        <v>9368</v>
      </c>
      <c r="I6623" s="157">
        <v>0</v>
      </c>
      <c r="J6623" s="142">
        <v>800</v>
      </c>
      <c r="K6623" s="142">
        <v>214</v>
      </c>
      <c r="L6623" s="142">
        <v>0</v>
      </c>
      <c r="M6623" s="142">
        <v>0</v>
      </c>
      <c r="N6623" s="142">
        <v>0</v>
      </c>
      <c r="O6623" s="142">
        <v>0</v>
      </c>
      <c r="P6623" s="158">
        <v>7.0405999999999996E-2</v>
      </c>
      <c r="Q6623" s="35" t="s">
        <v>154</v>
      </c>
    </row>
    <row r="6624" spans="1:17" s="162" customFormat="1" ht="36" x14ac:dyDescent="0.25">
      <c r="A6624" s="184">
        <v>42909</v>
      </c>
      <c r="B6624" s="184">
        <v>42909</v>
      </c>
      <c r="C6624" s="138">
        <v>2017</v>
      </c>
      <c r="D6624" s="351" t="s">
        <v>23</v>
      </c>
      <c r="E6624" s="22" t="s">
        <v>86</v>
      </c>
      <c r="F6624" s="7" t="s">
        <v>36</v>
      </c>
      <c r="G6624" s="33" t="s">
        <v>854</v>
      </c>
      <c r="H6624" s="33" t="s">
        <v>9369</v>
      </c>
      <c r="I6624" s="157">
        <v>0</v>
      </c>
      <c r="J6624" s="142">
        <v>0</v>
      </c>
      <c r="K6624" s="142">
        <v>0</v>
      </c>
      <c r="L6624" s="142">
        <v>0</v>
      </c>
      <c r="M6624" s="142">
        <v>0</v>
      </c>
      <c r="N6624" s="142">
        <v>0</v>
      </c>
      <c r="O6624" s="142">
        <v>0</v>
      </c>
      <c r="P6624" s="158">
        <v>3.9729999999999999</v>
      </c>
      <c r="Q6624" s="35" t="s">
        <v>986</v>
      </c>
    </row>
    <row r="6625" spans="1:17" s="162" customFormat="1" ht="24" x14ac:dyDescent="0.25">
      <c r="A6625" s="277">
        <v>42736</v>
      </c>
      <c r="B6625" s="277">
        <v>43100</v>
      </c>
      <c r="C6625" s="138">
        <v>2017</v>
      </c>
      <c r="D6625" s="351" t="s">
        <v>23</v>
      </c>
      <c r="E6625" s="22" t="s">
        <v>42</v>
      </c>
      <c r="F6625" s="7" t="s">
        <v>36</v>
      </c>
      <c r="G6625" s="206" t="s">
        <v>26</v>
      </c>
      <c r="H6625" s="206" t="s">
        <v>9370</v>
      </c>
      <c r="I6625" s="279">
        <v>0</v>
      </c>
      <c r="J6625" s="142">
        <v>3</v>
      </c>
      <c r="K6625" s="278">
        <v>0</v>
      </c>
      <c r="L6625" s="278">
        <v>0</v>
      </c>
      <c r="M6625" s="278">
        <v>0</v>
      </c>
      <c r="N6625" s="278">
        <v>0</v>
      </c>
      <c r="O6625" s="278">
        <v>0</v>
      </c>
      <c r="P6625" s="47">
        <v>0</v>
      </c>
      <c r="Q6625" s="35" t="s">
        <v>9333</v>
      </c>
    </row>
    <row r="6626" spans="1:17" s="162" customFormat="1" ht="132" x14ac:dyDescent="0.25">
      <c r="A6626" s="184">
        <v>42970</v>
      </c>
      <c r="B6626" s="184">
        <v>42970</v>
      </c>
      <c r="C6626" s="138">
        <v>2017</v>
      </c>
      <c r="D6626" s="351" t="s">
        <v>23</v>
      </c>
      <c r="E6626" s="22" t="s">
        <v>86</v>
      </c>
      <c r="F6626" s="7" t="s">
        <v>40</v>
      </c>
      <c r="G6626" s="33" t="s">
        <v>9371</v>
      </c>
      <c r="H6626" s="33" t="s">
        <v>9372</v>
      </c>
      <c r="I6626" s="157">
        <v>2</v>
      </c>
      <c r="J6626" s="142">
        <v>53</v>
      </c>
      <c r="K6626" s="142">
        <v>0</v>
      </c>
      <c r="L6626" s="142">
        <v>0</v>
      </c>
      <c r="M6626" s="142">
        <v>0</v>
      </c>
      <c r="N6626" s="142">
        <v>33</v>
      </c>
      <c r="O6626" s="142">
        <v>0</v>
      </c>
      <c r="P6626" s="158">
        <v>0</v>
      </c>
      <c r="Q6626" s="35" t="s">
        <v>154</v>
      </c>
    </row>
    <row r="6627" spans="1:17" s="162" customFormat="1" ht="24" x14ac:dyDescent="0.25">
      <c r="A6627" s="277">
        <v>42736</v>
      </c>
      <c r="B6627" s="277">
        <v>43100</v>
      </c>
      <c r="C6627" s="138">
        <v>2017</v>
      </c>
      <c r="D6627" s="351" t="s">
        <v>23</v>
      </c>
      <c r="E6627" s="22" t="s">
        <v>42</v>
      </c>
      <c r="F6627" s="7" t="s">
        <v>60</v>
      </c>
      <c r="G6627" s="206" t="s">
        <v>26</v>
      </c>
      <c r="H6627" s="206" t="s">
        <v>9373</v>
      </c>
      <c r="I6627" s="279">
        <v>0</v>
      </c>
      <c r="J6627" s="142">
        <v>1</v>
      </c>
      <c r="K6627" s="278">
        <v>0</v>
      </c>
      <c r="L6627" s="278">
        <v>0</v>
      </c>
      <c r="M6627" s="278">
        <v>0</v>
      </c>
      <c r="N6627" s="278">
        <v>0</v>
      </c>
      <c r="O6627" s="278">
        <v>0</v>
      </c>
      <c r="P6627" s="47">
        <v>0</v>
      </c>
      <c r="Q6627" s="35" t="s">
        <v>9333</v>
      </c>
    </row>
    <row r="6628" spans="1:17" s="162" customFormat="1" ht="48" x14ac:dyDescent="0.25">
      <c r="A6628" s="277">
        <v>42736</v>
      </c>
      <c r="B6628" s="277">
        <v>43100</v>
      </c>
      <c r="C6628" s="138">
        <v>2017</v>
      </c>
      <c r="D6628" s="351" t="s">
        <v>23</v>
      </c>
      <c r="E6628" s="22" t="s">
        <v>42</v>
      </c>
      <c r="F6628" s="7" t="s">
        <v>65</v>
      </c>
      <c r="G6628" s="206" t="s">
        <v>26</v>
      </c>
      <c r="H6628" s="206" t="s">
        <v>9374</v>
      </c>
      <c r="I6628" s="157">
        <v>1</v>
      </c>
      <c r="J6628" s="278">
        <v>1</v>
      </c>
      <c r="K6628" s="278">
        <v>0</v>
      </c>
      <c r="L6628" s="278">
        <v>0</v>
      </c>
      <c r="M6628" s="278">
        <v>0</v>
      </c>
      <c r="N6628" s="278">
        <v>0</v>
      </c>
      <c r="O6628" s="278">
        <v>0</v>
      </c>
      <c r="P6628" s="47">
        <v>0</v>
      </c>
      <c r="Q6628" s="35" t="s">
        <v>9333</v>
      </c>
    </row>
    <row r="6629" spans="1:17" s="162" customFormat="1" ht="24" x14ac:dyDescent="0.25">
      <c r="A6629" s="277">
        <v>42736</v>
      </c>
      <c r="B6629" s="277">
        <v>43100</v>
      </c>
      <c r="C6629" s="138">
        <v>2017</v>
      </c>
      <c r="D6629" s="351" t="s">
        <v>23</v>
      </c>
      <c r="E6629" s="22" t="s">
        <v>42</v>
      </c>
      <c r="F6629" s="7" t="s">
        <v>68</v>
      </c>
      <c r="G6629" s="206" t="s">
        <v>26</v>
      </c>
      <c r="H6629" s="206" t="s">
        <v>9375</v>
      </c>
      <c r="I6629" s="279">
        <v>0</v>
      </c>
      <c r="J6629" s="142">
        <v>5</v>
      </c>
      <c r="K6629" s="278">
        <v>0</v>
      </c>
      <c r="L6629" s="278">
        <v>0</v>
      </c>
      <c r="M6629" s="278">
        <v>0</v>
      </c>
      <c r="N6629" s="278">
        <v>0</v>
      </c>
      <c r="O6629" s="278">
        <v>0</v>
      </c>
      <c r="P6629" s="47">
        <v>0</v>
      </c>
      <c r="Q6629" s="35" t="s">
        <v>9333</v>
      </c>
    </row>
    <row r="6630" spans="1:17" s="162" customFormat="1" ht="36" x14ac:dyDescent="0.25">
      <c r="A6630" s="277">
        <v>42736</v>
      </c>
      <c r="B6630" s="277">
        <v>43100</v>
      </c>
      <c r="C6630" s="138">
        <v>2017</v>
      </c>
      <c r="D6630" s="351" t="s">
        <v>23</v>
      </c>
      <c r="E6630" s="22" t="s">
        <v>42</v>
      </c>
      <c r="F6630" s="7" t="s">
        <v>75</v>
      </c>
      <c r="G6630" s="206" t="s">
        <v>26</v>
      </c>
      <c r="H6630" s="206" t="s">
        <v>9376</v>
      </c>
      <c r="I6630" s="157">
        <v>2</v>
      </c>
      <c r="J6630" s="142">
        <v>11</v>
      </c>
      <c r="K6630" s="278">
        <v>0</v>
      </c>
      <c r="L6630" s="278">
        <v>0</v>
      </c>
      <c r="M6630" s="278">
        <v>0</v>
      </c>
      <c r="N6630" s="278">
        <v>0</v>
      </c>
      <c r="O6630" s="278">
        <v>0</v>
      </c>
      <c r="P6630" s="47">
        <v>0</v>
      </c>
      <c r="Q6630" s="35" t="s">
        <v>9333</v>
      </c>
    </row>
    <row r="6631" spans="1:17" s="162" customFormat="1" ht="24" x14ac:dyDescent="0.25">
      <c r="A6631" s="277">
        <v>42736</v>
      </c>
      <c r="B6631" s="277">
        <v>43100</v>
      </c>
      <c r="C6631" s="138">
        <v>2017</v>
      </c>
      <c r="D6631" s="351" t="s">
        <v>23</v>
      </c>
      <c r="E6631" s="22" t="s">
        <v>42</v>
      </c>
      <c r="F6631" s="7" t="s">
        <v>82</v>
      </c>
      <c r="G6631" s="206" t="s">
        <v>26</v>
      </c>
      <c r="H6631" s="206" t="s">
        <v>9377</v>
      </c>
      <c r="I6631" s="279">
        <v>0</v>
      </c>
      <c r="J6631" s="142">
        <v>8</v>
      </c>
      <c r="K6631" s="278">
        <v>0</v>
      </c>
      <c r="L6631" s="278">
        <v>0</v>
      </c>
      <c r="M6631" s="278">
        <v>0</v>
      </c>
      <c r="N6631" s="278">
        <v>0</v>
      </c>
      <c r="O6631" s="278">
        <v>0</v>
      </c>
      <c r="P6631" s="47">
        <v>0</v>
      </c>
      <c r="Q6631" s="35" t="s">
        <v>9333</v>
      </c>
    </row>
    <row r="6632" spans="1:17" s="162" customFormat="1" ht="48" x14ac:dyDescent="0.25">
      <c r="A6632" s="277">
        <v>42736</v>
      </c>
      <c r="B6632" s="277">
        <v>43100</v>
      </c>
      <c r="C6632" s="138">
        <v>2017</v>
      </c>
      <c r="D6632" s="351" t="s">
        <v>23</v>
      </c>
      <c r="E6632" s="22" t="s">
        <v>42</v>
      </c>
      <c r="F6632" s="7" t="s">
        <v>87</v>
      </c>
      <c r="G6632" s="206" t="s">
        <v>26</v>
      </c>
      <c r="H6632" s="206" t="s">
        <v>9378</v>
      </c>
      <c r="I6632" s="157">
        <v>2</v>
      </c>
      <c r="J6632" s="142">
        <v>51</v>
      </c>
      <c r="K6632" s="278">
        <v>0</v>
      </c>
      <c r="L6632" s="278">
        <v>0</v>
      </c>
      <c r="M6632" s="278">
        <v>0</v>
      </c>
      <c r="N6632" s="278">
        <v>0</v>
      </c>
      <c r="O6632" s="278">
        <v>0</v>
      </c>
      <c r="P6632" s="47">
        <v>0</v>
      </c>
      <c r="Q6632" s="35" t="s">
        <v>9333</v>
      </c>
    </row>
    <row r="6633" spans="1:17" s="162" customFormat="1" ht="24" x14ac:dyDescent="0.25">
      <c r="A6633" s="277">
        <v>42736</v>
      </c>
      <c r="B6633" s="277">
        <v>43100</v>
      </c>
      <c r="C6633" s="138">
        <v>2017</v>
      </c>
      <c r="D6633" s="351" t="s">
        <v>23</v>
      </c>
      <c r="E6633" s="22" t="s">
        <v>42</v>
      </c>
      <c r="F6633" s="7" t="s">
        <v>91</v>
      </c>
      <c r="G6633" s="206" t="s">
        <v>26</v>
      </c>
      <c r="H6633" s="206" t="s">
        <v>9379</v>
      </c>
      <c r="I6633" s="279">
        <v>0</v>
      </c>
      <c r="J6633" s="142">
        <v>5</v>
      </c>
      <c r="K6633" s="278">
        <v>0</v>
      </c>
      <c r="L6633" s="278">
        <v>0</v>
      </c>
      <c r="M6633" s="278">
        <v>0</v>
      </c>
      <c r="N6633" s="278">
        <v>0</v>
      </c>
      <c r="O6633" s="278">
        <v>0</v>
      </c>
      <c r="P6633" s="47">
        <v>0</v>
      </c>
      <c r="Q6633" s="35" t="s">
        <v>9333</v>
      </c>
    </row>
    <row r="6634" spans="1:17" s="162" customFormat="1" ht="24" x14ac:dyDescent="0.25">
      <c r="A6634" s="277">
        <v>42736</v>
      </c>
      <c r="B6634" s="277">
        <v>43100</v>
      </c>
      <c r="C6634" s="138">
        <v>2017</v>
      </c>
      <c r="D6634" s="351" t="s">
        <v>23</v>
      </c>
      <c r="E6634" s="22" t="s">
        <v>42</v>
      </c>
      <c r="F6634" s="7" t="s">
        <v>97</v>
      </c>
      <c r="G6634" s="206" t="s">
        <v>26</v>
      </c>
      <c r="H6634" s="206" t="s">
        <v>9380</v>
      </c>
      <c r="I6634" s="279">
        <v>0</v>
      </c>
      <c r="J6634" s="142">
        <v>1</v>
      </c>
      <c r="K6634" s="278">
        <v>0</v>
      </c>
      <c r="L6634" s="278">
        <v>0</v>
      </c>
      <c r="M6634" s="278">
        <v>0</v>
      </c>
      <c r="N6634" s="278">
        <v>0</v>
      </c>
      <c r="O6634" s="278">
        <v>0</v>
      </c>
      <c r="P6634" s="158">
        <v>0</v>
      </c>
      <c r="Q6634" s="35" t="s">
        <v>9333</v>
      </c>
    </row>
    <row r="6635" spans="1:17" s="162" customFormat="1" ht="24" x14ac:dyDescent="0.25">
      <c r="A6635" s="277">
        <v>42736</v>
      </c>
      <c r="B6635" s="277">
        <v>43100</v>
      </c>
      <c r="C6635" s="138">
        <v>2017</v>
      </c>
      <c r="D6635" s="351" t="s">
        <v>23</v>
      </c>
      <c r="E6635" s="22" t="s">
        <v>42</v>
      </c>
      <c r="F6635" s="28" t="s">
        <v>210</v>
      </c>
      <c r="G6635" s="206" t="s">
        <v>26</v>
      </c>
      <c r="H6635" s="206" t="s">
        <v>9381</v>
      </c>
      <c r="I6635" s="279">
        <v>0</v>
      </c>
      <c r="J6635" s="142">
        <v>16</v>
      </c>
      <c r="K6635" s="278">
        <v>0</v>
      </c>
      <c r="L6635" s="278">
        <v>0</v>
      </c>
      <c r="M6635" s="278">
        <v>0</v>
      </c>
      <c r="N6635" s="278">
        <v>0</v>
      </c>
      <c r="O6635" s="278">
        <v>0</v>
      </c>
      <c r="P6635" s="47">
        <v>0</v>
      </c>
      <c r="Q6635" s="35" t="s">
        <v>9333</v>
      </c>
    </row>
    <row r="6636" spans="1:17" s="162" customFormat="1" ht="48" x14ac:dyDescent="0.25">
      <c r="A6636" s="277">
        <v>42736</v>
      </c>
      <c r="B6636" s="277">
        <v>43100</v>
      </c>
      <c r="C6636" s="138">
        <v>2017</v>
      </c>
      <c r="D6636" s="351" t="s">
        <v>23</v>
      </c>
      <c r="E6636" s="22" t="s">
        <v>42</v>
      </c>
      <c r="F6636" s="7" t="s">
        <v>40</v>
      </c>
      <c r="G6636" s="206" t="s">
        <v>26</v>
      </c>
      <c r="H6636" s="206" t="s">
        <v>9382</v>
      </c>
      <c r="I6636" s="157">
        <v>4</v>
      </c>
      <c r="J6636" s="142">
        <v>165</v>
      </c>
      <c r="K6636" s="278">
        <v>0</v>
      </c>
      <c r="L6636" s="278">
        <v>0</v>
      </c>
      <c r="M6636" s="278">
        <v>0</v>
      </c>
      <c r="N6636" s="278">
        <v>0</v>
      </c>
      <c r="O6636" s="278">
        <v>0</v>
      </c>
      <c r="P6636" s="47">
        <v>0</v>
      </c>
      <c r="Q6636" s="35" t="s">
        <v>9333</v>
      </c>
    </row>
    <row r="6637" spans="1:17" s="162" customFormat="1" ht="24" x14ac:dyDescent="0.25">
      <c r="A6637" s="277">
        <v>42736</v>
      </c>
      <c r="B6637" s="277">
        <v>43100</v>
      </c>
      <c r="C6637" s="138">
        <v>2017</v>
      </c>
      <c r="D6637" s="351" t="s">
        <v>23</v>
      </c>
      <c r="E6637" s="28" t="s">
        <v>327</v>
      </c>
      <c r="F6637" s="7" t="s">
        <v>68</v>
      </c>
      <c r="G6637" s="206" t="s">
        <v>26</v>
      </c>
      <c r="H6637" s="147" t="s">
        <v>9383</v>
      </c>
      <c r="I6637" s="157">
        <v>0</v>
      </c>
      <c r="J6637" s="142">
        <v>1</v>
      </c>
      <c r="K6637" s="278">
        <v>0</v>
      </c>
      <c r="L6637" s="278">
        <v>0</v>
      </c>
      <c r="M6637" s="278">
        <v>0</v>
      </c>
      <c r="N6637" s="278">
        <v>0</v>
      </c>
      <c r="O6637" s="278">
        <v>0</v>
      </c>
      <c r="P6637" s="47">
        <v>0</v>
      </c>
      <c r="Q6637" s="35" t="s">
        <v>9333</v>
      </c>
    </row>
    <row r="6638" spans="1:17" s="162" customFormat="1" ht="24" x14ac:dyDescent="0.25">
      <c r="A6638" s="277">
        <v>42736</v>
      </c>
      <c r="B6638" s="277">
        <v>43100</v>
      </c>
      <c r="C6638" s="138">
        <v>2017</v>
      </c>
      <c r="D6638" s="351" t="s">
        <v>23</v>
      </c>
      <c r="E6638" s="28" t="s">
        <v>327</v>
      </c>
      <c r="F6638" s="7" t="s">
        <v>91</v>
      </c>
      <c r="G6638" s="206" t="s">
        <v>26</v>
      </c>
      <c r="H6638" s="147" t="s">
        <v>9384</v>
      </c>
      <c r="I6638" s="157">
        <v>0</v>
      </c>
      <c r="J6638" s="142">
        <v>19</v>
      </c>
      <c r="K6638" s="278">
        <v>0</v>
      </c>
      <c r="L6638" s="278">
        <v>0</v>
      </c>
      <c r="M6638" s="278">
        <v>0</v>
      </c>
      <c r="N6638" s="278">
        <v>0</v>
      </c>
      <c r="O6638" s="278">
        <v>0</v>
      </c>
      <c r="P6638" s="47">
        <v>0</v>
      </c>
      <c r="Q6638" s="35" t="s">
        <v>9333</v>
      </c>
    </row>
    <row r="6639" spans="1:17" s="162" customFormat="1" ht="36" x14ac:dyDescent="0.25">
      <c r="A6639" s="277">
        <v>42736</v>
      </c>
      <c r="B6639" s="277">
        <v>43100</v>
      </c>
      <c r="C6639" s="138">
        <v>2017</v>
      </c>
      <c r="D6639" s="351" t="s">
        <v>23</v>
      </c>
      <c r="E6639" s="28" t="s">
        <v>327</v>
      </c>
      <c r="F6639" s="7" t="s">
        <v>40</v>
      </c>
      <c r="G6639" s="206" t="s">
        <v>26</v>
      </c>
      <c r="H6639" s="147" t="s">
        <v>9385</v>
      </c>
      <c r="I6639" s="157">
        <v>0</v>
      </c>
      <c r="J6639" s="142">
        <v>30</v>
      </c>
      <c r="K6639" s="278">
        <v>0</v>
      </c>
      <c r="L6639" s="278">
        <v>0</v>
      </c>
      <c r="M6639" s="278">
        <v>0</v>
      </c>
      <c r="N6639" s="278">
        <v>0</v>
      </c>
      <c r="O6639" s="278">
        <v>0</v>
      </c>
      <c r="P6639" s="47">
        <v>0</v>
      </c>
      <c r="Q6639" s="35" t="s">
        <v>9333</v>
      </c>
    </row>
    <row r="6640" spans="1:17" s="162" customFormat="1" ht="24" x14ac:dyDescent="0.25">
      <c r="A6640" s="277">
        <v>42736</v>
      </c>
      <c r="B6640" s="277">
        <v>43100</v>
      </c>
      <c r="C6640" s="138">
        <v>2017</v>
      </c>
      <c r="D6640" s="351" t="s">
        <v>23</v>
      </c>
      <c r="E6640" s="28" t="s">
        <v>327</v>
      </c>
      <c r="F6640" s="7" t="s">
        <v>56</v>
      </c>
      <c r="G6640" s="206" t="s">
        <v>26</v>
      </c>
      <c r="H6640" s="147" t="s">
        <v>9386</v>
      </c>
      <c r="I6640" s="279">
        <v>0</v>
      </c>
      <c r="J6640" s="142">
        <v>1</v>
      </c>
      <c r="K6640" s="278">
        <v>0</v>
      </c>
      <c r="L6640" s="278">
        <v>0</v>
      </c>
      <c r="M6640" s="278">
        <v>0</v>
      </c>
      <c r="N6640" s="278">
        <v>0</v>
      </c>
      <c r="O6640" s="278">
        <v>0</v>
      </c>
      <c r="P6640" s="47">
        <v>0</v>
      </c>
      <c r="Q6640" s="35" t="s">
        <v>9333</v>
      </c>
    </row>
    <row r="6641" spans="1:17" s="162" customFormat="1" ht="24" x14ac:dyDescent="0.25">
      <c r="A6641" s="277">
        <v>42736</v>
      </c>
      <c r="B6641" s="277">
        <v>43100</v>
      </c>
      <c r="C6641" s="138">
        <v>2017</v>
      </c>
      <c r="D6641" s="351" t="s">
        <v>23</v>
      </c>
      <c r="E6641" s="28" t="s">
        <v>327</v>
      </c>
      <c r="F6641" s="7" t="s">
        <v>60</v>
      </c>
      <c r="G6641" s="206" t="s">
        <v>26</v>
      </c>
      <c r="H6641" s="147" t="s">
        <v>9387</v>
      </c>
      <c r="I6641" s="279">
        <v>0</v>
      </c>
      <c r="J6641" s="142">
        <v>21</v>
      </c>
      <c r="K6641" s="278">
        <v>0</v>
      </c>
      <c r="L6641" s="278">
        <v>0</v>
      </c>
      <c r="M6641" s="278">
        <v>0</v>
      </c>
      <c r="N6641" s="278">
        <v>0</v>
      </c>
      <c r="O6641" s="278">
        <v>0</v>
      </c>
      <c r="P6641" s="47">
        <v>0</v>
      </c>
      <c r="Q6641" s="35" t="s">
        <v>9333</v>
      </c>
    </row>
    <row r="6642" spans="1:17" s="162" customFormat="1" ht="24" x14ac:dyDescent="0.25">
      <c r="A6642" s="277">
        <v>42736</v>
      </c>
      <c r="B6642" s="277">
        <v>43100</v>
      </c>
      <c r="C6642" s="138">
        <v>2017</v>
      </c>
      <c r="D6642" s="351" t="s">
        <v>23</v>
      </c>
      <c r="E6642" s="28" t="s">
        <v>327</v>
      </c>
      <c r="F6642" s="7" t="s">
        <v>65</v>
      </c>
      <c r="G6642" s="206" t="s">
        <v>26</v>
      </c>
      <c r="H6642" s="147" t="s">
        <v>9388</v>
      </c>
      <c r="I6642" s="279">
        <v>0</v>
      </c>
      <c r="J6642" s="142">
        <v>4</v>
      </c>
      <c r="K6642" s="278">
        <v>0</v>
      </c>
      <c r="L6642" s="278">
        <v>0</v>
      </c>
      <c r="M6642" s="278">
        <v>0</v>
      </c>
      <c r="N6642" s="278">
        <v>0</v>
      </c>
      <c r="O6642" s="278">
        <v>0</v>
      </c>
      <c r="P6642" s="47">
        <v>0</v>
      </c>
      <c r="Q6642" s="35" t="s">
        <v>9333</v>
      </c>
    </row>
    <row r="6643" spans="1:17" s="162" customFormat="1" ht="24" x14ac:dyDescent="0.25">
      <c r="A6643" s="277">
        <v>42736</v>
      </c>
      <c r="B6643" s="277">
        <v>43100</v>
      </c>
      <c r="C6643" s="138">
        <v>2017</v>
      </c>
      <c r="D6643" s="351" t="s">
        <v>23</v>
      </c>
      <c r="E6643" s="28" t="s">
        <v>327</v>
      </c>
      <c r="F6643" s="7" t="s">
        <v>67</v>
      </c>
      <c r="G6643" s="206" t="s">
        <v>26</v>
      </c>
      <c r="H6643" s="147" t="s">
        <v>9386</v>
      </c>
      <c r="I6643" s="279">
        <v>0</v>
      </c>
      <c r="J6643" s="142">
        <v>1</v>
      </c>
      <c r="K6643" s="278">
        <v>0</v>
      </c>
      <c r="L6643" s="278">
        <v>0</v>
      </c>
      <c r="M6643" s="278">
        <v>0</v>
      </c>
      <c r="N6643" s="278">
        <v>0</v>
      </c>
      <c r="O6643" s="278">
        <v>0</v>
      </c>
      <c r="P6643" s="47">
        <v>0</v>
      </c>
      <c r="Q6643" s="35" t="s">
        <v>9333</v>
      </c>
    </row>
    <row r="6644" spans="1:17" s="162" customFormat="1" ht="24" x14ac:dyDescent="0.25">
      <c r="A6644" s="277">
        <v>42736</v>
      </c>
      <c r="B6644" s="277">
        <v>43100</v>
      </c>
      <c r="C6644" s="138">
        <v>2017</v>
      </c>
      <c r="D6644" s="351" t="s">
        <v>23</v>
      </c>
      <c r="E6644" s="28" t="s">
        <v>327</v>
      </c>
      <c r="F6644" s="25" t="s">
        <v>781</v>
      </c>
      <c r="G6644" s="206" t="s">
        <v>26</v>
      </c>
      <c r="H6644" s="147" t="s">
        <v>9389</v>
      </c>
      <c r="I6644" s="279">
        <v>0</v>
      </c>
      <c r="J6644" s="142">
        <v>12</v>
      </c>
      <c r="K6644" s="142">
        <v>0</v>
      </c>
      <c r="L6644" s="142">
        <v>0</v>
      </c>
      <c r="M6644" s="142">
        <v>0</v>
      </c>
      <c r="N6644" s="142">
        <v>0</v>
      </c>
      <c r="O6644" s="278">
        <v>0</v>
      </c>
      <c r="P6644" s="47">
        <v>0</v>
      </c>
      <c r="Q6644" s="35" t="s">
        <v>9333</v>
      </c>
    </row>
    <row r="6645" spans="1:17" s="162" customFormat="1" ht="132" x14ac:dyDescent="0.25">
      <c r="A6645" s="184">
        <v>42897</v>
      </c>
      <c r="B6645" s="184">
        <v>42897</v>
      </c>
      <c r="C6645" s="138">
        <v>2017</v>
      </c>
      <c r="D6645" s="351" t="s">
        <v>23</v>
      </c>
      <c r="E6645" s="22" t="s">
        <v>86</v>
      </c>
      <c r="F6645" s="7" t="s">
        <v>58</v>
      </c>
      <c r="G6645" s="33" t="s">
        <v>9390</v>
      </c>
      <c r="H6645" s="33" t="s">
        <v>9391</v>
      </c>
      <c r="I6645" s="157">
        <v>6</v>
      </c>
      <c r="J6645" s="142">
        <v>10</v>
      </c>
      <c r="K6645" s="142">
        <v>0</v>
      </c>
      <c r="L6645" s="142">
        <v>0</v>
      </c>
      <c r="M6645" s="142">
        <v>0</v>
      </c>
      <c r="N6645" s="142">
        <v>0</v>
      </c>
      <c r="O6645" s="142">
        <v>0</v>
      </c>
      <c r="P6645" s="158">
        <v>0</v>
      </c>
      <c r="Q6645" s="35" t="s">
        <v>154</v>
      </c>
    </row>
    <row r="6646" spans="1:17" s="162" customFormat="1" ht="72" x14ac:dyDescent="0.25">
      <c r="A6646" s="184">
        <v>42886</v>
      </c>
      <c r="B6646" s="184">
        <v>42886</v>
      </c>
      <c r="C6646" s="138">
        <v>2017</v>
      </c>
      <c r="D6646" s="351" t="s">
        <v>23</v>
      </c>
      <c r="E6646" s="22" t="s">
        <v>86</v>
      </c>
      <c r="F6646" s="7" t="s">
        <v>58</v>
      </c>
      <c r="G6646" s="33" t="s">
        <v>2184</v>
      </c>
      <c r="H6646" s="33" t="s">
        <v>9392</v>
      </c>
      <c r="I6646" s="157">
        <v>0</v>
      </c>
      <c r="J6646" s="142">
        <v>60</v>
      </c>
      <c r="K6646" s="142">
        <v>15</v>
      </c>
      <c r="L6646" s="142">
        <v>0</v>
      </c>
      <c r="M6646" s="142">
        <v>0</v>
      </c>
      <c r="N6646" s="142">
        <v>0</v>
      </c>
      <c r="O6646" s="142">
        <v>0</v>
      </c>
      <c r="P6646" s="158">
        <v>0</v>
      </c>
      <c r="Q6646" s="35" t="s">
        <v>154</v>
      </c>
    </row>
    <row r="6647" spans="1:17" s="162" customFormat="1" ht="36" x14ac:dyDescent="0.25">
      <c r="A6647" s="184">
        <v>42987</v>
      </c>
      <c r="B6647" s="184">
        <v>42987</v>
      </c>
      <c r="C6647" s="138">
        <v>2017</v>
      </c>
      <c r="D6647" s="351" t="s">
        <v>23</v>
      </c>
      <c r="E6647" s="14" t="s">
        <v>32</v>
      </c>
      <c r="F6647" s="7" t="s">
        <v>75</v>
      </c>
      <c r="G6647" s="33" t="s">
        <v>9393</v>
      </c>
      <c r="H6647" s="33" t="s">
        <v>9394</v>
      </c>
      <c r="I6647" s="157">
        <v>0</v>
      </c>
      <c r="J6647" s="142">
        <v>347814</v>
      </c>
      <c r="K6647" s="142">
        <v>0</v>
      </c>
      <c r="L6647" s="142">
        <v>0</v>
      </c>
      <c r="M6647" s="142">
        <v>0</v>
      </c>
      <c r="N6647" s="142">
        <v>0</v>
      </c>
      <c r="O6647" s="142">
        <v>0</v>
      </c>
      <c r="P6647" s="158">
        <v>7.2</v>
      </c>
      <c r="Q6647" s="35" t="s">
        <v>186</v>
      </c>
    </row>
    <row r="6648" spans="1:17" s="162" customFormat="1" ht="96" x14ac:dyDescent="0.25">
      <c r="A6648" s="184">
        <v>42905</v>
      </c>
      <c r="B6648" s="184">
        <v>42905</v>
      </c>
      <c r="C6648" s="138">
        <v>2017</v>
      </c>
      <c r="D6648" s="351" t="s">
        <v>23</v>
      </c>
      <c r="E6648" s="22" t="s">
        <v>86</v>
      </c>
      <c r="F6648" s="7" t="s">
        <v>58</v>
      </c>
      <c r="G6648" s="33" t="s">
        <v>9395</v>
      </c>
      <c r="H6648" s="33" t="s">
        <v>9396</v>
      </c>
      <c r="I6648" s="157">
        <v>0</v>
      </c>
      <c r="J6648" s="142">
        <v>292</v>
      </c>
      <c r="K6648" s="142">
        <v>73</v>
      </c>
      <c r="L6648" s="142">
        <v>1</v>
      </c>
      <c r="M6648" s="142">
        <v>0</v>
      </c>
      <c r="N6648" s="142">
        <v>0</v>
      </c>
      <c r="O6648" s="142">
        <v>0</v>
      </c>
      <c r="P6648" s="158">
        <v>0</v>
      </c>
      <c r="Q6648" s="35" t="s">
        <v>154</v>
      </c>
    </row>
    <row r="6649" spans="1:17" s="162" customFormat="1" ht="48" x14ac:dyDescent="0.25">
      <c r="A6649" s="184">
        <v>42990</v>
      </c>
      <c r="B6649" s="184">
        <v>42990</v>
      </c>
      <c r="C6649" s="138">
        <v>2017</v>
      </c>
      <c r="D6649" s="351" t="s">
        <v>23</v>
      </c>
      <c r="E6649" s="14" t="s">
        <v>32</v>
      </c>
      <c r="F6649" s="28" t="s">
        <v>210</v>
      </c>
      <c r="G6649" s="33" t="s">
        <v>9397</v>
      </c>
      <c r="H6649" s="33" t="s">
        <v>9398</v>
      </c>
      <c r="I6649" s="157">
        <v>2</v>
      </c>
      <c r="J6649" s="142">
        <v>2857928</v>
      </c>
      <c r="K6649" s="142">
        <v>0</v>
      </c>
      <c r="L6649" s="142">
        <v>0</v>
      </c>
      <c r="M6649" s="142">
        <v>0</v>
      </c>
      <c r="N6649" s="142">
        <v>0</v>
      </c>
      <c r="O6649" s="142">
        <v>0</v>
      </c>
      <c r="P6649" s="158">
        <v>223.1</v>
      </c>
      <c r="Q6649" s="35" t="s">
        <v>186</v>
      </c>
    </row>
    <row r="6650" spans="1:17" s="162" customFormat="1" ht="72" x14ac:dyDescent="0.25">
      <c r="A6650" s="184">
        <v>42803</v>
      </c>
      <c r="B6650" s="184">
        <v>42803</v>
      </c>
      <c r="C6650" s="138">
        <v>2017</v>
      </c>
      <c r="D6650" s="351" t="s">
        <v>23</v>
      </c>
      <c r="E6650" s="22" t="s">
        <v>86</v>
      </c>
      <c r="F6650" s="7" t="s">
        <v>53</v>
      </c>
      <c r="G6650" s="33" t="s">
        <v>1885</v>
      </c>
      <c r="H6650" s="33" t="s">
        <v>9399</v>
      </c>
      <c r="I6650" s="157">
        <v>0</v>
      </c>
      <c r="J6650" s="142">
        <v>3200</v>
      </c>
      <c r="K6650" s="142">
        <v>800</v>
      </c>
      <c r="L6650" s="142">
        <v>0</v>
      </c>
      <c r="M6650" s="142">
        <v>0</v>
      </c>
      <c r="N6650" s="142">
        <v>0</v>
      </c>
      <c r="O6650" s="142">
        <v>0</v>
      </c>
      <c r="P6650" s="158">
        <v>0.26319999999999999</v>
      </c>
      <c r="Q6650" s="35" t="s">
        <v>154</v>
      </c>
    </row>
    <row r="6651" spans="1:17" s="162" customFormat="1" ht="72" x14ac:dyDescent="0.25">
      <c r="A6651" s="184">
        <v>42942</v>
      </c>
      <c r="B6651" s="184">
        <v>42942</v>
      </c>
      <c r="C6651" s="138">
        <v>2017</v>
      </c>
      <c r="D6651" s="351" t="s">
        <v>23</v>
      </c>
      <c r="E6651" s="22" t="s">
        <v>86</v>
      </c>
      <c r="F6651" s="7" t="s">
        <v>62</v>
      </c>
      <c r="G6651" s="33" t="s">
        <v>9400</v>
      </c>
      <c r="H6651" s="33" t="s">
        <v>9401</v>
      </c>
      <c r="I6651" s="157">
        <v>0</v>
      </c>
      <c r="J6651" s="142">
        <v>326</v>
      </c>
      <c r="K6651" s="142">
        <v>86</v>
      </c>
      <c r="L6651" s="142">
        <v>0</v>
      </c>
      <c r="M6651" s="142">
        <v>0</v>
      </c>
      <c r="N6651" s="142">
        <v>0</v>
      </c>
      <c r="O6651" s="142">
        <v>0</v>
      </c>
      <c r="P6651" s="158">
        <v>0</v>
      </c>
      <c r="Q6651" s="35" t="s">
        <v>154</v>
      </c>
    </row>
    <row r="6652" spans="1:17" s="162" customFormat="1" ht="84" x14ac:dyDescent="0.25">
      <c r="A6652" s="184">
        <v>42975</v>
      </c>
      <c r="B6652" s="184">
        <v>42975</v>
      </c>
      <c r="C6652" s="138">
        <v>2017</v>
      </c>
      <c r="D6652" s="351" t="s">
        <v>23</v>
      </c>
      <c r="E6652" s="22" t="s">
        <v>86</v>
      </c>
      <c r="F6652" s="7" t="s">
        <v>65</v>
      </c>
      <c r="G6652" s="33" t="s">
        <v>2627</v>
      </c>
      <c r="H6652" s="33" t="s">
        <v>9402</v>
      </c>
      <c r="I6652" s="157">
        <v>0</v>
      </c>
      <c r="J6652" s="142">
        <v>440</v>
      </c>
      <c r="K6652" s="142">
        <v>110</v>
      </c>
      <c r="L6652" s="142">
        <v>0</v>
      </c>
      <c r="M6652" s="142">
        <v>0</v>
      </c>
      <c r="N6652" s="142">
        <v>0</v>
      </c>
      <c r="O6652" s="142">
        <v>0</v>
      </c>
      <c r="P6652" s="158">
        <v>0</v>
      </c>
      <c r="Q6652" s="35" t="s">
        <v>154</v>
      </c>
    </row>
    <row r="6653" spans="1:17" s="162" customFormat="1" ht="48" x14ac:dyDescent="0.25">
      <c r="A6653" s="184">
        <v>43037</v>
      </c>
      <c r="B6653" s="184">
        <v>43037</v>
      </c>
      <c r="C6653" s="138">
        <v>2017</v>
      </c>
      <c r="D6653" s="351" t="s">
        <v>23</v>
      </c>
      <c r="E6653" s="22" t="s">
        <v>86</v>
      </c>
      <c r="F6653" s="7" t="s">
        <v>68</v>
      </c>
      <c r="G6653" s="33" t="s">
        <v>2071</v>
      </c>
      <c r="H6653" s="33" t="s">
        <v>9403</v>
      </c>
      <c r="I6653" s="157">
        <v>1</v>
      </c>
      <c r="J6653" s="142">
        <v>1</v>
      </c>
      <c r="K6653" s="142">
        <v>0</v>
      </c>
      <c r="L6653" s="142">
        <v>0</v>
      </c>
      <c r="M6653" s="142">
        <v>0</v>
      </c>
      <c r="N6653" s="142">
        <v>0</v>
      </c>
      <c r="O6653" s="142">
        <v>0</v>
      </c>
      <c r="P6653" s="158">
        <v>0</v>
      </c>
      <c r="Q6653" s="35" t="s">
        <v>154</v>
      </c>
    </row>
    <row r="6654" spans="1:17" s="162" customFormat="1" ht="108" x14ac:dyDescent="0.25">
      <c r="A6654" s="184">
        <v>42844</v>
      </c>
      <c r="B6654" s="184">
        <v>42844</v>
      </c>
      <c r="C6654" s="138">
        <v>2017</v>
      </c>
      <c r="D6654" s="351" t="s">
        <v>23</v>
      </c>
      <c r="E6654" s="49" t="s">
        <v>323</v>
      </c>
      <c r="F6654" s="7" t="s">
        <v>82</v>
      </c>
      <c r="G6654" s="33" t="s">
        <v>9404</v>
      </c>
      <c r="H6654" s="33" t="s">
        <v>9405</v>
      </c>
      <c r="I6654" s="157">
        <v>0</v>
      </c>
      <c r="J6654" s="142">
        <v>740</v>
      </c>
      <c r="K6654" s="142">
        <v>185</v>
      </c>
      <c r="L6654" s="142">
        <v>0</v>
      </c>
      <c r="M6654" s="142">
        <v>0</v>
      </c>
      <c r="N6654" s="142">
        <v>0</v>
      </c>
      <c r="O6654" s="142">
        <v>0</v>
      </c>
      <c r="P6654" s="158">
        <v>6.0865000000000002E-2</v>
      </c>
      <c r="Q6654" s="35" t="s">
        <v>154</v>
      </c>
    </row>
    <row r="6655" spans="1:17" s="162" customFormat="1" ht="72" x14ac:dyDescent="0.25">
      <c r="A6655" s="184">
        <v>42886</v>
      </c>
      <c r="B6655" s="184">
        <v>42886</v>
      </c>
      <c r="C6655" s="138">
        <v>2017</v>
      </c>
      <c r="D6655" s="351" t="s">
        <v>23</v>
      </c>
      <c r="E6655" s="22" t="s">
        <v>86</v>
      </c>
      <c r="F6655" s="7" t="s">
        <v>68</v>
      </c>
      <c r="G6655" s="33" t="s">
        <v>2852</v>
      </c>
      <c r="H6655" s="33" t="s">
        <v>9406</v>
      </c>
      <c r="I6655" s="157">
        <v>0</v>
      </c>
      <c r="J6655" s="142">
        <v>12</v>
      </c>
      <c r="K6655" s="142">
        <v>3</v>
      </c>
      <c r="L6655" s="142">
        <v>0</v>
      </c>
      <c r="M6655" s="142">
        <v>0</v>
      </c>
      <c r="N6655" s="142">
        <v>0</v>
      </c>
      <c r="O6655" s="142">
        <v>0</v>
      </c>
      <c r="P6655" s="158">
        <v>0</v>
      </c>
      <c r="Q6655" s="35" t="s">
        <v>154</v>
      </c>
    </row>
    <row r="6656" spans="1:17" s="162" customFormat="1" ht="72" x14ac:dyDescent="0.25">
      <c r="A6656" s="184">
        <v>42827</v>
      </c>
      <c r="B6656" s="184">
        <v>42827</v>
      </c>
      <c r="C6656" s="138">
        <v>2017</v>
      </c>
      <c r="D6656" s="351" t="s">
        <v>23</v>
      </c>
      <c r="E6656" s="22" t="s">
        <v>86</v>
      </c>
      <c r="F6656" s="7" t="s">
        <v>45</v>
      </c>
      <c r="G6656" s="33" t="s">
        <v>3290</v>
      </c>
      <c r="H6656" s="33" t="s">
        <v>9407</v>
      </c>
      <c r="I6656" s="157">
        <v>0</v>
      </c>
      <c r="J6656" s="142">
        <v>0</v>
      </c>
      <c r="K6656" s="142">
        <v>0</v>
      </c>
      <c r="L6656" s="142">
        <v>0</v>
      </c>
      <c r="M6656" s="142">
        <v>0</v>
      </c>
      <c r="N6656" s="142">
        <v>0</v>
      </c>
      <c r="O6656" s="142">
        <v>0</v>
      </c>
      <c r="P6656" s="158">
        <v>0</v>
      </c>
      <c r="Q6656" s="35" t="s">
        <v>154</v>
      </c>
    </row>
    <row r="6657" spans="1:17" s="162" customFormat="1" ht="36" x14ac:dyDescent="0.25">
      <c r="A6657" s="184">
        <v>43009</v>
      </c>
      <c r="B6657" s="184">
        <v>43009</v>
      </c>
      <c r="C6657" s="138">
        <v>2017</v>
      </c>
      <c r="D6657" s="351" t="s">
        <v>23</v>
      </c>
      <c r="E6657" s="22" t="s">
        <v>86</v>
      </c>
      <c r="F6657" s="7" t="s">
        <v>72</v>
      </c>
      <c r="G6657" s="33" t="s">
        <v>9408</v>
      </c>
      <c r="H6657" s="33" t="s">
        <v>9409</v>
      </c>
      <c r="I6657" s="157">
        <v>0</v>
      </c>
      <c r="J6657" s="31">
        <v>631602</v>
      </c>
      <c r="K6657" s="142" t="s">
        <v>110</v>
      </c>
      <c r="L6657" s="142" t="s">
        <v>110</v>
      </c>
      <c r="M6657" s="142" t="s">
        <v>110</v>
      </c>
      <c r="N6657" s="142" t="s">
        <v>110</v>
      </c>
      <c r="O6657" s="142">
        <v>0</v>
      </c>
      <c r="P6657" s="158">
        <v>325.42</v>
      </c>
      <c r="Q6657" s="157" t="s">
        <v>186</v>
      </c>
    </row>
    <row r="6658" spans="1:17" s="162" customFormat="1" ht="36" x14ac:dyDescent="0.25">
      <c r="A6658" s="277">
        <v>42736</v>
      </c>
      <c r="B6658" s="277">
        <v>43100</v>
      </c>
      <c r="C6658" s="138">
        <v>2017</v>
      </c>
      <c r="D6658" s="351" t="s">
        <v>23</v>
      </c>
      <c r="E6658" s="22" t="s">
        <v>42</v>
      </c>
      <c r="F6658" s="7" t="s">
        <v>45</v>
      </c>
      <c r="G6658" s="206" t="s">
        <v>26</v>
      </c>
      <c r="H6658" s="206" t="s">
        <v>9410</v>
      </c>
      <c r="I6658" s="157">
        <v>3</v>
      </c>
      <c r="J6658" s="142">
        <v>4</v>
      </c>
      <c r="K6658" s="278">
        <v>0</v>
      </c>
      <c r="L6658" s="278">
        <v>0</v>
      </c>
      <c r="M6658" s="278">
        <v>0</v>
      </c>
      <c r="N6658" s="278">
        <v>0</v>
      </c>
      <c r="O6658" s="278">
        <v>0</v>
      </c>
      <c r="P6658" s="47">
        <v>0</v>
      </c>
      <c r="Q6658" s="35" t="s">
        <v>9333</v>
      </c>
    </row>
    <row r="6659" spans="1:17" s="162" customFormat="1" ht="84" x14ac:dyDescent="0.25">
      <c r="A6659" s="184">
        <v>42985</v>
      </c>
      <c r="B6659" s="184">
        <v>42985</v>
      </c>
      <c r="C6659" s="138">
        <v>2017</v>
      </c>
      <c r="D6659" s="351" t="s">
        <v>23</v>
      </c>
      <c r="E6659" s="22" t="s">
        <v>86</v>
      </c>
      <c r="F6659" s="7" t="s">
        <v>72</v>
      </c>
      <c r="G6659" s="33" t="s">
        <v>9411</v>
      </c>
      <c r="H6659" s="33" t="s">
        <v>9412</v>
      </c>
      <c r="I6659" s="157">
        <v>0</v>
      </c>
      <c r="J6659" s="31">
        <v>552305</v>
      </c>
      <c r="K6659" s="142" t="s">
        <v>110</v>
      </c>
      <c r="L6659" s="142" t="s">
        <v>110</v>
      </c>
      <c r="M6659" s="142" t="s">
        <v>110</v>
      </c>
      <c r="N6659" s="142" t="s">
        <v>110</v>
      </c>
      <c r="O6659" s="142">
        <v>0</v>
      </c>
      <c r="P6659" s="158">
        <v>140.80000000000001</v>
      </c>
      <c r="Q6659" s="157" t="s">
        <v>186</v>
      </c>
    </row>
    <row r="6660" spans="1:17" s="162" customFormat="1" ht="48" x14ac:dyDescent="0.25">
      <c r="A6660" s="184">
        <v>43037</v>
      </c>
      <c r="B6660" s="184">
        <v>43037</v>
      </c>
      <c r="C6660" s="138">
        <v>2017</v>
      </c>
      <c r="D6660" s="351" t="s">
        <v>23</v>
      </c>
      <c r="E6660" s="22" t="s">
        <v>86</v>
      </c>
      <c r="F6660" s="7" t="s">
        <v>72</v>
      </c>
      <c r="G6660" s="33" t="s">
        <v>9413</v>
      </c>
      <c r="H6660" s="33" t="s">
        <v>9414</v>
      </c>
      <c r="I6660" s="157">
        <v>0</v>
      </c>
      <c r="J6660" s="142">
        <v>56</v>
      </c>
      <c r="K6660" s="142">
        <v>14</v>
      </c>
      <c r="L6660" s="142">
        <v>0</v>
      </c>
      <c r="M6660" s="142">
        <v>0</v>
      </c>
      <c r="N6660" s="142">
        <v>0</v>
      </c>
      <c r="O6660" s="142">
        <v>0</v>
      </c>
      <c r="P6660" s="158">
        <v>0</v>
      </c>
      <c r="Q6660" s="35" t="s">
        <v>154</v>
      </c>
    </row>
    <row r="6661" spans="1:17" s="162" customFormat="1" ht="60" x14ac:dyDescent="0.25">
      <c r="A6661" s="184">
        <v>42892</v>
      </c>
      <c r="B6661" s="184">
        <v>42892</v>
      </c>
      <c r="C6661" s="138">
        <v>2017</v>
      </c>
      <c r="D6661" s="351" t="s">
        <v>23</v>
      </c>
      <c r="E6661" s="49" t="s">
        <v>323</v>
      </c>
      <c r="F6661" s="28" t="s">
        <v>210</v>
      </c>
      <c r="G6661" s="33" t="s">
        <v>9415</v>
      </c>
      <c r="H6661" s="33" t="s">
        <v>9416</v>
      </c>
      <c r="I6661" s="157">
        <v>0</v>
      </c>
      <c r="J6661" s="142">
        <v>12</v>
      </c>
      <c r="K6661" s="142">
        <v>3</v>
      </c>
      <c r="L6661" s="142">
        <v>0</v>
      </c>
      <c r="M6661" s="142">
        <v>0</v>
      </c>
      <c r="N6661" s="142">
        <v>0</v>
      </c>
      <c r="O6661" s="142">
        <v>0</v>
      </c>
      <c r="P6661" s="158">
        <v>0.98699999999999999</v>
      </c>
      <c r="Q6661" s="35" t="s">
        <v>154</v>
      </c>
    </row>
    <row r="6662" spans="1:17" s="162" customFormat="1" ht="108" x14ac:dyDescent="0.25">
      <c r="A6662" s="184">
        <v>42843</v>
      </c>
      <c r="B6662" s="184">
        <v>42843</v>
      </c>
      <c r="C6662" s="138">
        <v>2017</v>
      </c>
      <c r="D6662" s="351" t="s">
        <v>23</v>
      </c>
      <c r="E6662" s="22" t="s">
        <v>86</v>
      </c>
      <c r="F6662" s="7" t="s">
        <v>72</v>
      </c>
      <c r="G6662" s="33" t="s">
        <v>9417</v>
      </c>
      <c r="H6662" s="33" t="s">
        <v>9418</v>
      </c>
      <c r="I6662" s="157">
        <v>1</v>
      </c>
      <c r="J6662" s="142">
        <v>4700</v>
      </c>
      <c r="K6662" s="142">
        <v>101</v>
      </c>
      <c r="L6662" s="142">
        <v>0</v>
      </c>
      <c r="M6662" s="142">
        <v>0</v>
      </c>
      <c r="N6662" s="142">
        <v>0</v>
      </c>
      <c r="O6662" s="142">
        <v>0</v>
      </c>
      <c r="P6662" s="158">
        <v>0</v>
      </c>
      <c r="Q6662" s="35" t="s">
        <v>154</v>
      </c>
    </row>
    <row r="6663" spans="1:17" s="162" customFormat="1" ht="72" x14ac:dyDescent="0.25">
      <c r="A6663" s="184">
        <v>42881</v>
      </c>
      <c r="B6663" s="184">
        <v>42881</v>
      </c>
      <c r="C6663" s="138">
        <v>2017</v>
      </c>
      <c r="D6663" s="351" t="s">
        <v>23</v>
      </c>
      <c r="E6663" s="22" t="s">
        <v>86</v>
      </c>
      <c r="F6663" s="7" t="s">
        <v>75</v>
      </c>
      <c r="G6663" s="33" t="s">
        <v>269</v>
      </c>
      <c r="H6663" s="33" t="s">
        <v>9419</v>
      </c>
      <c r="I6663" s="157">
        <v>0</v>
      </c>
      <c r="J6663" s="142">
        <v>180</v>
      </c>
      <c r="K6663" s="142">
        <v>35</v>
      </c>
      <c r="L6663" s="142">
        <v>0</v>
      </c>
      <c r="M6663" s="142">
        <v>0</v>
      </c>
      <c r="N6663" s="142">
        <v>0</v>
      </c>
      <c r="O6663" s="142">
        <v>0</v>
      </c>
      <c r="P6663" s="158">
        <v>0</v>
      </c>
      <c r="Q6663" s="35" t="s">
        <v>154</v>
      </c>
    </row>
    <row r="6664" spans="1:17" s="162" customFormat="1" ht="108" x14ac:dyDescent="0.25">
      <c r="A6664" s="184">
        <v>43034</v>
      </c>
      <c r="B6664" s="184">
        <v>43034</v>
      </c>
      <c r="C6664" s="138">
        <v>2017</v>
      </c>
      <c r="D6664" s="351" t="s">
        <v>23</v>
      </c>
      <c r="E6664" s="22" t="s">
        <v>86</v>
      </c>
      <c r="F6664" s="7" t="s">
        <v>77</v>
      </c>
      <c r="G6664" s="33" t="s">
        <v>681</v>
      </c>
      <c r="H6664" s="33" t="s">
        <v>9420</v>
      </c>
      <c r="I6664" s="157">
        <v>1</v>
      </c>
      <c r="J6664" s="142">
        <v>3</v>
      </c>
      <c r="K6664" s="142">
        <v>0</v>
      </c>
      <c r="L6664" s="142">
        <v>0</v>
      </c>
      <c r="M6664" s="142">
        <v>0</v>
      </c>
      <c r="N6664" s="142">
        <v>0</v>
      </c>
      <c r="O6664" s="142">
        <v>0</v>
      </c>
      <c r="P6664" s="158">
        <v>0</v>
      </c>
      <c r="Q6664" s="35" t="s">
        <v>154</v>
      </c>
    </row>
    <row r="6665" spans="1:17" s="162" customFormat="1" ht="96" x14ac:dyDescent="0.25">
      <c r="A6665" s="184">
        <v>42842</v>
      </c>
      <c r="B6665" s="184">
        <v>42842</v>
      </c>
      <c r="C6665" s="138">
        <v>2017</v>
      </c>
      <c r="D6665" s="351" t="s">
        <v>23</v>
      </c>
      <c r="E6665" s="22" t="s">
        <v>86</v>
      </c>
      <c r="F6665" s="7" t="s">
        <v>82</v>
      </c>
      <c r="G6665" s="33" t="s">
        <v>9421</v>
      </c>
      <c r="H6665" s="33" t="s">
        <v>9422</v>
      </c>
      <c r="I6665" s="157">
        <v>4</v>
      </c>
      <c r="J6665" s="142">
        <v>160</v>
      </c>
      <c r="K6665" s="142">
        <v>0</v>
      </c>
      <c r="L6665" s="142">
        <v>0</v>
      </c>
      <c r="M6665" s="142">
        <v>0</v>
      </c>
      <c r="N6665" s="142">
        <v>0</v>
      </c>
      <c r="O6665" s="142">
        <v>0</v>
      </c>
      <c r="P6665" s="158">
        <v>0</v>
      </c>
      <c r="Q6665" s="35" t="s">
        <v>154</v>
      </c>
    </row>
    <row r="6666" spans="1:17" s="162" customFormat="1" ht="228" x14ac:dyDescent="0.25">
      <c r="A6666" s="184">
        <v>43019</v>
      </c>
      <c r="B6666" s="184">
        <v>43019</v>
      </c>
      <c r="C6666" s="138">
        <v>2017</v>
      </c>
      <c r="D6666" s="351" t="s">
        <v>23</v>
      </c>
      <c r="E6666" s="22" t="s">
        <v>86</v>
      </c>
      <c r="F6666" s="7" t="s">
        <v>82</v>
      </c>
      <c r="G6666" s="33" t="s">
        <v>9423</v>
      </c>
      <c r="H6666" s="33" t="s">
        <v>9424</v>
      </c>
      <c r="I6666" s="157">
        <v>0</v>
      </c>
      <c r="J6666" s="142">
        <v>500</v>
      </c>
      <c r="K6666" s="142">
        <v>20</v>
      </c>
      <c r="L6666" s="142">
        <v>0</v>
      </c>
      <c r="M6666" s="142">
        <v>0</v>
      </c>
      <c r="N6666" s="142">
        <v>0</v>
      </c>
      <c r="O6666" s="142">
        <v>0</v>
      </c>
      <c r="P6666" s="158">
        <v>0</v>
      </c>
      <c r="Q6666" s="35" t="s">
        <v>154</v>
      </c>
    </row>
    <row r="6667" spans="1:17" s="162" customFormat="1" ht="120" x14ac:dyDescent="0.25">
      <c r="A6667" s="184">
        <v>42832</v>
      </c>
      <c r="B6667" s="184">
        <v>42832</v>
      </c>
      <c r="C6667" s="138">
        <v>2017</v>
      </c>
      <c r="D6667" s="351" t="s">
        <v>23</v>
      </c>
      <c r="E6667" s="22" t="s">
        <v>86</v>
      </c>
      <c r="F6667" s="25" t="s">
        <v>781</v>
      </c>
      <c r="G6667" s="33" t="s">
        <v>2584</v>
      </c>
      <c r="H6667" s="33" t="s">
        <v>9425</v>
      </c>
      <c r="I6667" s="157">
        <v>0</v>
      </c>
      <c r="J6667" s="142">
        <v>20</v>
      </c>
      <c r="K6667" s="142">
        <v>3</v>
      </c>
      <c r="L6667" s="142">
        <v>0</v>
      </c>
      <c r="M6667" s="142">
        <v>0</v>
      </c>
      <c r="N6667" s="142">
        <v>0</v>
      </c>
      <c r="O6667" s="142">
        <v>0</v>
      </c>
      <c r="P6667" s="158">
        <v>41.3</v>
      </c>
      <c r="Q6667" s="35" t="s">
        <v>7883</v>
      </c>
    </row>
    <row r="6668" spans="1:17" s="162" customFormat="1" ht="108" x14ac:dyDescent="0.25">
      <c r="A6668" s="184">
        <v>42877</v>
      </c>
      <c r="B6668" s="184">
        <v>42877</v>
      </c>
      <c r="C6668" s="138">
        <v>2017</v>
      </c>
      <c r="D6668" s="351" t="s">
        <v>23</v>
      </c>
      <c r="E6668" s="22" t="s">
        <v>86</v>
      </c>
      <c r="F6668" s="7" t="s">
        <v>91</v>
      </c>
      <c r="G6668" s="33" t="s">
        <v>9426</v>
      </c>
      <c r="H6668" s="33" t="s">
        <v>9427</v>
      </c>
      <c r="I6668" s="157">
        <v>0</v>
      </c>
      <c r="J6668" s="142">
        <v>0</v>
      </c>
      <c r="K6668" s="142">
        <v>0</v>
      </c>
      <c r="L6668" s="142">
        <v>0</v>
      </c>
      <c r="M6668" s="142">
        <v>0</v>
      </c>
      <c r="N6668" s="142">
        <v>0</v>
      </c>
      <c r="O6668" s="142">
        <v>0</v>
      </c>
      <c r="P6668" s="158">
        <v>0</v>
      </c>
      <c r="Q6668" s="35" t="s">
        <v>154</v>
      </c>
    </row>
    <row r="6669" spans="1:17" s="162" customFormat="1" ht="108" x14ac:dyDescent="0.25">
      <c r="A6669" s="184">
        <v>43008</v>
      </c>
      <c r="B6669" s="184">
        <v>43008</v>
      </c>
      <c r="C6669" s="138">
        <v>2017</v>
      </c>
      <c r="D6669" s="351" t="s">
        <v>23</v>
      </c>
      <c r="E6669" s="22" t="s">
        <v>86</v>
      </c>
      <c r="F6669" s="7" t="s">
        <v>91</v>
      </c>
      <c r="G6669" s="33" t="s">
        <v>9428</v>
      </c>
      <c r="H6669" s="33" t="s">
        <v>9429</v>
      </c>
      <c r="I6669" s="157">
        <v>0</v>
      </c>
      <c r="J6669" s="142">
        <v>15000</v>
      </c>
      <c r="K6669" s="142">
        <v>5000</v>
      </c>
      <c r="L6669" s="142">
        <v>0</v>
      </c>
      <c r="M6669" s="142">
        <v>0</v>
      </c>
      <c r="N6669" s="142">
        <v>0</v>
      </c>
      <c r="O6669" s="142">
        <v>0</v>
      </c>
      <c r="P6669" s="158">
        <v>0</v>
      </c>
      <c r="Q6669" s="35" t="s">
        <v>154</v>
      </c>
    </row>
    <row r="6670" spans="1:17" s="162" customFormat="1" ht="132" x14ac:dyDescent="0.25">
      <c r="A6670" s="184">
        <v>43019</v>
      </c>
      <c r="B6670" s="184">
        <v>43019</v>
      </c>
      <c r="C6670" s="138">
        <v>2017</v>
      </c>
      <c r="D6670" s="351" t="s">
        <v>23</v>
      </c>
      <c r="E6670" s="22" t="s">
        <v>86</v>
      </c>
      <c r="F6670" s="28" t="s">
        <v>210</v>
      </c>
      <c r="G6670" s="33" t="s">
        <v>9430</v>
      </c>
      <c r="H6670" s="33" t="s">
        <v>9431</v>
      </c>
      <c r="I6670" s="157">
        <v>0</v>
      </c>
      <c r="J6670" s="142">
        <v>350</v>
      </c>
      <c r="K6670" s="142">
        <v>85</v>
      </c>
      <c r="L6670" s="142">
        <v>0</v>
      </c>
      <c r="M6670" s="142">
        <v>0</v>
      </c>
      <c r="N6670" s="142">
        <v>0</v>
      </c>
      <c r="O6670" s="142">
        <v>0</v>
      </c>
      <c r="P6670" s="158">
        <v>0</v>
      </c>
      <c r="Q6670" s="35" t="s">
        <v>154</v>
      </c>
    </row>
    <row r="6671" spans="1:17" s="162" customFormat="1" ht="36" x14ac:dyDescent="0.25">
      <c r="A6671" s="277">
        <v>42736</v>
      </c>
      <c r="B6671" s="277">
        <v>43100</v>
      </c>
      <c r="C6671" s="138">
        <v>2017</v>
      </c>
      <c r="D6671" s="351" t="s">
        <v>23</v>
      </c>
      <c r="E6671" s="28" t="s">
        <v>327</v>
      </c>
      <c r="F6671" s="7" t="s">
        <v>45</v>
      </c>
      <c r="G6671" s="206" t="s">
        <v>26</v>
      </c>
      <c r="H6671" s="147" t="s">
        <v>9432</v>
      </c>
      <c r="I6671" s="157">
        <v>1</v>
      </c>
      <c r="J6671" s="142">
        <v>11</v>
      </c>
      <c r="K6671" s="278">
        <v>0</v>
      </c>
      <c r="L6671" s="278">
        <v>0</v>
      </c>
      <c r="M6671" s="278">
        <v>0</v>
      </c>
      <c r="N6671" s="278">
        <v>0</v>
      </c>
      <c r="O6671" s="278">
        <v>0</v>
      </c>
      <c r="P6671" s="47">
        <v>0</v>
      </c>
      <c r="Q6671" s="35" t="s">
        <v>9333</v>
      </c>
    </row>
    <row r="6672" spans="1:17" s="162" customFormat="1" x14ac:dyDescent="0.25">
      <c r="A6672" s="277">
        <v>42736</v>
      </c>
      <c r="B6672" s="277">
        <v>43100</v>
      </c>
      <c r="C6672" s="138">
        <v>2017</v>
      </c>
      <c r="D6672" s="351" t="s">
        <v>23</v>
      </c>
      <c r="E6672" s="22" t="s">
        <v>42</v>
      </c>
      <c r="F6672" s="7" t="s">
        <v>72</v>
      </c>
      <c r="G6672" s="206" t="s">
        <v>26</v>
      </c>
      <c r="H6672" s="33" t="s">
        <v>9433</v>
      </c>
      <c r="I6672" s="279">
        <v>2</v>
      </c>
      <c r="J6672" s="142">
        <v>2</v>
      </c>
      <c r="K6672" s="278">
        <v>0</v>
      </c>
      <c r="L6672" s="278">
        <v>0</v>
      </c>
      <c r="M6672" s="278">
        <v>0</v>
      </c>
      <c r="N6672" s="278">
        <v>0</v>
      </c>
      <c r="O6672" s="278">
        <v>0</v>
      </c>
      <c r="P6672" s="158">
        <v>0</v>
      </c>
      <c r="Q6672" s="35" t="s">
        <v>9333</v>
      </c>
    </row>
    <row r="6673" spans="1:17" s="162" customFormat="1" ht="60" x14ac:dyDescent="0.25">
      <c r="A6673" s="184">
        <v>42844</v>
      </c>
      <c r="B6673" s="184">
        <v>42844</v>
      </c>
      <c r="C6673" s="138">
        <v>2017</v>
      </c>
      <c r="D6673" s="35" t="s">
        <v>28</v>
      </c>
      <c r="E6673" s="6" t="s">
        <v>149</v>
      </c>
      <c r="F6673" s="7" t="s">
        <v>30</v>
      </c>
      <c r="G6673" s="33" t="s">
        <v>901</v>
      </c>
      <c r="H6673" s="33" t="s">
        <v>9434</v>
      </c>
      <c r="I6673" s="157">
        <v>0</v>
      </c>
      <c r="J6673" s="142">
        <v>2</v>
      </c>
      <c r="K6673" s="142">
        <v>0</v>
      </c>
      <c r="L6673" s="142">
        <v>0</v>
      </c>
      <c r="M6673" s="142">
        <v>1</v>
      </c>
      <c r="N6673" s="142">
        <v>0</v>
      </c>
      <c r="O6673" s="142">
        <v>0</v>
      </c>
      <c r="P6673" s="158">
        <v>0</v>
      </c>
      <c r="Q6673" s="35" t="s">
        <v>154</v>
      </c>
    </row>
    <row r="6674" spans="1:17" s="162" customFormat="1" ht="84" x14ac:dyDescent="0.25">
      <c r="A6674" s="184">
        <v>43045</v>
      </c>
      <c r="B6674" s="184">
        <v>43045</v>
      </c>
      <c r="C6674" s="138">
        <v>2017</v>
      </c>
      <c r="D6674" s="35" t="s">
        <v>28</v>
      </c>
      <c r="E6674" s="30" t="s">
        <v>133</v>
      </c>
      <c r="F6674" s="7" t="s">
        <v>36</v>
      </c>
      <c r="G6674" s="33" t="s">
        <v>1592</v>
      </c>
      <c r="H6674" s="33" t="s">
        <v>9435</v>
      </c>
      <c r="I6674" s="157">
        <v>0</v>
      </c>
      <c r="J6674" s="142">
        <v>51</v>
      </c>
      <c r="K6674" s="142">
        <v>1</v>
      </c>
      <c r="L6674" s="142">
        <v>0</v>
      </c>
      <c r="M6674" s="142">
        <v>0</v>
      </c>
      <c r="N6674" s="142">
        <v>0</v>
      </c>
      <c r="O6674" s="142">
        <v>0</v>
      </c>
      <c r="P6674" s="158">
        <v>0</v>
      </c>
      <c r="Q6674" s="35" t="s">
        <v>154</v>
      </c>
    </row>
    <row r="6675" spans="1:17" s="162" customFormat="1" ht="84" x14ac:dyDescent="0.25">
      <c r="A6675" s="184">
        <v>42962</v>
      </c>
      <c r="B6675" s="184">
        <v>42962</v>
      </c>
      <c r="C6675" s="138">
        <v>2017</v>
      </c>
      <c r="D6675" s="35" t="s">
        <v>28</v>
      </c>
      <c r="E6675" s="6" t="s">
        <v>149</v>
      </c>
      <c r="F6675" s="7" t="s">
        <v>30</v>
      </c>
      <c r="G6675" s="33" t="s">
        <v>901</v>
      </c>
      <c r="H6675" s="33" t="s">
        <v>9436</v>
      </c>
      <c r="I6675" s="157">
        <v>0</v>
      </c>
      <c r="J6675" s="142">
        <v>3</v>
      </c>
      <c r="K6675" s="142">
        <v>0</v>
      </c>
      <c r="L6675" s="142">
        <v>0</v>
      </c>
      <c r="M6675" s="142">
        <v>0</v>
      </c>
      <c r="N6675" s="142">
        <v>1</v>
      </c>
      <c r="O6675" s="142">
        <v>0</v>
      </c>
      <c r="P6675" s="158">
        <v>0</v>
      </c>
      <c r="Q6675" s="35" t="s">
        <v>154</v>
      </c>
    </row>
    <row r="6676" spans="1:17" s="162" customFormat="1" ht="48" x14ac:dyDescent="0.25">
      <c r="A6676" s="184">
        <v>42775</v>
      </c>
      <c r="B6676" s="184">
        <v>42775</v>
      </c>
      <c r="C6676" s="138">
        <v>2017</v>
      </c>
      <c r="D6676" s="35" t="s">
        <v>28</v>
      </c>
      <c r="E6676" s="30" t="s">
        <v>133</v>
      </c>
      <c r="F6676" s="28" t="s">
        <v>157</v>
      </c>
      <c r="G6676" s="33" t="s">
        <v>4237</v>
      </c>
      <c r="H6676" s="33" t="s">
        <v>9437</v>
      </c>
      <c r="I6676" s="157">
        <v>0</v>
      </c>
      <c r="J6676" s="142">
        <v>9</v>
      </c>
      <c r="K6676" s="142">
        <v>0</v>
      </c>
      <c r="L6676" s="142">
        <v>0</v>
      </c>
      <c r="M6676" s="142">
        <v>0</v>
      </c>
      <c r="N6676" s="142">
        <v>0</v>
      </c>
      <c r="O6676" s="142">
        <v>0</v>
      </c>
      <c r="P6676" s="158">
        <v>0</v>
      </c>
      <c r="Q6676" s="35" t="s">
        <v>154</v>
      </c>
    </row>
    <row r="6677" spans="1:17" s="162" customFormat="1" ht="60" x14ac:dyDescent="0.25">
      <c r="A6677" s="184">
        <v>42872</v>
      </c>
      <c r="B6677" s="184">
        <v>42872</v>
      </c>
      <c r="C6677" s="138">
        <v>2017</v>
      </c>
      <c r="D6677" s="35" t="s">
        <v>28</v>
      </c>
      <c r="E6677" s="30" t="s">
        <v>133</v>
      </c>
      <c r="F6677" s="7" t="s">
        <v>45</v>
      </c>
      <c r="G6677" s="33" t="s">
        <v>1259</v>
      </c>
      <c r="H6677" s="33" t="s">
        <v>9438</v>
      </c>
      <c r="I6677" s="157">
        <v>0</v>
      </c>
      <c r="J6677" s="142">
        <v>500</v>
      </c>
      <c r="K6677" s="142">
        <v>0</v>
      </c>
      <c r="L6677" s="142">
        <v>0</v>
      </c>
      <c r="M6677" s="142">
        <v>0</v>
      </c>
      <c r="N6677" s="142">
        <v>0</v>
      </c>
      <c r="O6677" s="142">
        <v>0</v>
      </c>
      <c r="P6677" s="158">
        <v>0</v>
      </c>
      <c r="Q6677" s="35" t="s">
        <v>154</v>
      </c>
    </row>
    <row r="6678" spans="1:17" s="162" customFormat="1" ht="72" x14ac:dyDescent="0.25">
      <c r="A6678" s="184">
        <v>42761</v>
      </c>
      <c r="B6678" s="184">
        <v>42761</v>
      </c>
      <c r="C6678" s="138">
        <v>2017</v>
      </c>
      <c r="D6678" s="35" t="s">
        <v>28</v>
      </c>
      <c r="E6678" s="6" t="s">
        <v>369</v>
      </c>
      <c r="F6678" s="7" t="s">
        <v>75</v>
      </c>
      <c r="G6678" s="33" t="s">
        <v>8788</v>
      </c>
      <c r="H6678" s="33" t="s">
        <v>9439</v>
      </c>
      <c r="I6678" s="157">
        <v>0</v>
      </c>
      <c r="J6678" s="142">
        <v>0</v>
      </c>
      <c r="K6678" s="142">
        <v>0</v>
      </c>
      <c r="L6678" s="142">
        <v>0</v>
      </c>
      <c r="M6678" s="142">
        <v>0</v>
      </c>
      <c r="N6678" s="142">
        <v>0</v>
      </c>
      <c r="O6678" s="142">
        <v>0</v>
      </c>
      <c r="P6678" s="158">
        <v>0</v>
      </c>
      <c r="Q6678" s="35" t="s">
        <v>154</v>
      </c>
    </row>
    <row r="6679" spans="1:17" s="162" customFormat="1" ht="48" x14ac:dyDescent="0.25">
      <c r="A6679" s="184">
        <v>42772</v>
      </c>
      <c r="B6679" s="184">
        <v>42772</v>
      </c>
      <c r="C6679" s="138">
        <v>2017</v>
      </c>
      <c r="D6679" s="35" t="s">
        <v>28</v>
      </c>
      <c r="E6679" s="6" t="s">
        <v>369</v>
      </c>
      <c r="F6679" s="7" t="s">
        <v>84</v>
      </c>
      <c r="G6679" s="33" t="s">
        <v>2725</v>
      </c>
      <c r="H6679" s="33" t="s">
        <v>9440</v>
      </c>
      <c r="I6679" s="157">
        <v>1</v>
      </c>
      <c r="J6679" s="142">
        <v>1</v>
      </c>
      <c r="K6679" s="142">
        <v>0</v>
      </c>
      <c r="L6679" s="142">
        <v>0</v>
      </c>
      <c r="M6679" s="142">
        <v>0</v>
      </c>
      <c r="N6679" s="142">
        <v>0</v>
      </c>
      <c r="O6679" s="142">
        <v>0</v>
      </c>
      <c r="P6679" s="158">
        <v>0</v>
      </c>
      <c r="Q6679" s="35" t="s">
        <v>154</v>
      </c>
    </row>
    <row r="6680" spans="1:17" s="162" customFormat="1" ht="24" x14ac:dyDescent="0.25">
      <c r="A6680" s="184">
        <v>42745</v>
      </c>
      <c r="B6680" s="184">
        <v>42745</v>
      </c>
      <c r="C6680" s="138">
        <v>2017</v>
      </c>
      <c r="D6680" s="35" t="s">
        <v>28</v>
      </c>
      <c r="E6680" s="30" t="s">
        <v>133</v>
      </c>
      <c r="F6680" s="7" t="s">
        <v>56</v>
      </c>
      <c r="G6680" s="33" t="s">
        <v>711</v>
      </c>
      <c r="H6680" s="33" t="s">
        <v>9441</v>
      </c>
      <c r="I6680" s="157">
        <v>2</v>
      </c>
      <c r="J6680" s="142">
        <v>3</v>
      </c>
      <c r="K6680" s="142">
        <v>0</v>
      </c>
      <c r="L6680" s="142">
        <v>0</v>
      </c>
      <c r="M6680" s="142">
        <v>0</v>
      </c>
      <c r="N6680" s="142">
        <v>0</v>
      </c>
      <c r="O6680" s="142">
        <v>0</v>
      </c>
      <c r="P6680" s="158">
        <v>0</v>
      </c>
      <c r="Q6680" s="35" t="s">
        <v>154</v>
      </c>
    </row>
    <row r="6681" spans="1:17" s="162" customFormat="1" ht="60" x14ac:dyDescent="0.25">
      <c r="A6681" s="184">
        <v>42783</v>
      </c>
      <c r="B6681" s="184">
        <v>42783</v>
      </c>
      <c r="C6681" s="138">
        <v>2017</v>
      </c>
      <c r="D6681" s="35" t="s">
        <v>28</v>
      </c>
      <c r="E6681" s="6" t="s">
        <v>369</v>
      </c>
      <c r="F6681" s="7" t="s">
        <v>91</v>
      </c>
      <c r="G6681" s="33" t="s">
        <v>2315</v>
      </c>
      <c r="H6681" s="33" t="s">
        <v>9442</v>
      </c>
      <c r="I6681" s="157">
        <v>0</v>
      </c>
      <c r="J6681" s="142">
        <v>0</v>
      </c>
      <c r="K6681" s="142">
        <v>0</v>
      </c>
      <c r="L6681" s="142">
        <v>0</v>
      </c>
      <c r="M6681" s="142">
        <v>0</v>
      </c>
      <c r="N6681" s="142">
        <v>0</v>
      </c>
      <c r="O6681" s="142">
        <v>0</v>
      </c>
      <c r="P6681" s="158">
        <v>0</v>
      </c>
      <c r="Q6681" s="35" t="s">
        <v>154</v>
      </c>
    </row>
    <row r="6682" spans="1:17" s="162" customFormat="1" ht="84" x14ac:dyDescent="0.25">
      <c r="A6682" s="184">
        <v>42809</v>
      </c>
      <c r="B6682" s="184">
        <v>42809</v>
      </c>
      <c r="C6682" s="138">
        <v>2017</v>
      </c>
      <c r="D6682" s="35" t="s">
        <v>28</v>
      </c>
      <c r="E6682" s="30" t="s">
        <v>133</v>
      </c>
      <c r="F6682" s="7" t="s">
        <v>56</v>
      </c>
      <c r="G6682" s="33" t="s">
        <v>351</v>
      </c>
      <c r="H6682" s="33" t="s">
        <v>9443</v>
      </c>
      <c r="I6682" s="157">
        <v>0</v>
      </c>
      <c r="J6682" s="142">
        <v>8</v>
      </c>
      <c r="K6682" s="142">
        <v>0</v>
      </c>
      <c r="L6682" s="142">
        <v>0</v>
      </c>
      <c r="M6682" s="142">
        <v>0</v>
      </c>
      <c r="N6682" s="142">
        <v>0</v>
      </c>
      <c r="O6682" s="142">
        <v>0</v>
      </c>
      <c r="P6682" s="158">
        <v>0</v>
      </c>
      <c r="Q6682" s="35" t="s">
        <v>154</v>
      </c>
    </row>
    <row r="6683" spans="1:17" s="162" customFormat="1" ht="132" x14ac:dyDescent="0.25">
      <c r="A6683" s="184">
        <v>42817</v>
      </c>
      <c r="B6683" s="184">
        <v>42817</v>
      </c>
      <c r="C6683" s="138">
        <v>2017</v>
      </c>
      <c r="D6683" s="35" t="s">
        <v>28</v>
      </c>
      <c r="E6683" s="30" t="s">
        <v>133</v>
      </c>
      <c r="F6683" s="7" t="s">
        <v>56</v>
      </c>
      <c r="G6683" s="33" t="s">
        <v>646</v>
      </c>
      <c r="H6683" s="33" t="s">
        <v>9444</v>
      </c>
      <c r="I6683" s="157">
        <v>1</v>
      </c>
      <c r="J6683" s="142">
        <v>250</v>
      </c>
      <c r="K6683" s="142">
        <v>12</v>
      </c>
      <c r="L6683" s="142">
        <v>0</v>
      </c>
      <c r="M6683" s="142">
        <v>0</v>
      </c>
      <c r="N6683" s="142">
        <v>0</v>
      </c>
      <c r="O6683" s="142">
        <v>0</v>
      </c>
      <c r="P6683" s="158">
        <v>0</v>
      </c>
      <c r="Q6683" s="35" t="s">
        <v>154</v>
      </c>
    </row>
    <row r="6684" spans="1:17" s="162" customFormat="1" ht="72" x14ac:dyDescent="0.25">
      <c r="A6684" s="184">
        <v>42934</v>
      </c>
      <c r="B6684" s="184">
        <v>42934</v>
      </c>
      <c r="C6684" s="138">
        <v>2017</v>
      </c>
      <c r="D6684" s="35" t="s">
        <v>28</v>
      </c>
      <c r="E6684" s="6" t="s">
        <v>149</v>
      </c>
      <c r="F6684" s="7" t="s">
        <v>30</v>
      </c>
      <c r="G6684" s="33" t="s">
        <v>1078</v>
      </c>
      <c r="H6684" s="33" t="s">
        <v>9445</v>
      </c>
      <c r="I6684" s="157">
        <v>1</v>
      </c>
      <c r="J6684" s="142">
        <v>21</v>
      </c>
      <c r="K6684" s="142">
        <v>0</v>
      </c>
      <c r="L6684" s="142">
        <v>0</v>
      </c>
      <c r="M6684" s="142">
        <v>0</v>
      </c>
      <c r="N6684" s="142">
        <v>0</v>
      </c>
      <c r="O6684" s="142">
        <v>0</v>
      </c>
      <c r="P6684" s="158">
        <v>0</v>
      </c>
      <c r="Q6684" s="35" t="s">
        <v>154</v>
      </c>
    </row>
    <row r="6685" spans="1:17" s="162" customFormat="1" ht="72" x14ac:dyDescent="0.25">
      <c r="A6685" s="184">
        <v>42807</v>
      </c>
      <c r="B6685" s="184">
        <v>42807</v>
      </c>
      <c r="C6685" s="138">
        <v>2017</v>
      </c>
      <c r="D6685" s="35" t="s">
        <v>28</v>
      </c>
      <c r="E6685" s="6" t="s">
        <v>369</v>
      </c>
      <c r="F6685" s="7" t="s">
        <v>30</v>
      </c>
      <c r="G6685" s="33" t="s">
        <v>1078</v>
      </c>
      <c r="H6685" s="33" t="s">
        <v>9446</v>
      </c>
      <c r="I6685" s="157">
        <v>0</v>
      </c>
      <c r="J6685" s="142">
        <v>0</v>
      </c>
      <c r="K6685" s="142">
        <v>0</v>
      </c>
      <c r="L6685" s="142">
        <v>0</v>
      </c>
      <c r="M6685" s="142">
        <v>0</v>
      </c>
      <c r="N6685" s="142">
        <v>0</v>
      </c>
      <c r="O6685" s="142">
        <v>0</v>
      </c>
      <c r="P6685" s="158">
        <v>0</v>
      </c>
      <c r="Q6685" s="35" t="s">
        <v>154</v>
      </c>
    </row>
    <row r="6686" spans="1:17" s="162" customFormat="1" ht="60" x14ac:dyDescent="0.25">
      <c r="A6686" s="184">
        <v>42909</v>
      </c>
      <c r="B6686" s="184">
        <v>42909</v>
      </c>
      <c r="C6686" s="138">
        <v>2017</v>
      </c>
      <c r="D6686" s="35" t="s">
        <v>28</v>
      </c>
      <c r="E6686" s="30" t="s">
        <v>133</v>
      </c>
      <c r="F6686" s="7" t="s">
        <v>53</v>
      </c>
      <c r="G6686" s="33" t="s">
        <v>7455</v>
      </c>
      <c r="H6686" s="33" t="s">
        <v>9447</v>
      </c>
      <c r="I6686" s="157">
        <v>1</v>
      </c>
      <c r="J6686" s="142">
        <v>9</v>
      </c>
      <c r="K6686" s="142">
        <v>0</v>
      </c>
      <c r="L6686" s="142">
        <v>0</v>
      </c>
      <c r="M6686" s="142">
        <v>0</v>
      </c>
      <c r="N6686" s="142">
        <v>0</v>
      </c>
      <c r="O6686" s="142">
        <v>0</v>
      </c>
      <c r="P6686" s="158">
        <v>0</v>
      </c>
      <c r="Q6686" s="35" t="s">
        <v>154</v>
      </c>
    </row>
    <row r="6687" spans="1:17" s="162" customFormat="1" ht="120" x14ac:dyDescent="0.25">
      <c r="A6687" s="184">
        <v>42808</v>
      </c>
      <c r="B6687" s="184">
        <v>42808</v>
      </c>
      <c r="C6687" s="138">
        <v>2017</v>
      </c>
      <c r="D6687" s="35" t="s">
        <v>28</v>
      </c>
      <c r="E6687" s="30" t="s">
        <v>125</v>
      </c>
      <c r="F6687" s="28" t="s">
        <v>157</v>
      </c>
      <c r="G6687" s="33" t="s">
        <v>1062</v>
      </c>
      <c r="H6687" s="33" t="s">
        <v>9448</v>
      </c>
      <c r="I6687" s="157">
        <v>0</v>
      </c>
      <c r="J6687" s="142">
        <v>159</v>
      </c>
      <c r="K6687" s="142">
        <v>0</v>
      </c>
      <c r="L6687" s="142">
        <v>1</v>
      </c>
      <c r="M6687" s="142">
        <v>0</v>
      </c>
      <c r="N6687" s="142">
        <v>0</v>
      </c>
      <c r="O6687" s="142">
        <v>0</v>
      </c>
      <c r="P6687" s="158">
        <v>0</v>
      </c>
      <c r="Q6687" s="35" t="s">
        <v>154</v>
      </c>
    </row>
    <row r="6688" spans="1:17" s="162" customFormat="1" ht="60" x14ac:dyDescent="0.25">
      <c r="A6688" s="184">
        <v>43074</v>
      </c>
      <c r="B6688" s="184">
        <v>43074</v>
      </c>
      <c r="C6688" s="138">
        <v>2017</v>
      </c>
      <c r="D6688" s="35" t="s">
        <v>28</v>
      </c>
      <c r="E6688" s="30" t="s">
        <v>133</v>
      </c>
      <c r="F6688" s="7" t="s">
        <v>53</v>
      </c>
      <c r="G6688" s="33" t="s">
        <v>7455</v>
      </c>
      <c r="H6688" s="33" t="s">
        <v>9449</v>
      </c>
      <c r="I6688" s="157">
        <v>1</v>
      </c>
      <c r="J6688" s="142">
        <v>1</v>
      </c>
      <c r="K6688" s="142">
        <v>0</v>
      </c>
      <c r="L6688" s="142">
        <v>0</v>
      </c>
      <c r="M6688" s="142">
        <v>0</v>
      </c>
      <c r="N6688" s="142">
        <v>1</v>
      </c>
      <c r="O6688" s="142">
        <v>0</v>
      </c>
      <c r="P6688" s="158">
        <v>0</v>
      </c>
      <c r="Q6688" s="35" t="s">
        <v>154</v>
      </c>
    </row>
    <row r="6689" spans="1:17" s="162" customFormat="1" ht="60" x14ac:dyDescent="0.25">
      <c r="A6689" s="184">
        <v>42810</v>
      </c>
      <c r="B6689" s="184">
        <v>42810</v>
      </c>
      <c r="C6689" s="138">
        <v>2017</v>
      </c>
      <c r="D6689" s="35" t="s">
        <v>28</v>
      </c>
      <c r="E6689" s="6" t="s">
        <v>369</v>
      </c>
      <c r="F6689" s="7" t="s">
        <v>87</v>
      </c>
      <c r="G6689" s="33" t="s">
        <v>4751</v>
      </c>
      <c r="H6689" s="33" t="s">
        <v>9450</v>
      </c>
      <c r="I6689" s="157">
        <v>0</v>
      </c>
      <c r="J6689" s="142">
        <v>1</v>
      </c>
      <c r="K6689" s="142">
        <v>0</v>
      </c>
      <c r="L6689" s="142">
        <v>0</v>
      </c>
      <c r="M6689" s="142">
        <v>0</v>
      </c>
      <c r="N6689" s="142">
        <v>0</v>
      </c>
      <c r="O6689" s="142">
        <v>0</v>
      </c>
      <c r="P6689" s="158">
        <v>0</v>
      </c>
      <c r="Q6689" s="35" t="s">
        <v>154</v>
      </c>
    </row>
    <row r="6690" spans="1:17" s="162" customFormat="1" ht="60" x14ac:dyDescent="0.25">
      <c r="A6690" s="184">
        <v>42811</v>
      </c>
      <c r="B6690" s="184">
        <v>42811</v>
      </c>
      <c r="C6690" s="138">
        <v>2017</v>
      </c>
      <c r="D6690" s="35" t="s">
        <v>28</v>
      </c>
      <c r="E6690" s="6" t="s">
        <v>369</v>
      </c>
      <c r="F6690" s="7" t="s">
        <v>30</v>
      </c>
      <c r="G6690" s="33" t="s">
        <v>1070</v>
      </c>
      <c r="H6690" s="33" t="s">
        <v>9451</v>
      </c>
      <c r="I6690" s="157">
        <v>0</v>
      </c>
      <c r="J6690" s="142">
        <v>0</v>
      </c>
      <c r="K6690" s="142">
        <v>0</v>
      </c>
      <c r="L6690" s="142">
        <v>0</v>
      </c>
      <c r="M6690" s="142">
        <v>0</v>
      </c>
      <c r="N6690" s="142">
        <v>0</v>
      </c>
      <c r="O6690" s="142">
        <v>0</v>
      </c>
      <c r="P6690" s="158">
        <v>0</v>
      </c>
      <c r="Q6690" s="35" t="s">
        <v>154</v>
      </c>
    </row>
    <row r="6691" spans="1:17" s="162" customFormat="1" ht="36" x14ac:dyDescent="0.25">
      <c r="A6691" s="184">
        <v>42815</v>
      </c>
      <c r="B6691" s="184">
        <v>42815</v>
      </c>
      <c r="C6691" s="138">
        <v>2017</v>
      </c>
      <c r="D6691" s="35" t="s">
        <v>28</v>
      </c>
      <c r="E6691" s="6" t="s">
        <v>369</v>
      </c>
      <c r="F6691" s="7" t="s">
        <v>75</v>
      </c>
      <c r="G6691" s="33" t="s">
        <v>4971</v>
      </c>
      <c r="H6691" s="33" t="s">
        <v>9452</v>
      </c>
      <c r="I6691" s="157">
        <v>0</v>
      </c>
      <c r="J6691" s="142">
        <v>15</v>
      </c>
      <c r="K6691" s="142">
        <v>0</v>
      </c>
      <c r="L6691" s="142">
        <v>0</v>
      </c>
      <c r="M6691" s="142">
        <v>0</v>
      </c>
      <c r="N6691" s="142">
        <v>0</v>
      </c>
      <c r="O6691" s="142">
        <v>0</v>
      </c>
      <c r="P6691" s="158">
        <v>0</v>
      </c>
      <c r="Q6691" s="35" t="s">
        <v>154</v>
      </c>
    </row>
    <row r="6692" spans="1:17" s="162" customFormat="1" ht="96" x14ac:dyDescent="0.25">
      <c r="A6692" s="184">
        <v>43031</v>
      </c>
      <c r="B6692" s="184">
        <v>43031</v>
      </c>
      <c r="C6692" s="138">
        <v>2017</v>
      </c>
      <c r="D6692" s="35" t="s">
        <v>28</v>
      </c>
      <c r="E6692" s="6" t="s">
        <v>149</v>
      </c>
      <c r="F6692" s="7" t="s">
        <v>30</v>
      </c>
      <c r="G6692" s="33" t="s">
        <v>1078</v>
      </c>
      <c r="H6692" s="33" t="s">
        <v>9453</v>
      </c>
      <c r="I6692" s="157">
        <v>0</v>
      </c>
      <c r="J6692" s="142">
        <v>51</v>
      </c>
      <c r="K6692" s="142">
        <v>9</v>
      </c>
      <c r="L6692" s="142">
        <v>0</v>
      </c>
      <c r="M6692" s="142">
        <v>0</v>
      </c>
      <c r="N6692" s="142">
        <v>0</v>
      </c>
      <c r="O6692" s="142">
        <v>0</v>
      </c>
      <c r="P6692" s="158">
        <v>0</v>
      </c>
      <c r="Q6692" s="35" t="s">
        <v>154</v>
      </c>
    </row>
    <row r="6693" spans="1:17" s="162" customFormat="1" ht="60" x14ac:dyDescent="0.25">
      <c r="A6693" s="184">
        <v>42936</v>
      </c>
      <c r="B6693" s="184">
        <v>42936</v>
      </c>
      <c r="C6693" s="138">
        <v>2017</v>
      </c>
      <c r="D6693" s="35" t="s">
        <v>28</v>
      </c>
      <c r="E6693" s="30" t="s">
        <v>133</v>
      </c>
      <c r="F6693" s="7" t="s">
        <v>53</v>
      </c>
      <c r="G6693" s="33" t="s">
        <v>20</v>
      </c>
      <c r="H6693" s="33" t="s">
        <v>9454</v>
      </c>
      <c r="I6693" s="157">
        <v>0</v>
      </c>
      <c r="J6693" s="142">
        <v>3</v>
      </c>
      <c r="K6693" s="142">
        <v>0</v>
      </c>
      <c r="L6693" s="142">
        <v>0</v>
      </c>
      <c r="M6693" s="142">
        <v>0</v>
      </c>
      <c r="N6693" s="142">
        <v>0</v>
      </c>
      <c r="O6693" s="142">
        <v>0</v>
      </c>
      <c r="P6693" s="158">
        <v>0</v>
      </c>
      <c r="Q6693" s="35" t="s">
        <v>154</v>
      </c>
    </row>
    <row r="6694" spans="1:17" s="162" customFormat="1" ht="60" x14ac:dyDescent="0.25">
      <c r="A6694" s="184">
        <v>42817</v>
      </c>
      <c r="B6694" s="184">
        <v>42817</v>
      </c>
      <c r="C6694" s="138">
        <v>2017</v>
      </c>
      <c r="D6694" s="35" t="s">
        <v>28</v>
      </c>
      <c r="E6694" s="30" t="s">
        <v>125</v>
      </c>
      <c r="F6694" s="28" t="s">
        <v>210</v>
      </c>
      <c r="G6694" s="33" t="s">
        <v>5694</v>
      </c>
      <c r="H6694" s="33" t="s">
        <v>9455</v>
      </c>
      <c r="I6694" s="157">
        <v>0</v>
      </c>
      <c r="J6694" s="142">
        <v>3</v>
      </c>
      <c r="K6694" s="142">
        <v>0</v>
      </c>
      <c r="L6694" s="142">
        <v>0</v>
      </c>
      <c r="M6694" s="142">
        <v>0</v>
      </c>
      <c r="N6694" s="142">
        <v>0</v>
      </c>
      <c r="O6694" s="142">
        <v>0</v>
      </c>
      <c r="P6694" s="158">
        <v>0</v>
      </c>
      <c r="Q6694" s="35" t="s">
        <v>154</v>
      </c>
    </row>
    <row r="6695" spans="1:17" s="162" customFormat="1" ht="60" x14ac:dyDescent="0.25">
      <c r="A6695" s="184">
        <v>43035</v>
      </c>
      <c r="B6695" s="184">
        <v>43035</v>
      </c>
      <c r="C6695" s="138">
        <v>2017</v>
      </c>
      <c r="D6695" s="35" t="s">
        <v>28</v>
      </c>
      <c r="E6695" s="6" t="s">
        <v>149</v>
      </c>
      <c r="F6695" s="7" t="s">
        <v>30</v>
      </c>
      <c r="G6695" s="33" t="s">
        <v>1078</v>
      </c>
      <c r="H6695" s="33" t="s">
        <v>9456</v>
      </c>
      <c r="I6695" s="157">
        <v>4</v>
      </c>
      <c r="J6695" s="142">
        <v>0</v>
      </c>
      <c r="K6695" s="142">
        <v>0</v>
      </c>
      <c r="L6695" s="142">
        <v>0</v>
      </c>
      <c r="M6695" s="142">
        <v>0</v>
      </c>
      <c r="N6695" s="142">
        <v>1</v>
      </c>
      <c r="O6695" s="142">
        <v>0</v>
      </c>
      <c r="P6695" s="158">
        <v>0</v>
      </c>
      <c r="Q6695" s="35" t="s">
        <v>154</v>
      </c>
    </row>
    <row r="6696" spans="1:17" s="162" customFormat="1" ht="60" x14ac:dyDescent="0.25">
      <c r="A6696" s="184">
        <v>42829</v>
      </c>
      <c r="B6696" s="184">
        <v>42829</v>
      </c>
      <c r="C6696" s="138">
        <v>2017</v>
      </c>
      <c r="D6696" s="35" t="s">
        <v>28</v>
      </c>
      <c r="E6696" s="6" t="s">
        <v>149</v>
      </c>
      <c r="F6696" s="28" t="s">
        <v>157</v>
      </c>
      <c r="G6696" s="33" t="s">
        <v>716</v>
      </c>
      <c r="H6696" s="33" t="s">
        <v>9457</v>
      </c>
      <c r="I6696" s="157">
        <v>0</v>
      </c>
      <c r="J6696" s="142">
        <v>1501</v>
      </c>
      <c r="K6696" s="142">
        <v>0</v>
      </c>
      <c r="L6696" s="142">
        <v>0</v>
      </c>
      <c r="M6696" s="142">
        <v>0</v>
      </c>
      <c r="N6696" s="142">
        <v>0</v>
      </c>
      <c r="O6696" s="142">
        <v>0</v>
      </c>
      <c r="P6696" s="158">
        <v>0</v>
      </c>
      <c r="Q6696" s="35" t="s">
        <v>154</v>
      </c>
    </row>
    <row r="6697" spans="1:17" s="162" customFormat="1" ht="36" x14ac:dyDescent="0.25">
      <c r="A6697" s="184">
        <v>42830</v>
      </c>
      <c r="B6697" s="184">
        <v>42830</v>
      </c>
      <c r="C6697" s="138">
        <v>2017</v>
      </c>
      <c r="D6697" s="35" t="s">
        <v>28</v>
      </c>
      <c r="E6697" s="6" t="s">
        <v>149</v>
      </c>
      <c r="F6697" s="28" t="s">
        <v>157</v>
      </c>
      <c r="G6697" s="33" t="s">
        <v>401</v>
      </c>
      <c r="H6697" s="33" t="s">
        <v>9458</v>
      </c>
      <c r="I6697" s="157">
        <v>0</v>
      </c>
      <c r="J6697" s="142">
        <v>0</v>
      </c>
      <c r="K6697" s="142">
        <v>0</v>
      </c>
      <c r="L6697" s="142">
        <v>0</v>
      </c>
      <c r="M6697" s="142">
        <v>0</v>
      </c>
      <c r="N6697" s="142">
        <v>6</v>
      </c>
      <c r="O6697" s="142">
        <v>0</v>
      </c>
      <c r="P6697" s="158">
        <v>0</v>
      </c>
      <c r="Q6697" s="35" t="s">
        <v>154</v>
      </c>
    </row>
    <row r="6698" spans="1:17" s="162" customFormat="1" ht="96" x14ac:dyDescent="0.25">
      <c r="A6698" s="184">
        <v>42863</v>
      </c>
      <c r="B6698" s="184">
        <v>42863</v>
      </c>
      <c r="C6698" s="138">
        <v>2017</v>
      </c>
      <c r="D6698" s="35" t="s">
        <v>28</v>
      </c>
      <c r="E6698" s="6" t="s">
        <v>149</v>
      </c>
      <c r="F6698" s="28" t="s">
        <v>157</v>
      </c>
      <c r="G6698" s="33" t="s">
        <v>206</v>
      </c>
      <c r="H6698" s="33" t="s">
        <v>9459</v>
      </c>
      <c r="I6698" s="157">
        <v>0</v>
      </c>
      <c r="J6698" s="142">
        <v>120</v>
      </c>
      <c r="K6698" s="142">
        <v>0</v>
      </c>
      <c r="L6698" s="142">
        <v>0</v>
      </c>
      <c r="M6698" s="142">
        <v>0</v>
      </c>
      <c r="N6698" s="142">
        <v>1</v>
      </c>
      <c r="O6698" s="142">
        <v>0</v>
      </c>
      <c r="P6698" s="158">
        <v>0</v>
      </c>
      <c r="Q6698" s="35" t="s">
        <v>154</v>
      </c>
    </row>
    <row r="6699" spans="1:17" s="162" customFormat="1" ht="60" x14ac:dyDescent="0.25">
      <c r="A6699" s="184">
        <v>42870</v>
      </c>
      <c r="B6699" s="184">
        <v>42870</v>
      </c>
      <c r="C6699" s="138">
        <v>2017</v>
      </c>
      <c r="D6699" s="35" t="s">
        <v>28</v>
      </c>
      <c r="E6699" s="6" t="s">
        <v>149</v>
      </c>
      <c r="F6699" s="28" t="s">
        <v>157</v>
      </c>
      <c r="G6699" s="33" t="s">
        <v>857</v>
      </c>
      <c r="H6699" s="33" t="s">
        <v>9460</v>
      </c>
      <c r="I6699" s="157">
        <v>0</v>
      </c>
      <c r="J6699" s="142">
        <v>200</v>
      </c>
      <c r="K6699" s="142">
        <v>0</v>
      </c>
      <c r="L6699" s="142">
        <v>0</v>
      </c>
      <c r="M6699" s="142">
        <v>0</v>
      </c>
      <c r="N6699" s="142">
        <v>1</v>
      </c>
      <c r="O6699" s="142">
        <v>0</v>
      </c>
      <c r="P6699" s="158">
        <v>0</v>
      </c>
      <c r="Q6699" s="35" t="s">
        <v>154</v>
      </c>
    </row>
    <row r="6700" spans="1:17" s="162" customFormat="1" ht="96" x14ac:dyDescent="0.25">
      <c r="A6700" s="184">
        <v>42900</v>
      </c>
      <c r="B6700" s="184">
        <v>42900</v>
      </c>
      <c r="C6700" s="138">
        <v>2017</v>
      </c>
      <c r="D6700" s="35" t="s">
        <v>28</v>
      </c>
      <c r="E6700" s="6" t="s">
        <v>149</v>
      </c>
      <c r="F6700" s="28" t="s">
        <v>157</v>
      </c>
      <c r="G6700" s="33" t="s">
        <v>401</v>
      </c>
      <c r="H6700" s="33" t="s">
        <v>9461</v>
      </c>
      <c r="I6700" s="157">
        <v>0</v>
      </c>
      <c r="J6700" s="142">
        <v>500</v>
      </c>
      <c r="K6700" s="142">
        <v>0</v>
      </c>
      <c r="L6700" s="142">
        <v>0</v>
      </c>
      <c r="M6700" s="142">
        <v>0</v>
      </c>
      <c r="N6700" s="142">
        <v>1</v>
      </c>
      <c r="O6700" s="142">
        <v>0</v>
      </c>
      <c r="P6700" s="158">
        <v>0</v>
      </c>
      <c r="Q6700" s="35" t="s">
        <v>154</v>
      </c>
    </row>
    <row r="6701" spans="1:17" s="162" customFormat="1" ht="120" x14ac:dyDescent="0.25">
      <c r="A6701" s="184">
        <v>43038</v>
      </c>
      <c r="B6701" s="184">
        <v>43038</v>
      </c>
      <c r="C6701" s="138">
        <v>2017</v>
      </c>
      <c r="D6701" s="35" t="s">
        <v>28</v>
      </c>
      <c r="E6701" s="6" t="s">
        <v>149</v>
      </c>
      <c r="F6701" s="28" t="s">
        <v>157</v>
      </c>
      <c r="G6701" s="33" t="s">
        <v>857</v>
      </c>
      <c r="H6701" s="33" t="s">
        <v>9462</v>
      </c>
      <c r="I6701" s="157">
        <v>0</v>
      </c>
      <c r="J6701" s="142">
        <v>27</v>
      </c>
      <c r="K6701" s="142">
        <v>0</v>
      </c>
      <c r="L6701" s="142">
        <v>0</v>
      </c>
      <c r="M6701" s="142">
        <v>0</v>
      </c>
      <c r="N6701" s="142">
        <v>1</v>
      </c>
      <c r="O6701" s="142">
        <v>0</v>
      </c>
      <c r="P6701" s="158">
        <v>0</v>
      </c>
      <c r="Q6701" s="35" t="s">
        <v>154</v>
      </c>
    </row>
    <row r="6702" spans="1:17" s="162" customFormat="1" ht="120" x14ac:dyDescent="0.25">
      <c r="A6702" s="184">
        <v>42912</v>
      </c>
      <c r="B6702" s="184">
        <v>42912</v>
      </c>
      <c r="C6702" s="138">
        <v>2017</v>
      </c>
      <c r="D6702" s="35" t="s">
        <v>28</v>
      </c>
      <c r="E6702" s="6" t="s">
        <v>149</v>
      </c>
      <c r="F6702" s="28" t="s">
        <v>157</v>
      </c>
      <c r="G6702" s="33" t="s">
        <v>4820</v>
      </c>
      <c r="H6702" s="33" t="s">
        <v>9463</v>
      </c>
      <c r="I6702" s="157">
        <v>0</v>
      </c>
      <c r="J6702" s="142">
        <v>1060</v>
      </c>
      <c r="K6702" s="142">
        <v>0</v>
      </c>
      <c r="L6702" s="142">
        <v>0</v>
      </c>
      <c r="M6702" s="142">
        <v>0</v>
      </c>
      <c r="N6702" s="142">
        <v>1</v>
      </c>
      <c r="O6702" s="142">
        <v>0</v>
      </c>
      <c r="P6702" s="158">
        <v>0</v>
      </c>
      <c r="Q6702" s="35" t="s">
        <v>154</v>
      </c>
    </row>
    <row r="6703" spans="1:17" s="162" customFormat="1" ht="72" x14ac:dyDescent="0.25">
      <c r="A6703" s="184">
        <v>42849</v>
      </c>
      <c r="B6703" s="184">
        <v>42849</v>
      </c>
      <c r="C6703" s="138">
        <v>2017</v>
      </c>
      <c r="D6703" s="35" t="s">
        <v>28</v>
      </c>
      <c r="E6703" s="6" t="s">
        <v>149</v>
      </c>
      <c r="F6703" s="7" t="s">
        <v>45</v>
      </c>
      <c r="G6703" s="33" t="s">
        <v>4108</v>
      </c>
      <c r="H6703" s="33" t="s">
        <v>9464</v>
      </c>
      <c r="I6703" s="157">
        <v>0</v>
      </c>
      <c r="J6703" s="142">
        <v>200</v>
      </c>
      <c r="K6703" s="142">
        <v>0</v>
      </c>
      <c r="L6703" s="142">
        <v>0</v>
      </c>
      <c r="M6703" s="142">
        <v>0</v>
      </c>
      <c r="N6703" s="142">
        <v>1</v>
      </c>
      <c r="O6703" s="142">
        <v>0</v>
      </c>
      <c r="P6703" s="158">
        <v>0</v>
      </c>
      <c r="Q6703" s="35" t="s">
        <v>154</v>
      </c>
    </row>
    <row r="6704" spans="1:17" s="162" customFormat="1" ht="60" x14ac:dyDescent="0.25">
      <c r="A6704" s="184">
        <v>42909</v>
      </c>
      <c r="B6704" s="184">
        <v>42909</v>
      </c>
      <c r="C6704" s="138">
        <v>2017</v>
      </c>
      <c r="D6704" s="35" t="s">
        <v>28</v>
      </c>
      <c r="E6704" s="6" t="s">
        <v>149</v>
      </c>
      <c r="F6704" s="7" t="s">
        <v>47</v>
      </c>
      <c r="G6704" s="33" t="s">
        <v>9465</v>
      </c>
      <c r="H6704" s="33" t="s">
        <v>9466</v>
      </c>
      <c r="I6704" s="157">
        <v>1</v>
      </c>
      <c r="J6704" s="142">
        <v>1</v>
      </c>
      <c r="K6704" s="142">
        <v>0</v>
      </c>
      <c r="L6704" s="142">
        <v>0</v>
      </c>
      <c r="M6704" s="142">
        <v>0</v>
      </c>
      <c r="N6704" s="142">
        <v>1</v>
      </c>
      <c r="O6704" s="142">
        <v>0</v>
      </c>
      <c r="P6704" s="158">
        <v>0</v>
      </c>
      <c r="Q6704" s="35" t="s">
        <v>154</v>
      </c>
    </row>
    <row r="6705" spans="1:17" s="162" customFormat="1" ht="48" x14ac:dyDescent="0.25">
      <c r="A6705" s="184">
        <v>42830</v>
      </c>
      <c r="B6705" s="184">
        <v>42830</v>
      </c>
      <c r="C6705" s="138">
        <v>2017</v>
      </c>
      <c r="D6705" s="35" t="s">
        <v>28</v>
      </c>
      <c r="E6705" s="30" t="s">
        <v>125</v>
      </c>
      <c r="F6705" s="28" t="s">
        <v>157</v>
      </c>
      <c r="G6705" s="33" t="s">
        <v>1062</v>
      </c>
      <c r="H6705" s="33" t="s">
        <v>9467</v>
      </c>
      <c r="I6705" s="157">
        <v>0</v>
      </c>
      <c r="J6705" s="142">
        <v>250</v>
      </c>
      <c r="K6705" s="142">
        <v>0</v>
      </c>
      <c r="L6705" s="142">
        <v>0</v>
      </c>
      <c r="M6705" s="142">
        <v>0</v>
      </c>
      <c r="N6705" s="142">
        <v>0</v>
      </c>
      <c r="O6705" s="142">
        <v>0</v>
      </c>
      <c r="P6705" s="158">
        <v>0</v>
      </c>
      <c r="Q6705" s="35" t="s">
        <v>154</v>
      </c>
    </row>
    <row r="6706" spans="1:17" s="162" customFormat="1" ht="72" x14ac:dyDescent="0.25">
      <c r="A6706" s="184">
        <v>42803</v>
      </c>
      <c r="B6706" s="184">
        <v>42803</v>
      </c>
      <c r="C6706" s="138">
        <v>2017</v>
      </c>
      <c r="D6706" s="35" t="s">
        <v>28</v>
      </c>
      <c r="E6706" s="6" t="s">
        <v>149</v>
      </c>
      <c r="F6706" s="7" t="s">
        <v>56</v>
      </c>
      <c r="G6706" s="33" t="s">
        <v>1206</v>
      </c>
      <c r="H6706" s="33" t="s">
        <v>9468</v>
      </c>
      <c r="I6706" s="157">
        <v>0</v>
      </c>
      <c r="J6706" s="142">
        <v>3</v>
      </c>
      <c r="K6706" s="142">
        <v>0</v>
      </c>
      <c r="L6706" s="142">
        <v>0</v>
      </c>
      <c r="M6706" s="142">
        <v>0</v>
      </c>
      <c r="N6706" s="142">
        <v>0</v>
      </c>
      <c r="O6706" s="142">
        <v>0</v>
      </c>
      <c r="P6706" s="158">
        <v>0</v>
      </c>
      <c r="Q6706" s="35" t="s">
        <v>154</v>
      </c>
    </row>
    <row r="6707" spans="1:17" s="162" customFormat="1" ht="96" x14ac:dyDescent="0.25">
      <c r="A6707" s="184">
        <v>42836</v>
      </c>
      <c r="B6707" s="184">
        <v>42836</v>
      </c>
      <c r="C6707" s="138">
        <v>2017</v>
      </c>
      <c r="D6707" s="35" t="s">
        <v>28</v>
      </c>
      <c r="E6707" s="6" t="s">
        <v>369</v>
      </c>
      <c r="F6707" s="7" t="s">
        <v>60</v>
      </c>
      <c r="G6707" s="33" t="s">
        <v>2508</v>
      </c>
      <c r="H6707" s="33" t="s">
        <v>9469</v>
      </c>
      <c r="I6707" s="157">
        <v>0</v>
      </c>
      <c r="J6707" s="142">
        <v>3000</v>
      </c>
      <c r="K6707" s="142">
        <v>0</v>
      </c>
      <c r="L6707" s="142">
        <v>0</v>
      </c>
      <c r="M6707" s="142">
        <v>0</v>
      </c>
      <c r="N6707" s="142">
        <v>0</v>
      </c>
      <c r="O6707" s="142">
        <v>0</v>
      </c>
      <c r="P6707" s="158">
        <v>0</v>
      </c>
      <c r="Q6707" s="35" t="s">
        <v>154</v>
      </c>
    </row>
    <row r="6708" spans="1:17" s="162" customFormat="1" ht="72" x14ac:dyDescent="0.25">
      <c r="A6708" s="184">
        <v>42822</v>
      </c>
      <c r="B6708" s="184">
        <v>42822</v>
      </c>
      <c r="C6708" s="138">
        <v>2017</v>
      </c>
      <c r="D6708" s="35" t="s">
        <v>28</v>
      </c>
      <c r="E6708" s="6" t="s">
        <v>149</v>
      </c>
      <c r="F6708" s="7" t="s">
        <v>56</v>
      </c>
      <c r="G6708" s="33" t="s">
        <v>358</v>
      </c>
      <c r="H6708" s="33" t="s">
        <v>9470</v>
      </c>
      <c r="I6708" s="157">
        <v>0</v>
      </c>
      <c r="J6708" s="142">
        <v>178</v>
      </c>
      <c r="K6708" s="142">
        <v>0</v>
      </c>
      <c r="L6708" s="142">
        <v>0</v>
      </c>
      <c r="M6708" s="142">
        <v>0</v>
      </c>
      <c r="N6708" s="142">
        <v>1</v>
      </c>
      <c r="O6708" s="142">
        <v>0</v>
      </c>
      <c r="P6708" s="158">
        <v>0</v>
      </c>
      <c r="Q6708" s="35" t="s">
        <v>154</v>
      </c>
    </row>
    <row r="6709" spans="1:17" s="162" customFormat="1" ht="84" x14ac:dyDescent="0.25">
      <c r="A6709" s="184">
        <v>42839</v>
      </c>
      <c r="B6709" s="184">
        <v>42839</v>
      </c>
      <c r="C6709" s="138">
        <v>2017</v>
      </c>
      <c r="D6709" s="35" t="s">
        <v>28</v>
      </c>
      <c r="E6709" s="30" t="s">
        <v>125</v>
      </c>
      <c r="F6709" s="28" t="s">
        <v>157</v>
      </c>
      <c r="G6709" s="33" t="s">
        <v>4820</v>
      </c>
      <c r="H6709" s="33" t="s">
        <v>9471</v>
      </c>
      <c r="I6709" s="157">
        <v>0</v>
      </c>
      <c r="J6709" s="142">
        <v>400</v>
      </c>
      <c r="K6709" s="142">
        <v>0</v>
      </c>
      <c r="L6709" s="142">
        <v>0</v>
      </c>
      <c r="M6709" s="142">
        <v>0</v>
      </c>
      <c r="N6709" s="142">
        <v>0</v>
      </c>
      <c r="O6709" s="142">
        <v>0</v>
      </c>
      <c r="P6709" s="158">
        <v>0</v>
      </c>
      <c r="Q6709" s="35" t="s">
        <v>154</v>
      </c>
    </row>
    <row r="6710" spans="1:17" s="162" customFormat="1" ht="48" x14ac:dyDescent="0.25">
      <c r="A6710" s="184">
        <v>42830</v>
      </c>
      <c r="B6710" s="184">
        <v>42830</v>
      </c>
      <c r="C6710" s="138">
        <v>2017</v>
      </c>
      <c r="D6710" s="35" t="s">
        <v>28</v>
      </c>
      <c r="E6710" s="6" t="s">
        <v>149</v>
      </c>
      <c r="F6710" s="7" t="s">
        <v>56</v>
      </c>
      <c r="G6710" s="33" t="s">
        <v>9472</v>
      </c>
      <c r="H6710" s="33" t="s">
        <v>9473</v>
      </c>
      <c r="I6710" s="157">
        <v>6</v>
      </c>
      <c r="J6710" s="142">
        <v>6</v>
      </c>
      <c r="K6710" s="142">
        <v>1</v>
      </c>
      <c r="L6710" s="142">
        <v>0</v>
      </c>
      <c r="M6710" s="142">
        <v>0</v>
      </c>
      <c r="N6710" s="142">
        <v>0</v>
      </c>
      <c r="O6710" s="142">
        <v>0</v>
      </c>
      <c r="P6710" s="158">
        <v>0</v>
      </c>
      <c r="Q6710" s="35" t="s">
        <v>154</v>
      </c>
    </row>
    <row r="6711" spans="1:17" s="162" customFormat="1" ht="120" x14ac:dyDescent="0.25">
      <c r="A6711" s="184">
        <v>42850</v>
      </c>
      <c r="B6711" s="184">
        <v>42850</v>
      </c>
      <c r="C6711" s="138">
        <v>2017</v>
      </c>
      <c r="D6711" s="35" t="s">
        <v>28</v>
      </c>
      <c r="E6711" s="6" t="s">
        <v>149</v>
      </c>
      <c r="F6711" s="7" t="s">
        <v>56</v>
      </c>
      <c r="G6711" s="33" t="s">
        <v>2462</v>
      </c>
      <c r="H6711" s="33" t="s">
        <v>9474</v>
      </c>
      <c r="I6711" s="157">
        <v>0</v>
      </c>
      <c r="J6711" s="142">
        <v>320</v>
      </c>
      <c r="K6711" s="142">
        <v>1</v>
      </c>
      <c r="L6711" s="142">
        <v>0</v>
      </c>
      <c r="M6711" s="142">
        <v>0</v>
      </c>
      <c r="N6711" s="142">
        <v>0</v>
      </c>
      <c r="O6711" s="142">
        <v>0</v>
      </c>
      <c r="P6711" s="158">
        <v>0</v>
      </c>
      <c r="Q6711" s="35" t="s">
        <v>154</v>
      </c>
    </row>
    <row r="6712" spans="1:17" s="162" customFormat="1" ht="60" x14ac:dyDescent="0.25">
      <c r="A6712" s="184">
        <v>42866</v>
      </c>
      <c r="B6712" s="184">
        <v>42866</v>
      </c>
      <c r="C6712" s="138">
        <v>2017</v>
      </c>
      <c r="D6712" s="35" t="s">
        <v>28</v>
      </c>
      <c r="E6712" s="6" t="s">
        <v>149</v>
      </c>
      <c r="F6712" s="7" t="s">
        <v>56</v>
      </c>
      <c r="G6712" s="33" t="s">
        <v>711</v>
      </c>
      <c r="H6712" s="33" t="s">
        <v>9475</v>
      </c>
      <c r="I6712" s="157">
        <v>0</v>
      </c>
      <c r="J6712" s="142">
        <v>8</v>
      </c>
      <c r="K6712" s="142">
        <v>0</v>
      </c>
      <c r="L6712" s="142">
        <v>0</v>
      </c>
      <c r="M6712" s="142">
        <v>0</v>
      </c>
      <c r="N6712" s="142">
        <v>1</v>
      </c>
      <c r="O6712" s="142">
        <v>0</v>
      </c>
      <c r="P6712" s="158">
        <v>0</v>
      </c>
      <c r="Q6712" s="35" t="s">
        <v>154</v>
      </c>
    </row>
    <row r="6713" spans="1:17" s="162" customFormat="1" ht="96" x14ac:dyDescent="0.25">
      <c r="A6713" s="184">
        <v>42838</v>
      </c>
      <c r="B6713" s="184">
        <v>42838</v>
      </c>
      <c r="C6713" s="138">
        <v>2017</v>
      </c>
      <c r="D6713" s="35" t="s">
        <v>28</v>
      </c>
      <c r="E6713" s="6" t="s">
        <v>149</v>
      </c>
      <c r="F6713" s="7" t="s">
        <v>58</v>
      </c>
      <c r="G6713" s="33" t="s">
        <v>9476</v>
      </c>
      <c r="H6713" s="33" t="s">
        <v>9477</v>
      </c>
      <c r="I6713" s="157">
        <v>24</v>
      </c>
      <c r="J6713" s="142">
        <v>33</v>
      </c>
      <c r="K6713" s="142">
        <v>0</v>
      </c>
      <c r="L6713" s="142">
        <v>0</v>
      </c>
      <c r="M6713" s="142">
        <v>0</v>
      </c>
      <c r="N6713" s="142">
        <v>0</v>
      </c>
      <c r="O6713" s="142">
        <v>0</v>
      </c>
      <c r="P6713" s="158">
        <v>0</v>
      </c>
      <c r="Q6713" s="35" t="s">
        <v>154</v>
      </c>
    </row>
    <row r="6714" spans="1:17" s="162" customFormat="1" ht="72" x14ac:dyDescent="0.25">
      <c r="A6714" s="184">
        <v>43034</v>
      </c>
      <c r="B6714" s="184">
        <v>43034</v>
      </c>
      <c r="C6714" s="138">
        <v>2017</v>
      </c>
      <c r="D6714" s="35" t="s">
        <v>28</v>
      </c>
      <c r="E6714" s="6" t="s">
        <v>149</v>
      </c>
      <c r="F6714" s="28" t="s">
        <v>160</v>
      </c>
      <c r="G6714" s="33" t="s">
        <v>4410</v>
      </c>
      <c r="H6714" s="33" t="s">
        <v>9478</v>
      </c>
      <c r="I6714" s="157">
        <v>0</v>
      </c>
      <c r="J6714" s="142">
        <v>750</v>
      </c>
      <c r="K6714" s="142">
        <v>0</v>
      </c>
      <c r="L6714" s="142">
        <v>0</v>
      </c>
      <c r="M6714" s="142">
        <v>0</v>
      </c>
      <c r="N6714" s="142">
        <v>1</v>
      </c>
      <c r="O6714" s="142">
        <v>0</v>
      </c>
      <c r="P6714" s="158">
        <v>0</v>
      </c>
      <c r="Q6714" s="35" t="s">
        <v>154</v>
      </c>
    </row>
    <row r="6715" spans="1:17" s="162" customFormat="1" ht="72" x14ac:dyDescent="0.25">
      <c r="A6715" s="184">
        <v>42871</v>
      </c>
      <c r="B6715" s="184">
        <v>42871</v>
      </c>
      <c r="C6715" s="138">
        <v>2017</v>
      </c>
      <c r="D6715" s="35" t="s">
        <v>28</v>
      </c>
      <c r="E6715" s="6" t="s">
        <v>149</v>
      </c>
      <c r="F6715" s="7" t="s">
        <v>60</v>
      </c>
      <c r="G6715" s="33" t="s">
        <v>908</v>
      </c>
      <c r="H6715" s="33" t="s">
        <v>9479</v>
      </c>
      <c r="I6715" s="157">
        <v>9</v>
      </c>
      <c r="J6715" s="142">
        <v>12</v>
      </c>
      <c r="K6715" s="142">
        <v>1</v>
      </c>
      <c r="L6715" s="142">
        <v>0</v>
      </c>
      <c r="M6715" s="142">
        <v>0</v>
      </c>
      <c r="N6715" s="142">
        <v>0</v>
      </c>
      <c r="O6715" s="142">
        <v>0</v>
      </c>
      <c r="P6715" s="158">
        <v>0</v>
      </c>
      <c r="Q6715" s="35" t="s">
        <v>154</v>
      </c>
    </row>
    <row r="6716" spans="1:17" s="162" customFormat="1" ht="60" x14ac:dyDescent="0.25">
      <c r="A6716" s="184">
        <v>42824</v>
      </c>
      <c r="B6716" s="184">
        <v>42824</v>
      </c>
      <c r="C6716" s="138">
        <v>2017</v>
      </c>
      <c r="D6716" s="35" t="s">
        <v>28</v>
      </c>
      <c r="E6716" s="6" t="s">
        <v>149</v>
      </c>
      <c r="F6716" s="7" t="s">
        <v>60</v>
      </c>
      <c r="G6716" s="33" t="s">
        <v>2508</v>
      </c>
      <c r="H6716" s="33" t="s">
        <v>9480</v>
      </c>
      <c r="I6716" s="157">
        <v>1</v>
      </c>
      <c r="J6716" s="142">
        <v>1</v>
      </c>
      <c r="K6716" s="142">
        <v>0</v>
      </c>
      <c r="L6716" s="142">
        <v>0</v>
      </c>
      <c r="M6716" s="142">
        <v>0</v>
      </c>
      <c r="N6716" s="142">
        <v>0</v>
      </c>
      <c r="O6716" s="142">
        <v>0</v>
      </c>
      <c r="P6716" s="158">
        <v>0</v>
      </c>
      <c r="Q6716" s="35" t="s">
        <v>154</v>
      </c>
    </row>
    <row r="6717" spans="1:17" s="162" customFormat="1" ht="84" x14ac:dyDescent="0.25">
      <c r="A6717" s="184">
        <v>42852</v>
      </c>
      <c r="B6717" s="184">
        <v>42852</v>
      </c>
      <c r="C6717" s="138">
        <v>2017</v>
      </c>
      <c r="D6717" s="35" t="s">
        <v>28</v>
      </c>
      <c r="E6717" s="6" t="s">
        <v>149</v>
      </c>
      <c r="F6717" s="7" t="s">
        <v>60</v>
      </c>
      <c r="G6717" s="33" t="s">
        <v>1256</v>
      </c>
      <c r="H6717" s="33" t="s">
        <v>9481</v>
      </c>
      <c r="I6717" s="157">
        <v>0</v>
      </c>
      <c r="J6717" s="142">
        <v>100</v>
      </c>
      <c r="K6717" s="142">
        <v>6</v>
      </c>
      <c r="L6717" s="142">
        <v>0</v>
      </c>
      <c r="M6717" s="142">
        <v>0</v>
      </c>
      <c r="N6717" s="142">
        <v>0</v>
      </c>
      <c r="O6717" s="142">
        <v>0</v>
      </c>
      <c r="P6717" s="158">
        <v>0</v>
      </c>
      <c r="Q6717" s="35" t="s">
        <v>154</v>
      </c>
    </row>
    <row r="6718" spans="1:17" s="162" customFormat="1" ht="84" x14ac:dyDescent="0.25">
      <c r="A6718" s="184">
        <v>42833</v>
      </c>
      <c r="B6718" s="184">
        <v>42833</v>
      </c>
      <c r="C6718" s="138">
        <v>2017</v>
      </c>
      <c r="D6718" s="35" t="s">
        <v>28</v>
      </c>
      <c r="E6718" s="6" t="s">
        <v>149</v>
      </c>
      <c r="F6718" s="7" t="s">
        <v>60</v>
      </c>
      <c r="G6718" s="33" t="s">
        <v>1605</v>
      </c>
      <c r="H6718" s="33" t="s">
        <v>9482</v>
      </c>
      <c r="I6718" s="157">
        <v>0</v>
      </c>
      <c r="J6718" s="142">
        <v>0</v>
      </c>
      <c r="K6718" s="142">
        <v>0</v>
      </c>
      <c r="L6718" s="142">
        <v>0</v>
      </c>
      <c r="M6718" s="142">
        <v>0</v>
      </c>
      <c r="N6718" s="142">
        <v>1</v>
      </c>
      <c r="O6718" s="142">
        <v>0</v>
      </c>
      <c r="P6718" s="158">
        <v>0</v>
      </c>
      <c r="Q6718" s="35" t="s">
        <v>154</v>
      </c>
    </row>
    <row r="6719" spans="1:17" s="162" customFormat="1" ht="192" x14ac:dyDescent="0.25">
      <c r="A6719" s="184">
        <v>43091</v>
      </c>
      <c r="B6719" s="184">
        <v>43091</v>
      </c>
      <c r="C6719" s="138">
        <v>2017</v>
      </c>
      <c r="D6719" s="35" t="s">
        <v>28</v>
      </c>
      <c r="E6719" s="6" t="s">
        <v>149</v>
      </c>
      <c r="F6719" s="7" t="s">
        <v>60</v>
      </c>
      <c r="G6719" s="33" t="s">
        <v>1605</v>
      </c>
      <c r="H6719" s="33" t="s">
        <v>9483</v>
      </c>
      <c r="I6719" s="157">
        <v>0</v>
      </c>
      <c r="J6719" s="142">
        <v>225</v>
      </c>
      <c r="K6719" s="142">
        <v>55</v>
      </c>
      <c r="L6719" s="142">
        <v>0</v>
      </c>
      <c r="M6719" s="142">
        <v>0</v>
      </c>
      <c r="N6719" s="142">
        <v>0</v>
      </c>
      <c r="O6719" s="142">
        <v>0</v>
      </c>
      <c r="P6719" s="158">
        <v>0</v>
      </c>
      <c r="Q6719" s="35" t="s">
        <v>154</v>
      </c>
    </row>
    <row r="6720" spans="1:17" s="162" customFormat="1" ht="48" x14ac:dyDescent="0.25">
      <c r="A6720" s="184">
        <v>42739</v>
      </c>
      <c r="B6720" s="184">
        <v>42739</v>
      </c>
      <c r="C6720" s="138">
        <v>2017</v>
      </c>
      <c r="D6720" s="35" t="s">
        <v>28</v>
      </c>
      <c r="E6720" s="6" t="s">
        <v>149</v>
      </c>
      <c r="F6720" s="7" t="s">
        <v>53</v>
      </c>
      <c r="G6720" s="33" t="s">
        <v>460</v>
      </c>
      <c r="H6720" s="33" t="s">
        <v>9484</v>
      </c>
      <c r="I6720" s="157">
        <v>0</v>
      </c>
      <c r="J6720" s="142">
        <v>2</v>
      </c>
      <c r="K6720" s="142">
        <v>0</v>
      </c>
      <c r="L6720" s="142">
        <v>0</v>
      </c>
      <c r="M6720" s="142">
        <v>0</v>
      </c>
      <c r="N6720" s="142">
        <v>0</v>
      </c>
      <c r="O6720" s="142">
        <v>0</v>
      </c>
      <c r="P6720" s="158">
        <v>0</v>
      </c>
      <c r="Q6720" s="35" t="s">
        <v>154</v>
      </c>
    </row>
    <row r="6721" spans="1:17" s="162" customFormat="1" ht="48" x14ac:dyDescent="0.25">
      <c r="A6721" s="184">
        <v>42899</v>
      </c>
      <c r="B6721" s="184">
        <v>42899</v>
      </c>
      <c r="C6721" s="138">
        <v>2017</v>
      </c>
      <c r="D6721" s="35" t="s">
        <v>28</v>
      </c>
      <c r="E6721" s="30" t="s">
        <v>133</v>
      </c>
      <c r="F6721" s="7" t="s">
        <v>53</v>
      </c>
      <c r="G6721" s="33" t="s">
        <v>1502</v>
      </c>
      <c r="H6721" s="33" t="s">
        <v>9485</v>
      </c>
      <c r="I6721" s="157">
        <v>1</v>
      </c>
      <c r="J6721" s="142">
        <v>3</v>
      </c>
      <c r="K6721" s="142">
        <v>0</v>
      </c>
      <c r="L6721" s="142">
        <v>0</v>
      </c>
      <c r="M6721" s="142">
        <v>0</v>
      </c>
      <c r="N6721" s="142">
        <v>0</v>
      </c>
      <c r="O6721" s="142">
        <v>0</v>
      </c>
      <c r="P6721" s="158">
        <v>0</v>
      </c>
      <c r="Q6721" s="35" t="s">
        <v>154</v>
      </c>
    </row>
    <row r="6722" spans="1:17" s="162" customFormat="1" ht="36" x14ac:dyDescent="0.25">
      <c r="A6722" s="184">
        <v>42748</v>
      </c>
      <c r="B6722" s="184">
        <v>42748</v>
      </c>
      <c r="C6722" s="138">
        <v>2017</v>
      </c>
      <c r="D6722" s="35" t="s">
        <v>28</v>
      </c>
      <c r="E6722" s="30" t="s">
        <v>133</v>
      </c>
      <c r="F6722" s="7" t="s">
        <v>53</v>
      </c>
      <c r="G6722" s="33" t="s">
        <v>2268</v>
      </c>
      <c r="H6722" s="33" t="s">
        <v>9486</v>
      </c>
      <c r="I6722" s="157">
        <v>1</v>
      </c>
      <c r="J6722" s="142">
        <v>4</v>
      </c>
      <c r="K6722" s="142">
        <v>1</v>
      </c>
      <c r="L6722" s="142">
        <v>0</v>
      </c>
      <c r="M6722" s="142">
        <v>0</v>
      </c>
      <c r="N6722" s="142">
        <v>0</v>
      </c>
      <c r="O6722" s="142">
        <v>0</v>
      </c>
      <c r="P6722" s="158">
        <v>0</v>
      </c>
      <c r="Q6722" s="35" t="s">
        <v>154</v>
      </c>
    </row>
    <row r="6723" spans="1:17" s="162" customFormat="1" ht="72" x14ac:dyDescent="0.25">
      <c r="A6723" s="184">
        <v>42747</v>
      </c>
      <c r="B6723" s="184">
        <v>42747</v>
      </c>
      <c r="C6723" s="138">
        <v>2017</v>
      </c>
      <c r="D6723" s="35" t="s">
        <v>28</v>
      </c>
      <c r="E6723" s="6" t="s">
        <v>369</v>
      </c>
      <c r="F6723" s="7" t="s">
        <v>62</v>
      </c>
      <c r="G6723" s="33" t="s">
        <v>474</v>
      </c>
      <c r="H6723" s="33" t="s">
        <v>9487</v>
      </c>
      <c r="I6723" s="157">
        <v>0</v>
      </c>
      <c r="J6723" s="142">
        <v>20</v>
      </c>
      <c r="K6723" s="142">
        <v>0</v>
      </c>
      <c r="L6723" s="142">
        <v>0</v>
      </c>
      <c r="M6723" s="142">
        <v>0</v>
      </c>
      <c r="N6723" s="142">
        <v>0</v>
      </c>
      <c r="O6723" s="142">
        <v>0</v>
      </c>
      <c r="P6723" s="158">
        <v>0</v>
      </c>
      <c r="Q6723" s="35" t="s">
        <v>154</v>
      </c>
    </row>
    <row r="6724" spans="1:17" s="162" customFormat="1" ht="84" x14ac:dyDescent="0.25">
      <c r="A6724" s="184">
        <v>42894</v>
      </c>
      <c r="B6724" s="184">
        <v>42894</v>
      </c>
      <c r="C6724" s="138">
        <v>2017</v>
      </c>
      <c r="D6724" s="35" t="s">
        <v>28</v>
      </c>
      <c r="E6724" s="30" t="s">
        <v>125</v>
      </c>
      <c r="F6724" s="7" t="s">
        <v>53</v>
      </c>
      <c r="G6724" s="33" t="s">
        <v>9488</v>
      </c>
      <c r="H6724" s="33" t="s">
        <v>9489</v>
      </c>
      <c r="I6724" s="157">
        <v>0</v>
      </c>
      <c r="J6724" s="142">
        <v>152</v>
      </c>
      <c r="K6724" s="142">
        <v>0</v>
      </c>
      <c r="L6724" s="142">
        <v>0</v>
      </c>
      <c r="M6724" s="142">
        <v>0</v>
      </c>
      <c r="N6724" s="142">
        <v>0</v>
      </c>
      <c r="O6724" s="142">
        <v>0</v>
      </c>
      <c r="P6724" s="158">
        <v>0</v>
      </c>
      <c r="Q6724" s="35" t="s">
        <v>154</v>
      </c>
    </row>
    <row r="6725" spans="1:17" s="162" customFormat="1" ht="120" x14ac:dyDescent="0.25">
      <c r="A6725" s="184">
        <v>42895</v>
      </c>
      <c r="B6725" s="184">
        <v>42895</v>
      </c>
      <c r="C6725" s="138">
        <v>2017</v>
      </c>
      <c r="D6725" s="35" t="s">
        <v>28</v>
      </c>
      <c r="E6725" s="30" t="s">
        <v>125</v>
      </c>
      <c r="F6725" s="7" t="s">
        <v>77</v>
      </c>
      <c r="G6725" s="33" t="s">
        <v>77</v>
      </c>
      <c r="H6725" s="33" t="s">
        <v>9490</v>
      </c>
      <c r="I6725" s="157">
        <v>0</v>
      </c>
      <c r="J6725" s="142">
        <v>209</v>
      </c>
      <c r="K6725" s="142">
        <v>0</v>
      </c>
      <c r="L6725" s="142">
        <v>0</v>
      </c>
      <c r="M6725" s="142">
        <v>0</v>
      </c>
      <c r="N6725" s="142">
        <v>1</v>
      </c>
      <c r="O6725" s="142">
        <v>0</v>
      </c>
      <c r="P6725" s="158">
        <v>0</v>
      </c>
      <c r="Q6725" s="35" t="s">
        <v>154</v>
      </c>
    </row>
    <row r="6726" spans="1:17" s="162" customFormat="1" ht="120" x14ac:dyDescent="0.25">
      <c r="A6726" s="184">
        <v>43084</v>
      </c>
      <c r="B6726" s="184">
        <v>43084</v>
      </c>
      <c r="C6726" s="138">
        <v>2017</v>
      </c>
      <c r="D6726" s="35" t="s">
        <v>28</v>
      </c>
      <c r="E6726" s="30" t="s">
        <v>133</v>
      </c>
      <c r="F6726" s="7" t="s">
        <v>53</v>
      </c>
      <c r="G6726" s="33" t="s">
        <v>3073</v>
      </c>
      <c r="H6726" s="33" t="s">
        <v>9491</v>
      </c>
      <c r="I6726" s="157">
        <v>3</v>
      </c>
      <c r="J6726" s="142">
        <v>11</v>
      </c>
      <c r="K6726" s="142">
        <v>1</v>
      </c>
      <c r="L6726" s="142">
        <v>0</v>
      </c>
      <c r="M6726" s="142">
        <v>0</v>
      </c>
      <c r="N6726" s="142">
        <v>1</v>
      </c>
      <c r="O6726" s="142">
        <v>0</v>
      </c>
      <c r="P6726" s="158">
        <v>0</v>
      </c>
      <c r="Q6726" s="35" t="s">
        <v>154</v>
      </c>
    </row>
    <row r="6727" spans="1:17" s="162" customFormat="1" ht="108" x14ac:dyDescent="0.25">
      <c r="A6727" s="184">
        <v>43013</v>
      </c>
      <c r="B6727" s="184">
        <v>43013</v>
      </c>
      <c r="C6727" s="138">
        <v>2017</v>
      </c>
      <c r="D6727" s="35" t="s">
        <v>28</v>
      </c>
      <c r="E6727" s="30" t="s">
        <v>133</v>
      </c>
      <c r="F6727" s="7" t="s">
        <v>53</v>
      </c>
      <c r="G6727" s="33" t="s">
        <v>9492</v>
      </c>
      <c r="H6727" s="33" t="s">
        <v>9493</v>
      </c>
      <c r="I6727" s="157">
        <v>0</v>
      </c>
      <c r="J6727" s="142">
        <v>500</v>
      </c>
      <c r="K6727" s="142">
        <v>0</v>
      </c>
      <c r="L6727" s="142">
        <v>0</v>
      </c>
      <c r="M6727" s="142">
        <v>0</v>
      </c>
      <c r="N6727" s="142">
        <v>1</v>
      </c>
      <c r="O6727" s="142">
        <v>0</v>
      </c>
      <c r="P6727" s="158">
        <v>0</v>
      </c>
      <c r="Q6727" s="35" t="s">
        <v>154</v>
      </c>
    </row>
    <row r="6728" spans="1:17" s="162" customFormat="1" ht="60" x14ac:dyDescent="0.25">
      <c r="A6728" s="184">
        <v>42899</v>
      </c>
      <c r="B6728" s="184">
        <v>42899</v>
      </c>
      <c r="C6728" s="138">
        <v>2017</v>
      </c>
      <c r="D6728" s="35" t="s">
        <v>28</v>
      </c>
      <c r="E6728" s="30" t="s">
        <v>133</v>
      </c>
      <c r="F6728" s="7" t="s">
        <v>53</v>
      </c>
      <c r="G6728" s="33" t="s">
        <v>6235</v>
      </c>
      <c r="H6728" s="33" t="s">
        <v>9494</v>
      </c>
      <c r="I6728" s="157">
        <v>0</v>
      </c>
      <c r="J6728" s="142">
        <v>3</v>
      </c>
      <c r="K6728" s="142">
        <v>0</v>
      </c>
      <c r="L6728" s="142">
        <v>0</v>
      </c>
      <c r="M6728" s="142">
        <v>0</v>
      </c>
      <c r="N6728" s="142">
        <v>0</v>
      </c>
      <c r="O6728" s="142">
        <v>0</v>
      </c>
      <c r="P6728" s="158">
        <v>0</v>
      </c>
      <c r="Q6728" s="35" t="s">
        <v>154</v>
      </c>
    </row>
    <row r="6729" spans="1:17" s="162" customFormat="1" ht="48" x14ac:dyDescent="0.25">
      <c r="A6729" s="184">
        <v>42830</v>
      </c>
      <c r="B6729" s="184">
        <v>42830</v>
      </c>
      <c r="C6729" s="138">
        <v>2017</v>
      </c>
      <c r="D6729" s="35" t="s">
        <v>28</v>
      </c>
      <c r="E6729" s="6" t="s">
        <v>149</v>
      </c>
      <c r="F6729" s="7" t="s">
        <v>53</v>
      </c>
      <c r="G6729" s="33" t="s">
        <v>1826</v>
      </c>
      <c r="H6729" s="33" t="s">
        <v>9495</v>
      </c>
      <c r="I6729" s="157">
        <v>0</v>
      </c>
      <c r="J6729" s="142">
        <v>80</v>
      </c>
      <c r="K6729" s="142">
        <v>0</v>
      </c>
      <c r="L6729" s="142">
        <v>0</v>
      </c>
      <c r="M6729" s="142">
        <v>0</v>
      </c>
      <c r="N6729" s="142">
        <v>1</v>
      </c>
      <c r="O6729" s="142">
        <v>0</v>
      </c>
      <c r="P6729" s="158">
        <v>0</v>
      </c>
      <c r="Q6729" s="35" t="s">
        <v>154</v>
      </c>
    </row>
    <row r="6730" spans="1:17" s="162" customFormat="1" ht="60" x14ac:dyDescent="0.25">
      <c r="A6730" s="184">
        <v>42798</v>
      </c>
      <c r="B6730" s="184">
        <v>42798</v>
      </c>
      <c r="C6730" s="138">
        <v>2017</v>
      </c>
      <c r="D6730" s="35" t="s">
        <v>28</v>
      </c>
      <c r="E6730" s="30" t="s">
        <v>133</v>
      </c>
      <c r="F6730" s="7" t="s">
        <v>53</v>
      </c>
      <c r="G6730" s="33" t="s">
        <v>451</v>
      </c>
      <c r="H6730" s="33" t="s">
        <v>9496</v>
      </c>
      <c r="I6730" s="157">
        <v>3</v>
      </c>
      <c r="J6730" s="142">
        <v>7</v>
      </c>
      <c r="K6730" s="142">
        <v>0</v>
      </c>
      <c r="L6730" s="142">
        <v>0</v>
      </c>
      <c r="M6730" s="142">
        <v>0</v>
      </c>
      <c r="N6730" s="142">
        <v>0</v>
      </c>
      <c r="O6730" s="142">
        <v>0</v>
      </c>
      <c r="P6730" s="158">
        <v>0</v>
      </c>
      <c r="Q6730" s="35" t="s">
        <v>154</v>
      </c>
    </row>
    <row r="6731" spans="1:17" s="162" customFormat="1" ht="72" x14ac:dyDescent="0.25">
      <c r="A6731" s="184">
        <v>42851</v>
      </c>
      <c r="B6731" s="184">
        <v>42851</v>
      </c>
      <c r="C6731" s="138">
        <v>2017</v>
      </c>
      <c r="D6731" s="35" t="s">
        <v>28</v>
      </c>
      <c r="E6731" s="6" t="s">
        <v>149</v>
      </c>
      <c r="F6731" s="7" t="s">
        <v>53</v>
      </c>
      <c r="G6731" s="33" t="s">
        <v>1236</v>
      </c>
      <c r="H6731" s="33" t="s">
        <v>9497</v>
      </c>
      <c r="I6731" s="157">
        <v>0</v>
      </c>
      <c r="J6731" s="142">
        <v>0</v>
      </c>
      <c r="K6731" s="142">
        <v>0</v>
      </c>
      <c r="L6731" s="142">
        <v>0</v>
      </c>
      <c r="M6731" s="142">
        <v>0</v>
      </c>
      <c r="N6731" s="142">
        <v>0</v>
      </c>
      <c r="O6731" s="142">
        <v>0</v>
      </c>
      <c r="P6731" s="158">
        <v>0</v>
      </c>
      <c r="Q6731" s="35" t="s">
        <v>154</v>
      </c>
    </row>
    <row r="6732" spans="1:17" s="162" customFormat="1" ht="84" x14ac:dyDescent="0.25">
      <c r="A6732" s="184">
        <v>42866</v>
      </c>
      <c r="B6732" s="184">
        <v>42866</v>
      </c>
      <c r="C6732" s="138">
        <v>2017</v>
      </c>
      <c r="D6732" s="35" t="s">
        <v>28</v>
      </c>
      <c r="E6732" s="6" t="s">
        <v>149</v>
      </c>
      <c r="F6732" s="7" t="s">
        <v>53</v>
      </c>
      <c r="G6732" s="33" t="s">
        <v>7051</v>
      </c>
      <c r="H6732" s="33" t="s">
        <v>9498</v>
      </c>
      <c r="I6732" s="157">
        <v>0</v>
      </c>
      <c r="J6732" s="142">
        <v>700</v>
      </c>
      <c r="K6732" s="142">
        <v>0</v>
      </c>
      <c r="L6732" s="142">
        <v>0</v>
      </c>
      <c r="M6732" s="142">
        <v>0</v>
      </c>
      <c r="N6732" s="142">
        <v>0</v>
      </c>
      <c r="O6732" s="142">
        <v>0</v>
      </c>
      <c r="P6732" s="158">
        <v>0</v>
      </c>
      <c r="Q6732" s="35" t="s">
        <v>154</v>
      </c>
    </row>
    <row r="6733" spans="1:17" s="162" customFormat="1" ht="60" x14ac:dyDescent="0.25">
      <c r="A6733" s="184">
        <v>42929</v>
      </c>
      <c r="B6733" s="184">
        <v>42929</v>
      </c>
      <c r="C6733" s="138">
        <v>2017</v>
      </c>
      <c r="D6733" s="35" t="s">
        <v>28</v>
      </c>
      <c r="E6733" s="30" t="s">
        <v>133</v>
      </c>
      <c r="F6733" s="7" t="s">
        <v>53</v>
      </c>
      <c r="G6733" s="33" t="s">
        <v>451</v>
      </c>
      <c r="H6733" s="33" t="s">
        <v>9499</v>
      </c>
      <c r="I6733" s="157">
        <v>0</v>
      </c>
      <c r="J6733" s="142">
        <v>4</v>
      </c>
      <c r="K6733" s="142">
        <v>1</v>
      </c>
      <c r="L6733" s="142">
        <v>0</v>
      </c>
      <c r="M6733" s="142">
        <v>0</v>
      </c>
      <c r="N6733" s="142">
        <v>0</v>
      </c>
      <c r="O6733" s="142">
        <v>0</v>
      </c>
      <c r="P6733" s="158">
        <v>0</v>
      </c>
      <c r="Q6733" s="35" t="s">
        <v>154</v>
      </c>
    </row>
    <row r="6734" spans="1:17" s="162" customFormat="1" ht="84" x14ac:dyDescent="0.25">
      <c r="A6734" s="184">
        <v>42962</v>
      </c>
      <c r="B6734" s="184">
        <v>42962</v>
      </c>
      <c r="C6734" s="138">
        <v>2017</v>
      </c>
      <c r="D6734" s="35" t="s">
        <v>28</v>
      </c>
      <c r="E6734" s="6" t="s">
        <v>149</v>
      </c>
      <c r="F6734" s="7" t="s">
        <v>53</v>
      </c>
      <c r="G6734" s="33" t="s">
        <v>451</v>
      </c>
      <c r="H6734" s="33" t="s">
        <v>9500</v>
      </c>
      <c r="I6734" s="157">
        <v>2</v>
      </c>
      <c r="J6734" s="142">
        <v>2</v>
      </c>
      <c r="K6734" s="142">
        <v>0</v>
      </c>
      <c r="L6734" s="142">
        <v>0</v>
      </c>
      <c r="M6734" s="142">
        <v>0</v>
      </c>
      <c r="N6734" s="142">
        <v>0</v>
      </c>
      <c r="O6734" s="142">
        <v>0</v>
      </c>
      <c r="P6734" s="158">
        <v>0</v>
      </c>
      <c r="Q6734" s="35" t="s">
        <v>154</v>
      </c>
    </row>
    <row r="6735" spans="1:17" s="162" customFormat="1" ht="120" x14ac:dyDescent="0.25">
      <c r="A6735" s="184">
        <v>42926</v>
      </c>
      <c r="B6735" s="184">
        <v>42926</v>
      </c>
      <c r="C6735" s="138">
        <v>2017</v>
      </c>
      <c r="D6735" s="35" t="s">
        <v>28</v>
      </c>
      <c r="E6735" s="6" t="s">
        <v>369</v>
      </c>
      <c r="F6735" s="7" t="s">
        <v>53</v>
      </c>
      <c r="G6735" s="33" t="s">
        <v>9501</v>
      </c>
      <c r="H6735" s="33" t="s">
        <v>9502</v>
      </c>
      <c r="I6735" s="157">
        <v>0</v>
      </c>
      <c r="J6735" s="142">
        <v>60</v>
      </c>
      <c r="K6735" s="142">
        <v>10</v>
      </c>
      <c r="L6735" s="142">
        <v>0</v>
      </c>
      <c r="M6735" s="142">
        <v>0</v>
      </c>
      <c r="N6735" s="142">
        <v>0</v>
      </c>
      <c r="O6735" s="142">
        <v>0</v>
      </c>
      <c r="P6735" s="158">
        <v>0</v>
      </c>
      <c r="Q6735" s="35" t="s">
        <v>154</v>
      </c>
    </row>
    <row r="6736" spans="1:17" s="162" customFormat="1" ht="36" x14ac:dyDescent="0.25">
      <c r="A6736" s="184">
        <v>42928</v>
      </c>
      <c r="B6736" s="184">
        <v>42928</v>
      </c>
      <c r="C6736" s="138">
        <v>2017</v>
      </c>
      <c r="D6736" s="35" t="s">
        <v>28</v>
      </c>
      <c r="E6736" s="6" t="s">
        <v>369</v>
      </c>
      <c r="F6736" s="7" t="s">
        <v>77</v>
      </c>
      <c r="G6736" s="33" t="s">
        <v>681</v>
      </c>
      <c r="H6736" s="33" t="s">
        <v>9503</v>
      </c>
      <c r="I6736" s="157">
        <v>0</v>
      </c>
      <c r="J6736" s="142">
        <v>300</v>
      </c>
      <c r="K6736" s="142">
        <v>0</v>
      </c>
      <c r="L6736" s="142">
        <v>0</v>
      </c>
      <c r="M6736" s="142">
        <v>0</v>
      </c>
      <c r="N6736" s="142">
        <v>0</v>
      </c>
      <c r="O6736" s="142">
        <v>0</v>
      </c>
      <c r="P6736" s="158">
        <v>0</v>
      </c>
      <c r="Q6736" s="35" t="s">
        <v>154</v>
      </c>
    </row>
    <row r="6737" spans="1:17" s="162" customFormat="1" ht="48" x14ac:dyDescent="0.25">
      <c r="A6737" s="184">
        <v>43035</v>
      </c>
      <c r="B6737" s="184">
        <v>43035</v>
      </c>
      <c r="C6737" s="138">
        <v>2017</v>
      </c>
      <c r="D6737" s="35" t="s">
        <v>28</v>
      </c>
      <c r="E6737" s="30" t="s">
        <v>133</v>
      </c>
      <c r="F6737" s="7" t="s">
        <v>53</v>
      </c>
      <c r="G6737" s="33" t="s">
        <v>451</v>
      </c>
      <c r="H6737" s="33" t="s">
        <v>9504</v>
      </c>
      <c r="I6737" s="157">
        <v>1</v>
      </c>
      <c r="J6737" s="142">
        <v>3</v>
      </c>
      <c r="K6737" s="142">
        <v>0</v>
      </c>
      <c r="L6737" s="142">
        <v>0</v>
      </c>
      <c r="M6737" s="142">
        <v>0</v>
      </c>
      <c r="N6737" s="142">
        <v>0</v>
      </c>
      <c r="O6737" s="142">
        <v>0</v>
      </c>
      <c r="P6737" s="158">
        <v>0</v>
      </c>
      <c r="Q6737" s="35" t="s">
        <v>154</v>
      </c>
    </row>
    <row r="6738" spans="1:17" s="162" customFormat="1" ht="108" x14ac:dyDescent="0.25">
      <c r="A6738" s="184">
        <v>42930</v>
      </c>
      <c r="B6738" s="184">
        <v>42930</v>
      </c>
      <c r="C6738" s="138">
        <v>2017</v>
      </c>
      <c r="D6738" s="35" t="s">
        <v>28</v>
      </c>
      <c r="E6738" s="30" t="s">
        <v>125</v>
      </c>
      <c r="F6738" s="7" t="s">
        <v>60</v>
      </c>
      <c r="G6738" s="33" t="s">
        <v>908</v>
      </c>
      <c r="H6738" s="33" t="s">
        <v>9505</v>
      </c>
      <c r="I6738" s="157">
        <v>0</v>
      </c>
      <c r="J6738" s="142">
        <v>2</v>
      </c>
      <c r="K6738" s="142">
        <v>0</v>
      </c>
      <c r="L6738" s="142">
        <v>0</v>
      </c>
      <c r="M6738" s="142">
        <v>0</v>
      </c>
      <c r="N6738" s="142">
        <v>0</v>
      </c>
      <c r="O6738" s="142">
        <v>0</v>
      </c>
      <c r="P6738" s="158">
        <v>0</v>
      </c>
      <c r="Q6738" s="35" t="s">
        <v>154</v>
      </c>
    </row>
    <row r="6739" spans="1:17" s="162" customFormat="1" ht="60" x14ac:dyDescent="0.25">
      <c r="A6739" s="184">
        <v>42930</v>
      </c>
      <c r="B6739" s="184">
        <v>42930</v>
      </c>
      <c r="C6739" s="138">
        <v>2017</v>
      </c>
      <c r="D6739" s="35" t="s">
        <v>28</v>
      </c>
      <c r="E6739" s="6" t="s">
        <v>369</v>
      </c>
      <c r="F6739" s="7" t="s">
        <v>87</v>
      </c>
      <c r="G6739" s="33" t="s">
        <v>2608</v>
      </c>
      <c r="H6739" s="33" t="s">
        <v>9506</v>
      </c>
      <c r="I6739" s="157">
        <v>0</v>
      </c>
      <c r="J6739" s="142">
        <v>2</v>
      </c>
      <c r="K6739" s="142">
        <v>0</v>
      </c>
      <c r="L6739" s="142">
        <v>0</v>
      </c>
      <c r="M6739" s="142">
        <v>0</v>
      </c>
      <c r="N6739" s="142">
        <v>1</v>
      </c>
      <c r="O6739" s="142">
        <v>0</v>
      </c>
      <c r="P6739" s="158">
        <v>0</v>
      </c>
      <c r="Q6739" s="35" t="s">
        <v>154</v>
      </c>
    </row>
    <row r="6740" spans="1:17" s="162" customFormat="1" ht="96" x14ac:dyDescent="0.25">
      <c r="A6740" s="184">
        <v>42930</v>
      </c>
      <c r="B6740" s="184">
        <v>42930</v>
      </c>
      <c r="C6740" s="138">
        <v>2017</v>
      </c>
      <c r="D6740" s="35" t="s">
        <v>28</v>
      </c>
      <c r="E6740" s="6" t="s">
        <v>369</v>
      </c>
      <c r="F6740" s="7" t="s">
        <v>40</v>
      </c>
      <c r="G6740" s="33" t="s">
        <v>3351</v>
      </c>
      <c r="H6740" s="33" t="s">
        <v>9507</v>
      </c>
      <c r="I6740" s="157">
        <v>0</v>
      </c>
      <c r="J6740" s="142">
        <v>2</v>
      </c>
      <c r="K6740" s="142">
        <v>0</v>
      </c>
      <c r="L6740" s="142">
        <v>0</v>
      </c>
      <c r="M6740" s="142">
        <v>0</v>
      </c>
      <c r="N6740" s="142">
        <v>0</v>
      </c>
      <c r="O6740" s="142">
        <v>0</v>
      </c>
      <c r="P6740" s="158">
        <v>0</v>
      </c>
      <c r="Q6740" s="35" t="s">
        <v>154</v>
      </c>
    </row>
    <row r="6741" spans="1:17" s="162" customFormat="1" ht="60" x14ac:dyDescent="0.25">
      <c r="A6741" s="184">
        <v>42930</v>
      </c>
      <c r="B6741" s="184">
        <v>42930</v>
      </c>
      <c r="C6741" s="138">
        <v>2017</v>
      </c>
      <c r="D6741" s="35" t="s">
        <v>28</v>
      </c>
      <c r="E6741" s="30" t="s">
        <v>125</v>
      </c>
      <c r="F6741" s="7" t="s">
        <v>30</v>
      </c>
      <c r="G6741" s="33" t="s">
        <v>901</v>
      </c>
      <c r="H6741" s="33" t="s">
        <v>9508</v>
      </c>
      <c r="I6741" s="157">
        <v>0</v>
      </c>
      <c r="J6741" s="142">
        <v>0</v>
      </c>
      <c r="K6741" s="142">
        <v>0</v>
      </c>
      <c r="L6741" s="142">
        <v>0</v>
      </c>
      <c r="M6741" s="142">
        <v>0</v>
      </c>
      <c r="N6741" s="142">
        <v>0</v>
      </c>
      <c r="O6741" s="142">
        <v>0</v>
      </c>
      <c r="P6741" s="158">
        <v>0</v>
      </c>
      <c r="Q6741" s="35" t="s">
        <v>154</v>
      </c>
    </row>
    <row r="6742" spans="1:17" s="162" customFormat="1" ht="96" x14ac:dyDescent="0.25">
      <c r="A6742" s="184">
        <v>43031</v>
      </c>
      <c r="B6742" s="184">
        <v>43031</v>
      </c>
      <c r="C6742" s="138">
        <v>2017</v>
      </c>
      <c r="D6742" s="35" t="s">
        <v>28</v>
      </c>
      <c r="E6742" s="6" t="s">
        <v>149</v>
      </c>
      <c r="F6742" s="7" t="s">
        <v>53</v>
      </c>
      <c r="G6742" s="33" t="s">
        <v>353</v>
      </c>
      <c r="H6742" s="33" t="s">
        <v>9509</v>
      </c>
      <c r="I6742" s="157">
        <v>0</v>
      </c>
      <c r="J6742" s="142">
        <v>103</v>
      </c>
      <c r="K6742" s="142">
        <v>0</v>
      </c>
      <c r="L6742" s="142">
        <v>0</v>
      </c>
      <c r="M6742" s="142">
        <v>0</v>
      </c>
      <c r="N6742" s="142">
        <v>3</v>
      </c>
      <c r="O6742" s="142">
        <v>0</v>
      </c>
      <c r="P6742" s="158">
        <v>0</v>
      </c>
      <c r="Q6742" s="35" t="s">
        <v>154</v>
      </c>
    </row>
    <row r="6743" spans="1:17" s="162" customFormat="1" ht="96" x14ac:dyDescent="0.25">
      <c r="A6743" s="184">
        <v>42935</v>
      </c>
      <c r="B6743" s="184">
        <v>42935</v>
      </c>
      <c r="C6743" s="138">
        <v>2017</v>
      </c>
      <c r="D6743" s="35" t="s">
        <v>28</v>
      </c>
      <c r="E6743" s="30" t="s">
        <v>125</v>
      </c>
      <c r="F6743" s="7" t="s">
        <v>30</v>
      </c>
      <c r="G6743" s="33" t="s">
        <v>1070</v>
      </c>
      <c r="H6743" s="33" t="s">
        <v>9510</v>
      </c>
      <c r="I6743" s="157">
        <v>0</v>
      </c>
      <c r="J6743" s="142">
        <v>51</v>
      </c>
      <c r="K6743" s="142">
        <v>0</v>
      </c>
      <c r="L6743" s="142">
        <v>0</v>
      </c>
      <c r="M6743" s="142">
        <v>0</v>
      </c>
      <c r="N6743" s="142">
        <v>0</v>
      </c>
      <c r="O6743" s="142">
        <v>0</v>
      </c>
      <c r="P6743" s="158">
        <v>0</v>
      </c>
      <c r="Q6743" s="35" t="s">
        <v>154</v>
      </c>
    </row>
    <row r="6744" spans="1:17" s="162" customFormat="1" ht="48" x14ac:dyDescent="0.25">
      <c r="A6744" s="184">
        <v>43038</v>
      </c>
      <c r="B6744" s="184">
        <v>43038</v>
      </c>
      <c r="C6744" s="138">
        <v>2017</v>
      </c>
      <c r="D6744" s="35" t="s">
        <v>28</v>
      </c>
      <c r="E6744" s="30" t="s">
        <v>133</v>
      </c>
      <c r="F6744" s="7" t="s">
        <v>53</v>
      </c>
      <c r="G6744" s="33" t="s">
        <v>451</v>
      </c>
      <c r="H6744" s="33" t="s">
        <v>9511</v>
      </c>
      <c r="I6744" s="157">
        <v>1</v>
      </c>
      <c r="J6744" s="142">
        <v>1</v>
      </c>
      <c r="K6744" s="142">
        <v>0</v>
      </c>
      <c r="L6744" s="142">
        <v>0</v>
      </c>
      <c r="M6744" s="142">
        <v>0</v>
      </c>
      <c r="N6744" s="142">
        <v>0</v>
      </c>
      <c r="O6744" s="142">
        <v>0</v>
      </c>
      <c r="P6744" s="158">
        <v>0</v>
      </c>
      <c r="Q6744" s="35" t="s">
        <v>154</v>
      </c>
    </row>
    <row r="6745" spans="1:17" s="162" customFormat="1" ht="96" x14ac:dyDescent="0.25">
      <c r="A6745" s="184">
        <v>42937</v>
      </c>
      <c r="B6745" s="184">
        <v>42937</v>
      </c>
      <c r="C6745" s="138">
        <v>2017</v>
      </c>
      <c r="D6745" s="35" t="s">
        <v>28</v>
      </c>
      <c r="E6745" s="6" t="s">
        <v>369</v>
      </c>
      <c r="F6745" s="28" t="s">
        <v>160</v>
      </c>
      <c r="G6745" s="33" t="s">
        <v>9512</v>
      </c>
      <c r="H6745" s="33" t="s">
        <v>9513</v>
      </c>
      <c r="I6745" s="157">
        <v>0</v>
      </c>
      <c r="J6745" s="142">
        <v>3</v>
      </c>
      <c r="K6745" s="142">
        <v>0</v>
      </c>
      <c r="L6745" s="142">
        <v>0</v>
      </c>
      <c r="M6745" s="142">
        <v>0</v>
      </c>
      <c r="N6745" s="142">
        <v>0</v>
      </c>
      <c r="O6745" s="142">
        <v>0</v>
      </c>
      <c r="P6745" s="158">
        <v>0</v>
      </c>
      <c r="Q6745" s="35" t="s">
        <v>154</v>
      </c>
    </row>
    <row r="6746" spans="1:17" s="162" customFormat="1" ht="72" x14ac:dyDescent="0.25">
      <c r="A6746" s="184">
        <v>42822</v>
      </c>
      <c r="B6746" s="184">
        <v>42822</v>
      </c>
      <c r="C6746" s="138">
        <v>2017</v>
      </c>
      <c r="D6746" s="35" t="s">
        <v>28</v>
      </c>
      <c r="E6746" s="6" t="s">
        <v>149</v>
      </c>
      <c r="F6746" s="7" t="s">
        <v>62</v>
      </c>
      <c r="G6746" s="33" t="s">
        <v>165</v>
      </c>
      <c r="H6746" s="33" t="s">
        <v>9514</v>
      </c>
      <c r="I6746" s="157">
        <v>0</v>
      </c>
      <c r="J6746" s="142">
        <v>2</v>
      </c>
      <c r="K6746" s="142">
        <v>0</v>
      </c>
      <c r="L6746" s="142">
        <v>0</v>
      </c>
      <c r="M6746" s="142">
        <v>0</v>
      </c>
      <c r="N6746" s="142">
        <v>2</v>
      </c>
      <c r="O6746" s="142">
        <v>0</v>
      </c>
      <c r="P6746" s="158">
        <v>0</v>
      </c>
      <c r="Q6746" s="35" t="s">
        <v>154</v>
      </c>
    </row>
    <row r="6747" spans="1:17" s="162" customFormat="1" ht="84" x14ac:dyDescent="0.25">
      <c r="A6747" s="184">
        <v>43088</v>
      </c>
      <c r="B6747" s="184">
        <v>43088</v>
      </c>
      <c r="C6747" s="138">
        <v>2017</v>
      </c>
      <c r="D6747" s="35" t="s">
        <v>28</v>
      </c>
      <c r="E6747" s="30" t="s">
        <v>133</v>
      </c>
      <c r="F6747" s="7" t="s">
        <v>53</v>
      </c>
      <c r="G6747" s="33" t="s">
        <v>451</v>
      </c>
      <c r="H6747" s="33" t="s">
        <v>9515</v>
      </c>
      <c r="I6747" s="157">
        <v>1</v>
      </c>
      <c r="J6747" s="142">
        <v>1</v>
      </c>
      <c r="K6747" s="142">
        <v>0</v>
      </c>
      <c r="L6747" s="142">
        <v>0</v>
      </c>
      <c r="M6747" s="142">
        <v>0</v>
      </c>
      <c r="N6747" s="142">
        <v>0</v>
      </c>
      <c r="O6747" s="142">
        <v>0</v>
      </c>
      <c r="P6747" s="158">
        <v>0</v>
      </c>
      <c r="Q6747" s="35" t="s">
        <v>154</v>
      </c>
    </row>
    <row r="6748" spans="1:17" s="162" customFormat="1" ht="60" x14ac:dyDescent="0.25">
      <c r="A6748" s="184">
        <v>42825</v>
      </c>
      <c r="B6748" s="184">
        <v>42825</v>
      </c>
      <c r="C6748" s="138">
        <v>2017</v>
      </c>
      <c r="D6748" s="35" t="s">
        <v>28</v>
      </c>
      <c r="E6748" s="6" t="s">
        <v>149</v>
      </c>
      <c r="F6748" s="7" t="s">
        <v>68</v>
      </c>
      <c r="G6748" s="33" t="s">
        <v>497</v>
      </c>
      <c r="H6748" s="33" t="s">
        <v>9516</v>
      </c>
      <c r="I6748" s="157">
        <v>1</v>
      </c>
      <c r="J6748" s="142">
        <v>1</v>
      </c>
      <c r="K6748" s="142">
        <v>0</v>
      </c>
      <c r="L6748" s="142">
        <v>0</v>
      </c>
      <c r="M6748" s="142">
        <v>0</v>
      </c>
      <c r="N6748" s="142">
        <v>0</v>
      </c>
      <c r="O6748" s="142">
        <v>0</v>
      </c>
      <c r="P6748" s="158">
        <v>0</v>
      </c>
      <c r="Q6748" s="35" t="s">
        <v>154</v>
      </c>
    </row>
    <row r="6749" spans="1:17" s="162" customFormat="1" ht="60" x14ac:dyDescent="0.25">
      <c r="A6749" s="184">
        <v>42752</v>
      </c>
      <c r="B6749" s="184">
        <v>42752</v>
      </c>
      <c r="C6749" s="138">
        <v>2017</v>
      </c>
      <c r="D6749" s="35" t="s">
        <v>28</v>
      </c>
      <c r="E6749" s="6" t="s">
        <v>149</v>
      </c>
      <c r="F6749" s="7" t="s">
        <v>75</v>
      </c>
      <c r="G6749" s="33" t="s">
        <v>5902</v>
      </c>
      <c r="H6749" s="33" t="s">
        <v>9517</v>
      </c>
      <c r="I6749" s="157">
        <v>0</v>
      </c>
      <c r="J6749" s="142">
        <v>0</v>
      </c>
      <c r="K6749" s="142">
        <v>0</v>
      </c>
      <c r="L6749" s="142">
        <v>0</v>
      </c>
      <c r="M6749" s="142">
        <v>0</v>
      </c>
      <c r="N6749" s="142">
        <v>0</v>
      </c>
      <c r="O6749" s="142">
        <v>0</v>
      </c>
      <c r="P6749" s="158">
        <v>0</v>
      </c>
      <c r="Q6749" s="35" t="s">
        <v>154</v>
      </c>
    </row>
    <row r="6750" spans="1:17" s="162" customFormat="1" ht="72" x14ac:dyDescent="0.25">
      <c r="A6750" s="184">
        <v>42970</v>
      </c>
      <c r="B6750" s="184">
        <v>42970</v>
      </c>
      <c r="C6750" s="138">
        <v>2017</v>
      </c>
      <c r="D6750" s="35" t="s">
        <v>28</v>
      </c>
      <c r="E6750" s="30" t="s">
        <v>125</v>
      </c>
      <c r="F6750" s="7" t="s">
        <v>87</v>
      </c>
      <c r="G6750" s="33" t="s">
        <v>4751</v>
      </c>
      <c r="H6750" s="33" t="s">
        <v>9518</v>
      </c>
      <c r="I6750" s="157">
        <v>0</v>
      </c>
      <c r="J6750" s="142">
        <v>200</v>
      </c>
      <c r="K6750" s="142">
        <v>0</v>
      </c>
      <c r="L6750" s="142">
        <v>0</v>
      </c>
      <c r="M6750" s="142">
        <v>0</v>
      </c>
      <c r="N6750" s="142">
        <v>0</v>
      </c>
      <c r="O6750" s="142">
        <v>0</v>
      </c>
      <c r="P6750" s="158">
        <v>0</v>
      </c>
      <c r="Q6750" s="35" t="s">
        <v>154</v>
      </c>
    </row>
    <row r="6751" spans="1:17" s="162" customFormat="1" ht="96" x14ac:dyDescent="0.25">
      <c r="A6751" s="184">
        <v>42818</v>
      </c>
      <c r="B6751" s="184">
        <v>42818</v>
      </c>
      <c r="C6751" s="138">
        <v>2017</v>
      </c>
      <c r="D6751" s="35" t="s">
        <v>28</v>
      </c>
      <c r="E6751" s="6" t="s">
        <v>149</v>
      </c>
      <c r="F6751" s="7" t="s">
        <v>75</v>
      </c>
      <c r="G6751" s="33" t="s">
        <v>8788</v>
      </c>
      <c r="H6751" s="33" t="s">
        <v>9519</v>
      </c>
      <c r="I6751" s="157">
        <v>0</v>
      </c>
      <c r="J6751" s="142">
        <v>10</v>
      </c>
      <c r="K6751" s="142">
        <v>0</v>
      </c>
      <c r="L6751" s="142">
        <v>0</v>
      </c>
      <c r="M6751" s="142">
        <v>0</v>
      </c>
      <c r="N6751" s="142">
        <v>0</v>
      </c>
      <c r="O6751" s="142">
        <v>0</v>
      </c>
      <c r="P6751" s="158">
        <v>0</v>
      </c>
      <c r="Q6751" s="35" t="s">
        <v>154</v>
      </c>
    </row>
    <row r="6752" spans="1:17" s="162" customFormat="1" ht="72" x14ac:dyDescent="0.25">
      <c r="A6752" s="184">
        <v>42949</v>
      </c>
      <c r="B6752" s="184">
        <v>42949</v>
      </c>
      <c r="C6752" s="138">
        <v>2017</v>
      </c>
      <c r="D6752" s="35" t="s">
        <v>28</v>
      </c>
      <c r="E6752" s="30" t="s">
        <v>133</v>
      </c>
      <c r="F6752" s="7" t="s">
        <v>53</v>
      </c>
      <c r="G6752" s="33" t="s">
        <v>353</v>
      </c>
      <c r="H6752" s="33" t="s">
        <v>9520</v>
      </c>
      <c r="I6752" s="157">
        <v>0</v>
      </c>
      <c r="J6752" s="142">
        <v>2</v>
      </c>
      <c r="K6752" s="142">
        <v>1</v>
      </c>
      <c r="L6752" s="142">
        <v>0</v>
      </c>
      <c r="M6752" s="142">
        <v>0</v>
      </c>
      <c r="N6752" s="142">
        <v>0</v>
      </c>
      <c r="O6752" s="142">
        <v>0</v>
      </c>
      <c r="P6752" s="158">
        <v>0</v>
      </c>
      <c r="Q6752" s="35" t="s">
        <v>154</v>
      </c>
    </row>
    <row r="6753" spans="1:17" s="162" customFormat="1" ht="48" x14ac:dyDescent="0.25">
      <c r="A6753" s="184">
        <v>43100</v>
      </c>
      <c r="B6753" s="184">
        <v>43100</v>
      </c>
      <c r="C6753" s="138">
        <v>2017</v>
      </c>
      <c r="D6753" s="35" t="s">
        <v>28</v>
      </c>
      <c r="E6753" s="14" t="s">
        <v>29</v>
      </c>
      <c r="F6753" s="7" t="s">
        <v>62</v>
      </c>
      <c r="G6753" s="33" t="s">
        <v>2109</v>
      </c>
      <c r="H6753" s="33" t="s">
        <v>9521</v>
      </c>
      <c r="I6753" s="157">
        <v>0</v>
      </c>
      <c r="J6753" s="142">
        <v>0</v>
      </c>
      <c r="K6753" s="142">
        <v>0</v>
      </c>
      <c r="L6753" s="142">
        <v>0</v>
      </c>
      <c r="M6753" s="142">
        <v>0</v>
      </c>
      <c r="N6753" s="142">
        <v>0</v>
      </c>
      <c r="O6753" s="142">
        <v>14490.16</v>
      </c>
      <c r="P6753" s="158">
        <v>14.490159999999999</v>
      </c>
      <c r="Q6753" s="35" t="s">
        <v>2387</v>
      </c>
    </row>
    <row r="6754" spans="1:17" s="162" customFormat="1" ht="84" x14ac:dyDescent="0.25">
      <c r="A6754" s="184">
        <v>43022</v>
      </c>
      <c r="B6754" s="184">
        <v>43022</v>
      </c>
      <c r="C6754" s="138">
        <v>2017</v>
      </c>
      <c r="D6754" s="35" t="s">
        <v>28</v>
      </c>
      <c r="E6754" s="6" t="s">
        <v>369</v>
      </c>
      <c r="F6754" s="25" t="s">
        <v>781</v>
      </c>
      <c r="G6754" s="33" t="s">
        <v>1580</v>
      </c>
      <c r="H6754" s="33" t="s">
        <v>9522</v>
      </c>
      <c r="I6754" s="157">
        <v>0</v>
      </c>
      <c r="J6754" s="142">
        <v>1294</v>
      </c>
      <c r="K6754" s="142">
        <v>0</v>
      </c>
      <c r="L6754" s="142">
        <v>0</v>
      </c>
      <c r="M6754" s="142">
        <v>0</v>
      </c>
      <c r="N6754" s="142">
        <v>0</v>
      </c>
      <c r="O6754" s="142">
        <v>0</v>
      </c>
      <c r="P6754" s="158">
        <v>0</v>
      </c>
      <c r="Q6754" s="35" t="s">
        <v>9523</v>
      </c>
    </row>
    <row r="6755" spans="1:17" s="162" customFormat="1" ht="60" x14ac:dyDescent="0.25">
      <c r="A6755" s="184">
        <v>43025</v>
      </c>
      <c r="B6755" s="184">
        <v>43025</v>
      </c>
      <c r="C6755" s="138">
        <v>2017</v>
      </c>
      <c r="D6755" s="35" t="s">
        <v>28</v>
      </c>
      <c r="E6755" s="30" t="s">
        <v>125</v>
      </c>
      <c r="F6755" s="7" t="s">
        <v>47</v>
      </c>
      <c r="G6755" s="33" t="s">
        <v>47</v>
      </c>
      <c r="H6755" s="33" t="s">
        <v>9524</v>
      </c>
      <c r="I6755" s="157">
        <v>0</v>
      </c>
      <c r="J6755" s="142">
        <v>500</v>
      </c>
      <c r="K6755" s="142">
        <v>0</v>
      </c>
      <c r="L6755" s="142">
        <v>0</v>
      </c>
      <c r="M6755" s="142">
        <v>0</v>
      </c>
      <c r="N6755" s="142">
        <v>1</v>
      </c>
      <c r="O6755" s="142">
        <v>0</v>
      </c>
      <c r="P6755" s="158">
        <v>0</v>
      </c>
      <c r="Q6755" s="35" t="s">
        <v>9523</v>
      </c>
    </row>
    <row r="6756" spans="1:17" s="162" customFormat="1" ht="36" x14ac:dyDescent="0.25">
      <c r="A6756" s="184">
        <v>42828</v>
      </c>
      <c r="B6756" s="184">
        <v>42828</v>
      </c>
      <c r="C6756" s="138">
        <v>2017</v>
      </c>
      <c r="D6756" s="35" t="s">
        <v>28</v>
      </c>
      <c r="E6756" s="6" t="s">
        <v>149</v>
      </c>
      <c r="F6756" s="7" t="s">
        <v>75</v>
      </c>
      <c r="G6756" s="33" t="s">
        <v>5046</v>
      </c>
      <c r="H6756" s="33" t="s">
        <v>9525</v>
      </c>
      <c r="I6756" s="157">
        <v>1</v>
      </c>
      <c r="J6756" s="142">
        <v>61</v>
      </c>
      <c r="K6756" s="142">
        <v>5</v>
      </c>
      <c r="L6756" s="142">
        <v>0</v>
      </c>
      <c r="M6756" s="142">
        <v>0</v>
      </c>
      <c r="N6756" s="142">
        <v>0</v>
      </c>
      <c r="O6756" s="142">
        <v>0</v>
      </c>
      <c r="P6756" s="158">
        <v>0</v>
      </c>
      <c r="Q6756" s="35" t="s">
        <v>9523</v>
      </c>
    </row>
    <row r="6757" spans="1:17" s="162" customFormat="1" ht="84" x14ac:dyDescent="0.25">
      <c r="A6757" s="184">
        <v>43040</v>
      </c>
      <c r="B6757" s="184">
        <v>43040</v>
      </c>
      <c r="C6757" s="138">
        <v>2017</v>
      </c>
      <c r="D6757" s="35" t="s">
        <v>28</v>
      </c>
      <c r="E6757" s="6" t="s">
        <v>149</v>
      </c>
      <c r="F6757" s="7" t="s">
        <v>77</v>
      </c>
      <c r="G6757" s="33" t="s">
        <v>77</v>
      </c>
      <c r="H6757" s="33" t="s">
        <v>9526</v>
      </c>
      <c r="I6757" s="157">
        <v>0</v>
      </c>
      <c r="J6757" s="142">
        <v>101</v>
      </c>
      <c r="K6757" s="142">
        <v>0</v>
      </c>
      <c r="L6757" s="142">
        <v>0</v>
      </c>
      <c r="M6757" s="142">
        <v>0</v>
      </c>
      <c r="N6757" s="142">
        <v>0</v>
      </c>
      <c r="O6757" s="142">
        <v>0</v>
      </c>
      <c r="P6757" s="158">
        <v>0</v>
      </c>
      <c r="Q6757" s="35" t="s">
        <v>9523</v>
      </c>
    </row>
    <row r="6758" spans="1:17" s="162" customFormat="1" ht="72" x14ac:dyDescent="0.25">
      <c r="A6758" s="184">
        <v>42908</v>
      </c>
      <c r="B6758" s="184">
        <v>42908</v>
      </c>
      <c r="C6758" s="138">
        <v>2017</v>
      </c>
      <c r="D6758" s="35" t="s">
        <v>28</v>
      </c>
      <c r="E6758" s="6" t="s">
        <v>149</v>
      </c>
      <c r="F6758" s="7" t="s">
        <v>91</v>
      </c>
      <c r="G6758" s="33" t="s">
        <v>9527</v>
      </c>
      <c r="H6758" s="33" t="s">
        <v>9528</v>
      </c>
      <c r="I6758" s="157">
        <v>0</v>
      </c>
      <c r="J6758" s="142">
        <v>48</v>
      </c>
      <c r="K6758" s="142">
        <v>12</v>
      </c>
      <c r="L6758" s="142">
        <v>0</v>
      </c>
      <c r="M6758" s="142">
        <v>0</v>
      </c>
      <c r="N6758" s="142">
        <v>0</v>
      </c>
      <c r="O6758" s="142">
        <v>0</v>
      </c>
      <c r="P6758" s="158">
        <v>0</v>
      </c>
      <c r="Q6758" s="35" t="s">
        <v>9523</v>
      </c>
    </row>
    <row r="6759" spans="1:17" s="162" customFormat="1" ht="84" x14ac:dyDescent="0.25">
      <c r="A6759" s="184">
        <v>43035</v>
      </c>
      <c r="B6759" s="184">
        <v>43035</v>
      </c>
      <c r="C6759" s="138">
        <v>2017</v>
      </c>
      <c r="D6759" s="35" t="s">
        <v>28</v>
      </c>
      <c r="E6759" s="30" t="s">
        <v>125</v>
      </c>
      <c r="F6759" s="7" t="s">
        <v>40</v>
      </c>
      <c r="G6759" s="33" t="s">
        <v>4134</v>
      </c>
      <c r="H6759" s="33" t="s">
        <v>9529</v>
      </c>
      <c r="I6759" s="157">
        <v>0</v>
      </c>
      <c r="J6759" s="142">
        <v>1805</v>
      </c>
      <c r="K6759" s="142">
        <v>0</v>
      </c>
      <c r="L6759" s="142">
        <v>0</v>
      </c>
      <c r="M6759" s="142">
        <v>0</v>
      </c>
      <c r="N6759" s="142">
        <v>1</v>
      </c>
      <c r="O6759" s="142">
        <v>0</v>
      </c>
      <c r="P6759" s="158">
        <v>0</v>
      </c>
      <c r="Q6759" s="35" t="s">
        <v>9523</v>
      </c>
    </row>
    <row r="6760" spans="1:17" s="162" customFormat="1" ht="60" x14ac:dyDescent="0.25">
      <c r="A6760" s="184">
        <v>42877</v>
      </c>
      <c r="B6760" s="184">
        <v>42877</v>
      </c>
      <c r="C6760" s="138">
        <v>2017</v>
      </c>
      <c r="D6760" s="35" t="s">
        <v>28</v>
      </c>
      <c r="E6760" s="30" t="s">
        <v>133</v>
      </c>
      <c r="F6760" s="7" t="s">
        <v>53</v>
      </c>
      <c r="G6760" s="33" t="s">
        <v>1119</v>
      </c>
      <c r="H6760" s="33" t="s">
        <v>9530</v>
      </c>
      <c r="I6760" s="157">
        <v>2</v>
      </c>
      <c r="J6760" s="142">
        <v>6</v>
      </c>
      <c r="K6760" s="142">
        <v>0</v>
      </c>
      <c r="L6760" s="142">
        <v>0</v>
      </c>
      <c r="M6760" s="142">
        <v>0</v>
      </c>
      <c r="N6760" s="142">
        <v>0</v>
      </c>
      <c r="O6760" s="142">
        <v>0</v>
      </c>
      <c r="P6760" s="158">
        <v>0</v>
      </c>
      <c r="Q6760" s="35" t="s">
        <v>9523</v>
      </c>
    </row>
    <row r="6761" spans="1:17" s="162" customFormat="1" ht="84" x14ac:dyDescent="0.25">
      <c r="A6761" s="184">
        <v>42970</v>
      </c>
      <c r="B6761" s="184">
        <v>42970</v>
      </c>
      <c r="C6761" s="138">
        <v>2017</v>
      </c>
      <c r="D6761" s="35" t="s">
        <v>28</v>
      </c>
      <c r="E6761" s="30" t="s">
        <v>133</v>
      </c>
      <c r="F6761" s="7" t="s">
        <v>62</v>
      </c>
      <c r="G6761" s="33" t="s">
        <v>622</v>
      </c>
      <c r="H6761" s="33" t="s">
        <v>9531</v>
      </c>
      <c r="I6761" s="157">
        <v>1</v>
      </c>
      <c r="J6761" s="142">
        <v>41</v>
      </c>
      <c r="K6761" s="142">
        <v>8</v>
      </c>
      <c r="L6761" s="142">
        <v>0</v>
      </c>
      <c r="M6761" s="142">
        <v>0</v>
      </c>
      <c r="N6761" s="142">
        <v>1</v>
      </c>
      <c r="O6761" s="142">
        <v>0</v>
      </c>
      <c r="P6761" s="158">
        <v>0</v>
      </c>
      <c r="Q6761" s="35" t="s">
        <v>9523</v>
      </c>
    </row>
    <row r="6762" spans="1:17" s="162" customFormat="1" ht="96" x14ac:dyDescent="0.25">
      <c r="A6762" s="184">
        <v>43039</v>
      </c>
      <c r="B6762" s="184">
        <v>43039</v>
      </c>
      <c r="C6762" s="138">
        <v>2017</v>
      </c>
      <c r="D6762" s="35" t="s">
        <v>28</v>
      </c>
      <c r="E6762" s="30" t="s">
        <v>125</v>
      </c>
      <c r="F6762" s="7" t="s">
        <v>53</v>
      </c>
      <c r="G6762" s="33" t="s">
        <v>1119</v>
      </c>
      <c r="H6762" s="33" t="s">
        <v>9532</v>
      </c>
      <c r="I6762" s="157">
        <v>0</v>
      </c>
      <c r="J6762" s="142">
        <v>600</v>
      </c>
      <c r="K6762" s="142">
        <v>0</v>
      </c>
      <c r="L6762" s="142">
        <v>0</v>
      </c>
      <c r="M6762" s="142">
        <v>0</v>
      </c>
      <c r="N6762" s="142">
        <v>0</v>
      </c>
      <c r="O6762" s="142">
        <v>0</v>
      </c>
      <c r="P6762" s="158">
        <v>0</v>
      </c>
      <c r="Q6762" s="35" t="s">
        <v>9523</v>
      </c>
    </row>
    <row r="6763" spans="1:17" s="162" customFormat="1" ht="84" x14ac:dyDescent="0.25">
      <c r="A6763" s="184">
        <v>42747</v>
      </c>
      <c r="B6763" s="184">
        <v>42747</v>
      </c>
      <c r="C6763" s="138">
        <v>2017</v>
      </c>
      <c r="D6763" s="35" t="s">
        <v>28</v>
      </c>
      <c r="E6763" s="6" t="s">
        <v>149</v>
      </c>
      <c r="F6763" s="28" t="s">
        <v>210</v>
      </c>
      <c r="G6763" s="33" t="s">
        <v>2317</v>
      </c>
      <c r="H6763" s="33" t="s">
        <v>9533</v>
      </c>
      <c r="I6763" s="157">
        <v>0</v>
      </c>
      <c r="J6763" s="142">
        <v>0</v>
      </c>
      <c r="K6763" s="142">
        <v>0</v>
      </c>
      <c r="L6763" s="142">
        <v>0</v>
      </c>
      <c r="M6763" s="142">
        <v>0</v>
      </c>
      <c r="N6763" s="142">
        <v>0</v>
      </c>
      <c r="O6763" s="142">
        <v>0</v>
      </c>
      <c r="P6763" s="158">
        <v>0</v>
      </c>
      <c r="Q6763" s="35" t="s">
        <v>9523</v>
      </c>
    </row>
    <row r="6764" spans="1:17" s="162" customFormat="1" ht="72" x14ac:dyDescent="0.25">
      <c r="A6764" s="184">
        <v>43042</v>
      </c>
      <c r="B6764" s="184">
        <v>43042</v>
      </c>
      <c r="C6764" s="138">
        <v>2017</v>
      </c>
      <c r="D6764" s="35" t="s">
        <v>28</v>
      </c>
      <c r="E6764" s="30" t="s">
        <v>125</v>
      </c>
      <c r="F6764" s="7" t="s">
        <v>30</v>
      </c>
      <c r="G6764" s="33" t="s">
        <v>901</v>
      </c>
      <c r="H6764" s="33" t="s">
        <v>9534</v>
      </c>
      <c r="I6764" s="157">
        <v>0</v>
      </c>
      <c r="J6764" s="142">
        <v>3000</v>
      </c>
      <c r="K6764" s="142">
        <v>0</v>
      </c>
      <c r="L6764" s="142">
        <v>0</v>
      </c>
      <c r="M6764" s="142">
        <v>0</v>
      </c>
      <c r="N6764" s="142">
        <v>0</v>
      </c>
      <c r="O6764" s="142">
        <v>0</v>
      </c>
      <c r="P6764" s="158">
        <v>0</v>
      </c>
      <c r="Q6764" s="35" t="s">
        <v>9523</v>
      </c>
    </row>
    <row r="6765" spans="1:17" s="162" customFormat="1" ht="60" x14ac:dyDescent="0.25">
      <c r="A6765" s="184">
        <v>42789</v>
      </c>
      <c r="B6765" s="184">
        <v>42789</v>
      </c>
      <c r="C6765" s="138">
        <v>2017</v>
      </c>
      <c r="D6765" s="35" t="s">
        <v>28</v>
      </c>
      <c r="E6765" s="30" t="s">
        <v>133</v>
      </c>
      <c r="F6765" s="7" t="s">
        <v>68</v>
      </c>
      <c r="G6765" s="33" t="s">
        <v>752</v>
      </c>
      <c r="H6765" s="33" t="s">
        <v>9535</v>
      </c>
      <c r="I6765" s="157">
        <v>0</v>
      </c>
      <c r="J6765" s="142">
        <v>17</v>
      </c>
      <c r="K6765" s="142">
        <v>0</v>
      </c>
      <c r="L6765" s="142">
        <v>0</v>
      </c>
      <c r="M6765" s="142">
        <v>0</v>
      </c>
      <c r="N6765" s="142">
        <v>0</v>
      </c>
      <c r="O6765" s="142">
        <v>0</v>
      </c>
      <c r="P6765" s="158">
        <v>0</v>
      </c>
      <c r="Q6765" s="35" t="s">
        <v>9523</v>
      </c>
    </row>
    <row r="6766" spans="1:17" s="162" customFormat="1" ht="72" x14ac:dyDescent="0.25">
      <c r="A6766" s="184">
        <v>43046</v>
      </c>
      <c r="B6766" s="184">
        <v>43046</v>
      </c>
      <c r="C6766" s="138">
        <v>2017</v>
      </c>
      <c r="D6766" s="35" t="s">
        <v>28</v>
      </c>
      <c r="E6766" s="30" t="s">
        <v>125</v>
      </c>
      <c r="F6766" s="7" t="s">
        <v>68</v>
      </c>
      <c r="G6766" s="33" t="s">
        <v>1121</v>
      </c>
      <c r="H6766" s="33" t="s">
        <v>9536</v>
      </c>
      <c r="I6766" s="157">
        <v>0</v>
      </c>
      <c r="J6766" s="142">
        <v>300</v>
      </c>
      <c r="K6766" s="142">
        <v>0</v>
      </c>
      <c r="L6766" s="142">
        <v>0</v>
      </c>
      <c r="M6766" s="142">
        <v>0</v>
      </c>
      <c r="N6766" s="142">
        <v>0</v>
      </c>
      <c r="O6766" s="142">
        <v>0</v>
      </c>
      <c r="P6766" s="158">
        <v>0</v>
      </c>
      <c r="Q6766" s="35" t="s">
        <v>9523</v>
      </c>
    </row>
    <row r="6767" spans="1:17" s="162" customFormat="1" ht="60" x14ac:dyDescent="0.25">
      <c r="A6767" s="184">
        <v>42808</v>
      </c>
      <c r="B6767" s="184">
        <v>42808</v>
      </c>
      <c r="C6767" s="138">
        <v>2017</v>
      </c>
      <c r="D6767" s="35" t="s">
        <v>28</v>
      </c>
      <c r="E6767" s="30" t="s">
        <v>133</v>
      </c>
      <c r="F6767" s="7" t="s">
        <v>72</v>
      </c>
      <c r="G6767" s="33" t="s">
        <v>9537</v>
      </c>
      <c r="H6767" s="33" t="s">
        <v>9538</v>
      </c>
      <c r="I6767" s="157">
        <v>0</v>
      </c>
      <c r="J6767" s="142">
        <v>5</v>
      </c>
      <c r="K6767" s="142">
        <v>0</v>
      </c>
      <c r="L6767" s="142">
        <v>0</v>
      </c>
      <c r="M6767" s="142">
        <v>0</v>
      </c>
      <c r="N6767" s="142">
        <v>0</v>
      </c>
      <c r="O6767" s="142">
        <v>0</v>
      </c>
      <c r="P6767" s="158">
        <v>0</v>
      </c>
      <c r="Q6767" s="35" t="s">
        <v>9523</v>
      </c>
    </row>
    <row r="6768" spans="1:17" s="162" customFormat="1" ht="120" x14ac:dyDescent="0.25">
      <c r="A6768" s="184">
        <v>42900</v>
      </c>
      <c r="B6768" s="184">
        <v>42900</v>
      </c>
      <c r="C6768" s="138">
        <v>2017</v>
      </c>
      <c r="D6768" s="35" t="s">
        <v>28</v>
      </c>
      <c r="E6768" s="30" t="s">
        <v>133</v>
      </c>
      <c r="F6768" s="7" t="s">
        <v>72</v>
      </c>
      <c r="G6768" s="33" t="s">
        <v>3749</v>
      </c>
      <c r="H6768" s="33" t="s">
        <v>9539</v>
      </c>
      <c r="I6768" s="157">
        <v>1</v>
      </c>
      <c r="J6768" s="142">
        <v>559</v>
      </c>
      <c r="K6768" s="142">
        <v>0</v>
      </c>
      <c r="L6768" s="142">
        <v>0</v>
      </c>
      <c r="M6768" s="142">
        <v>0</v>
      </c>
      <c r="N6768" s="142">
        <v>0</v>
      </c>
      <c r="O6768" s="142">
        <v>0</v>
      </c>
      <c r="P6768" s="158">
        <v>0</v>
      </c>
      <c r="Q6768" s="35" t="s">
        <v>9523</v>
      </c>
    </row>
    <row r="6769" spans="1:17" s="162" customFormat="1" ht="84" x14ac:dyDescent="0.25">
      <c r="A6769" s="184">
        <v>43054</v>
      </c>
      <c r="B6769" s="184">
        <v>43054</v>
      </c>
      <c r="C6769" s="138">
        <v>2017</v>
      </c>
      <c r="D6769" s="35" t="s">
        <v>28</v>
      </c>
      <c r="E6769" s="30" t="s">
        <v>125</v>
      </c>
      <c r="F6769" s="7" t="s">
        <v>91</v>
      </c>
      <c r="G6769" s="33" t="s">
        <v>2321</v>
      </c>
      <c r="H6769" s="33" t="s">
        <v>9540</v>
      </c>
      <c r="I6769" s="157">
        <v>0</v>
      </c>
      <c r="J6769" s="142">
        <v>400</v>
      </c>
      <c r="K6769" s="142">
        <v>0</v>
      </c>
      <c r="L6769" s="142">
        <v>0</v>
      </c>
      <c r="M6769" s="142">
        <v>0</v>
      </c>
      <c r="N6769" s="142">
        <v>0</v>
      </c>
      <c r="O6769" s="142">
        <v>0</v>
      </c>
      <c r="P6769" s="158">
        <v>0</v>
      </c>
      <c r="Q6769" s="35" t="s">
        <v>9523</v>
      </c>
    </row>
    <row r="6770" spans="1:17" s="162" customFormat="1" ht="96" x14ac:dyDescent="0.25">
      <c r="A6770" s="184">
        <v>43055</v>
      </c>
      <c r="B6770" s="184">
        <v>43055</v>
      </c>
      <c r="C6770" s="138">
        <v>2017</v>
      </c>
      <c r="D6770" s="35" t="s">
        <v>28</v>
      </c>
      <c r="E6770" s="30" t="s">
        <v>125</v>
      </c>
      <c r="F6770" s="7" t="s">
        <v>60</v>
      </c>
      <c r="G6770" s="33" t="s">
        <v>908</v>
      </c>
      <c r="H6770" s="33" t="s">
        <v>9541</v>
      </c>
      <c r="I6770" s="157">
        <v>0</v>
      </c>
      <c r="J6770" s="142">
        <v>403</v>
      </c>
      <c r="K6770" s="142">
        <v>0</v>
      </c>
      <c r="L6770" s="142">
        <v>0</v>
      </c>
      <c r="M6770" s="142">
        <v>1</v>
      </c>
      <c r="N6770" s="142">
        <v>0</v>
      </c>
      <c r="O6770" s="142">
        <v>0</v>
      </c>
      <c r="P6770" s="158">
        <v>0</v>
      </c>
      <c r="Q6770" s="35" t="s">
        <v>9523</v>
      </c>
    </row>
    <row r="6771" spans="1:17" s="162" customFormat="1" ht="60" x14ac:dyDescent="0.25">
      <c r="A6771" s="184">
        <v>43048</v>
      </c>
      <c r="B6771" s="184">
        <v>43048</v>
      </c>
      <c r="C6771" s="138">
        <v>2017</v>
      </c>
      <c r="D6771" s="35" t="s">
        <v>28</v>
      </c>
      <c r="E6771" s="30" t="s">
        <v>133</v>
      </c>
      <c r="F6771" s="7" t="s">
        <v>72</v>
      </c>
      <c r="G6771" s="33" t="s">
        <v>9542</v>
      </c>
      <c r="H6771" s="33" t="s">
        <v>9543</v>
      </c>
      <c r="I6771" s="157">
        <v>0</v>
      </c>
      <c r="J6771" s="142">
        <v>3</v>
      </c>
      <c r="K6771" s="142">
        <v>0</v>
      </c>
      <c r="L6771" s="142">
        <v>0</v>
      </c>
      <c r="M6771" s="142">
        <v>0</v>
      </c>
      <c r="N6771" s="142">
        <v>0</v>
      </c>
      <c r="O6771" s="142">
        <v>0</v>
      </c>
      <c r="P6771" s="158">
        <v>0</v>
      </c>
      <c r="Q6771" s="35" t="s">
        <v>9523</v>
      </c>
    </row>
    <row r="6772" spans="1:17" s="162" customFormat="1" ht="60" x14ac:dyDescent="0.25">
      <c r="A6772" s="184">
        <v>43049</v>
      </c>
      <c r="B6772" s="184">
        <v>43049</v>
      </c>
      <c r="C6772" s="138">
        <v>2017</v>
      </c>
      <c r="D6772" s="35" t="s">
        <v>28</v>
      </c>
      <c r="E6772" s="30" t="s">
        <v>133</v>
      </c>
      <c r="F6772" s="7" t="s">
        <v>75</v>
      </c>
      <c r="G6772" s="33" t="s">
        <v>6676</v>
      </c>
      <c r="H6772" s="33" t="s">
        <v>9544</v>
      </c>
      <c r="I6772" s="157">
        <v>0</v>
      </c>
      <c r="J6772" s="142">
        <v>4</v>
      </c>
      <c r="K6772" s="142">
        <v>0</v>
      </c>
      <c r="L6772" s="142">
        <v>0</v>
      </c>
      <c r="M6772" s="142">
        <v>0</v>
      </c>
      <c r="N6772" s="142">
        <v>1</v>
      </c>
      <c r="O6772" s="142">
        <v>0</v>
      </c>
      <c r="P6772" s="158">
        <v>0</v>
      </c>
      <c r="Q6772" s="35" t="s">
        <v>9523</v>
      </c>
    </row>
    <row r="6773" spans="1:17" s="162" customFormat="1" ht="36" x14ac:dyDescent="0.25">
      <c r="A6773" s="184">
        <v>42747</v>
      </c>
      <c r="B6773" s="184">
        <v>42747</v>
      </c>
      <c r="C6773" s="138">
        <v>2017</v>
      </c>
      <c r="D6773" s="35" t="s">
        <v>28</v>
      </c>
      <c r="E6773" s="30" t="s">
        <v>133</v>
      </c>
      <c r="F6773" s="7" t="s">
        <v>91</v>
      </c>
      <c r="G6773" s="33" t="s">
        <v>2342</v>
      </c>
      <c r="H6773" s="33" t="s">
        <v>9545</v>
      </c>
      <c r="I6773" s="157">
        <v>1</v>
      </c>
      <c r="J6773" s="142">
        <v>3</v>
      </c>
      <c r="K6773" s="142">
        <v>0</v>
      </c>
      <c r="L6773" s="142">
        <v>0</v>
      </c>
      <c r="M6773" s="142">
        <v>0</v>
      </c>
      <c r="N6773" s="142">
        <v>0</v>
      </c>
      <c r="O6773" s="142">
        <v>0</v>
      </c>
      <c r="P6773" s="158">
        <v>0</v>
      </c>
      <c r="Q6773" s="35" t="s">
        <v>9523</v>
      </c>
    </row>
    <row r="6774" spans="1:17" s="162" customFormat="1" ht="72" x14ac:dyDescent="0.25">
      <c r="A6774" s="184">
        <v>42868</v>
      </c>
      <c r="B6774" s="184">
        <v>42868</v>
      </c>
      <c r="C6774" s="138">
        <v>2017</v>
      </c>
      <c r="D6774" s="35" t="s">
        <v>28</v>
      </c>
      <c r="E6774" s="6" t="s">
        <v>149</v>
      </c>
      <c r="F6774" s="28" t="s">
        <v>210</v>
      </c>
      <c r="G6774" s="33" t="s">
        <v>2317</v>
      </c>
      <c r="H6774" s="33" t="s">
        <v>9546</v>
      </c>
      <c r="I6774" s="157">
        <v>4</v>
      </c>
      <c r="J6774" s="142">
        <v>4</v>
      </c>
      <c r="K6774" s="142">
        <v>0</v>
      </c>
      <c r="L6774" s="142">
        <v>0</v>
      </c>
      <c r="M6774" s="142">
        <v>0</v>
      </c>
      <c r="N6774" s="142">
        <v>0</v>
      </c>
      <c r="O6774" s="142">
        <v>2</v>
      </c>
      <c r="P6774" s="158">
        <f>O6774/1000</f>
        <v>2E-3</v>
      </c>
      <c r="Q6774" s="35" t="s">
        <v>9523</v>
      </c>
    </row>
    <row r="6775" spans="1:17" s="162" customFormat="1" ht="72" x14ac:dyDescent="0.25">
      <c r="A6775" s="184">
        <v>43033</v>
      </c>
      <c r="B6775" s="184">
        <v>43033</v>
      </c>
      <c r="C6775" s="138">
        <v>2017</v>
      </c>
      <c r="D6775" s="35" t="s">
        <v>28</v>
      </c>
      <c r="E6775" s="30" t="s">
        <v>125</v>
      </c>
      <c r="F6775" s="7" t="s">
        <v>62</v>
      </c>
      <c r="G6775" s="33" t="s">
        <v>959</v>
      </c>
      <c r="H6775" s="33" t="s">
        <v>9547</v>
      </c>
      <c r="I6775" s="157">
        <v>0</v>
      </c>
      <c r="J6775" s="142">
        <v>20</v>
      </c>
      <c r="K6775" s="142">
        <v>0</v>
      </c>
      <c r="L6775" s="142">
        <v>0</v>
      </c>
      <c r="M6775" s="142">
        <v>0</v>
      </c>
      <c r="N6775" s="142">
        <v>0</v>
      </c>
      <c r="O6775" s="142">
        <v>0</v>
      </c>
      <c r="P6775" s="158">
        <v>0</v>
      </c>
      <c r="Q6775" s="35" t="s">
        <v>9523</v>
      </c>
    </row>
    <row r="6776" spans="1:17" s="162" customFormat="1" ht="48" x14ac:dyDescent="0.25">
      <c r="A6776" s="184">
        <v>43100</v>
      </c>
      <c r="B6776" s="184">
        <v>43100</v>
      </c>
      <c r="C6776" s="138">
        <v>2017</v>
      </c>
      <c r="D6776" s="35" t="s">
        <v>28</v>
      </c>
      <c r="E6776" s="14" t="s">
        <v>29</v>
      </c>
      <c r="F6776" s="7" t="s">
        <v>25</v>
      </c>
      <c r="G6776" s="33" t="s">
        <v>2109</v>
      </c>
      <c r="H6776" s="33" t="s">
        <v>9548</v>
      </c>
      <c r="I6776" s="157">
        <v>0</v>
      </c>
      <c r="J6776" s="142">
        <v>0</v>
      </c>
      <c r="K6776" s="142">
        <v>0</v>
      </c>
      <c r="L6776" s="142">
        <v>0</v>
      </c>
      <c r="M6776" s="142">
        <v>0</v>
      </c>
      <c r="N6776" s="142">
        <v>0</v>
      </c>
      <c r="O6776" s="142">
        <v>4734.55</v>
      </c>
      <c r="P6776" s="158">
        <v>4.7345499999999996</v>
      </c>
      <c r="Q6776" s="35" t="s">
        <v>2387</v>
      </c>
    </row>
    <row r="6777" spans="1:17" s="162" customFormat="1" ht="48" x14ac:dyDescent="0.25">
      <c r="A6777" s="184">
        <v>43100</v>
      </c>
      <c r="B6777" s="184">
        <v>43100</v>
      </c>
      <c r="C6777" s="138">
        <v>2017</v>
      </c>
      <c r="D6777" s="35" t="s">
        <v>28</v>
      </c>
      <c r="E6777" s="14" t="s">
        <v>29</v>
      </c>
      <c r="F6777" s="7" t="s">
        <v>30</v>
      </c>
      <c r="G6777" s="33" t="s">
        <v>2109</v>
      </c>
      <c r="H6777" s="33" t="s">
        <v>9549</v>
      </c>
      <c r="I6777" s="157">
        <v>0</v>
      </c>
      <c r="J6777" s="142">
        <v>0</v>
      </c>
      <c r="K6777" s="142">
        <v>0</v>
      </c>
      <c r="L6777" s="142">
        <v>0</v>
      </c>
      <c r="M6777" s="142">
        <v>0</v>
      </c>
      <c r="N6777" s="142">
        <v>0</v>
      </c>
      <c r="O6777" s="142">
        <v>50948.87</v>
      </c>
      <c r="P6777" s="158">
        <v>50.948869999999999</v>
      </c>
      <c r="Q6777" s="35" t="s">
        <v>2387</v>
      </c>
    </row>
    <row r="6778" spans="1:17" s="162" customFormat="1" ht="48" x14ac:dyDescent="0.25">
      <c r="A6778" s="184">
        <v>43100</v>
      </c>
      <c r="B6778" s="184">
        <v>43100</v>
      </c>
      <c r="C6778" s="138">
        <v>2017</v>
      </c>
      <c r="D6778" s="35" t="s">
        <v>28</v>
      </c>
      <c r="E6778" s="14" t="s">
        <v>29</v>
      </c>
      <c r="F6778" s="7" t="s">
        <v>33</v>
      </c>
      <c r="G6778" s="33" t="s">
        <v>2109</v>
      </c>
      <c r="H6778" s="33" t="s">
        <v>9550</v>
      </c>
      <c r="I6778" s="157">
        <v>0</v>
      </c>
      <c r="J6778" s="142">
        <v>0</v>
      </c>
      <c r="K6778" s="142">
        <v>0</v>
      </c>
      <c r="L6778" s="142">
        <v>0</v>
      </c>
      <c r="M6778" s="142">
        <v>0</v>
      </c>
      <c r="N6778" s="142">
        <v>0</v>
      </c>
      <c r="O6778" s="142">
        <v>76.64</v>
      </c>
      <c r="P6778" s="158">
        <v>7.664E-2</v>
      </c>
      <c r="Q6778" s="35" t="s">
        <v>2387</v>
      </c>
    </row>
    <row r="6779" spans="1:17" s="162" customFormat="1" ht="48" x14ac:dyDescent="0.25">
      <c r="A6779" s="184">
        <v>43100</v>
      </c>
      <c r="B6779" s="184">
        <v>43100</v>
      </c>
      <c r="C6779" s="138">
        <v>2017</v>
      </c>
      <c r="D6779" s="35" t="s">
        <v>28</v>
      </c>
      <c r="E6779" s="14" t="s">
        <v>29</v>
      </c>
      <c r="F6779" s="28" t="s">
        <v>151</v>
      </c>
      <c r="G6779" s="33" t="s">
        <v>2109</v>
      </c>
      <c r="H6779" s="33" t="s">
        <v>9551</v>
      </c>
      <c r="I6779" s="157">
        <v>0</v>
      </c>
      <c r="J6779" s="142">
        <v>0</v>
      </c>
      <c r="K6779" s="142">
        <v>0</v>
      </c>
      <c r="L6779" s="142">
        <v>0</v>
      </c>
      <c r="M6779" s="142">
        <v>0</v>
      </c>
      <c r="N6779" s="142">
        <v>0</v>
      </c>
      <c r="O6779" s="142">
        <v>13817.5</v>
      </c>
      <c r="P6779" s="158">
        <v>13.817500000000001</v>
      </c>
      <c r="Q6779" s="35" t="s">
        <v>2387</v>
      </c>
    </row>
    <row r="6780" spans="1:17" s="162" customFormat="1" ht="48" x14ac:dyDescent="0.25">
      <c r="A6780" s="184">
        <v>43100</v>
      </c>
      <c r="B6780" s="184">
        <v>43100</v>
      </c>
      <c r="C6780" s="138">
        <v>2017</v>
      </c>
      <c r="D6780" s="35" t="s">
        <v>28</v>
      </c>
      <c r="E6780" s="14" t="s">
        <v>29</v>
      </c>
      <c r="F6780" s="7" t="s">
        <v>36</v>
      </c>
      <c r="G6780" s="33" t="s">
        <v>2109</v>
      </c>
      <c r="H6780" s="33" t="s">
        <v>9552</v>
      </c>
      <c r="I6780" s="157">
        <v>0</v>
      </c>
      <c r="J6780" s="142">
        <v>0</v>
      </c>
      <c r="K6780" s="142">
        <v>0</v>
      </c>
      <c r="L6780" s="142">
        <v>0</v>
      </c>
      <c r="M6780" s="142">
        <v>0</v>
      </c>
      <c r="N6780" s="142">
        <v>0</v>
      </c>
      <c r="O6780" s="142">
        <v>13001.83</v>
      </c>
      <c r="P6780" s="158">
        <v>13.00183</v>
      </c>
      <c r="Q6780" s="35" t="s">
        <v>2387</v>
      </c>
    </row>
    <row r="6781" spans="1:17" s="162" customFormat="1" ht="48" x14ac:dyDescent="0.25">
      <c r="A6781" s="184">
        <v>43100</v>
      </c>
      <c r="B6781" s="184">
        <v>43100</v>
      </c>
      <c r="C6781" s="138">
        <v>2017</v>
      </c>
      <c r="D6781" s="35" t="s">
        <v>28</v>
      </c>
      <c r="E6781" s="14" t="s">
        <v>29</v>
      </c>
      <c r="F6781" s="7" t="s">
        <v>40</v>
      </c>
      <c r="G6781" s="33" t="s">
        <v>2109</v>
      </c>
      <c r="H6781" s="33" t="s">
        <v>9553</v>
      </c>
      <c r="I6781" s="157">
        <v>0</v>
      </c>
      <c r="J6781" s="142">
        <v>0</v>
      </c>
      <c r="K6781" s="142">
        <v>0</v>
      </c>
      <c r="L6781" s="142">
        <v>0</v>
      </c>
      <c r="M6781" s="142">
        <v>0</v>
      </c>
      <c r="N6781" s="142">
        <v>0</v>
      </c>
      <c r="O6781" s="142">
        <v>87229.84</v>
      </c>
      <c r="P6781" s="158">
        <v>87.229839999999996</v>
      </c>
      <c r="Q6781" s="35" t="s">
        <v>2387</v>
      </c>
    </row>
    <row r="6782" spans="1:17" s="162" customFormat="1" ht="48" x14ac:dyDescent="0.25">
      <c r="A6782" s="184">
        <v>43100</v>
      </c>
      <c r="B6782" s="184">
        <v>43100</v>
      </c>
      <c r="C6782" s="138">
        <v>2017</v>
      </c>
      <c r="D6782" s="35" t="s">
        <v>28</v>
      </c>
      <c r="E6782" s="14" t="s">
        <v>29</v>
      </c>
      <c r="F6782" s="7" t="s">
        <v>45</v>
      </c>
      <c r="G6782" s="33" t="s">
        <v>2109</v>
      </c>
      <c r="H6782" s="33" t="s">
        <v>9554</v>
      </c>
      <c r="I6782" s="157">
        <v>0</v>
      </c>
      <c r="J6782" s="142">
        <v>0</v>
      </c>
      <c r="K6782" s="142">
        <v>0</v>
      </c>
      <c r="L6782" s="142">
        <v>0</v>
      </c>
      <c r="M6782" s="142">
        <v>0</v>
      </c>
      <c r="N6782" s="142">
        <v>0</v>
      </c>
      <c r="O6782" s="142">
        <v>10290.219999999999</v>
      </c>
      <c r="P6782" s="158">
        <v>10.29022</v>
      </c>
      <c r="Q6782" s="35" t="s">
        <v>2387</v>
      </c>
    </row>
    <row r="6783" spans="1:17" s="162" customFormat="1" ht="48" x14ac:dyDescent="0.25">
      <c r="A6783" s="184">
        <v>43100</v>
      </c>
      <c r="B6783" s="184">
        <v>43100</v>
      </c>
      <c r="C6783" s="138">
        <v>2017</v>
      </c>
      <c r="D6783" s="35" t="s">
        <v>28</v>
      </c>
      <c r="E6783" s="14" t="s">
        <v>29</v>
      </c>
      <c r="F6783" s="7" t="s">
        <v>47</v>
      </c>
      <c r="G6783" s="33" t="s">
        <v>2109</v>
      </c>
      <c r="H6783" s="33" t="s">
        <v>9555</v>
      </c>
      <c r="I6783" s="157">
        <v>0</v>
      </c>
      <c r="J6783" s="142">
        <v>0</v>
      </c>
      <c r="K6783" s="142">
        <v>0</v>
      </c>
      <c r="L6783" s="142">
        <v>0</v>
      </c>
      <c r="M6783" s="142">
        <v>0</v>
      </c>
      <c r="N6783" s="142">
        <v>0</v>
      </c>
      <c r="O6783" s="142">
        <v>2029.89</v>
      </c>
      <c r="P6783" s="158">
        <v>2.02989</v>
      </c>
      <c r="Q6783" s="35" t="s">
        <v>2387</v>
      </c>
    </row>
    <row r="6784" spans="1:17" s="162" customFormat="1" ht="48" x14ac:dyDescent="0.25">
      <c r="A6784" s="184">
        <v>43100</v>
      </c>
      <c r="B6784" s="184">
        <v>43100</v>
      </c>
      <c r="C6784" s="138">
        <v>2017</v>
      </c>
      <c r="D6784" s="35" t="s">
        <v>28</v>
      </c>
      <c r="E6784" s="14" t="s">
        <v>29</v>
      </c>
      <c r="F6784" s="28" t="s">
        <v>157</v>
      </c>
      <c r="G6784" s="33" t="s">
        <v>2109</v>
      </c>
      <c r="H6784" s="33" t="s">
        <v>9556</v>
      </c>
      <c r="I6784" s="157">
        <v>0</v>
      </c>
      <c r="J6784" s="142">
        <v>0</v>
      </c>
      <c r="K6784" s="142">
        <v>0</v>
      </c>
      <c r="L6784" s="142">
        <v>0</v>
      </c>
      <c r="M6784" s="142">
        <v>0</v>
      </c>
      <c r="N6784" s="142">
        <v>0</v>
      </c>
      <c r="O6784" s="142">
        <v>2345.16</v>
      </c>
      <c r="P6784" s="158">
        <v>2.3451599999999999</v>
      </c>
      <c r="Q6784" s="35" t="s">
        <v>2387</v>
      </c>
    </row>
    <row r="6785" spans="1:17" s="162" customFormat="1" ht="48" x14ac:dyDescent="0.25">
      <c r="A6785" s="184">
        <v>43100</v>
      </c>
      <c r="B6785" s="184">
        <v>43100</v>
      </c>
      <c r="C6785" s="138">
        <v>2017</v>
      </c>
      <c r="D6785" s="35" t="s">
        <v>28</v>
      </c>
      <c r="E6785" s="14" t="s">
        <v>29</v>
      </c>
      <c r="F6785" s="7" t="s">
        <v>49</v>
      </c>
      <c r="G6785" s="33" t="s">
        <v>2109</v>
      </c>
      <c r="H6785" s="33" t="s">
        <v>9557</v>
      </c>
      <c r="I6785" s="157">
        <v>0</v>
      </c>
      <c r="J6785" s="142">
        <v>0</v>
      </c>
      <c r="K6785" s="142">
        <v>0</v>
      </c>
      <c r="L6785" s="142">
        <v>0</v>
      </c>
      <c r="M6785" s="142">
        <v>0</v>
      </c>
      <c r="N6785" s="142">
        <v>0</v>
      </c>
      <c r="O6785" s="142">
        <v>41009.19</v>
      </c>
      <c r="P6785" s="158">
        <v>41.009189999999997</v>
      </c>
      <c r="Q6785" s="35" t="s">
        <v>2387</v>
      </c>
    </row>
    <row r="6786" spans="1:17" s="162" customFormat="1" ht="48" x14ac:dyDescent="0.25">
      <c r="A6786" s="184">
        <v>43100</v>
      </c>
      <c r="B6786" s="184">
        <v>43100</v>
      </c>
      <c r="C6786" s="138">
        <v>2017</v>
      </c>
      <c r="D6786" s="35" t="s">
        <v>28</v>
      </c>
      <c r="E6786" s="14" t="s">
        <v>29</v>
      </c>
      <c r="F6786" s="7" t="s">
        <v>56</v>
      </c>
      <c r="G6786" s="33" t="s">
        <v>2109</v>
      </c>
      <c r="H6786" s="33" t="s">
        <v>9558</v>
      </c>
      <c r="I6786" s="157">
        <v>0</v>
      </c>
      <c r="J6786" s="142">
        <v>0</v>
      </c>
      <c r="K6786" s="142">
        <v>0</v>
      </c>
      <c r="L6786" s="142">
        <v>0</v>
      </c>
      <c r="M6786" s="142">
        <v>0</v>
      </c>
      <c r="N6786" s="142">
        <v>0</v>
      </c>
      <c r="O6786" s="142">
        <v>7664.85</v>
      </c>
      <c r="P6786" s="158">
        <v>7.6648500000000004</v>
      </c>
      <c r="Q6786" s="35" t="s">
        <v>2387</v>
      </c>
    </row>
    <row r="6787" spans="1:17" s="162" customFormat="1" ht="48" x14ac:dyDescent="0.25">
      <c r="A6787" s="184">
        <v>43100</v>
      </c>
      <c r="B6787" s="184">
        <v>43100</v>
      </c>
      <c r="C6787" s="138">
        <v>2017</v>
      </c>
      <c r="D6787" s="35" t="s">
        <v>28</v>
      </c>
      <c r="E6787" s="14" t="s">
        <v>29</v>
      </c>
      <c r="F6787" s="7" t="s">
        <v>58</v>
      </c>
      <c r="G6787" s="33" t="s">
        <v>2109</v>
      </c>
      <c r="H6787" s="33" t="s">
        <v>9559</v>
      </c>
      <c r="I6787" s="157">
        <v>0</v>
      </c>
      <c r="J6787" s="142">
        <v>0</v>
      </c>
      <c r="K6787" s="142">
        <v>0</v>
      </c>
      <c r="L6787" s="142">
        <v>0</v>
      </c>
      <c r="M6787" s="142">
        <v>0</v>
      </c>
      <c r="N6787" s="142">
        <v>0</v>
      </c>
      <c r="O6787" s="142">
        <v>24067.89</v>
      </c>
      <c r="P6787" s="158">
        <v>24.067889999999998</v>
      </c>
      <c r="Q6787" s="35" t="s">
        <v>2387</v>
      </c>
    </row>
    <row r="6788" spans="1:17" s="162" customFormat="1" ht="48" x14ac:dyDescent="0.25">
      <c r="A6788" s="184">
        <v>43100</v>
      </c>
      <c r="B6788" s="184">
        <v>43100</v>
      </c>
      <c r="C6788" s="138">
        <v>2017</v>
      </c>
      <c r="D6788" s="35" t="s">
        <v>28</v>
      </c>
      <c r="E6788" s="14" t="s">
        <v>29</v>
      </c>
      <c r="F6788" s="28" t="s">
        <v>160</v>
      </c>
      <c r="G6788" s="33" t="s">
        <v>2109</v>
      </c>
      <c r="H6788" s="33" t="s">
        <v>9560</v>
      </c>
      <c r="I6788" s="157">
        <v>0</v>
      </c>
      <c r="J6788" s="142">
        <v>0</v>
      </c>
      <c r="K6788" s="142">
        <v>0</v>
      </c>
      <c r="L6788" s="142">
        <v>0</v>
      </c>
      <c r="M6788" s="142">
        <v>0</v>
      </c>
      <c r="N6788" s="142">
        <v>0</v>
      </c>
      <c r="O6788" s="142">
        <v>2959.23</v>
      </c>
      <c r="P6788" s="158">
        <v>2.9592299999999998</v>
      </c>
      <c r="Q6788" s="35" t="s">
        <v>2387</v>
      </c>
    </row>
    <row r="6789" spans="1:17" s="162" customFormat="1" ht="48" x14ac:dyDescent="0.25">
      <c r="A6789" s="184">
        <v>43100</v>
      </c>
      <c r="B6789" s="184">
        <v>43100</v>
      </c>
      <c r="C6789" s="138">
        <v>2017</v>
      </c>
      <c r="D6789" s="35" t="s">
        <v>28</v>
      </c>
      <c r="E6789" s="14" t="s">
        <v>29</v>
      </c>
      <c r="F6789" s="7" t="s">
        <v>60</v>
      </c>
      <c r="G6789" s="33" t="s">
        <v>2109</v>
      </c>
      <c r="H6789" s="33" t="s">
        <v>9561</v>
      </c>
      <c r="I6789" s="157">
        <v>0</v>
      </c>
      <c r="J6789" s="142">
        <v>0</v>
      </c>
      <c r="K6789" s="142">
        <v>0</v>
      </c>
      <c r="L6789" s="142">
        <v>0</v>
      </c>
      <c r="M6789" s="142">
        <v>0</v>
      </c>
      <c r="N6789" s="142">
        <v>0</v>
      </c>
      <c r="O6789" s="142">
        <v>189814.52</v>
      </c>
      <c r="P6789" s="158">
        <v>189.81451999999999</v>
      </c>
      <c r="Q6789" s="35" t="s">
        <v>2387</v>
      </c>
    </row>
    <row r="6790" spans="1:17" s="162" customFormat="1" ht="48" x14ac:dyDescent="0.25">
      <c r="A6790" s="184">
        <v>43100</v>
      </c>
      <c r="B6790" s="184">
        <v>43100</v>
      </c>
      <c r="C6790" s="138">
        <v>2017</v>
      </c>
      <c r="D6790" s="35" t="s">
        <v>28</v>
      </c>
      <c r="E6790" s="14" t="s">
        <v>29</v>
      </c>
      <c r="F6790" s="7" t="s">
        <v>53</v>
      </c>
      <c r="G6790" s="33" t="s">
        <v>2109</v>
      </c>
      <c r="H6790" s="33" t="s">
        <v>9562</v>
      </c>
      <c r="I6790" s="157">
        <v>0</v>
      </c>
      <c r="J6790" s="142">
        <v>0</v>
      </c>
      <c r="K6790" s="142">
        <v>0</v>
      </c>
      <c r="L6790" s="142">
        <v>0</v>
      </c>
      <c r="M6790" s="142">
        <v>0</v>
      </c>
      <c r="N6790" s="142">
        <v>0</v>
      </c>
      <c r="O6790" s="142">
        <v>11743.25</v>
      </c>
      <c r="P6790" s="158">
        <v>11.74325</v>
      </c>
      <c r="Q6790" s="35" t="s">
        <v>2387</v>
      </c>
    </row>
    <row r="6791" spans="1:17" s="162" customFormat="1" ht="48" x14ac:dyDescent="0.25">
      <c r="A6791" s="184">
        <v>43100</v>
      </c>
      <c r="B6791" s="184">
        <v>43100</v>
      </c>
      <c r="C6791" s="138">
        <v>2017</v>
      </c>
      <c r="D6791" s="35" t="s">
        <v>28</v>
      </c>
      <c r="E6791" s="14" t="s">
        <v>29</v>
      </c>
      <c r="F6791" s="7" t="s">
        <v>65</v>
      </c>
      <c r="G6791" s="33" t="s">
        <v>2109</v>
      </c>
      <c r="H6791" s="33" t="s">
        <v>9563</v>
      </c>
      <c r="I6791" s="157">
        <v>0</v>
      </c>
      <c r="J6791" s="142">
        <v>0</v>
      </c>
      <c r="K6791" s="142">
        <v>0</v>
      </c>
      <c r="L6791" s="142">
        <v>0</v>
      </c>
      <c r="M6791" s="142">
        <v>0</v>
      </c>
      <c r="N6791" s="142">
        <v>0</v>
      </c>
      <c r="O6791" s="142">
        <v>3406.25</v>
      </c>
      <c r="P6791" s="158">
        <v>3.40625</v>
      </c>
      <c r="Q6791" s="35" t="s">
        <v>2387</v>
      </c>
    </row>
    <row r="6792" spans="1:17" s="162" customFormat="1" ht="48" x14ac:dyDescent="0.25">
      <c r="A6792" s="184">
        <v>43100</v>
      </c>
      <c r="B6792" s="184">
        <v>43100</v>
      </c>
      <c r="C6792" s="138">
        <v>2017</v>
      </c>
      <c r="D6792" s="35" t="s">
        <v>28</v>
      </c>
      <c r="E6792" s="14" t="s">
        <v>29</v>
      </c>
      <c r="F6792" s="7" t="s">
        <v>67</v>
      </c>
      <c r="G6792" s="33" t="s">
        <v>2109</v>
      </c>
      <c r="H6792" s="33" t="s">
        <v>9564</v>
      </c>
      <c r="I6792" s="157">
        <v>0</v>
      </c>
      <c r="J6792" s="142">
        <v>0</v>
      </c>
      <c r="K6792" s="142">
        <v>0</v>
      </c>
      <c r="L6792" s="142">
        <v>0</v>
      </c>
      <c r="M6792" s="142">
        <v>0</v>
      </c>
      <c r="N6792" s="142">
        <v>0</v>
      </c>
      <c r="O6792" s="142">
        <v>32293.48</v>
      </c>
      <c r="P6792" s="158">
        <v>32.293480000000002</v>
      </c>
      <c r="Q6792" s="35" t="s">
        <v>2387</v>
      </c>
    </row>
    <row r="6793" spans="1:17" s="162" customFormat="1" ht="48" x14ac:dyDescent="0.25">
      <c r="A6793" s="184">
        <v>43100</v>
      </c>
      <c r="B6793" s="184">
        <v>43100</v>
      </c>
      <c r="C6793" s="138">
        <v>2017</v>
      </c>
      <c r="D6793" s="35" t="s">
        <v>28</v>
      </c>
      <c r="E6793" s="14" t="s">
        <v>29</v>
      </c>
      <c r="F6793" s="7" t="s">
        <v>68</v>
      </c>
      <c r="G6793" s="33" t="s">
        <v>2109</v>
      </c>
      <c r="H6793" s="33" t="s">
        <v>9565</v>
      </c>
      <c r="I6793" s="157">
        <v>0</v>
      </c>
      <c r="J6793" s="142">
        <v>0</v>
      </c>
      <c r="K6793" s="142">
        <v>0</v>
      </c>
      <c r="L6793" s="142">
        <v>0</v>
      </c>
      <c r="M6793" s="142">
        <v>0</v>
      </c>
      <c r="N6793" s="142">
        <v>0</v>
      </c>
      <c r="O6793" s="142">
        <v>733.5</v>
      </c>
      <c r="P6793" s="158">
        <v>0.73350000000000004</v>
      </c>
      <c r="Q6793" s="35" t="s">
        <v>2387</v>
      </c>
    </row>
    <row r="6794" spans="1:17" s="162" customFormat="1" ht="48" x14ac:dyDescent="0.25">
      <c r="A6794" s="184">
        <v>43100</v>
      </c>
      <c r="B6794" s="184">
        <v>43100</v>
      </c>
      <c r="C6794" s="138">
        <v>2017</v>
      </c>
      <c r="D6794" s="35" t="s">
        <v>28</v>
      </c>
      <c r="E6794" s="14" t="s">
        <v>29</v>
      </c>
      <c r="F6794" s="7" t="s">
        <v>72</v>
      </c>
      <c r="G6794" s="33" t="s">
        <v>2109</v>
      </c>
      <c r="H6794" s="33" t="s">
        <v>9566</v>
      </c>
      <c r="I6794" s="157">
        <v>0</v>
      </c>
      <c r="J6794" s="142">
        <v>0</v>
      </c>
      <c r="K6794" s="142">
        <v>0</v>
      </c>
      <c r="L6794" s="142">
        <v>0</v>
      </c>
      <c r="M6794" s="142">
        <v>0</v>
      </c>
      <c r="N6794" s="142">
        <v>0</v>
      </c>
      <c r="O6794" s="142">
        <v>42079.75</v>
      </c>
      <c r="P6794" s="158">
        <v>42.079749999999997</v>
      </c>
      <c r="Q6794" s="35" t="s">
        <v>2387</v>
      </c>
    </row>
    <row r="6795" spans="1:17" s="162" customFormat="1" ht="48" x14ac:dyDescent="0.25">
      <c r="A6795" s="184">
        <v>43100</v>
      </c>
      <c r="B6795" s="184">
        <v>43100</v>
      </c>
      <c r="C6795" s="138">
        <v>2017</v>
      </c>
      <c r="D6795" s="35" t="s">
        <v>28</v>
      </c>
      <c r="E6795" s="14" t="s">
        <v>29</v>
      </c>
      <c r="F6795" s="7" t="s">
        <v>75</v>
      </c>
      <c r="G6795" s="33" t="s">
        <v>2109</v>
      </c>
      <c r="H6795" s="33" t="s">
        <v>9567</v>
      </c>
      <c r="I6795" s="157">
        <v>0</v>
      </c>
      <c r="J6795" s="142">
        <v>0</v>
      </c>
      <c r="K6795" s="142">
        <v>0</v>
      </c>
      <c r="L6795" s="142">
        <v>0</v>
      </c>
      <c r="M6795" s="142">
        <v>0</v>
      </c>
      <c r="N6795" s="142">
        <v>0</v>
      </c>
      <c r="O6795" s="142">
        <v>10786.51</v>
      </c>
      <c r="P6795" s="158">
        <v>10.78651</v>
      </c>
      <c r="Q6795" s="35" t="s">
        <v>2387</v>
      </c>
    </row>
    <row r="6796" spans="1:17" s="162" customFormat="1" ht="48" x14ac:dyDescent="0.25">
      <c r="A6796" s="184">
        <v>43100</v>
      </c>
      <c r="B6796" s="184">
        <v>43100</v>
      </c>
      <c r="C6796" s="138">
        <v>2017</v>
      </c>
      <c r="D6796" s="35" t="s">
        <v>28</v>
      </c>
      <c r="E6796" s="14" t="s">
        <v>29</v>
      </c>
      <c r="F6796" s="7" t="s">
        <v>77</v>
      </c>
      <c r="G6796" s="33" t="s">
        <v>2109</v>
      </c>
      <c r="H6796" s="33" t="s">
        <v>9568</v>
      </c>
      <c r="I6796" s="157">
        <v>0</v>
      </c>
      <c r="J6796" s="142">
        <v>0</v>
      </c>
      <c r="K6796" s="142">
        <v>0</v>
      </c>
      <c r="L6796" s="142">
        <v>0</v>
      </c>
      <c r="M6796" s="142">
        <v>0</v>
      </c>
      <c r="N6796" s="142">
        <v>0</v>
      </c>
      <c r="O6796" s="142">
        <v>2556.6</v>
      </c>
      <c r="P6796" s="158">
        <v>2.5566</v>
      </c>
      <c r="Q6796" s="35" t="s">
        <v>2387</v>
      </c>
    </row>
    <row r="6797" spans="1:17" s="162" customFormat="1" ht="36" x14ac:dyDescent="0.25">
      <c r="A6797" s="184">
        <v>43100</v>
      </c>
      <c r="B6797" s="184">
        <v>43100</v>
      </c>
      <c r="C6797" s="138">
        <v>2017</v>
      </c>
      <c r="D6797" s="35" t="s">
        <v>28</v>
      </c>
      <c r="E6797" s="14" t="s">
        <v>29</v>
      </c>
      <c r="F6797" s="7" t="s">
        <v>80</v>
      </c>
      <c r="G6797" s="33" t="s">
        <v>2109</v>
      </c>
      <c r="H6797" s="33" t="s">
        <v>9569</v>
      </c>
      <c r="I6797" s="157">
        <v>0</v>
      </c>
      <c r="J6797" s="142">
        <v>0</v>
      </c>
      <c r="K6797" s="142">
        <v>0</v>
      </c>
      <c r="L6797" s="142">
        <v>0</v>
      </c>
      <c r="M6797" s="142">
        <v>0</v>
      </c>
      <c r="N6797" s="142">
        <v>0</v>
      </c>
      <c r="O6797" s="142">
        <v>9631.02</v>
      </c>
      <c r="P6797" s="158">
        <v>9.6310199999999995</v>
      </c>
      <c r="Q6797" s="35" t="s">
        <v>2387</v>
      </c>
    </row>
    <row r="6798" spans="1:17" s="162" customFormat="1" ht="48" x14ac:dyDescent="0.25">
      <c r="A6798" s="184">
        <v>43100</v>
      </c>
      <c r="B6798" s="184">
        <v>43100</v>
      </c>
      <c r="C6798" s="138">
        <v>2017</v>
      </c>
      <c r="D6798" s="35" t="s">
        <v>28</v>
      </c>
      <c r="E6798" s="14" t="s">
        <v>29</v>
      </c>
      <c r="F6798" s="7" t="s">
        <v>82</v>
      </c>
      <c r="G6798" s="33" t="s">
        <v>2109</v>
      </c>
      <c r="H6798" s="33" t="s">
        <v>9570</v>
      </c>
      <c r="I6798" s="157">
        <v>0</v>
      </c>
      <c r="J6798" s="142">
        <v>0</v>
      </c>
      <c r="K6798" s="142">
        <v>0</v>
      </c>
      <c r="L6798" s="142">
        <v>0</v>
      </c>
      <c r="M6798" s="142">
        <v>0</v>
      </c>
      <c r="N6798" s="142">
        <v>0</v>
      </c>
      <c r="O6798" s="142">
        <v>4378.1099999999997</v>
      </c>
      <c r="P6798" s="158">
        <v>4.3781100000000004</v>
      </c>
      <c r="Q6798" s="35" t="s">
        <v>2387</v>
      </c>
    </row>
    <row r="6799" spans="1:17" s="162" customFormat="1" ht="48" x14ac:dyDescent="0.25">
      <c r="A6799" s="184">
        <v>43100</v>
      </c>
      <c r="B6799" s="184">
        <v>43100</v>
      </c>
      <c r="C6799" s="138">
        <v>2017</v>
      </c>
      <c r="D6799" s="35" t="s">
        <v>28</v>
      </c>
      <c r="E6799" s="14" t="s">
        <v>29</v>
      </c>
      <c r="F6799" s="7" t="s">
        <v>84</v>
      </c>
      <c r="G6799" s="33" t="s">
        <v>2109</v>
      </c>
      <c r="H6799" s="33" t="s">
        <v>9571</v>
      </c>
      <c r="I6799" s="157">
        <v>0</v>
      </c>
      <c r="J6799" s="142">
        <v>0</v>
      </c>
      <c r="K6799" s="142">
        <v>0</v>
      </c>
      <c r="L6799" s="142">
        <v>0</v>
      </c>
      <c r="M6799" s="142">
        <v>0</v>
      </c>
      <c r="N6799" s="142">
        <v>0</v>
      </c>
      <c r="O6799" s="142">
        <v>3354</v>
      </c>
      <c r="P6799" s="158">
        <v>3.3540000000000001</v>
      </c>
      <c r="Q6799" s="35" t="s">
        <v>2387</v>
      </c>
    </row>
    <row r="6800" spans="1:17" s="162" customFormat="1" ht="48" x14ac:dyDescent="0.25">
      <c r="A6800" s="184">
        <v>43100</v>
      </c>
      <c r="B6800" s="184">
        <v>43100</v>
      </c>
      <c r="C6800" s="138">
        <v>2017</v>
      </c>
      <c r="D6800" s="35" t="s">
        <v>28</v>
      </c>
      <c r="E6800" s="14" t="s">
        <v>29</v>
      </c>
      <c r="F6800" s="7" t="s">
        <v>87</v>
      </c>
      <c r="G6800" s="33" t="s">
        <v>2109</v>
      </c>
      <c r="H6800" s="33" t="s">
        <v>9572</v>
      </c>
      <c r="I6800" s="157">
        <v>0</v>
      </c>
      <c r="J6800" s="142">
        <v>0</v>
      </c>
      <c r="K6800" s="142">
        <v>0</v>
      </c>
      <c r="L6800" s="142">
        <v>0</v>
      </c>
      <c r="M6800" s="142">
        <v>0</v>
      </c>
      <c r="N6800" s="142">
        <v>0</v>
      </c>
      <c r="O6800" s="142">
        <v>104324.22</v>
      </c>
      <c r="P6800" s="158">
        <v>104.32422</v>
      </c>
      <c r="Q6800" s="35" t="s">
        <v>2387</v>
      </c>
    </row>
    <row r="6801" spans="1:17" s="162" customFormat="1" ht="36" x14ac:dyDescent="0.25">
      <c r="A6801" s="184">
        <v>43100</v>
      </c>
      <c r="B6801" s="184">
        <v>43100</v>
      </c>
      <c r="C6801" s="138">
        <v>2017</v>
      </c>
      <c r="D6801" s="35" t="s">
        <v>28</v>
      </c>
      <c r="E6801" s="14" t="s">
        <v>29</v>
      </c>
      <c r="F6801" s="25" t="s">
        <v>781</v>
      </c>
      <c r="G6801" s="33" t="s">
        <v>2109</v>
      </c>
      <c r="H6801" s="33" t="s">
        <v>9573</v>
      </c>
      <c r="I6801" s="157">
        <v>0</v>
      </c>
      <c r="J6801" s="142">
        <v>0</v>
      </c>
      <c r="K6801" s="142">
        <v>0</v>
      </c>
      <c r="L6801" s="142">
        <v>0</v>
      </c>
      <c r="M6801" s="142">
        <v>0</v>
      </c>
      <c r="N6801" s="142">
        <v>0</v>
      </c>
      <c r="O6801" s="142">
        <v>985.65</v>
      </c>
      <c r="P6801" s="158">
        <v>0.98565000000000003</v>
      </c>
      <c r="Q6801" s="35" t="s">
        <v>2387</v>
      </c>
    </row>
    <row r="6802" spans="1:17" s="162" customFormat="1" ht="36" x14ac:dyDescent="0.25">
      <c r="A6802" s="184">
        <v>43100</v>
      </c>
      <c r="B6802" s="184">
        <v>43100</v>
      </c>
      <c r="C6802" s="138">
        <v>2017</v>
      </c>
      <c r="D6802" s="35" t="s">
        <v>28</v>
      </c>
      <c r="E6802" s="14" t="s">
        <v>29</v>
      </c>
      <c r="F6802" s="7" t="s">
        <v>91</v>
      </c>
      <c r="G6802" s="33" t="s">
        <v>2109</v>
      </c>
      <c r="H6802" s="33" t="s">
        <v>9574</v>
      </c>
      <c r="I6802" s="157">
        <v>0</v>
      </c>
      <c r="J6802" s="142">
        <v>0</v>
      </c>
      <c r="K6802" s="142">
        <v>0</v>
      </c>
      <c r="L6802" s="142">
        <v>0</v>
      </c>
      <c r="M6802" s="142">
        <v>0</v>
      </c>
      <c r="N6802" s="142">
        <v>0</v>
      </c>
      <c r="O6802" s="142">
        <v>2670.3</v>
      </c>
      <c r="P6802" s="158">
        <v>2.6703000000000001</v>
      </c>
      <c r="Q6802" s="35" t="s">
        <v>2387</v>
      </c>
    </row>
    <row r="6803" spans="1:17" s="162" customFormat="1" ht="48" x14ac:dyDescent="0.25">
      <c r="A6803" s="184">
        <v>43100</v>
      </c>
      <c r="B6803" s="184">
        <v>43100</v>
      </c>
      <c r="C6803" s="138">
        <v>2017</v>
      </c>
      <c r="D6803" s="35" t="s">
        <v>28</v>
      </c>
      <c r="E6803" s="14" t="s">
        <v>29</v>
      </c>
      <c r="F6803" s="7" t="s">
        <v>97</v>
      </c>
      <c r="G6803" s="33" t="s">
        <v>2109</v>
      </c>
      <c r="H6803" s="33" t="s">
        <v>9575</v>
      </c>
      <c r="I6803" s="157">
        <v>0</v>
      </c>
      <c r="J6803" s="142">
        <v>0</v>
      </c>
      <c r="K6803" s="142">
        <v>0</v>
      </c>
      <c r="L6803" s="142">
        <v>0</v>
      </c>
      <c r="M6803" s="142">
        <v>0</v>
      </c>
      <c r="N6803" s="142">
        <v>0</v>
      </c>
      <c r="O6803" s="142">
        <v>2395.36</v>
      </c>
      <c r="P6803" s="158">
        <v>2.3953600000000002</v>
      </c>
      <c r="Q6803" s="35" t="s">
        <v>2387</v>
      </c>
    </row>
    <row r="6804" spans="1:17" s="162" customFormat="1" ht="48" x14ac:dyDescent="0.25">
      <c r="A6804" s="184">
        <v>43100</v>
      </c>
      <c r="B6804" s="184">
        <v>43100</v>
      </c>
      <c r="C6804" s="138">
        <v>2017</v>
      </c>
      <c r="D6804" s="35" t="s">
        <v>28</v>
      </c>
      <c r="E6804" s="14" t="s">
        <v>29</v>
      </c>
      <c r="F6804" s="28" t="s">
        <v>210</v>
      </c>
      <c r="G6804" s="33" t="s">
        <v>2109</v>
      </c>
      <c r="H6804" s="33" t="s">
        <v>9576</v>
      </c>
      <c r="I6804" s="157">
        <v>0</v>
      </c>
      <c r="J6804" s="142">
        <v>0</v>
      </c>
      <c r="K6804" s="142">
        <v>0</v>
      </c>
      <c r="L6804" s="142">
        <v>0</v>
      </c>
      <c r="M6804" s="142">
        <v>0</v>
      </c>
      <c r="N6804" s="142">
        <v>0</v>
      </c>
      <c r="O6804" s="142">
        <v>3219.5</v>
      </c>
      <c r="P6804" s="158">
        <v>3.2195</v>
      </c>
      <c r="Q6804" s="35" t="s">
        <v>2387</v>
      </c>
    </row>
    <row r="6805" spans="1:17" s="162" customFormat="1" ht="48" x14ac:dyDescent="0.25">
      <c r="A6805" s="184">
        <v>43100</v>
      </c>
      <c r="B6805" s="184">
        <v>43100</v>
      </c>
      <c r="C6805" s="138">
        <v>2017</v>
      </c>
      <c r="D6805" s="35" t="s">
        <v>28</v>
      </c>
      <c r="E6805" s="14" t="s">
        <v>29</v>
      </c>
      <c r="F6805" s="28" t="s">
        <v>163</v>
      </c>
      <c r="G6805" s="33" t="s">
        <v>2109</v>
      </c>
      <c r="H6805" s="33" t="s">
        <v>9577</v>
      </c>
      <c r="I6805" s="157">
        <v>0</v>
      </c>
      <c r="J6805" s="142">
        <v>0</v>
      </c>
      <c r="K6805" s="142">
        <v>0</v>
      </c>
      <c r="L6805" s="142">
        <v>0</v>
      </c>
      <c r="M6805" s="142">
        <v>0</v>
      </c>
      <c r="N6805" s="142">
        <v>0</v>
      </c>
      <c r="O6805" s="142">
        <v>11008.4</v>
      </c>
      <c r="P6805" s="158">
        <v>11.0084</v>
      </c>
      <c r="Q6805" s="35" t="s">
        <v>2387</v>
      </c>
    </row>
    <row r="6806" spans="1:17" s="162" customFormat="1" ht="48" x14ac:dyDescent="0.25">
      <c r="A6806" s="184">
        <v>43100</v>
      </c>
      <c r="B6806" s="184">
        <v>43100</v>
      </c>
      <c r="C6806" s="138">
        <v>2017</v>
      </c>
      <c r="D6806" s="35" t="s">
        <v>28</v>
      </c>
      <c r="E6806" s="14" t="s">
        <v>29</v>
      </c>
      <c r="F6806" s="7" t="s">
        <v>101</v>
      </c>
      <c r="G6806" s="33" t="s">
        <v>2109</v>
      </c>
      <c r="H6806" s="33" t="s">
        <v>9578</v>
      </c>
      <c r="I6806" s="157">
        <v>0</v>
      </c>
      <c r="J6806" s="142">
        <v>0</v>
      </c>
      <c r="K6806" s="142">
        <v>0</v>
      </c>
      <c r="L6806" s="142">
        <v>0</v>
      </c>
      <c r="M6806" s="142">
        <v>0</v>
      </c>
      <c r="N6806" s="142">
        <v>0</v>
      </c>
      <c r="O6806" s="142">
        <v>16314.98</v>
      </c>
      <c r="P6806" s="158">
        <v>16.314979999999998</v>
      </c>
      <c r="Q6806" s="35" t="s">
        <v>2387</v>
      </c>
    </row>
    <row r="6807" spans="1:17" s="162" customFormat="1" ht="72" x14ac:dyDescent="0.25">
      <c r="A6807" s="184">
        <v>42740</v>
      </c>
      <c r="B6807" s="184">
        <v>42740</v>
      </c>
      <c r="C6807" s="138">
        <v>2017</v>
      </c>
      <c r="D6807" s="24" t="s">
        <v>141</v>
      </c>
      <c r="E6807" s="30" t="s">
        <v>142</v>
      </c>
      <c r="F6807" s="7" t="s">
        <v>87</v>
      </c>
      <c r="G6807" s="33" t="s">
        <v>4751</v>
      </c>
      <c r="H6807" s="33" t="s">
        <v>9579</v>
      </c>
      <c r="I6807" s="157">
        <v>3</v>
      </c>
      <c r="J6807" s="142">
        <v>23</v>
      </c>
      <c r="K6807" s="142">
        <v>0</v>
      </c>
      <c r="L6807" s="142">
        <v>0</v>
      </c>
      <c r="M6807" s="142">
        <v>0</v>
      </c>
      <c r="N6807" s="142">
        <v>0</v>
      </c>
      <c r="O6807" s="142">
        <v>0</v>
      </c>
      <c r="P6807" s="158">
        <v>0</v>
      </c>
      <c r="Q6807" s="35" t="s">
        <v>154</v>
      </c>
    </row>
    <row r="6808" spans="1:17" s="162" customFormat="1" ht="72" x14ac:dyDescent="0.25">
      <c r="A6808" s="184">
        <v>42746</v>
      </c>
      <c r="B6808" s="184">
        <v>42746</v>
      </c>
      <c r="C6808" s="138">
        <v>2017</v>
      </c>
      <c r="D6808" s="24" t="s">
        <v>141</v>
      </c>
      <c r="E6808" s="30" t="s">
        <v>142</v>
      </c>
      <c r="F6808" s="7" t="s">
        <v>91</v>
      </c>
      <c r="G6808" s="33" t="s">
        <v>1682</v>
      </c>
      <c r="H6808" s="33" t="s">
        <v>9580</v>
      </c>
      <c r="I6808" s="157">
        <v>3</v>
      </c>
      <c r="J6808" s="142">
        <v>6</v>
      </c>
      <c r="K6808" s="142">
        <v>0</v>
      </c>
      <c r="L6808" s="142">
        <v>0</v>
      </c>
      <c r="M6808" s="142">
        <v>0</v>
      </c>
      <c r="N6808" s="142">
        <v>0</v>
      </c>
      <c r="O6808" s="142">
        <v>0</v>
      </c>
      <c r="P6808" s="158">
        <v>0</v>
      </c>
      <c r="Q6808" s="35" t="s">
        <v>154</v>
      </c>
    </row>
    <row r="6809" spans="1:17" s="162" customFormat="1" ht="72" x14ac:dyDescent="0.25">
      <c r="A6809" s="184">
        <v>42748</v>
      </c>
      <c r="B6809" s="184">
        <v>42748</v>
      </c>
      <c r="C6809" s="138">
        <v>2017</v>
      </c>
      <c r="D6809" s="24" t="s">
        <v>141</v>
      </c>
      <c r="E6809" s="30" t="s">
        <v>142</v>
      </c>
      <c r="F6809" s="7" t="s">
        <v>36</v>
      </c>
      <c r="G6809" s="33" t="s">
        <v>854</v>
      </c>
      <c r="H6809" s="33" t="s">
        <v>9581</v>
      </c>
      <c r="I6809" s="157">
        <v>2</v>
      </c>
      <c r="J6809" s="142">
        <v>32</v>
      </c>
      <c r="K6809" s="142">
        <v>0</v>
      </c>
      <c r="L6809" s="142">
        <v>0</v>
      </c>
      <c r="M6809" s="142">
        <v>0</v>
      </c>
      <c r="N6809" s="142">
        <v>0</v>
      </c>
      <c r="O6809" s="142">
        <v>0</v>
      </c>
      <c r="P6809" s="158">
        <v>0</v>
      </c>
      <c r="Q6809" s="35" t="s">
        <v>154</v>
      </c>
    </row>
    <row r="6810" spans="1:17" s="162" customFormat="1" ht="60" x14ac:dyDescent="0.25">
      <c r="A6810" s="184">
        <v>42753</v>
      </c>
      <c r="B6810" s="184">
        <v>42753</v>
      </c>
      <c r="C6810" s="138">
        <v>2017</v>
      </c>
      <c r="D6810" s="24" t="s">
        <v>141</v>
      </c>
      <c r="E6810" s="30" t="s">
        <v>142</v>
      </c>
      <c r="F6810" s="7" t="s">
        <v>36</v>
      </c>
      <c r="G6810" s="33" t="s">
        <v>7344</v>
      </c>
      <c r="H6810" s="33" t="s">
        <v>9582</v>
      </c>
      <c r="I6810" s="157">
        <v>2</v>
      </c>
      <c r="J6810" s="142">
        <v>2</v>
      </c>
      <c r="K6810" s="142">
        <v>0</v>
      </c>
      <c r="L6810" s="142">
        <v>0</v>
      </c>
      <c r="M6810" s="142">
        <v>0</v>
      </c>
      <c r="N6810" s="142">
        <v>0</v>
      </c>
      <c r="O6810" s="142">
        <v>0</v>
      </c>
      <c r="P6810" s="158">
        <v>0</v>
      </c>
      <c r="Q6810" s="35" t="s">
        <v>154</v>
      </c>
    </row>
    <row r="6811" spans="1:17" s="162" customFormat="1" ht="48" x14ac:dyDescent="0.25">
      <c r="A6811" s="184">
        <v>42758</v>
      </c>
      <c r="B6811" s="184">
        <v>42758</v>
      </c>
      <c r="C6811" s="138">
        <v>2017</v>
      </c>
      <c r="D6811" s="24" t="s">
        <v>141</v>
      </c>
      <c r="E6811" s="30" t="s">
        <v>142</v>
      </c>
      <c r="F6811" s="7" t="s">
        <v>68</v>
      </c>
      <c r="G6811" s="33" t="s">
        <v>556</v>
      </c>
      <c r="H6811" s="33" t="s">
        <v>9583</v>
      </c>
      <c r="I6811" s="157">
        <v>2</v>
      </c>
      <c r="J6811" s="142">
        <v>2</v>
      </c>
      <c r="K6811" s="142">
        <v>0</v>
      </c>
      <c r="L6811" s="142">
        <v>0</v>
      </c>
      <c r="M6811" s="142">
        <v>0</v>
      </c>
      <c r="N6811" s="142">
        <v>0</v>
      </c>
      <c r="O6811" s="142">
        <v>0</v>
      </c>
      <c r="P6811" s="158">
        <v>0</v>
      </c>
      <c r="Q6811" s="35" t="s">
        <v>154</v>
      </c>
    </row>
    <row r="6812" spans="1:17" s="162" customFormat="1" ht="72" x14ac:dyDescent="0.25">
      <c r="A6812" s="184">
        <v>42809</v>
      </c>
      <c r="B6812" s="184">
        <v>42809</v>
      </c>
      <c r="C6812" s="138">
        <v>2017</v>
      </c>
      <c r="D6812" s="24" t="s">
        <v>141</v>
      </c>
      <c r="E6812" s="41" t="s">
        <v>1965</v>
      </c>
      <c r="F6812" s="28" t="s">
        <v>157</v>
      </c>
      <c r="G6812" s="33" t="s">
        <v>1062</v>
      </c>
      <c r="H6812" s="33" t="s">
        <v>9584</v>
      </c>
      <c r="I6812" s="157">
        <v>1</v>
      </c>
      <c r="J6812" s="142">
        <v>4</v>
      </c>
      <c r="K6812" s="142">
        <v>0</v>
      </c>
      <c r="L6812" s="142">
        <v>0</v>
      </c>
      <c r="M6812" s="142">
        <v>0</v>
      </c>
      <c r="N6812" s="142">
        <v>0</v>
      </c>
      <c r="O6812" s="142">
        <v>0</v>
      </c>
      <c r="P6812" s="158">
        <v>0</v>
      </c>
      <c r="Q6812" s="35" t="s">
        <v>154</v>
      </c>
    </row>
    <row r="6813" spans="1:17" s="162" customFormat="1" ht="96" x14ac:dyDescent="0.25">
      <c r="A6813" s="184">
        <v>42835</v>
      </c>
      <c r="B6813" s="184">
        <v>42835</v>
      </c>
      <c r="C6813" s="138">
        <v>2017</v>
      </c>
      <c r="D6813" s="24" t="s">
        <v>141</v>
      </c>
      <c r="E6813" s="49" t="s">
        <v>1600</v>
      </c>
      <c r="F6813" s="28" t="s">
        <v>157</v>
      </c>
      <c r="G6813" s="33" t="s">
        <v>857</v>
      </c>
      <c r="H6813" s="33" t="s">
        <v>9585</v>
      </c>
      <c r="I6813" s="157">
        <v>6</v>
      </c>
      <c r="J6813" s="142">
        <v>41</v>
      </c>
      <c r="K6813" s="142">
        <v>0</v>
      </c>
      <c r="L6813" s="142">
        <v>0</v>
      </c>
      <c r="M6813" s="142">
        <v>0</v>
      </c>
      <c r="N6813" s="142">
        <v>1</v>
      </c>
      <c r="O6813" s="142">
        <v>0</v>
      </c>
      <c r="P6813" s="158">
        <v>0</v>
      </c>
      <c r="Q6813" s="35" t="s">
        <v>154</v>
      </c>
    </row>
    <row r="6814" spans="1:17" s="162" customFormat="1" ht="60" x14ac:dyDescent="0.25">
      <c r="A6814" s="184">
        <v>42884</v>
      </c>
      <c r="B6814" s="184">
        <v>42884</v>
      </c>
      <c r="C6814" s="138">
        <v>2017</v>
      </c>
      <c r="D6814" s="24" t="s">
        <v>141</v>
      </c>
      <c r="E6814" s="49" t="s">
        <v>1600</v>
      </c>
      <c r="F6814" s="28" t="s">
        <v>157</v>
      </c>
      <c r="G6814" s="33" t="s">
        <v>206</v>
      </c>
      <c r="H6814" s="33" t="s">
        <v>9586</v>
      </c>
      <c r="I6814" s="157">
        <v>1</v>
      </c>
      <c r="J6814" s="142">
        <v>3</v>
      </c>
      <c r="K6814" s="142">
        <v>0</v>
      </c>
      <c r="L6814" s="142">
        <v>0</v>
      </c>
      <c r="M6814" s="142">
        <v>0</v>
      </c>
      <c r="N6814" s="142">
        <v>0</v>
      </c>
      <c r="O6814" s="142">
        <v>0</v>
      </c>
      <c r="P6814" s="158">
        <v>0</v>
      </c>
      <c r="Q6814" s="35" t="s">
        <v>154</v>
      </c>
    </row>
    <row r="6815" spans="1:17" s="162" customFormat="1" ht="84" x14ac:dyDescent="0.25">
      <c r="A6815" s="184">
        <v>42759</v>
      </c>
      <c r="B6815" s="184">
        <v>42759</v>
      </c>
      <c r="C6815" s="138">
        <v>2017</v>
      </c>
      <c r="D6815" s="24" t="s">
        <v>141</v>
      </c>
      <c r="E6815" s="30" t="s">
        <v>142</v>
      </c>
      <c r="F6815" s="7" t="s">
        <v>60</v>
      </c>
      <c r="G6815" s="33" t="s">
        <v>8527</v>
      </c>
      <c r="H6815" s="33" t="s">
        <v>9587</v>
      </c>
      <c r="I6815" s="157">
        <v>2</v>
      </c>
      <c r="J6815" s="142">
        <v>5</v>
      </c>
      <c r="K6815" s="142">
        <v>0</v>
      </c>
      <c r="L6815" s="142">
        <v>0</v>
      </c>
      <c r="M6815" s="142">
        <v>0</v>
      </c>
      <c r="N6815" s="142">
        <v>0</v>
      </c>
      <c r="O6815" s="142">
        <v>0</v>
      </c>
      <c r="P6815" s="158">
        <v>0</v>
      </c>
      <c r="Q6815" s="35" t="s">
        <v>154</v>
      </c>
    </row>
    <row r="6816" spans="1:17" s="162" customFormat="1" ht="60" x14ac:dyDescent="0.25">
      <c r="A6816" s="184">
        <v>42759</v>
      </c>
      <c r="B6816" s="184">
        <v>42759</v>
      </c>
      <c r="C6816" s="138">
        <v>2017</v>
      </c>
      <c r="D6816" s="24" t="s">
        <v>141</v>
      </c>
      <c r="E6816" s="30" t="s">
        <v>142</v>
      </c>
      <c r="F6816" s="7" t="s">
        <v>68</v>
      </c>
      <c r="G6816" s="33" t="s">
        <v>2512</v>
      </c>
      <c r="H6816" s="33" t="s">
        <v>9588</v>
      </c>
      <c r="I6816" s="157">
        <v>0</v>
      </c>
      <c r="J6816" s="142">
        <v>20</v>
      </c>
      <c r="K6816" s="142">
        <v>0</v>
      </c>
      <c r="L6816" s="142">
        <v>0</v>
      </c>
      <c r="M6816" s="142">
        <v>0</v>
      </c>
      <c r="N6816" s="142">
        <v>0</v>
      </c>
      <c r="O6816" s="142">
        <v>0</v>
      </c>
      <c r="P6816" s="158">
        <v>0</v>
      </c>
      <c r="Q6816" s="35" t="s">
        <v>154</v>
      </c>
    </row>
    <row r="6817" spans="1:17" s="162" customFormat="1" ht="120" x14ac:dyDescent="0.25">
      <c r="A6817" s="184">
        <v>43027</v>
      </c>
      <c r="B6817" s="184">
        <v>43027</v>
      </c>
      <c r="C6817" s="138">
        <v>2017</v>
      </c>
      <c r="D6817" s="24" t="s">
        <v>141</v>
      </c>
      <c r="E6817" s="41" t="s">
        <v>1965</v>
      </c>
      <c r="F6817" s="7" t="s">
        <v>45</v>
      </c>
      <c r="G6817" s="33" t="s">
        <v>1696</v>
      </c>
      <c r="H6817" s="33" t="s">
        <v>9589</v>
      </c>
      <c r="I6817" s="157">
        <v>2</v>
      </c>
      <c r="J6817" s="142">
        <v>7</v>
      </c>
      <c r="K6817" s="142">
        <v>0</v>
      </c>
      <c r="L6817" s="142">
        <v>0</v>
      </c>
      <c r="M6817" s="142">
        <v>0</v>
      </c>
      <c r="N6817" s="142">
        <v>1</v>
      </c>
      <c r="O6817" s="142">
        <v>0</v>
      </c>
      <c r="P6817" s="158">
        <v>0</v>
      </c>
      <c r="Q6817" s="35" t="s">
        <v>154</v>
      </c>
    </row>
    <row r="6818" spans="1:17" s="162" customFormat="1" ht="84" x14ac:dyDescent="0.25">
      <c r="A6818" s="184">
        <v>42770</v>
      </c>
      <c r="B6818" s="184">
        <v>42770</v>
      </c>
      <c r="C6818" s="138">
        <v>2017</v>
      </c>
      <c r="D6818" s="24" t="s">
        <v>141</v>
      </c>
      <c r="E6818" s="30" t="s">
        <v>142</v>
      </c>
      <c r="F6818" s="7" t="s">
        <v>60</v>
      </c>
      <c r="G6818" s="280" t="s">
        <v>5185</v>
      </c>
      <c r="H6818" s="33" t="s">
        <v>9590</v>
      </c>
      <c r="I6818" s="157">
        <v>1</v>
      </c>
      <c r="J6818" s="142">
        <v>24</v>
      </c>
      <c r="K6818" s="142">
        <v>0</v>
      </c>
      <c r="L6818" s="142">
        <v>0</v>
      </c>
      <c r="M6818" s="142">
        <v>0</v>
      </c>
      <c r="N6818" s="142">
        <v>0</v>
      </c>
      <c r="O6818" s="142">
        <v>0</v>
      </c>
      <c r="P6818" s="158">
        <v>0</v>
      </c>
      <c r="Q6818" s="35" t="s">
        <v>154</v>
      </c>
    </row>
    <row r="6819" spans="1:17" s="162" customFormat="1" ht="120" x14ac:dyDescent="0.25">
      <c r="A6819" s="184">
        <v>42775</v>
      </c>
      <c r="B6819" s="184">
        <v>42775</v>
      </c>
      <c r="C6819" s="138">
        <v>2017</v>
      </c>
      <c r="D6819" s="24" t="s">
        <v>141</v>
      </c>
      <c r="E6819" s="30" t="s">
        <v>142</v>
      </c>
      <c r="F6819" s="7" t="s">
        <v>60</v>
      </c>
      <c r="G6819" s="33" t="s">
        <v>2599</v>
      </c>
      <c r="H6819" s="33" t="s">
        <v>9591</v>
      </c>
      <c r="I6819" s="157">
        <v>1</v>
      </c>
      <c r="J6819" s="142">
        <v>15</v>
      </c>
      <c r="K6819" s="142">
        <v>0</v>
      </c>
      <c r="L6819" s="142">
        <v>0</v>
      </c>
      <c r="M6819" s="142">
        <v>0</v>
      </c>
      <c r="N6819" s="142">
        <v>0</v>
      </c>
      <c r="O6819" s="142">
        <v>0</v>
      </c>
      <c r="P6819" s="158">
        <v>0</v>
      </c>
      <c r="Q6819" s="35" t="s">
        <v>154</v>
      </c>
    </row>
    <row r="6820" spans="1:17" s="162" customFormat="1" ht="72" x14ac:dyDescent="0.25">
      <c r="A6820" s="184">
        <v>42776</v>
      </c>
      <c r="B6820" s="184">
        <v>42776</v>
      </c>
      <c r="C6820" s="138">
        <v>2017</v>
      </c>
      <c r="D6820" s="24" t="s">
        <v>141</v>
      </c>
      <c r="E6820" s="30" t="s">
        <v>142</v>
      </c>
      <c r="F6820" s="7" t="s">
        <v>60</v>
      </c>
      <c r="G6820" s="33" t="s">
        <v>1276</v>
      </c>
      <c r="H6820" s="33" t="s">
        <v>9592</v>
      </c>
      <c r="I6820" s="157">
        <v>8</v>
      </c>
      <c r="J6820" s="142">
        <v>23</v>
      </c>
      <c r="K6820" s="142">
        <v>0</v>
      </c>
      <c r="L6820" s="142">
        <v>0</v>
      </c>
      <c r="M6820" s="142">
        <v>0</v>
      </c>
      <c r="N6820" s="142">
        <v>0</v>
      </c>
      <c r="O6820" s="142">
        <v>0</v>
      </c>
      <c r="P6820" s="158">
        <v>0</v>
      </c>
      <c r="Q6820" s="35" t="s">
        <v>154</v>
      </c>
    </row>
    <row r="6821" spans="1:17" s="162" customFormat="1" ht="60" x14ac:dyDescent="0.25">
      <c r="A6821" s="184">
        <v>42781</v>
      </c>
      <c r="B6821" s="184">
        <v>42781</v>
      </c>
      <c r="C6821" s="138">
        <v>2017</v>
      </c>
      <c r="D6821" s="24" t="s">
        <v>141</v>
      </c>
      <c r="E6821" s="30" t="s">
        <v>142</v>
      </c>
      <c r="F6821" s="28" t="s">
        <v>160</v>
      </c>
      <c r="G6821" s="33" t="s">
        <v>9593</v>
      </c>
      <c r="H6821" s="33" t="s">
        <v>9594</v>
      </c>
      <c r="I6821" s="157">
        <v>1</v>
      </c>
      <c r="J6821" s="142">
        <v>26</v>
      </c>
      <c r="K6821" s="142">
        <v>0</v>
      </c>
      <c r="L6821" s="142">
        <v>0</v>
      </c>
      <c r="M6821" s="142">
        <v>0</v>
      </c>
      <c r="N6821" s="142">
        <v>0</v>
      </c>
      <c r="O6821" s="142">
        <v>0</v>
      </c>
      <c r="P6821" s="158">
        <v>0</v>
      </c>
      <c r="Q6821" s="35" t="s">
        <v>154</v>
      </c>
    </row>
    <row r="6822" spans="1:17" s="162" customFormat="1" ht="72" x14ac:dyDescent="0.25">
      <c r="A6822" s="184">
        <v>42799</v>
      </c>
      <c r="B6822" s="184">
        <v>42799</v>
      </c>
      <c r="C6822" s="138">
        <v>2017</v>
      </c>
      <c r="D6822" s="24" t="s">
        <v>141</v>
      </c>
      <c r="E6822" s="30" t="s">
        <v>142</v>
      </c>
      <c r="F6822" s="28" t="s">
        <v>163</v>
      </c>
      <c r="G6822" s="33" t="s">
        <v>9595</v>
      </c>
      <c r="H6822" s="33" t="s">
        <v>9596</v>
      </c>
      <c r="I6822" s="157">
        <v>5</v>
      </c>
      <c r="J6822" s="142">
        <v>5</v>
      </c>
      <c r="K6822" s="142">
        <v>0</v>
      </c>
      <c r="L6822" s="142">
        <v>0</v>
      </c>
      <c r="M6822" s="142">
        <v>0</v>
      </c>
      <c r="N6822" s="142">
        <v>0</v>
      </c>
      <c r="O6822" s="142">
        <v>0</v>
      </c>
      <c r="P6822" s="158">
        <v>0</v>
      </c>
      <c r="Q6822" s="35" t="s">
        <v>154</v>
      </c>
    </row>
    <row r="6823" spans="1:17" s="162" customFormat="1" ht="96" x14ac:dyDescent="0.25">
      <c r="A6823" s="184">
        <v>42922</v>
      </c>
      <c r="B6823" s="184">
        <v>42922</v>
      </c>
      <c r="C6823" s="138">
        <v>2017</v>
      </c>
      <c r="D6823" s="24" t="s">
        <v>141</v>
      </c>
      <c r="E6823" s="41" t="s">
        <v>1965</v>
      </c>
      <c r="F6823" s="7" t="s">
        <v>56</v>
      </c>
      <c r="G6823" s="33" t="s">
        <v>358</v>
      </c>
      <c r="H6823" s="33" t="s">
        <v>9597</v>
      </c>
      <c r="I6823" s="157">
        <v>3</v>
      </c>
      <c r="J6823" s="142">
        <v>4</v>
      </c>
      <c r="K6823" s="142">
        <v>0</v>
      </c>
      <c r="L6823" s="142">
        <v>0</v>
      </c>
      <c r="M6823" s="142">
        <v>0</v>
      </c>
      <c r="N6823" s="142">
        <v>0</v>
      </c>
      <c r="O6823" s="142">
        <v>0</v>
      </c>
      <c r="P6823" s="158">
        <v>0</v>
      </c>
      <c r="Q6823" s="35" t="s">
        <v>154</v>
      </c>
    </row>
    <row r="6824" spans="1:17" s="162" customFormat="1" ht="48" x14ac:dyDescent="0.25">
      <c r="A6824" s="184">
        <v>42804</v>
      </c>
      <c r="B6824" s="184">
        <v>42804</v>
      </c>
      <c r="C6824" s="138">
        <v>2017</v>
      </c>
      <c r="D6824" s="24" t="s">
        <v>141</v>
      </c>
      <c r="E6824" s="30" t="s">
        <v>142</v>
      </c>
      <c r="F6824" s="7" t="s">
        <v>53</v>
      </c>
      <c r="G6824" s="33" t="s">
        <v>2658</v>
      </c>
      <c r="H6824" s="33" t="s">
        <v>9598</v>
      </c>
      <c r="I6824" s="157">
        <v>0</v>
      </c>
      <c r="J6824" s="142">
        <v>10</v>
      </c>
      <c r="K6824" s="142">
        <v>0</v>
      </c>
      <c r="L6824" s="142">
        <v>0</v>
      </c>
      <c r="M6824" s="142">
        <v>0</v>
      </c>
      <c r="N6824" s="142">
        <v>0</v>
      </c>
      <c r="O6824" s="142">
        <v>0</v>
      </c>
      <c r="P6824" s="158">
        <v>0</v>
      </c>
      <c r="Q6824" s="35" t="s">
        <v>154</v>
      </c>
    </row>
    <row r="6825" spans="1:17" s="162" customFormat="1" ht="84" x14ac:dyDescent="0.25">
      <c r="A6825" s="184">
        <v>42805</v>
      </c>
      <c r="B6825" s="184">
        <v>42805</v>
      </c>
      <c r="C6825" s="138">
        <v>2017</v>
      </c>
      <c r="D6825" s="24" t="s">
        <v>141</v>
      </c>
      <c r="E6825" s="30" t="s">
        <v>142</v>
      </c>
      <c r="F6825" s="28" t="s">
        <v>210</v>
      </c>
      <c r="G6825" s="33" t="s">
        <v>2292</v>
      </c>
      <c r="H6825" s="33" t="s">
        <v>9599</v>
      </c>
      <c r="I6825" s="157">
        <v>0</v>
      </c>
      <c r="J6825" s="142">
        <v>18</v>
      </c>
      <c r="K6825" s="142">
        <v>0</v>
      </c>
      <c r="L6825" s="142">
        <v>0</v>
      </c>
      <c r="M6825" s="142">
        <v>0</v>
      </c>
      <c r="N6825" s="142">
        <v>0</v>
      </c>
      <c r="O6825" s="142">
        <v>0</v>
      </c>
      <c r="P6825" s="158">
        <v>0</v>
      </c>
      <c r="Q6825" s="35" t="s">
        <v>154</v>
      </c>
    </row>
    <row r="6826" spans="1:17" s="162" customFormat="1" ht="72" x14ac:dyDescent="0.25">
      <c r="A6826" s="184">
        <v>42807</v>
      </c>
      <c r="B6826" s="184">
        <v>42807</v>
      </c>
      <c r="C6826" s="138">
        <v>2017</v>
      </c>
      <c r="D6826" s="24" t="s">
        <v>141</v>
      </c>
      <c r="E6826" s="30" t="s">
        <v>142</v>
      </c>
      <c r="F6826" s="28" t="s">
        <v>210</v>
      </c>
      <c r="G6826" s="33" t="s">
        <v>6785</v>
      </c>
      <c r="H6826" s="33" t="s">
        <v>9600</v>
      </c>
      <c r="I6826" s="157">
        <v>2</v>
      </c>
      <c r="J6826" s="142">
        <v>24</v>
      </c>
      <c r="K6826" s="142">
        <v>0</v>
      </c>
      <c r="L6826" s="142">
        <v>0</v>
      </c>
      <c r="M6826" s="142">
        <v>0</v>
      </c>
      <c r="N6826" s="142">
        <v>0</v>
      </c>
      <c r="O6826" s="142">
        <v>0</v>
      </c>
      <c r="P6826" s="158">
        <v>0</v>
      </c>
      <c r="Q6826" s="35" t="s">
        <v>154</v>
      </c>
    </row>
    <row r="6827" spans="1:17" s="162" customFormat="1" ht="72" x14ac:dyDescent="0.25">
      <c r="A6827" s="184">
        <v>42808</v>
      </c>
      <c r="B6827" s="184">
        <v>42808</v>
      </c>
      <c r="C6827" s="138">
        <v>2017</v>
      </c>
      <c r="D6827" s="24" t="s">
        <v>141</v>
      </c>
      <c r="E6827" s="30" t="s">
        <v>142</v>
      </c>
      <c r="F6827" s="7" t="s">
        <v>75</v>
      </c>
      <c r="G6827" s="33" t="s">
        <v>9601</v>
      </c>
      <c r="H6827" s="33" t="s">
        <v>9602</v>
      </c>
      <c r="I6827" s="157">
        <v>0</v>
      </c>
      <c r="J6827" s="142">
        <v>8</v>
      </c>
      <c r="K6827" s="142">
        <v>0</v>
      </c>
      <c r="L6827" s="142">
        <v>0</v>
      </c>
      <c r="M6827" s="142">
        <v>0</v>
      </c>
      <c r="N6827" s="142">
        <v>0</v>
      </c>
      <c r="O6827" s="142">
        <v>0</v>
      </c>
      <c r="P6827" s="158">
        <v>0</v>
      </c>
      <c r="Q6827" s="35" t="s">
        <v>154</v>
      </c>
    </row>
    <row r="6828" spans="1:17" s="162" customFormat="1" ht="84" x14ac:dyDescent="0.25">
      <c r="A6828" s="184">
        <v>42810</v>
      </c>
      <c r="B6828" s="184">
        <v>42810</v>
      </c>
      <c r="C6828" s="138">
        <v>2017</v>
      </c>
      <c r="D6828" s="24" t="s">
        <v>141</v>
      </c>
      <c r="E6828" s="30" t="s">
        <v>142</v>
      </c>
      <c r="F6828" s="7" t="s">
        <v>45</v>
      </c>
      <c r="G6828" s="33" t="s">
        <v>259</v>
      </c>
      <c r="H6828" s="33" t="s">
        <v>9603</v>
      </c>
      <c r="I6828" s="157">
        <v>3</v>
      </c>
      <c r="J6828" s="142">
        <v>13</v>
      </c>
      <c r="K6828" s="142">
        <v>0</v>
      </c>
      <c r="L6828" s="142">
        <v>0</v>
      </c>
      <c r="M6828" s="142">
        <v>0</v>
      </c>
      <c r="N6828" s="142">
        <v>0</v>
      </c>
      <c r="O6828" s="142">
        <v>0</v>
      </c>
      <c r="P6828" s="158">
        <v>0</v>
      </c>
      <c r="Q6828" s="35" t="s">
        <v>154</v>
      </c>
    </row>
    <row r="6829" spans="1:17" s="162" customFormat="1" ht="96" x14ac:dyDescent="0.25">
      <c r="A6829" s="184">
        <v>42810</v>
      </c>
      <c r="B6829" s="184">
        <v>42810</v>
      </c>
      <c r="C6829" s="138">
        <v>2017</v>
      </c>
      <c r="D6829" s="24" t="s">
        <v>141</v>
      </c>
      <c r="E6829" s="30" t="s">
        <v>142</v>
      </c>
      <c r="F6829" s="7" t="s">
        <v>60</v>
      </c>
      <c r="G6829" s="33" t="s">
        <v>5751</v>
      </c>
      <c r="H6829" s="33" t="s">
        <v>9604</v>
      </c>
      <c r="I6829" s="157">
        <v>1</v>
      </c>
      <c r="J6829" s="142">
        <v>21</v>
      </c>
      <c r="K6829" s="142">
        <v>0</v>
      </c>
      <c r="L6829" s="142">
        <v>0</v>
      </c>
      <c r="M6829" s="142">
        <v>0</v>
      </c>
      <c r="N6829" s="142">
        <v>0</v>
      </c>
      <c r="O6829" s="142">
        <v>0</v>
      </c>
      <c r="P6829" s="158">
        <v>0</v>
      </c>
      <c r="Q6829" s="35" t="s">
        <v>154</v>
      </c>
    </row>
    <row r="6830" spans="1:17" s="162" customFormat="1" ht="72" x14ac:dyDescent="0.25">
      <c r="A6830" s="184">
        <v>42816</v>
      </c>
      <c r="B6830" s="184">
        <v>42816</v>
      </c>
      <c r="C6830" s="138">
        <v>2017</v>
      </c>
      <c r="D6830" s="24" t="s">
        <v>141</v>
      </c>
      <c r="E6830" s="30" t="s">
        <v>142</v>
      </c>
      <c r="F6830" s="7" t="s">
        <v>56</v>
      </c>
      <c r="G6830" s="33" t="s">
        <v>7626</v>
      </c>
      <c r="H6830" s="33" t="s">
        <v>9605</v>
      </c>
      <c r="I6830" s="157">
        <v>0</v>
      </c>
      <c r="J6830" s="142">
        <v>31</v>
      </c>
      <c r="K6830" s="142">
        <v>0</v>
      </c>
      <c r="L6830" s="142">
        <v>0</v>
      </c>
      <c r="M6830" s="142">
        <v>0</v>
      </c>
      <c r="N6830" s="142">
        <v>0</v>
      </c>
      <c r="O6830" s="142">
        <v>0</v>
      </c>
      <c r="P6830" s="158">
        <v>0</v>
      </c>
      <c r="Q6830" s="35" t="s">
        <v>154</v>
      </c>
    </row>
    <row r="6831" spans="1:17" s="162" customFormat="1" ht="60" x14ac:dyDescent="0.25">
      <c r="A6831" s="184">
        <v>42818</v>
      </c>
      <c r="B6831" s="184">
        <v>42818</v>
      </c>
      <c r="C6831" s="138">
        <v>2017</v>
      </c>
      <c r="D6831" s="24" t="s">
        <v>141</v>
      </c>
      <c r="E6831" s="30" t="s">
        <v>142</v>
      </c>
      <c r="F6831" s="7" t="s">
        <v>62</v>
      </c>
      <c r="G6831" s="33" t="s">
        <v>474</v>
      </c>
      <c r="H6831" s="33" t="s">
        <v>9606</v>
      </c>
      <c r="I6831" s="157">
        <v>0</v>
      </c>
      <c r="J6831" s="142">
        <v>18</v>
      </c>
      <c r="K6831" s="142">
        <v>0</v>
      </c>
      <c r="L6831" s="142">
        <v>0</v>
      </c>
      <c r="M6831" s="142">
        <v>0</v>
      </c>
      <c r="N6831" s="142">
        <v>0</v>
      </c>
      <c r="O6831" s="142">
        <v>0</v>
      </c>
      <c r="P6831" s="158">
        <v>0</v>
      </c>
      <c r="Q6831" s="35" t="s">
        <v>154</v>
      </c>
    </row>
    <row r="6832" spans="1:17" s="162" customFormat="1" ht="84" x14ac:dyDescent="0.25">
      <c r="A6832" s="184">
        <v>42820</v>
      </c>
      <c r="B6832" s="184">
        <v>42820</v>
      </c>
      <c r="C6832" s="138">
        <v>2017</v>
      </c>
      <c r="D6832" s="24" t="s">
        <v>141</v>
      </c>
      <c r="E6832" s="30" t="s">
        <v>142</v>
      </c>
      <c r="F6832" s="7" t="s">
        <v>77</v>
      </c>
      <c r="G6832" s="33" t="s">
        <v>9607</v>
      </c>
      <c r="H6832" s="33" t="s">
        <v>9608</v>
      </c>
      <c r="I6832" s="157">
        <v>0</v>
      </c>
      <c r="J6832" s="142">
        <v>15</v>
      </c>
      <c r="K6832" s="142">
        <v>0</v>
      </c>
      <c r="L6832" s="142">
        <v>0</v>
      </c>
      <c r="M6832" s="142">
        <v>0</v>
      </c>
      <c r="N6832" s="142">
        <v>0</v>
      </c>
      <c r="O6832" s="142">
        <v>0</v>
      </c>
      <c r="P6832" s="158">
        <v>0</v>
      </c>
      <c r="Q6832" s="35" t="s">
        <v>154</v>
      </c>
    </row>
    <row r="6833" spans="1:17" s="162" customFormat="1" ht="48" x14ac:dyDescent="0.25">
      <c r="A6833" s="184">
        <v>42821</v>
      </c>
      <c r="B6833" s="184">
        <v>42821</v>
      </c>
      <c r="C6833" s="138">
        <v>2017</v>
      </c>
      <c r="D6833" s="24" t="s">
        <v>141</v>
      </c>
      <c r="E6833" s="30" t="s">
        <v>142</v>
      </c>
      <c r="F6833" s="28" t="s">
        <v>160</v>
      </c>
      <c r="G6833" s="33" t="s">
        <v>9609</v>
      </c>
      <c r="H6833" s="33" t="s">
        <v>9610</v>
      </c>
      <c r="I6833" s="157">
        <v>1</v>
      </c>
      <c r="J6833" s="142">
        <v>24</v>
      </c>
      <c r="K6833" s="142">
        <v>0</v>
      </c>
      <c r="L6833" s="142">
        <v>0</v>
      </c>
      <c r="M6833" s="142">
        <v>0</v>
      </c>
      <c r="N6833" s="142">
        <v>0</v>
      </c>
      <c r="O6833" s="142">
        <v>0</v>
      </c>
      <c r="P6833" s="158">
        <v>0</v>
      </c>
      <c r="Q6833" s="35" t="s">
        <v>154</v>
      </c>
    </row>
    <row r="6834" spans="1:17" s="162" customFormat="1" ht="60" x14ac:dyDescent="0.25">
      <c r="A6834" s="184">
        <v>42824</v>
      </c>
      <c r="B6834" s="184">
        <v>42824</v>
      </c>
      <c r="C6834" s="138">
        <v>2017</v>
      </c>
      <c r="D6834" s="24" t="s">
        <v>141</v>
      </c>
      <c r="E6834" s="30" t="s">
        <v>142</v>
      </c>
      <c r="F6834" s="7" t="s">
        <v>53</v>
      </c>
      <c r="G6834" s="33" t="s">
        <v>2776</v>
      </c>
      <c r="H6834" s="33" t="s">
        <v>9611</v>
      </c>
      <c r="I6834" s="157">
        <v>1</v>
      </c>
      <c r="J6834" s="142">
        <v>1</v>
      </c>
      <c r="K6834" s="142">
        <v>0</v>
      </c>
      <c r="L6834" s="142">
        <v>0</v>
      </c>
      <c r="M6834" s="142">
        <v>0</v>
      </c>
      <c r="N6834" s="142">
        <v>0</v>
      </c>
      <c r="O6834" s="142">
        <v>0</v>
      </c>
      <c r="P6834" s="158">
        <v>0</v>
      </c>
      <c r="Q6834" s="35" t="s">
        <v>154</v>
      </c>
    </row>
    <row r="6835" spans="1:17" s="162" customFormat="1" ht="36" x14ac:dyDescent="0.25">
      <c r="A6835" s="184">
        <v>42827</v>
      </c>
      <c r="B6835" s="184">
        <v>42827</v>
      </c>
      <c r="C6835" s="138">
        <v>2017</v>
      </c>
      <c r="D6835" s="24" t="s">
        <v>141</v>
      </c>
      <c r="E6835" s="30" t="s">
        <v>142</v>
      </c>
      <c r="F6835" s="7" t="s">
        <v>58</v>
      </c>
      <c r="G6835" s="33" t="s">
        <v>6908</v>
      </c>
      <c r="H6835" s="33" t="s">
        <v>9612</v>
      </c>
      <c r="I6835" s="157">
        <v>7</v>
      </c>
      <c r="J6835" s="142">
        <v>29</v>
      </c>
      <c r="K6835" s="142">
        <v>0</v>
      </c>
      <c r="L6835" s="142">
        <v>0</v>
      </c>
      <c r="M6835" s="142">
        <v>0</v>
      </c>
      <c r="N6835" s="142">
        <v>0</v>
      </c>
      <c r="O6835" s="142">
        <v>0</v>
      </c>
      <c r="P6835" s="158">
        <v>0</v>
      </c>
      <c r="Q6835" s="35" t="s">
        <v>154</v>
      </c>
    </row>
    <row r="6836" spans="1:17" s="162" customFormat="1" ht="48" x14ac:dyDescent="0.25">
      <c r="A6836" s="184">
        <v>42830</v>
      </c>
      <c r="B6836" s="184">
        <v>42830</v>
      </c>
      <c r="C6836" s="138">
        <v>2017</v>
      </c>
      <c r="D6836" s="24" t="s">
        <v>141</v>
      </c>
      <c r="E6836" s="30" t="s">
        <v>142</v>
      </c>
      <c r="F6836" s="7" t="s">
        <v>56</v>
      </c>
      <c r="G6836" s="33" t="s">
        <v>2731</v>
      </c>
      <c r="H6836" s="33" t="s">
        <v>9613</v>
      </c>
      <c r="I6836" s="157">
        <v>6</v>
      </c>
      <c r="J6836" s="142">
        <v>6</v>
      </c>
      <c r="K6836" s="142">
        <v>0</v>
      </c>
      <c r="L6836" s="142">
        <v>0</v>
      </c>
      <c r="M6836" s="142">
        <v>0</v>
      </c>
      <c r="N6836" s="142">
        <v>0</v>
      </c>
      <c r="O6836" s="142">
        <v>0</v>
      </c>
      <c r="P6836" s="158">
        <v>0</v>
      </c>
      <c r="Q6836" s="35" t="s">
        <v>154</v>
      </c>
    </row>
    <row r="6837" spans="1:17" s="162" customFormat="1" ht="84" x14ac:dyDescent="0.25">
      <c r="A6837" s="184">
        <v>42844</v>
      </c>
      <c r="B6837" s="184">
        <v>42844</v>
      </c>
      <c r="C6837" s="138">
        <v>2017</v>
      </c>
      <c r="D6837" s="24" t="s">
        <v>141</v>
      </c>
      <c r="E6837" s="30" t="s">
        <v>142</v>
      </c>
      <c r="F6837" s="7" t="s">
        <v>53</v>
      </c>
      <c r="G6837" s="33" t="s">
        <v>2975</v>
      </c>
      <c r="H6837" s="33" t="s">
        <v>9614</v>
      </c>
      <c r="I6837" s="157">
        <v>1</v>
      </c>
      <c r="J6837" s="142">
        <v>1</v>
      </c>
      <c r="K6837" s="142">
        <v>0</v>
      </c>
      <c r="L6837" s="142">
        <v>0</v>
      </c>
      <c r="M6837" s="142">
        <v>0</v>
      </c>
      <c r="N6837" s="142">
        <v>4</v>
      </c>
      <c r="O6837" s="142">
        <v>0</v>
      </c>
      <c r="P6837" s="158">
        <v>0</v>
      </c>
      <c r="Q6837" s="35" t="s">
        <v>154</v>
      </c>
    </row>
    <row r="6838" spans="1:17" s="162" customFormat="1" ht="84" x14ac:dyDescent="0.25">
      <c r="A6838" s="184">
        <v>42850</v>
      </c>
      <c r="B6838" s="184">
        <v>42850</v>
      </c>
      <c r="C6838" s="138">
        <v>2017</v>
      </c>
      <c r="D6838" s="24" t="s">
        <v>141</v>
      </c>
      <c r="E6838" s="30" t="s">
        <v>142</v>
      </c>
      <c r="F6838" s="7" t="s">
        <v>60</v>
      </c>
      <c r="G6838" s="33" t="s">
        <v>9615</v>
      </c>
      <c r="H6838" s="33" t="s">
        <v>9616</v>
      </c>
      <c r="I6838" s="157">
        <v>2</v>
      </c>
      <c r="J6838" s="142">
        <v>4</v>
      </c>
      <c r="K6838" s="142">
        <v>0</v>
      </c>
      <c r="L6838" s="142">
        <v>0</v>
      </c>
      <c r="M6838" s="142">
        <v>0</v>
      </c>
      <c r="N6838" s="142">
        <v>0</v>
      </c>
      <c r="O6838" s="142">
        <v>0</v>
      </c>
      <c r="P6838" s="158">
        <v>0</v>
      </c>
      <c r="Q6838" s="35" t="s">
        <v>154</v>
      </c>
    </row>
    <row r="6839" spans="1:17" s="162" customFormat="1" ht="96" x14ac:dyDescent="0.25">
      <c r="A6839" s="184">
        <v>42862</v>
      </c>
      <c r="B6839" s="184">
        <v>42862</v>
      </c>
      <c r="C6839" s="138">
        <v>2017</v>
      </c>
      <c r="D6839" s="24" t="s">
        <v>141</v>
      </c>
      <c r="E6839" s="30" t="s">
        <v>142</v>
      </c>
      <c r="F6839" s="28" t="s">
        <v>210</v>
      </c>
      <c r="G6839" s="33" t="s">
        <v>6073</v>
      </c>
      <c r="H6839" s="33" t="s">
        <v>9617</v>
      </c>
      <c r="I6839" s="157">
        <v>3</v>
      </c>
      <c r="J6839" s="142">
        <v>17</v>
      </c>
      <c r="K6839" s="142">
        <v>0</v>
      </c>
      <c r="L6839" s="142">
        <v>0</v>
      </c>
      <c r="M6839" s="142">
        <v>0</v>
      </c>
      <c r="N6839" s="142">
        <v>0</v>
      </c>
      <c r="O6839" s="142">
        <v>0</v>
      </c>
      <c r="P6839" s="158">
        <v>0</v>
      </c>
      <c r="Q6839" s="35" t="s">
        <v>154</v>
      </c>
    </row>
    <row r="6840" spans="1:17" s="162" customFormat="1" ht="72" x14ac:dyDescent="0.25">
      <c r="A6840" s="184">
        <v>42865</v>
      </c>
      <c r="B6840" s="184">
        <v>42865</v>
      </c>
      <c r="C6840" s="138">
        <v>2017</v>
      </c>
      <c r="D6840" s="24" t="s">
        <v>141</v>
      </c>
      <c r="E6840" s="30" t="s">
        <v>142</v>
      </c>
      <c r="F6840" s="7" t="s">
        <v>53</v>
      </c>
      <c r="G6840" s="33" t="s">
        <v>6359</v>
      </c>
      <c r="H6840" s="33" t="s">
        <v>9618</v>
      </c>
      <c r="I6840" s="157">
        <v>3</v>
      </c>
      <c r="J6840" s="142">
        <v>14</v>
      </c>
      <c r="K6840" s="142">
        <v>0</v>
      </c>
      <c r="L6840" s="142">
        <v>0</v>
      </c>
      <c r="M6840" s="142">
        <v>0</v>
      </c>
      <c r="N6840" s="142">
        <v>0</v>
      </c>
      <c r="O6840" s="142">
        <v>0</v>
      </c>
      <c r="P6840" s="158">
        <v>0</v>
      </c>
      <c r="Q6840" s="35" t="s">
        <v>154</v>
      </c>
    </row>
    <row r="6841" spans="1:17" s="162" customFormat="1" ht="108" x14ac:dyDescent="0.25">
      <c r="A6841" s="184">
        <v>42865</v>
      </c>
      <c r="B6841" s="184">
        <v>42865</v>
      </c>
      <c r="C6841" s="138">
        <v>2017</v>
      </c>
      <c r="D6841" s="24" t="s">
        <v>141</v>
      </c>
      <c r="E6841" s="30" t="s">
        <v>142</v>
      </c>
      <c r="F6841" s="7" t="s">
        <v>82</v>
      </c>
      <c r="G6841" s="33" t="s">
        <v>191</v>
      </c>
      <c r="H6841" s="33" t="s">
        <v>9619</v>
      </c>
      <c r="I6841" s="157">
        <v>1</v>
      </c>
      <c r="J6841" s="142">
        <v>2</v>
      </c>
      <c r="K6841" s="142">
        <v>0</v>
      </c>
      <c r="L6841" s="142">
        <v>0</v>
      </c>
      <c r="M6841" s="142">
        <v>0</v>
      </c>
      <c r="N6841" s="142">
        <v>0</v>
      </c>
      <c r="O6841" s="142">
        <v>0</v>
      </c>
      <c r="P6841" s="158">
        <v>0</v>
      </c>
      <c r="Q6841" s="35" t="s">
        <v>154</v>
      </c>
    </row>
    <row r="6842" spans="1:17" s="162" customFormat="1" ht="84" x14ac:dyDescent="0.25">
      <c r="A6842" s="184">
        <v>42871</v>
      </c>
      <c r="B6842" s="184">
        <v>42871</v>
      </c>
      <c r="C6842" s="138">
        <v>2017</v>
      </c>
      <c r="D6842" s="24" t="s">
        <v>141</v>
      </c>
      <c r="E6842" s="30" t="s">
        <v>142</v>
      </c>
      <c r="F6842" s="7" t="s">
        <v>84</v>
      </c>
      <c r="G6842" s="33" t="s">
        <v>3161</v>
      </c>
      <c r="H6842" s="33" t="s">
        <v>9620</v>
      </c>
      <c r="I6842" s="157">
        <v>2</v>
      </c>
      <c r="J6842" s="142">
        <v>13</v>
      </c>
      <c r="K6842" s="142">
        <v>0</v>
      </c>
      <c r="L6842" s="142">
        <v>0</v>
      </c>
      <c r="M6842" s="142">
        <v>0</v>
      </c>
      <c r="N6842" s="142">
        <v>0</v>
      </c>
      <c r="O6842" s="142">
        <v>0</v>
      </c>
      <c r="P6842" s="158">
        <v>0</v>
      </c>
      <c r="Q6842" s="35" t="s">
        <v>154</v>
      </c>
    </row>
    <row r="6843" spans="1:17" s="162" customFormat="1" ht="60" x14ac:dyDescent="0.25">
      <c r="A6843" s="184">
        <v>42872</v>
      </c>
      <c r="B6843" s="184">
        <v>42872</v>
      </c>
      <c r="C6843" s="138">
        <v>2017</v>
      </c>
      <c r="D6843" s="24" t="s">
        <v>141</v>
      </c>
      <c r="E6843" s="30" t="s">
        <v>142</v>
      </c>
      <c r="F6843" s="7" t="s">
        <v>53</v>
      </c>
      <c r="G6843" s="33" t="s">
        <v>1236</v>
      </c>
      <c r="H6843" s="33" t="s">
        <v>9621</v>
      </c>
      <c r="I6843" s="157">
        <v>3</v>
      </c>
      <c r="J6843" s="142">
        <v>3</v>
      </c>
      <c r="K6843" s="142">
        <v>0</v>
      </c>
      <c r="L6843" s="142">
        <v>0</v>
      </c>
      <c r="M6843" s="142">
        <v>0</v>
      </c>
      <c r="N6843" s="142">
        <v>0</v>
      </c>
      <c r="O6843" s="142">
        <v>0</v>
      </c>
      <c r="P6843" s="158">
        <v>1</v>
      </c>
      <c r="Q6843" s="35" t="s">
        <v>154</v>
      </c>
    </row>
    <row r="6844" spans="1:17" s="162" customFormat="1" ht="36" x14ac:dyDescent="0.25">
      <c r="A6844" s="184">
        <v>42873</v>
      </c>
      <c r="B6844" s="184">
        <v>42873</v>
      </c>
      <c r="C6844" s="138">
        <v>2017</v>
      </c>
      <c r="D6844" s="24" t="s">
        <v>141</v>
      </c>
      <c r="E6844" s="30" t="s">
        <v>142</v>
      </c>
      <c r="F6844" s="7" t="s">
        <v>49</v>
      </c>
      <c r="G6844" s="33" t="s">
        <v>1206</v>
      </c>
      <c r="H6844" s="33" t="s">
        <v>9622</v>
      </c>
      <c r="I6844" s="157">
        <v>1</v>
      </c>
      <c r="J6844" s="142">
        <v>1</v>
      </c>
      <c r="K6844" s="142">
        <v>0</v>
      </c>
      <c r="L6844" s="142">
        <v>0</v>
      </c>
      <c r="M6844" s="142">
        <v>0</v>
      </c>
      <c r="N6844" s="142">
        <v>0</v>
      </c>
      <c r="O6844" s="142">
        <v>0</v>
      </c>
      <c r="P6844" s="158">
        <v>0</v>
      </c>
      <c r="Q6844" s="35" t="s">
        <v>154</v>
      </c>
    </row>
    <row r="6845" spans="1:17" s="162" customFormat="1" ht="84" x14ac:dyDescent="0.25">
      <c r="A6845" s="184">
        <v>42874</v>
      </c>
      <c r="B6845" s="184">
        <v>42874</v>
      </c>
      <c r="C6845" s="138">
        <v>2017</v>
      </c>
      <c r="D6845" s="24" t="s">
        <v>141</v>
      </c>
      <c r="E6845" s="30" t="s">
        <v>142</v>
      </c>
      <c r="F6845" s="7" t="s">
        <v>68</v>
      </c>
      <c r="G6845" s="33" t="s">
        <v>7113</v>
      </c>
      <c r="H6845" s="33" t="s">
        <v>9623</v>
      </c>
      <c r="I6845" s="157">
        <v>1</v>
      </c>
      <c r="J6845" s="142">
        <v>2</v>
      </c>
      <c r="K6845" s="142">
        <v>0</v>
      </c>
      <c r="L6845" s="142">
        <v>0</v>
      </c>
      <c r="M6845" s="142">
        <v>0</v>
      </c>
      <c r="N6845" s="142">
        <v>0</v>
      </c>
      <c r="O6845" s="142">
        <v>0</v>
      </c>
      <c r="P6845" s="158">
        <v>0</v>
      </c>
      <c r="Q6845" s="35" t="s">
        <v>154</v>
      </c>
    </row>
    <row r="6846" spans="1:17" s="162" customFormat="1" ht="84" x14ac:dyDescent="0.25">
      <c r="A6846" s="184">
        <v>42876</v>
      </c>
      <c r="B6846" s="184">
        <v>42876</v>
      </c>
      <c r="C6846" s="138">
        <v>2017</v>
      </c>
      <c r="D6846" s="24" t="s">
        <v>141</v>
      </c>
      <c r="E6846" s="30" t="s">
        <v>142</v>
      </c>
      <c r="F6846" s="7" t="s">
        <v>36</v>
      </c>
      <c r="G6846" s="33" t="s">
        <v>679</v>
      </c>
      <c r="H6846" s="33" t="s">
        <v>9624</v>
      </c>
      <c r="I6846" s="157">
        <v>12</v>
      </c>
      <c r="J6846" s="142">
        <v>42</v>
      </c>
      <c r="K6846" s="142">
        <v>0</v>
      </c>
      <c r="L6846" s="142">
        <v>0</v>
      </c>
      <c r="M6846" s="142">
        <v>0</v>
      </c>
      <c r="N6846" s="142">
        <v>0</v>
      </c>
      <c r="O6846" s="142">
        <v>0</v>
      </c>
      <c r="P6846" s="158">
        <v>0</v>
      </c>
      <c r="Q6846" s="35" t="s">
        <v>154</v>
      </c>
    </row>
    <row r="6847" spans="1:17" s="162" customFormat="1" ht="60" x14ac:dyDescent="0.25">
      <c r="A6847" s="184">
        <v>42879</v>
      </c>
      <c r="B6847" s="184">
        <v>42879</v>
      </c>
      <c r="C6847" s="138">
        <v>2017</v>
      </c>
      <c r="D6847" s="24" t="s">
        <v>141</v>
      </c>
      <c r="E6847" s="30" t="s">
        <v>142</v>
      </c>
      <c r="F6847" s="7" t="s">
        <v>33</v>
      </c>
      <c r="G6847" s="33" t="s">
        <v>8175</v>
      </c>
      <c r="H6847" s="33" t="s">
        <v>9625</v>
      </c>
      <c r="I6847" s="157">
        <v>3</v>
      </c>
      <c r="J6847" s="142">
        <v>43</v>
      </c>
      <c r="K6847" s="142">
        <v>0</v>
      </c>
      <c r="L6847" s="142">
        <v>0</v>
      </c>
      <c r="M6847" s="142">
        <v>0</v>
      </c>
      <c r="N6847" s="142">
        <v>0</v>
      </c>
      <c r="O6847" s="142">
        <v>0</v>
      </c>
      <c r="P6847" s="158">
        <v>0.1</v>
      </c>
      <c r="Q6847" s="35" t="s">
        <v>154</v>
      </c>
    </row>
    <row r="6848" spans="1:17" s="162" customFormat="1" ht="48" x14ac:dyDescent="0.25">
      <c r="A6848" s="184">
        <v>42882</v>
      </c>
      <c r="B6848" s="184">
        <v>42882</v>
      </c>
      <c r="C6848" s="138">
        <v>2017</v>
      </c>
      <c r="D6848" s="24" t="s">
        <v>141</v>
      </c>
      <c r="E6848" s="30" t="s">
        <v>142</v>
      </c>
      <c r="F6848" s="7" t="s">
        <v>53</v>
      </c>
      <c r="G6848" s="33" t="s">
        <v>1236</v>
      </c>
      <c r="H6848" s="33" t="s">
        <v>9626</v>
      </c>
      <c r="I6848" s="157">
        <v>4</v>
      </c>
      <c r="J6848" s="142">
        <v>11</v>
      </c>
      <c r="K6848" s="142">
        <v>0</v>
      </c>
      <c r="L6848" s="142">
        <v>0</v>
      </c>
      <c r="M6848" s="142">
        <v>0</v>
      </c>
      <c r="N6848" s="142">
        <v>0</v>
      </c>
      <c r="O6848" s="142">
        <v>0</v>
      </c>
      <c r="P6848" s="158">
        <v>0</v>
      </c>
      <c r="Q6848" s="35" t="s">
        <v>154</v>
      </c>
    </row>
    <row r="6849" spans="1:17" s="162" customFormat="1" ht="60" x14ac:dyDescent="0.25">
      <c r="A6849" s="184">
        <v>42886</v>
      </c>
      <c r="B6849" s="184">
        <v>42886</v>
      </c>
      <c r="C6849" s="138">
        <v>2017</v>
      </c>
      <c r="D6849" s="24" t="s">
        <v>141</v>
      </c>
      <c r="E6849" s="30" t="s">
        <v>142</v>
      </c>
      <c r="F6849" s="7" t="s">
        <v>62</v>
      </c>
      <c r="G6849" s="33" t="s">
        <v>2261</v>
      </c>
      <c r="H6849" s="33" t="s">
        <v>9627</v>
      </c>
      <c r="I6849" s="157">
        <v>1</v>
      </c>
      <c r="J6849" s="142">
        <v>3</v>
      </c>
      <c r="K6849" s="142">
        <v>1</v>
      </c>
      <c r="L6849" s="142">
        <v>0</v>
      </c>
      <c r="M6849" s="142">
        <v>0</v>
      </c>
      <c r="N6849" s="142">
        <v>0</v>
      </c>
      <c r="O6849" s="142">
        <v>0</v>
      </c>
      <c r="P6849" s="158">
        <v>2.5000000000000001E-2</v>
      </c>
      <c r="Q6849" s="35" t="s">
        <v>154</v>
      </c>
    </row>
    <row r="6850" spans="1:17" s="162" customFormat="1" ht="204" x14ac:dyDescent="0.25">
      <c r="A6850" s="184">
        <v>43089</v>
      </c>
      <c r="B6850" s="184">
        <v>43089</v>
      </c>
      <c r="C6850" s="138">
        <v>2017</v>
      </c>
      <c r="D6850" s="24" t="s">
        <v>141</v>
      </c>
      <c r="E6850" s="41" t="s">
        <v>1965</v>
      </c>
      <c r="F6850" s="7" t="s">
        <v>53</v>
      </c>
      <c r="G6850" s="33" t="s">
        <v>2247</v>
      </c>
      <c r="H6850" s="33" t="s">
        <v>9628</v>
      </c>
      <c r="I6850" s="157">
        <v>2</v>
      </c>
      <c r="J6850" s="142">
        <v>9</v>
      </c>
      <c r="K6850" s="142">
        <v>0</v>
      </c>
      <c r="L6850" s="142">
        <v>0</v>
      </c>
      <c r="M6850" s="142">
        <v>0</v>
      </c>
      <c r="N6850" s="142">
        <v>0</v>
      </c>
      <c r="O6850" s="142">
        <v>0</v>
      </c>
      <c r="P6850" s="158">
        <v>0</v>
      </c>
      <c r="Q6850" s="35" t="s">
        <v>154</v>
      </c>
    </row>
    <row r="6851" spans="1:17" s="162" customFormat="1" ht="96" x14ac:dyDescent="0.25">
      <c r="A6851" s="184">
        <v>42893</v>
      </c>
      <c r="B6851" s="184">
        <v>42893</v>
      </c>
      <c r="C6851" s="138">
        <v>2017</v>
      </c>
      <c r="D6851" s="24" t="s">
        <v>141</v>
      </c>
      <c r="E6851" s="30" t="s">
        <v>142</v>
      </c>
      <c r="F6851" s="7" t="s">
        <v>60</v>
      </c>
      <c r="G6851" s="33" t="s">
        <v>5019</v>
      </c>
      <c r="H6851" s="33" t="s">
        <v>9629</v>
      </c>
      <c r="I6851" s="157">
        <v>3</v>
      </c>
      <c r="J6851" s="142">
        <v>31</v>
      </c>
      <c r="K6851" s="142">
        <v>0</v>
      </c>
      <c r="L6851" s="142">
        <v>0</v>
      </c>
      <c r="M6851" s="142">
        <v>0</v>
      </c>
      <c r="N6851" s="142">
        <v>0</v>
      </c>
      <c r="O6851" s="142">
        <v>0</v>
      </c>
      <c r="P6851" s="158">
        <v>0</v>
      </c>
      <c r="Q6851" s="35" t="s">
        <v>154</v>
      </c>
    </row>
    <row r="6852" spans="1:17" s="162" customFormat="1" ht="60" x14ac:dyDescent="0.25">
      <c r="A6852" s="184">
        <v>42898</v>
      </c>
      <c r="B6852" s="184">
        <v>42898</v>
      </c>
      <c r="C6852" s="138">
        <v>2017</v>
      </c>
      <c r="D6852" s="24" t="s">
        <v>141</v>
      </c>
      <c r="E6852" s="30" t="s">
        <v>142</v>
      </c>
      <c r="F6852" s="7" t="s">
        <v>53</v>
      </c>
      <c r="G6852" s="33" t="s">
        <v>9630</v>
      </c>
      <c r="H6852" s="33" t="s">
        <v>9631</v>
      </c>
      <c r="I6852" s="157">
        <v>1</v>
      </c>
      <c r="J6852" s="142">
        <v>8</v>
      </c>
      <c r="K6852" s="142">
        <v>0</v>
      </c>
      <c r="L6852" s="142">
        <v>0</v>
      </c>
      <c r="M6852" s="142">
        <v>0</v>
      </c>
      <c r="N6852" s="142">
        <v>0</v>
      </c>
      <c r="O6852" s="142">
        <v>0</v>
      </c>
      <c r="P6852" s="158">
        <v>0</v>
      </c>
      <c r="Q6852" s="35" t="s">
        <v>154</v>
      </c>
    </row>
    <row r="6853" spans="1:17" s="162" customFormat="1" ht="60" x14ac:dyDescent="0.25">
      <c r="A6853" s="184">
        <v>42898</v>
      </c>
      <c r="B6853" s="184">
        <v>42898</v>
      </c>
      <c r="C6853" s="138">
        <v>2017</v>
      </c>
      <c r="D6853" s="24" t="s">
        <v>141</v>
      </c>
      <c r="E6853" s="30" t="s">
        <v>142</v>
      </c>
      <c r="F6853" s="7" t="s">
        <v>62</v>
      </c>
      <c r="G6853" s="33" t="s">
        <v>500</v>
      </c>
      <c r="H6853" s="33" t="s">
        <v>9632</v>
      </c>
      <c r="I6853" s="157">
        <v>8</v>
      </c>
      <c r="J6853" s="142">
        <v>9</v>
      </c>
      <c r="K6853" s="142">
        <v>0</v>
      </c>
      <c r="L6853" s="142">
        <v>0</v>
      </c>
      <c r="M6853" s="142">
        <v>0</v>
      </c>
      <c r="N6853" s="142">
        <v>0</v>
      </c>
      <c r="O6853" s="142">
        <v>0</v>
      </c>
      <c r="P6853" s="158">
        <v>0</v>
      </c>
      <c r="Q6853" s="35" t="s">
        <v>154</v>
      </c>
    </row>
    <row r="6854" spans="1:17" s="162" customFormat="1" ht="144" x14ac:dyDescent="0.25">
      <c r="A6854" s="184">
        <v>42906</v>
      </c>
      <c r="B6854" s="184">
        <v>42906</v>
      </c>
      <c r="C6854" s="138">
        <v>2017</v>
      </c>
      <c r="D6854" s="24" t="s">
        <v>141</v>
      </c>
      <c r="E6854" s="41" t="s">
        <v>1965</v>
      </c>
      <c r="F6854" s="7" t="s">
        <v>62</v>
      </c>
      <c r="G6854" s="33" t="s">
        <v>1011</v>
      </c>
      <c r="H6854" s="33" t="s">
        <v>9633</v>
      </c>
      <c r="I6854" s="157">
        <v>1</v>
      </c>
      <c r="J6854" s="142">
        <v>4</v>
      </c>
      <c r="K6854" s="142">
        <v>0</v>
      </c>
      <c r="L6854" s="142">
        <v>0</v>
      </c>
      <c r="M6854" s="142">
        <v>0</v>
      </c>
      <c r="N6854" s="142">
        <v>0</v>
      </c>
      <c r="O6854" s="142">
        <v>0</v>
      </c>
      <c r="P6854" s="158">
        <v>0</v>
      </c>
      <c r="Q6854" s="35" t="s">
        <v>154</v>
      </c>
    </row>
    <row r="6855" spans="1:17" s="162" customFormat="1" ht="72" x14ac:dyDescent="0.25">
      <c r="A6855" s="184">
        <v>42916</v>
      </c>
      <c r="B6855" s="184">
        <v>42916</v>
      </c>
      <c r="C6855" s="138">
        <v>2017</v>
      </c>
      <c r="D6855" s="24" t="s">
        <v>141</v>
      </c>
      <c r="E6855" s="30" t="s">
        <v>142</v>
      </c>
      <c r="F6855" s="7" t="s">
        <v>53</v>
      </c>
      <c r="G6855" s="33" t="s">
        <v>9634</v>
      </c>
      <c r="H6855" s="33" t="s">
        <v>9635</v>
      </c>
      <c r="I6855" s="157">
        <v>6</v>
      </c>
      <c r="J6855" s="142">
        <v>18</v>
      </c>
      <c r="K6855" s="142">
        <v>0</v>
      </c>
      <c r="L6855" s="142">
        <v>0</v>
      </c>
      <c r="M6855" s="142">
        <v>0</v>
      </c>
      <c r="N6855" s="142">
        <v>0</v>
      </c>
      <c r="O6855" s="142">
        <v>0</v>
      </c>
      <c r="P6855" s="158">
        <v>0</v>
      </c>
      <c r="Q6855" s="35" t="s">
        <v>154</v>
      </c>
    </row>
    <row r="6856" spans="1:17" s="162" customFormat="1" ht="72" x14ac:dyDescent="0.25">
      <c r="A6856" s="184">
        <v>42941</v>
      </c>
      <c r="B6856" s="184">
        <v>42941</v>
      </c>
      <c r="C6856" s="138">
        <v>2017</v>
      </c>
      <c r="D6856" s="24" t="s">
        <v>141</v>
      </c>
      <c r="E6856" s="30" t="s">
        <v>142</v>
      </c>
      <c r="F6856" s="7" t="s">
        <v>62</v>
      </c>
      <c r="G6856" s="33" t="s">
        <v>1218</v>
      </c>
      <c r="H6856" s="33" t="s">
        <v>9636</v>
      </c>
      <c r="I6856" s="157">
        <v>2</v>
      </c>
      <c r="J6856" s="142">
        <v>13</v>
      </c>
      <c r="K6856" s="142">
        <v>0</v>
      </c>
      <c r="L6856" s="142">
        <v>0</v>
      </c>
      <c r="M6856" s="142">
        <v>0</v>
      </c>
      <c r="N6856" s="142">
        <v>0</v>
      </c>
      <c r="O6856" s="142">
        <v>0</v>
      </c>
      <c r="P6856" s="158">
        <v>2.5000000000000001E-2</v>
      </c>
      <c r="Q6856" s="35" t="s">
        <v>154</v>
      </c>
    </row>
    <row r="6857" spans="1:17" s="162" customFormat="1" ht="72" x14ac:dyDescent="0.25">
      <c r="A6857" s="184">
        <v>42851</v>
      </c>
      <c r="B6857" s="184">
        <v>42851</v>
      </c>
      <c r="C6857" s="138">
        <v>2017</v>
      </c>
      <c r="D6857" s="24" t="s">
        <v>141</v>
      </c>
      <c r="E6857" s="30" t="s">
        <v>133</v>
      </c>
      <c r="F6857" s="7" t="s">
        <v>65</v>
      </c>
      <c r="G6857" s="33" t="s">
        <v>1632</v>
      </c>
      <c r="H6857" s="33" t="s">
        <v>9637</v>
      </c>
      <c r="I6857" s="157">
        <v>0</v>
      </c>
      <c r="J6857" s="142">
        <v>540</v>
      </c>
      <c r="K6857" s="142">
        <v>0</v>
      </c>
      <c r="L6857" s="142">
        <v>0</v>
      </c>
      <c r="M6857" s="142">
        <v>0</v>
      </c>
      <c r="N6857" s="142">
        <v>0</v>
      </c>
      <c r="O6857" s="142">
        <v>0</v>
      </c>
      <c r="P6857" s="158">
        <v>0</v>
      </c>
      <c r="Q6857" s="35" t="s">
        <v>154</v>
      </c>
    </row>
    <row r="6858" spans="1:17" s="162" customFormat="1" ht="84" x14ac:dyDescent="0.25">
      <c r="A6858" s="184">
        <v>42943</v>
      </c>
      <c r="B6858" s="184">
        <v>42943</v>
      </c>
      <c r="C6858" s="138">
        <v>2017</v>
      </c>
      <c r="D6858" s="24" t="s">
        <v>141</v>
      </c>
      <c r="E6858" s="30" t="s">
        <v>142</v>
      </c>
      <c r="F6858" s="7" t="s">
        <v>91</v>
      </c>
      <c r="G6858" s="33" t="s">
        <v>1595</v>
      </c>
      <c r="H6858" s="33" t="s">
        <v>9638</v>
      </c>
      <c r="I6858" s="157">
        <v>4</v>
      </c>
      <c r="J6858" s="142">
        <v>11</v>
      </c>
      <c r="K6858" s="142">
        <v>0</v>
      </c>
      <c r="L6858" s="142">
        <v>0</v>
      </c>
      <c r="M6858" s="142">
        <v>0</v>
      </c>
      <c r="N6858" s="142">
        <v>0</v>
      </c>
      <c r="O6858" s="142">
        <v>0</v>
      </c>
      <c r="P6858" s="158">
        <v>0</v>
      </c>
      <c r="Q6858" s="35" t="s">
        <v>154</v>
      </c>
    </row>
    <row r="6859" spans="1:17" s="162" customFormat="1" ht="84" x14ac:dyDescent="0.25">
      <c r="A6859" s="184">
        <v>42949</v>
      </c>
      <c r="B6859" s="184">
        <v>42949</v>
      </c>
      <c r="C6859" s="138">
        <v>2017</v>
      </c>
      <c r="D6859" s="24" t="s">
        <v>141</v>
      </c>
      <c r="E6859" s="30" t="s">
        <v>142</v>
      </c>
      <c r="F6859" s="7" t="s">
        <v>91</v>
      </c>
      <c r="G6859" s="33" t="s">
        <v>4511</v>
      </c>
      <c r="H6859" s="33" t="s">
        <v>9639</v>
      </c>
      <c r="I6859" s="157">
        <v>8</v>
      </c>
      <c r="J6859" s="142">
        <v>35</v>
      </c>
      <c r="K6859" s="142">
        <v>0</v>
      </c>
      <c r="L6859" s="142">
        <v>0</v>
      </c>
      <c r="M6859" s="142">
        <v>0</v>
      </c>
      <c r="N6859" s="142">
        <v>0</v>
      </c>
      <c r="O6859" s="142">
        <v>0</v>
      </c>
      <c r="P6859" s="158">
        <v>0</v>
      </c>
      <c r="Q6859" s="35" t="s">
        <v>154</v>
      </c>
    </row>
    <row r="6860" spans="1:17" s="162" customFormat="1" ht="72" x14ac:dyDescent="0.25">
      <c r="A6860" s="184">
        <v>42963</v>
      </c>
      <c r="B6860" s="184">
        <v>42963</v>
      </c>
      <c r="C6860" s="138">
        <v>2017</v>
      </c>
      <c r="D6860" s="24" t="s">
        <v>141</v>
      </c>
      <c r="E6860" s="30" t="s">
        <v>142</v>
      </c>
      <c r="F6860" s="7" t="s">
        <v>58</v>
      </c>
      <c r="G6860" s="33" t="s">
        <v>6775</v>
      </c>
      <c r="H6860" s="33" t="s">
        <v>9640</v>
      </c>
      <c r="I6860" s="157">
        <v>1</v>
      </c>
      <c r="J6860" s="142">
        <v>34</v>
      </c>
      <c r="K6860" s="142">
        <v>0</v>
      </c>
      <c r="L6860" s="142">
        <v>0</v>
      </c>
      <c r="M6860" s="142">
        <v>0</v>
      </c>
      <c r="N6860" s="142">
        <v>0</v>
      </c>
      <c r="O6860" s="142">
        <v>0</v>
      </c>
      <c r="P6860" s="158">
        <v>0</v>
      </c>
      <c r="Q6860" s="35" t="s">
        <v>154</v>
      </c>
    </row>
    <row r="6861" spans="1:17" s="162" customFormat="1" ht="60" x14ac:dyDescent="0.25">
      <c r="A6861" s="184">
        <v>42975</v>
      </c>
      <c r="B6861" s="184">
        <v>42975</v>
      </c>
      <c r="C6861" s="138">
        <v>2017</v>
      </c>
      <c r="D6861" s="24" t="s">
        <v>141</v>
      </c>
      <c r="E6861" s="30" t="s">
        <v>142</v>
      </c>
      <c r="F6861" s="7" t="s">
        <v>68</v>
      </c>
      <c r="G6861" s="33" t="s">
        <v>2512</v>
      </c>
      <c r="H6861" s="33" t="s">
        <v>9641</v>
      </c>
      <c r="I6861" s="157">
        <v>1</v>
      </c>
      <c r="J6861" s="142">
        <v>19</v>
      </c>
      <c r="K6861" s="142">
        <v>0</v>
      </c>
      <c r="L6861" s="142">
        <v>0</v>
      </c>
      <c r="M6861" s="142">
        <v>0</v>
      </c>
      <c r="N6861" s="142">
        <v>0</v>
      </c>
      <c r="O6861" s="142">
        <v>0</v>
      </c>
      <c r="P6861" s="158">
        <v>0</v>
      </c>
      <c r="Q6861" s="35" t="s">
        <v>154</v>
      </c>
    </row>
    <row r="6862" spans="1:17" s="162" customFormat="1" ht="84" x14ac:dyDescent="0.25">
      <c r="A6862" s="184">
        <v>42976</v>
      </c>
      <c r="B6862" s="184">
        <v>42976</v>
      </c>
      <c r="C6862" s="138">
        <v>2017</v>
      </c>
      <c r="D6862" s="24" t="s">
        <v>141</v>
      </c>
      <c r="E6862" s="30" t="s">
        <v>142</v>
      </c>
      <c r="F6862" s="7" t="s">
        <v>53</v>
      </c>
      <c r="G6862" s="33" t="s">
        <v>2776</v>
      </c>
      <c r="H6862" s="33" t="s">
        <v>9642</v>
      </c>
      <c r="I6862" s="157">
        <v>2</v>
      </c>
      <c r="J6862" s="142">
        <v>10</v>
      </c>
      <c r="K6862" s="142">
        <v>0</v>
      </c>
      <c r="L6862" s="142">
        <v>0</v>
      </c>
      <c r="M6862" s="142">
        <v>0</v>
      </c>
      <c r="N6862" s="142">
        <v>0</v>
      </c>
      <c r="O6862" s="142">
        <v>0</v>
      </c>
      <c r="P6862" s="158">
        <v>0</v>
      </c>
      <c r="Q6862" s="35" t="s">
        <v>154</v>
      </c>
    </row>
    <row r="6863" spans="1:17" s="162" customFormat="1" ht="96" x14ac:dyDescent="0.25">
      <c r="A6863" s="184">
        <v>43010</v>
      </c>
      <c r="B6863" s="184">
        <v>43010</v>
      </c>
      <c r="C6863" s="138">
        <v>2017</v>
      </c>
      <c r="D6863" s="24" t="s">
        <v>141</v>
      </c>
      <c r="E6863" s="30" t="s">
        <v>142</v>
      </c>
      <c r="F6863" s="7" t="s">
        <v>60</v>
      </c>
      <c r="G6863" s="33" t="s">
        <v>2586</v>
      </c>
      <c r="H6863" s="33" t="s">
        <v>9643</v>
      </c>
      <c r="I6863" s="157">
        <v>15</v>
      </c>
      <c r="J6863" s="142">
        <v>50</v>
      </c>
      <c r="K6863" s="142">
        <v>0</v>
      </c>
      <c r="L6863" s="142">
        <v>0</v>
      </c>
      <c r="M6863" s="142">
        <v>0</v>
      </c>
      <c r="N6863" s="142">
        <v>0</v>
      </c>
      <c r="O6863" s="142">
        <v>0</v>
      </c>
      <c r="P6863" s="158">
        <v>0</v>
      </c>
      <c r="Q6863" s="35" t="s">
        <v>154</v>
      </c>
    </row>
    <row r="6864" spans="1:17" s="162" customFormat="1" ht="60" x14ac:dyDescent="0.25">
      <c r="A6864" s="184">
        <v>43013</v>
      </c>
      <c r="B6864" s="184">
        <v>43013</v>
      </c>
      <c r="C6864" s="138">
        <v>2017</v>
      </c>
      <c r="D6864" s="24" t="s">
        <v>141</v>
      </c>
      <c r="E6864" s="30" t="s">
        <v>142</v>
      </c>
      <c r="F6864" s="7" t="s">
        <v>47</v>
      </c>
      <c r="G6864" s="33" t="s">
        <v>9465</v>
      </c>
      <c r="H6864" s="33" t="s">
        <v>9644</v>
      </c>
      <c r="I6864" s="157">
        <v>1</v>
      </c>
      <c r="J6864" s="142">
        <v>2</v>
      </c>
      <c r="K6864" s="142">
        <v>0</v>
      </c>
      <c r="L6864" s="142">
        <v>0</v>
      </c>
      <c r="M6864" s="142">
        <v>0</v>
      </c>
      <c r="N6864" s="142">
        <v>0</v>
      </c>
      <c r="O6864" s="142">
        <v>0</v>
      </c>
      <c r="P6864" s="158">
        <v>0</v>
      </c>
      <c r="Q6864" s="35" t="s">
        <v>154</v>
      </c>
    </row>
    <row r="6865" spans="1:17" s="162" customFormat="1" ht="48" x14ac:dyDescent="0.25">
      <c r="A6865" s="184">
        <v>43014</v>
      </c>
      <c r="B6865" s="184">
        <v>43014</v>
      </c>
      <c r="C6865" s="138">
        <v>2017</v>
      </c>
      <c r="D6865" s="24" t="s">
        <v>141</v>
      </c>
      <c r="E6865" s="30" t="s">
        <v>142</v>
      </c>
      <c r="F6865" s="7" t="s">
        <v>49</v>
      </c>
      <c r="G6865" s="33" t="s">
        <v>1206</v>
      </c>
      <c r="H6865" s="33" t="s">
        <v>9645</v>
      </c>
      <c r="I6865" s="157">
        <v>8</v>
      </c>
      <c r="J6865" s="142">
        <v>9</v>
      </c>
      <c r="K6865" s="142">
        <v>0</v>
      </c>
      <c r="L6865" s="142">
        <v>0</v>
      </c>
      <c r="M6865" s="142">
        <v>0</v>
      </c>
      <c r="N6865" s="142">
        <v>0</v>
      </c>
      <c r="O6865" s="142">
        <v>0</v>
      </c>
      <c r="P6865" s="158">
        <v>0</v>
      </c>
      <c r="Q6865" s="35" t="s">
        <v>154</v>
      </c>
    </row>
    <row r="6866" spans="1:17" s="162" customFormat="1" ht="72" x14ac:dyDescent="0.25">
      <c r="A6866" s="184">
        <v>42864</v>
      </c>
      <c r="B6866" s="184">
        <v>42864</v>
      </c>
      <c r="C6866" s="138">
        <v>2017</v>
      </c>
      <c r="D6866" s="24" t="s">
        <v>141</v>
      </c>
      <c r="E6866" s="30" t="s">
        <v>133</v>
      </c>
      <c r="F6866" s="7" t="s">
        <v>75</v>
      </c>
      <c r="G6866" s="33" t="s">
        <v>4936</v>
      </c>
      <c r="H6866" s="33" t="s">
        <v>9646</v>
      </c>
      <c r="I6866" s="157">
        <v>12</v>
      </c>
      <c r="J6866" s="142">
        <v>42</v>
      </c>
      <c r="K6866" s="142">
        <v>1</v>
      </c>
      <c r="L6866" s="142">
        <v>0</v>
      </c>
      <c r="M6866" s="142">
        <v>0</v>
      </c>
      <c r="N6866" s="142">
        <v>0</v>
      </c>
      <c r="O6866" s="142">
        <v>0</v>
      </c>
      <c r="P6866" s="158">
        <v>0.12</v>
      </c>
      <c r="Q6866" s="35" t="s">
        <v>154</v>
      </c>
    </row>
    <row r="6867" spans="1:17" s="162" customFormat="1" ht="72" x14ac:dyDescent="0.25">
      <c r="A6867" s="184">
        <v>43014</v>
      </c>
      <c r="B6867" s="184">
        <v>43014</v>
      </c>
      <c r="C6867" s="138">
        <v>2017</v>
      </c>
      <c r="D6867" s="24" t="s">
        <v>141</v>
      </c>
      <c r="E6867" s="30" t="s">
        <v>142</v>
      </c>
      <c r="F6867" s="7" t="s">
        <v>62</v>
      </c>
      <c r="G6867" s="33" t="s">
        <v>1410</v>
      </c>
      <c r="H6867" s="33" t="s">
        <v>9647</v>
      </c>
      <c r="I6867" s="157">
        <v>2</v>
      </c>
      <c r="J6867" s="142">
        <v>9</v>
      </c>
      <c r="K6867" s="142">
        <v>0</v>
      </c>
      <c r="L6867" s="142">
        <v>0</v>
      </c>
      <c r="M6867" s="142">
        <v>0</v>
      </c>
      <c r="N6867" s="142">
        <v>0</v>
      </c>
      <c r="O6867" s="142">
        <v>0</v>
      </c>
      <c r="P6867" s="158">
        <v>0</v>
      </c>
      <c r="Q6867" s="35" t="s">
        <v>154</v>
      </c>
    </row>
    <row r="6868" spans="1:17" s="162" customFormat="1" ht="84" x14ac:dyDescent="0.25">
      <c r="A6868" s="184">
        <v>43018</v>
      </c>
      <c r="B6868" s="184">
        <v>43018</v>
      </c>
      <c r="C6868" s="138">
        <v>2017</v>
      </c>
      <c r="D6868" s="24" t="s">
        <v>141</v>
      </c>
      <c r="E6868" s="30" t="s">
        <v>142</v>
      </c>
      <c r="F6868" s="7" t="s">
        <v>91</v>
      </c>
      <c r="G6868" s="33" t="s">
        <v>2315</v>
      </c>
      <c r="H6868" s="33" t="s">
        <v>9648</v>
      </c>
      <c r="I6868" s="157">
        <v>7</v>
      </c>
      <c r="J6868" s="142">
        <v>47</v>
      </c>
      <c r="K6868" s="142">
        <v>0</v>
      </c>
      <c r="L6868" s="142">
        <v>0</v>
      </c>
      <c r="M6868" s="142">
        <v>0</v>
      </c>
      <c r="N6868" s="142">
        <v>0</v>
      </c>
      <c r="O6868" s="142">
        <v>0</v>
      </c>
      <c r="P6868" s="158">
        <v>0</v>
      </c>
      <c r="Q6868" s="35" t="s">
        <v>154</v>
      </c>
    </row>
    <row r="6869" spans="1:17" s="162" customFormat="1" ht="60" x14ac:dyDescent="0.25">
      <c r="A6869" s="184">
        <v>43023</v>
      </c>
      <c r="B6869" s="184">
        <v>43023</v>
      </c>
      <c r="C6869" s="138">
        <v>2017</v>
      </c>
      <c r="D6869" s="24" t="s">
        <v>141</v>
      </c>
      <c r="E6869" s="30" t="s">
        <v>142</v>
      </c>
      <c r="F6869" s="7" t="s">
        <v>87</v>
      </c>
      <c r="G6869" s="33" t="s">
        <v>936</v>
      </c>
      <c r="H6869" s="33" t="s">
        <v>9649</v>
      </c>
      <c r="I6869" s="157">
        <v>4</v>
      </c>
      <c r="J6869" s="142">
        <v>17</v>
      </c>
      <c r="K6869" s="142">
        <v>0</v>
      </c>
      <c r="L6869" s="142">
        <v>0</v>
      </c>
      <c r="M6869" s="142">
        <v>0</v>
      </c>
      <c r="N6869" s="142">
        <v>0</v>
      </c>
      <c r="O6869" s="142">
        <v>0</v>
      </c>
      <c r="P6869" s="158">
        <v>0</v>
      </c>
      <c r="Q6869" s="35" t="s">
        <v>154</v>
      </c>
    </row>
    <row r="6870" spans="1:17" s="162" customFormat="1" ht="96" x14ac:dyDescent="0.25">
      <c r="A6870" s="184">
        <v>43024</v>
      </c>
      <c r="B6870" s="184">
        <v>43024</v>
      </c>
      <c r="C6870" s="138">
        <v>2017</v>
      </c>
      <c r="D6870" s="24" t="s">
        <v>141</v>
      </c>
      <c r="E6870" s="30" t="s">
        <v>142</v>
      </c>
      <c r="F6870" s="28" t="s">
        <v>163</v>
      </c>
      <c r="G6870" s="33" t="s">
        <v>4478</v>
      </c>
      <c r="H6870" s="33" t="s">
        <v>9650</v>
      </c>
      <c r="I6870" s="157">
        <v>0</v>
      </c>
      <c r="J6870" s="142">
        <v>1</v>
      </c>
      <c r="K6870" s="142">
        <v>0</v>
      </c>
      <c r="L6870" s="142">
        <v>0</v>
      </c>
      <c r="M6870" s="142">
        <v>0</v>
      </c>
      <c r="N6870" s="142">
        <v>0</v>
      </c>
      <c r="O6870" s="142">
        <v>0</v>
      </c>
      <c r="P6870" s="158">
        <v>0</v>
      </c>
      <c r="Q6870" s="35" t="s">
        <v>154</v>
      </c>
    </row>
    <row r="6871" spans="1:17" s="162" customFormat="1" ht="132" x14ac:dyDescent="0.25">
      <c r="A6871" s="184">
        <v>43034</v>
      </c>
      <c r="B6871" s="184">
        <v>43034</v>
      </c>
      <c r="C6871" s="138">
        <v>2017</v>
      </c>
      <c r="D6871" s="24" t="s">
        <v>141</v>
      </c>
      <c r="E6871" s="30" t="s">
        <v>142</v>
      </c>
      <c r="F6871" s="28" t="s">
        <v>157</v>
      </c>
      <c r="G6871" s="33" t="s">
        <v>1190</v>
      </c>
      <c r="H6871" s="33" t="s">
        <v>9651</v>
      </c>
      <c r="I6871" s="157">
        <v>5</v>
      </c>
      <c r="J6871" s="142">
        <v>16</v>
      </c>
      <c r="K6871" s="142">
        <v>0</v>
      </c>
      <c r="L6871" s="142">
        <v>0</v>
      </c>
      <c r="M6871" s="142">
        <v>0</v>
      </c>
      <c r="N6871" s="142">
        <v>0</v>
      </c>
      <c r="O6871" s="142">
        <v>0</v>
      </c>
      <c r="P6871" s="158">
        <v>0</v>
      </c>
      <c r="Q6871" s="35" t="s">
        <v>154</v>
      </c>
    </row>
    <row r="6872" spans="1:17" s="162" customFormat="1" ht="84" x14ac:dyDescent="0.25">
      <c r="A6872" s="184">
        <v>43034</v>
      </c>
      <c r="B6872" s="184">
        <v>43034</v>
      </c>
      <c r="C6872" s="138">
        <v>2017</v>
      </c>
      <c r="D6872" s="24" t="s">
        <v>141</v>
      </c>
      <c r="E6872" s="30" t="s">
        <v>142</v>
      </c>
      <c r="F6872" s="7" t="s">
        <v>56</v>
      </c>
      <c r="G6872" s="33" t="s">
        <v>495</v>
      </c>
      <c r="H6872" s="33" t="s">
        <v>9652</v>
      </c>
      <c r="I6872" s="157">
        <v>1</v>
      </c>
      <c r="J6872" s="142">
        <v>28</v>
      </c>
      <c r="K6872" s="142">
        <v>0</v>
      </c>
      <c r="L6872" s="142">
        <v>0</v>
      </c>
      <c r="M6872" s="142">
        <v>0</v>
      </c>
      <c r="N6872" s="142">
        <v>0</v>
      </c>
      <c r="O6872" s="142">
        <v>0</v>
      </c>
      <c r="P6872" s="158">
        <v>0</v>
      </c>
      <c r="Q6872" s="35" t="s">
        <v>154</v>
      </c>
    </row>
    <row r="6873" spans="1:17" s="162" customFormat="1" ht="60" x14ac:dyDescent="0.25">
      <c r="A6873" s="184">
        <v>42746</v>
      </c>
      <c r="B6873" s="184">
        <v>42746</v>
      </c>
      <c r="C6873" s="138">
        <v>2017</v>
      </c>
      <c r="D6873" s="24" t="s">
        <v>141</v>
      </c>
      <c r="E6873" s="41" t="s">
        <v>1958</v>
      </c>
      <c r="F6873" s="7" t="s">
        <v>84</v>
      </c>
      <c r="G6873" s="33" t="s">
        <v>939</v>
      </c>
      <c r="H6873" s="33" t="s">
        <v>9653</v>
      </c>
      <c r="I6873" s="157">
        <v>0</v>
      </c>
      <c r="J6873" s="142">
        <v>325</v>
      </c>
      <c r="K6873" s="142">
        <v>0</v>
      </c>
      <c r="L6873" s="142">
        <v>0</v>
      </c>
      <c r="M6873" s="142">
        <v>0</v>
      </c>
      <c r="N6873" s="142">
        <v>0</v>
      </c>
      <c r="O6873" s="142">
        <v>0</v>
      </c>
      <c r="P6873" s="158">
        <v>0</v>
      </c>
      <c r="Q6873" s="35" t="s">
        <v>154</v>
      </c>
    </row>
    <row r="6874" spans="1:17" s="162" customFormat="1" ht="96" x14ac:dyDescent="0.25">
      <c r="A6874" s="184">
        <v>43038</v>
      </c>
      <c r="B6874" s="184">
        <v>43038</v>
      </c>
      <c r="C6874" s="138">
        <v>2017</v>
      </c>
      <c r="D6874" s="24" t="s">
        <v>141</v>
      </c>
      <c r="E6874" s="30" t="s">
        <v>142</v>
      </c>
      <c r="F6874" s="7" t="s">
        <v>75</v>
      </c>
      <c r="G6874" s="33" t="s">
        <v>4986</v>
      </c>
      <c r="H6874" s="33" t="s">
        <v>9654</v>
      </c>
      <c r="I6874" s="157">
        <v>0</v>
      </c>
      <c r="J6874" s="142">
        <v>3</v>
      </c>
      <c r="K6874" s="142">
        <v>0</v>
      </c>
      <c r="L6874" s="142">
        <v>0</v>
      </c>
      <c r="M6874" s="142">
        <v>0</v>
      </c>
      <c r="N6874" s="142">
        <v>0</v>
      </c>
      <c r="O6874" s="142">
        <v>0</v>
      </c>
      <c r="P6874" s="158">
        <v>0</v>
      </c>
      <c r="Q6874" s="35" t="s">
        <v>154</v>
      </c>
    </row>
    <row r="6875" spans="1:17" s="162" customFormat="1" ht="84" x14ac:dyDescent="0.25">
      <c r="A6875" s="184">
        <v>43039</v>
      </c>
      <c r="B6875" s="184">
        <v>43039</v>
      </c>
      <c r="C6875" s="138">
        <v>2017</v>
      </c>
      <c r="D6875" s="24" t="s">
        <v>141</v>
      </c>
      <c r="E6875" s="30" t="s">
        <v>142</v>
      </c>
      <c r="F6875" s="7" t="s">
        <v>77</v>
      </c>
      <c r="G6875" s="33" t="s">
        <v>681</v>
      </c>
      <c r="H6875" s="33" t="s">
        <v>9655</v>
      </c>
      <c r="I6875" s="157">
        <v>2</v>
      </c>
      <c r="J6875" s="142">
        <v>4</v>
      </c>
      <c r="K6875" s="142">
        <v>0</v>
      </c>
      <c r="L6875" s="142">
        <v>0</v>
      </c>
      <c r="M6875" s="142">
        <v>0</v>
      </c>
      <c r="N6875" s="142">
        <v>0</v>
      </c>
      <c r="O6875" s="142">
        <v>0</v>
      </c>
      <c r="P6875" s="158">
        <v>0</v>
      </c>
      <c r="Q6875" s="35" t="s">
        <v>154</v>
      </c>
    </row>
    <row r="6876" spans="1:17" s="162" customFormat="1" ht="60" x14ac:dyDescent="0.25">
      <c r="A6876" s="184">
        <v>43046</v>
      </c>
      <c r="B6876" s="184">
        <v>43046</v>
      </c>
      <c r="C6876" s="138">
        <v>2017</v>
      </c>
      <c r="D6876" s="24" t="s">
        <v>141</v>
      </c>
      <c r="E6876" s="30" t="s">
        <v>142</v>
      </c>
      <c r="F6876" s="7" t="s">
        <v>60</v>
      </c>
      <c r="G6876" s="33" t="s">
        <v>908</v>
      </c>
      <c r="H6876" s="33" t="s">
        <v>9656</v>
      </c>
      <c r="I6876" s="157">
        <v>0</v>
      </c>
      <c r="J6876" s="142">
        <v>25</v>
      </c>
      <c r="K6876" s="142">
        <v>0</v>
      </c>
      <c r="L6876" s="142">
        <v>0</v>
      </c>
      <c r="M6876" s="142">
        <v>0</v>
      </c>
      <c r="N6876" s="142">
        <v>0</v>
      </c>
      <c r="O6876" s="142">
        <v>0</v>
      </c>
      <c r="P6876" s="158">
        <v>0</v>
      </c>
      <c r="Q6876" s="35" t="s">
        <v>154</v>
      </c>
    </row>
    <row r="6877" spans="1:17" s="162" customFormat="1" ht="24" x14ac:dyDescent="0.25">
      <c r="A6877" s="184">
        <v>43048</v>
      </c>
      <c r="B6877" s="184">
        <v>43048</v>
      </c>
      <c r="C6877" s="138">
        <v>2017</v>
      </c>
      <c r="D6877" s="24" t="s">
        <v>141</v>
      </c>
      <c r="E6877" s="30" t="s">
        <v>142</v>
      </c>
      <c r="F6877" s="7" t="s">
        <v>45</v>
      </c>
      <c r="G6877" s="33" t="s">
        <v>3290</v>
      </c>
      <c r="H6877" s="33" t="s">
        <v>9657</v>
      </c>
      <c r="I6877" s="157">
        <v>2</v>
      </c>
      <c r="J6877" s="142">
        <v>6</v>
      </c>
      <c r="K6877" s="142">
        <v>0</v>
      </c>
      <c r="L6877" s="142">
        <v>0</v>
      </c>
      <c r="M6877" s="142">
        <v>0</v>
      </c>
      <c r="N6877" s="142">
        <v>0</v>
      </c>
      <c r="O6877" s="142">
        <v>0</v>
      </c>
      <c r="P6877" s="158">
        <v>0</v>
      </c>
      <c r="Q6877" s="35" t="s">
        <v>154</v>
      </c>
    </row>
    <row r="6878" spans="1:17" s="162" customFormat="1" ht="72" x14ac:dyDescent="0.25">
      <c r="A6878" s="184">
        <v>43060</v>
      </c>
      <c r="B6878" s="184">
        <v>43060</v>
      </c>
      <c r="C6878" s="138">
        <v>2017</v>
      </c>
      <c r="D6878" s="24" t="s">
        <v>141</v>
      </c>
      <c r="E6878" s="30" t="s">
        <v>142</v>
      </c>
      <c r="F6878" s="7" t="s">
        <v>56</v>
      </c>
      <c r="G6878" s="33" t="s">
        <v>351</v>
      </c>
      <c r="H6878" s="33" t="s">
        <v>9658</v>
      </c>
      <c r="I6878" s="157">
        <v>2</v>
      </c>
      <c r="J6878" s="142">
        <v>10</v>
      </c>
      <c r="K6878" s="142">
        <v>0</v>
      </c>
      <c r="L6878" s="142">
        <v>0</v>
      </c>
      <c r="M6878" s="142">
        <v>0</v>
      </c>
      <c r="N6878" s="142">
        <v>0</v>
      </c>
      <c r="O6878" s="142">
        <v>0</v>
      </c>
      <c r="P6878" s="158">
        <v>0</v>
      </c>
      <c r="Q6878" s="35" t="s">
        <v>154</v>
      </c>
    </row>
    <row r="6879" spans="1:17" s="162" customFormat="1" ht="60" x14ac:dyDescent="0.25">
      <c r="A6879" s="184">
        <v>43061</v>
      </c>
      <c r="B6879" s="184">
        <v>43061</v>
      </c>
      <c r="C6879" s="138">
        <v>2017</v>
      </c>
      <c r="D6879" s="24" t="s">
        <v>141</v>
      </c>
      <c r="E6879" s="30" t="s">
        <v>142</v>
      </c>
      <c r="F6879" s="7" t="s">
        <v>30</v>
      </c>
      <c r="G6879" s="33" t="s">
        <v>1078</v>
      </c>
      <c r="H6879" s="33" t="s">
        <v>9659</v>
      </c>
      <c r="I6879" s="157">
        <v>2</v>
      </c>
      <c r="J6879" s="142">
        <v>2</v>
      </c>
      <c r="K6879" s="142">
        <v>0</v>
      </c>
      <c r="L6879" s="142">
        <v>0</v>
      </c>
      <c r="M6879" s="142">
        <v>0</v>
      </c>
      <c r="N6879" s="142">
        <v>0</v>
      </c>
      <c r="O6879" s="142">
        <v>0</v>
      </c>
      <c r="P6879" s="158">
        <v>0</v>
      </c>
      <c r="Q6879" s="35" t="s">
        <v>154</v>
      </c>
    </row>
    <row r="6880" spans="1:17" s="162" customFormat="1" ht="48" x14ac:dyDescent="0.25">
      <c r="A6880" s="184">
        <v>43061</v>
      </c>
      <c r="B6880" s="184">
        <v>43061</v>
      </c>
      <c r="C6880" s="138">
        <v>2017</v>
      </c>
      <c r="D6880" s="24" t="s">
        <v>141</v>
      </c>
      <c r="E6880" s="30" t="s">
        <v>142</v>
      </c>
      <c r="F6880" s="7" t="s">
        <v>53</v>
      </c>
      <c r="G6880" s="33" t="s">
        <v>3073</v>
      </c>
      <c r="H6880" s="33" t="s">
        <v>9660</v>
      </c>
      <c r="I6880" s="157">
        <v>4</v>
      </c>
      <c r="J6880" s="142">
        <v>13</v>
      </c>
      <c r="K6880" s="142">
        <v>0</v>
      </c>
      <c r="L6880" s="142">
        <v>0</v>
      </c>
      <c r="M6880" s="142">
        <v>0</v>
      </c>
      <c r="N6880" s="142">
        <v>0</v>
      </c>
      <c r="O6880" s="142">
        <v>0</v>
      </c>
      <c r="P6880" s="158">
        <v>0</v>
      </c>
      <c r="Q6880" s="35" t="s">
        <v>154</v>
      </c>
    </row>
    <row r="6881" spans="1:17" s="162" customFormat="1" ht="84" x14ac:dyDescent="0.25">
      <c r="A6881" s="184">
        <v>43063</v>
      </c>
      <c r="B6881" s="184">
        <v>43063</v>
      </c>
      <c r="C6881" s="138">
        <v>2017</v>
      </c>
      <c r="D6881" s="24" t="s">
        <v>141</v>
      </c>
      <c r="E6881" s="30" t="s">
        <v>142</v>
      </c>
      <c r="F6881" s="7" t="s">
        <v>91</v>
      </c>
      <c r="G6881" s="33" t="s">
        <v>160</v>
      </c>
      <c r="H6881" s="33" t="s">
        <v>9661</v>
      </c>
      <c r="I6881" s="157">
        <v>2</v>
      </c>
      <c r="J6881" s="142">
        <v>12</v>
      </c>
      <c r="K6881" s="142">
        <v>0</v>
      </c>
      <c r="L6881" s="142">
        <v>0</v>
      </c>
      <c r="M6881" s="142">
        <v>0</v>
      </c>
      <c r="N6881" s="142">
        <v>0</v>
      </c>
      <c r="O6881" s="142">
        <v>0</v>
      </c>
      <c r="P6881" s="158">
        <v>0</v>
      </c>
      <c r="Q6881" s="35" t="s">
        <v>154</v>
      </c>
    </row>
    <row r="6882" spans="1:17" s="162" customFormat="1" ht="96" x14ac:dyDescent="0.25">
      <c r="A6882" s="184">
        <v>43088</v>
      </c>
      <c r="B6882" s="184">
        <v>43088</v>
      </c>
      <c r="C6882" s="138">
        <v>2017</v>
      </c>
      <c r="D6882" s="24" t="s">
        <v>141</v>
      </c>
      <c r="E6882" s="30" t="s">
        <v>142</v>
      </c>
      <c r="F6882" s="7" t="s">
        <v>80</v>
      </c>
      <c r="G6882" s="33" t="s">
        <v>1050</v>
      </c>
      <c r="H6882" s="33" t="s">
        <v>9662</v>
      </c>
      <c r="I6882" s="157">
        <v>12</v>
      </c>
      <c r="J6882" s="142">
        <v>29</v>
      </c>
      <c r="K6882" s="142">
        <v>0</v>
      </c>
      <c r="L6882" s="142">
        <v>0</v>
      </c>
      <c r="M6882" s="142">
        <v>0</v>
      </c>
      <c r="N6882" s="142">
        <v>0</v>
      </c>
      <c r="O6882" s="142">
        <v>0</v>
      </c>
      <c r="P6882" s="158">
        <v>0</v>
      </c>
      <c r="Q6882" s="35" t="s">
        <v>154</v>
      </c>
    </row>
    <row r="6883" spans="1:17" s="162" customFormat="1" ht="156" x14ac:dyDescent="0.25">
      <c r="A6883" s="184">
        <v>43090</v>
      </c>
      <c r="B6883" s="184">
        <v>43090</v>
      </c>
      <c r="C6883" s="138">
        <v>2017</v>
      </c>
      <c r="D6883" s="24" t="s">
        <v>141</v>
      </c>
      <c r="E6883" s="30" t="s">
        <v>142</v>
      </c>
      <c r="F6883" s="7" t="s">
        <v>80</v>
      </c>
      <c r="G6883" s="33" t="s">
        <v>5558</v>
      </c>
      <c r="H6883" s="33" t="s">
        <v>9663</v>
      </c>
      <c r="I6883" s="157">
        <v>0</v>
      </c>
      <c r="J6883" s="142">
        <v>5</v>
      </c>
      <c r="K6883" s="142">
        <v>0</v>
      </c>
      <c r="L6883" s="142">
        <v>0</v>
      </c>
      <c r="M6883" s="142">
        <v>0</v>
      </c>
      <c r="N6883" s="142">
        <v>0</v>
      </c>
      <c r="O6883" s="142">
        <v>0</v>
      </c>
      <c r="P6883" s="158">
        <v>0</v>
      </c>
      <c r="Q6883" s="35" t="s">
        <v>154</v>
      </c>
    </row>
    <row r="6884" spans="1:17" s="162" customFormat="1" ht="84" x14ac:dyDescent="0.25">
      <c r="A6884" s="184">
        <v>43091</v>
      </c>
      <c r="B6884" s="184">
        <v>43091</v>
      </c>
      <c r="C6884" s="138">
        <v>2017</v>
      </c>
      <c r="D6884" s="24" t="s">
        <v>141</v>
      </c>
      <c r="E6884" s="30" t="s">
        <v>142</v>
      </c>
      <c r="F6884" s="7" t="s">
        <v>72</v>
      </c>
      <c r="G6884" s="33" t="s">
        <v>9664</v>
      </c>
      <c r="H6884" s="33" t="s">
        <v>9665</v>
      </c>
      <c r="I6884" s="157">
        <v>3</v>
      </c>
      <c r="J6884" s="142">
        <v>18</v>
      </c>
      <c r="K6884" s="142">
        <v>0</v>
      </c>
      <c r="L6884" s="142">
        <v>0</v>
      </c>
      <c r="M6884" s="142">
        <v>0</v>
      </c>
      <c r="N6884" s="142">
        <v>0</v>
      </c>
      <c r="O6884" s="142">
        <v>0</v>
      </c>
      <c r="P6884" s="158">
        <v>0</v>
      </c>
      <c r="Q6884" s="35" t="s">
        <v>154</v>
      </c>
    </row>
    <row r="6885" spans="1:17" s="162" customFormat="1" ht="180" x14ac:dyDescent="0.25">
      <c r="A6885" s="184">
        <v>43096</v>
      </c>
      <c r="B6885" s="184">
        <v>43096</v>
      </c>
      <c r="C6885" s="138">
        <v>2017</v>
      </c>
      <c r="D6885" s="24" t="s">
        <v>141</v>
      </c>
      <c r="E6885" s="30" t="s">
        <v>142</v>
      </c>
      <c r="F6885" s="7" t="s">
        <v>56</v>
      </c>
      <c r="G6885" s="33" t="s">
        <v>1933</v>
      </c>
      <c r="H6885" s="33" t="s">
        <v>9666</v>
      </c>
      <c r="I6885" s="157">
        <v>0</v>
      </c>
      <c r="J6885" s="142">
        <v>32</v>
      </c>
      <c r="K6885" s="142">
        <v>0</v>
      </c>
      <c r="L6885" s="142">
        <v>0</v>
      </c>
      <c r="M6885" s="142">
        <v>0</v>
      </c>
      <c r="N6885" s="142">
        <v>0</v>
      </c>
      <c r="O6885" s="142">
        <v>0</v>
      </c>
      <c r="P6885" s="158">
        <v>0</v>
      </c>
      <c r="Q6885" s="35" t="s">
        <v>154</v>
      </c>
    </row>
    <row r="6886" spans="1:17" s="162" customFormat="1" ht="156" x14ac:dyDescent="0.25">
      <c r="A6886" s="184">
        <v>43096</v>
      </c>
      <c r="B6886" s="184">
        <v>43096</v>
      </c>
      <c r="C6886" s="138">
        <v>2017</v>
      </c>
      <c r="D6886" s="24" t="s">
        <v>141</v>
      </c>
      <c r="E6886" s="30" t="s">
        <v>142</v>
      </c>
      <c r="F6886" s="7" t="s">
        <v>68</v>
      </c>
      <c r="G6886" s="33" t="s">
        <v>9667</v>
      </c>
      <c r="H6886" s="33" t="s">
        <v>9668</v>
      </c>
      <c r="I6886" s="157">
        <v>2</v>
      </c>
      <c r="J6886" s="142">
        <v>4</v>
      </c>
      <c r="K6886" s="142">
        <v>0</v>
      </c>
      <c r="L6886" s="142">
        <v>0</v>
      </c>
      <c r="M6886" s="142">
        <v>0</v>
      </c>
      <c r="N6886" s="142">
        <v>0</v>
      </c>
      <c r="O6886" s="142">
        <v>0</v>
      </c>
      <c r="P6886" s="158">
        <v>0</v>
      </c>
      <c r="Q6886" s="35" t="s">
        <v>154</v>
      </c>
    </row>
    <row r="6887" spans="1:17" s="162" customFormat="1" ht="168" x14ac:dyDescent="0.25">
      <c r="A6887" s="184">
        <v>43099</v>
      </c>
      <c r="B6887" s="184">
        <v>43099</v>
      </c>
      <c r="C6887" s="138">
        <v>2017</v>
      </c>
      <c r="D6887" s="24" t="s">
        <v>141</v>
      </c>
      <c r="E6887" s="30" t="s">
        <v>142</v>
      </c>
      <c r="F6887" s="28" t="s">
        <v>210</v>
      </c>
      <c r="G6887" s="33" t="s">
        <v>924</v>
      </c>
      <c r="H6887" s="33" t="s">
        <v>9669</v>
      </c>
      <c r="I6887" s="157">
        <v>1</v>
      </c>
      <c r="J6887" s="142">
        <v>23</v>
      </c>
      <c r="K6887" s="142">
        <v>0</v>
      </c>
      <c r="L6887" s="142">
        <v>0</v>
      </c>
      <c r="M6887" s="142">
        <v>0</v>
      </c>
      <c r="N6887" s="142">
        <v>0</v>
      </c>
      <c r="O6887" s="142">
        <v>0</v>
      </c>
      <c r="P6887" s="158">
        <v>0</v>
      </c>
      <c r="Q6887" s="35" t="s">
        <v>154</v>
      </c>
    </row>
    <row r="6888" spans="1:17" s="162" customFormat="1" ht="108" x14ac:dyDescent="0.25">
      <c r="A6888" s="184">
        <v>43073</v>
      </c>
      <c r="B6888" s="184">
        <v>43073</v>
      </c>
      <c r="C6888" s="138">
        <v>2017</v>
      </c>
      <c r="D6888" s="24" t="s">
        <v>141</v>
      </c>
      <c r="E6888" s="41" t="s">
        <v>1965</v>
      </c>
      <c r="F6888" s="28" t="s">
        <v>163</v>
      </c>
      <c r="G6888" s="33" t="s">
        <v>4478</v>
      </c>
      <c r="H6888" s="33" t="s">
        <v>9670</v>
      </c>
      <c r="I6888" s="157">
        <v>4</v>
      </c>
      <c r="J6888" s="142">
        <v>4</v>
      </c>
      <c r="K6888" s="142">
        <v>0</v>
      </c>
      <c r="L6888" s="142">
        <v>0</v>
      </c>
      <c r="M6888" s="142">
        <v>0</v>
      </c>
      <c r="N6888" s="142">
        <v>1</v>
      </c>
      <c r="O6888" s="142">
        <v>0</v>
      </c>
      <c r="P6888" s="158">
        <v>0</v>
      </c>
      <c r="Q6888" s="35" t="s">
        <v>154</v>
      </c>
    </row>
    <row r="6889" spans="1:17" s="162" customFormat="1" ht="108" x14ac:dyDescent="0.25">
      <c r="A6889" s="281">
        <v>43119</v>
      </c>
      <c r="B6889" s="281">
        <v>43119</v>
      </c>
      <c r="C6889" s="282">
        <v>2018</v>
      </c>
      <c r="D6889" s="35" t="s">
        <v>17</v>
      </c>
      <c r="E6889" s="283" t="s">
        <v>9671</v>
      </c>
      <c r="F6889" s="7" t="s">
        <v>30</v>
      </c>
      <c r="G6889" s="284" t="s">
        <v>9672</v>
      </c>
      <c r="H6889" s="134" t="s">
        <v>9673</v>
      </c>
      <c r="I6889" s="285">
        <v>0</v>
      </c>
      <c r="J6889" s="286">
        <v>400</v>
      </c>
      <c r="K6889" s="285">
        <v>100</v>
      </c>
      <c r="L6889" s="285">
        <v>0</v>
      </c>
      <c r="M6889" s="285">
        <v>0</v>
      </c>
      <c r="N6889" s="285">
        <v>0</v>
      </c>
      <c r="O6889" s="285">
        <v>0</v>
      </c>
      <c r="P6889" s="32">
        <v>12</v>
      </c>
      <c r="Q6889" s="287" t="s">
        <v>154</v>
      </c>
    </row>
    <row r="6890" spans="1:17" s="162" customFormat="1" ht="120" x14ac:dyDescent="0.25">
      <c r="A6890" s="281">
        <v>43147</v>
      </c>
      <c r="B6890" s="281">
        <v>43147</v>
      </c>
      <c r="C6890" s="282">
        <v>2018</v>
      </c>
      <c r="D6890" s="35" t="s">
        <v>17</v>
      </c>
      <c r="E6890" s="283" t="s">
        <v>122</v>
      </c>
      <c r="F6890" s="7" t="s">
        <v>72</v>
      </c>
      <c r="G6890" s="284"/>
      <c r="H6890" s="134" t="s">
        <v>9674</v>
      </c>
      <c r="I6890" s="285">
        <v>0</v>
      </c>
      <c r="J6890" s="286">
        <v>60168</v>
      </c>
      <c r="K6890" s="285">
        <v>0</v>
      </c>
      <c r="L6890" s="285">
        <v>0</v>
      </c>
      <c r="M6890" s="285">
        <v>0</v>
      </c>
      <c r="N6890" s="285">
        <v>0</v>
      </c>
      <c r="O6890" s="285">
        <v>0</v>
      </c>
      <c r="P6890" s="32">
        <v>1425.210591885</v>
      </c>
      <c r="Q6890" s="287" t="s">
        <v>7883</v>
      </c>
    </row>
    <row r="6891" spans="1:17" s="162" customFormat="1" ht="180" x14ac:dyDescent="0.25">
      <c r="A6891" s="281">
        <v>43230</v>
      </c>
      <c r="B6891" s="281">
        <v>43230</v>
      </c>
      <c r="C6891" s="282">
        <v>2018</v>
      </c>
      <c r="D6891" s="35" t="s">
        <v>17</v>
      </c>
      <c r="E6891" s="283" t="s">
        <v>1603</v>
      </c>
      <c r="F6891" s="28" t="s">
        <v>157</v>
      </c>
      <c r="G6891" s="284" t="s">
        <v>5443</v>
      </c>
      <c r="H6891" s="134" t="s">
        <v>9675</v>
      </c>
      <c r="I6891" s="285">
        <v>0</v>
      </c>
      <c r="J6891" s="286">
        <v>10</v>
      </c>
      <c r="K6891" s="285">
        <v>2</v>
      </c>
      <c r="L6891" s="285">
        <v>0</v>
      </c>
      <c r="M6891" s="285">
        <v>0</v>
      </c>
      <c r="N6891" s="285">
        <v>0</v>
      </c>
      <c r="O6891" s="285">
        <v>0</v>
      </c>
      <c r="P6891" s="32">
        <v>5.6000000000000001E-2</v>
      </c>
      <c r="Q6891" s="287" t="s">
        <v>154</v>
      </c>
    </row>
    <row r="6892" spans="1:17" s="162" customFormat="1" ht="132" x14ac:dyDescent="0.25">
      <c r="A6892" s="281">
        <v>43288</v>
      </c>
      <c r="B6892" s="281">
        <v>43288</v>
      </c>
      <c r="C6892" s="282">
        <v>2018</v>
      </c>
      <c r="D6892" s="35" t="s">
        <v>17</v>
      </c>
      <c r="E6892" s="283" t="s">
        <v>9671</v>
      </c>
      <c r="F6892" s="28" t="s">
        <v>210</v>
      </c>
      <c r="G6892" s="284" t="s">
        <v>2671</v>
      </c>
      <c r="H6892" s="134" t="s">
        <v>9676</v>
      </c>
      <c r="I6892" s="285">
        <v>3</v>
      </c>
      <c r="J6892" s="286">
        <v>12</v>
      </c>
      <c r="K6892" s="285">
        <v>0</v>
      </c>
      <c r="L6892" s="285">
        <v>0</v>
      </c>
      <c r="M6892" s="285">
        <v>0</v>
      </c>
      <c r="N6892" s="285">
        <v>0</v>
      </c>
      <c r="O6892" s="285">
        <v>0</v>
      </c>
      <c r="P6892" s="32">
        <v>0.6573</v>
      </c>
      <c r="Q6892" s="287" t="s">
        <v>154</v>
      </c>
    </row>
    <row r="6893" spans="1:17" s="162" customFormat="1" ht="84" x14ac:dyDescent="0.25">
      <c r="A6893" s="281">
        <v>43295</v>
      </c>
      <c r="B6893" s="281">
        <v>43295</v>
      </c>
      <c r="C6893" s="282">
        <v>2018</v>
      </c>
      <c r="D6893" s="35" t="s">
        <v>17</v>
      </c>
      <c r="E6893" s="283" t="s">
        <v>9671</v>
      </c>
      <c r="F6893" s="7" t="s">
        <v>30</v>
      </c>
      <c r="G6893" s="284" t="s">
        <v>9672</v>
      </c>
      <c r="H6893" s="134" t="s">
        <v>9677</v>
      </c>
      <c r="I6893" s="285">
        <v>0</v>
      </c>
      <c r="J6893" s="286">
        <v>96</v>
      </c>
      <c r="K6893" s="285">
        <v>24</v>
      </c>
      <c r="L6893" s="285">
        <v>0</v>
      </c>
      <c r="M6893" s="285">
        <v>0</v>
      </c>
      <c r="N6893" s="285">
        <v>0</v>
      </c>
      <c r="O6893" s="285">
        <v>0</v>
      </c>
      <c r="P6893" s="32">
        <v>2.88</v>
      </c>
      <c r="Q6893" s="287" t="s">
        <v>154</v>
      </c>
    </row>
    <row r="6894" spans="1:17" s="162" customFormat="1" ht="144" x14ac:dyDescent="0.25">
      <c r="A6894" s="281">
        <v>43313</v>
      </c>
      <c r="B6894" s="281">
        <v>43313</v>
      </c>
      <c r="C6894" s="282">
        <v>2018</v>
      </c>
      <c r="D6894" s="35" t="s">
        <v>17</v>
      </c>
      <c r="E6894" s="283" t="s">
        <v>2964</v>
      </c>
      <c r="F6894" s="7" t="s">
        <v>58</v>
      </c>
      <c r="G6894" s="284" t="s">
        <v>9678</v>
      </c>
      <c r="H6894" s="134" t="s">
        <v>9679</v>
      </c>
      <c r="I6894" s="285">
        <v>0</v>
      </c>
      <c r="J6894" s="286">
        <v>108</v>
      </c>
      <c r="K6894" s="285">
        <v>0</v>
      </c>
      <c r="L6894" s="285">
        <v>0</v>
      </c>
      <c r="M6894" s="285">
        <v>0</v>
      </c>
      <c r="N6894" s="285">
        <v>0</v>
      </c>
      <c r="O6894" s="285">
        <v>0</v>
      </c>
      <c r="P6894" s="32">
        <v>0</v>
      </c>
      <c r="Q6894" s="287" t="s">
        <v>154</v>
      </c>
    </row>
    <row r="6895" spans="1:17" s="162" customFormat="1" ht="144" x14ac:dyDescent="0.25">
      <c r="A6895" s="281">
        <v>43314</v>
      </c>
      <c r="B6895" s="281">
        <v>43314</v>
      </c>
      <c r="C6895" s="282">
        <v>2018</v>
      </c>
      <c r="D6895" s="35" t="s">
        <v>17</v>
      </c>
      <c r="E6895" s="283" t="s">
        <v>9671</v>
      </c>
      <c r="F6895" s="28" t="s">
        <v>160</v>
      </c>
      <c r="G6895" s="284" t="s">
        <v>2903</v>
      </c>
      <c r="H6895" s="134" t="s">
        <v>9680</v>
      </c>
      <c r="I6895" s="285">
        <v>5</v>
      </c>
      <c r="J6895" s="286">
        <v>5</v>
      </c>
      <c r="K6895" s="285">
        <v>0</v>
      </c>
      <c r="L6895" s="285">
        <v>0</v>
      </c>
      <c r="M6895" s="285">
        <v>0</v>
      </c>
      <c r="N6895" s="285">
        <v>1</v>
      </c>
      <c r="O6895" s="285">
        <v>0</v>
      </c>
      <c r="P6895" s="32">
        <v>0.01</v>
      </c>
      <c r="Q6895" s="287" t="s">
        <v>154</v>
      </c>
    </row>
    <row r="6896" spans="1:17" s="162" customFormat="1" ht="108" x14ac:dyDescent="0.25">
      <c r="A6896" s="281">
        <v>43329</v>
      </c>
      <c r="B6896" s="281">
        <v>43329</v>
      </c>
      <c r="C6896" s="282">
        <v>2018</v>
      </c>
      <c r="D6896" s="35" t="s">
        <v>17</v>
      </c>
      <c r="E6896" s="283" t="s">
        <v>9671</v>
      </c>
      <c r="F6896" s="7" t="s">
        <v>58</v>
      </c>
      <c r="G6896" s="284" t="s">
        <v>1194</v>
      </c>
      <c r="H6896" s="134" t="s">
        <v>9681</v>
      </c>
      <c r="I6896" s="285">
        <v>1</v>
      </c>
      <c r="J6896" s="286">
        <v>2</v>
      </c>
      <c r="K6896" s="285">
        <v>0</v>
      </c>
      <c r="L6896" s="285">
        <v>0</v>
      </c>
      <c r="M6896" s="285">
        <v>0</v>
      </c>
      <c r="N6896" s="285">
        <v>0</v>
      </c>
      <c r="O6896" s="285">
        <v>0</v>
      </c>
      <c r="P6896" s="32">
        <v>2.4171000000000002E-2</v>
      </c>
      <c r="Q6896" s="287" t="s">
        <v>154</v>
      </c>
    </row>
    <row r="6897" spans="1:17" s="162" customFormat="1" ht="216" x14ac:dyDescent="0.25">
      <c r="A6897" s="281">
        <v>43340</v>
      </c>
      <c r="B6897" s="281">
        <v>43340</v>
      </c>
      <c r="C6897" s="282">
        <v>2018</v>
      </c>
      <c r="D6897" s="35" t="s">
        <v>17</v>
      </c>
      <c r="E6897" s="283" t="s">
        <v>9671</v>
      </c>
      <c r="F6897" s="28" t="s">
        <v>157</v>
      </c>
      <c r="G6897" s="284" t="s">
        <v>1190</v>
      </c>
      <c r="H6897" s="134" t="s">
        <v>9682</v>
      </c>
      <c r="I6897" s="285">
        <v>0</v>
      </c>
      <c r="J6897" s="286">
        <v>0</v>
      </c>
      <c r="K6897" s="285">
        <v>1</v>
      </c>
      <c r="L6897" s="285">
        <v>0</v>
      </c>
      <c r="M6897" s="285">
        <v>0</v>
      </c>
      <c r="N6897" s="285">
        <v>0</v>
      </c>
      <c r="O6897" s="285">
        <v>0</v>
      </c>
      <c r="P6897" s="32">
        <v>0.12457</v>
      </c>
      <c r="Q6897" s="287" t="s">
        <v>154</v>
      </c>
    </row>
    <row r="6898" spans="1:17" s="162" customFormat="1" ht="108" x14ac:dyDescent="0.25">
      <c r="A6898" s="281">
        <v>43341</v>
      </c>
      <c r="B6898" s="281">
        <v>43341</v>
      </c>
      <c r="C6898" s="282">
        <v>2018</v>
      </c>
      <c r="D6898" s="35" t="s">
        <v>17</v>
      </c>
      <c r="E6898" s="283" t="s">
        <v>9671</v>
      </c>
      <c r="F6898" s="7" t="s">
        <v>53</v>
      </c>
      <c r="G6898" s="284" t="s">
        <v>8930</v>
      </c>
      <c r="H6898" s="134" t="s">
        <v>9683</v>
      </c>
      <c r="I6898" s="285">
        <v>0</v>
      </c>
      <c r="J6898" s="286">
        <v>8</v>
      </c>
      <c r="K6898" s="285">
        <v>2</v>
      </c>
      <c r="L6898" s="285">
        <v>0</v>
      </c>
      <c r="M6898" s="285">
        <v>0</v>
      </c>
      <c r="N6898" s="285">
        <v>0</v>
      </c>
      <c r="O6898" s="285">
        <v>0</v>
      </c>
      <c r="P6898" s="32">
        <v>0.20945</v>
      </c>
      <c r="Q6898" s="287" t="s">
        <v>154</v>
      </c>
    </row>
    <row r="6899" spans="1:17" s="162" customFormat="1" ht="153" x14ac:dyDescent="0.25">
      <c r="A6899" s="281">
        <v>43355</v>
      </c>
      <c r="B6899" s="281">
        <v>43355</v>
      </c>
      <c r="C6899" s="282">
        <v>2018</v>
      </c>
      <c r="D6899" s="35" t="s">
        <v>17</v>
      </c>
      <c r="E6899" s="283" t="s">
        <v>2964</v>
      </c>
      <c r="F6899" s="7" t="s">
        <v>49</v>
      </c>
      <c r="G6899" s="284" t="s">
        <v>2765</v>
      </c>
      <c r="H6899" s="284" t="s">
        <v>9684</v>
      </c>
      <c r="I6899" s="285">
        <v>0</v>
      </c>
      <c r="J6899" s="286">
        <v>2000</v>
      </c>
      <c r="K6899" s="285">
        <v>0</v>
      </c>
      <c r="L6899" s="285">
        <v>0</v>
      </c>
      <c r="M6899" s="285">
        <v>0</v>
      </c>
      <c r="N6899" s="285">
        <v>0</v>
      </c>
      <c r="O6899" s="285">
        <v>0</v>
      </c>
      <c r="P6899" s="32">
        <v>0</v>
      </c>
      <c r="Q6899" s="287" t="s">
        <v>154</v>
      </c>
    </row>
    <row r="6900" spans="1:17" s="162" customFormat="1" ht="165.75" x14ac:dyDescent="0.25">
      <c r="A6900" s="281">
        <v>43356</v>
      </c>
      <c r="B6900" s="281">
        <v>43356</v>
      </c>
      <c r="C6900" s="282">
        <v>2018</v>
      </c>
      <c r="D6900" s="35" t="s">
        <v>17</v>
      </c>
      <c r="E6900" s="283" t="s">
        <v>9671</v>
      </c>
      <c r="F6900" s="7" t="s">
        <v>40</v>
      </c>
      <c r="G6900" s="284" t="s">
        <v>1878</v>
      </c>
      <c r="H6900" s="284" t="s">
        <v>9685</v>
      </c>
      <c r="I6900" s="285">
        <v>2</v>
      </c>
      <c r="J6900" s="286">
        <v>2</v>
      </c>
      <c r="K6900" s="285">
        <v>0</v>
      </c>
      <c r="L6900" s="285">
        <v>0</v>
      </c>
      <c r="M6900" s="285">
        <v>0</v>
      </c>
      <c r="N6900" s="285">
        <v>0</v>
      </c>
      <c r="O6900" s="285">
        <v>0</v>
      </c>
      <c r="P6900" s="32">
        <v>0</v>
      </c>
      <c r="Q6900" s="287" t="s">
        <v>154</v>
      </c>
    </row>
    <row r="6901" spans="1:17" s="162" customFormat="1" ht="156" x14ac:dyDescent="0.25">
      <c r="A6901" s="281">
        <v>43368</v>
      </c>
      <c r="B6901" s="281">
        <v>43368</v>
      </c>
      <c r="C6901" s="282">
        <v>2018</v>
      </c>
      <c r="D6901" s="35" t="s">
        <v>17</v>
      </c>
      <c r="E6901" s="283" t="s">
        <v>2964</v>
      </c>
      <c r="F6901" s="7" t="s">
        <v>72</v>
      </c>
      <c r="G6901" s="284" t="s">
        <v>9686</v>
      </c>
      <c r="H6901" s="33" t="s">
        <v>9687</v>
      </c>
      <c r="I6901" s="285">
        <v>0</v>
      </c>
      <c r="J6901" s="286">
        <v>121</v>
      </c>
      <c r="K6901" s="285">
        <v>0</v>
      </c>
      <c r="L6901" s="285">
        <v>0</v>
      </c>
      <c r="M6901" s="285">
        <v>0</v>
      </c>
      <c r="N6901" s="285">
        <v>0</v>
      </c>
      <c r="O6901" s="285">
        <v>0</v>
      </c>
      <c r="P6901" s="32">
        <v>0</v>
      </c>
      <c r="Q6901" s="287" t="s">
        <v>154</v>
      </c>
    </row>
    <row r="6902" spans="1:17" s="162" customFormat="1" ht="132" x14ac:dyDescent="0.25">
      <c r="A6902" s="281">
        <v>43380</v>
      </c>
      <c r="B6902" s="281">
        <v>43380</v>
      </c>
      <c r="C6902" s="282">
        <v>2018</v>
      </c>
      <c r="D6902" s="35" t="s">
        <v>17</v>
      </c>
      <c r="E6902" s="283" t="s">
        <v>9671</v>
      </c>
      <c r="F6902" s="7" t="s">
        <v>62</v>
      </c>
      <c r="G6902" s="284" t="s">
        <v>9688</v>
      </c>
      <c r="H6902" s="33" t="s">
        <v>9689</v>
      </c>
      <c r="I6902" s="285">
        <v>1</v>
      </c>
      <c r="J6902" s="286">
        <v>4</v>
      </c>
      <c r="K6902" s="285">
        <v>0</v>
      </c>
      <c r="L6902" s="285">
        <v>0</v>
      </c>
      <c r="M6902" s="285">
        <v>0</v>
      </c>
      <c r="N6902" s="285">
        <v>0</v>
      </c>
      <c r="O6902" s="285">
        <v>0</v>
      </c>
      <c r="P6902" s="32">
        <v>1.8536133488372093</v>
      </c>
      <c r="Q6902" s="287" t="s">
        <v>154</v>
      </c>
    </row>
    <row r="6903" spans="1:17" s="162" customFormat="1" ht="96" x14ac:dyDescent="0.25">
      <c r="A6903" s="281">
        <v>43390</v>
      </c>
      <c r="B6903" s="281">
        <v>43390</v>
      </c>
      <c r="C6903" s="282">
        <v>2018</v>
      </c>
      <c r="D6903" s="35" t="s">
        <v>17</v>
      </c>
      <c r="E6903" s="283" t="s">
        <v>9671</v>
      </c>
      <c r="F6903" s="7" t="s">
        <v>72</v>
      </c>
      <c r="G6903" s="284" t="s">
        <v>9690</v>
      </c>
      <c r="H6903" s="33" t="s">
        <v>9691</v>
      </c>
      <c r="I6903" s="285">
        <v>6</v>
      </c>
      <c r="J6903" s="286">
        <v>6</v>
      </c>
      <c r="K6903" s="285">
        <v>0</v>
      </c>
      <c r="L6903" s="285">
        <v>0</v>
      </c>
      <c r="M6903" s="285">
        <v>0</v>
      </c>
      <c r="N6903" s="285">
        <v>0</v>
      </c>
      <c r="O6903" s="285">
        <v>0</v>
      </c>
      <c r="P6903" s="32">
        <v>0</v>
      </c>
      <c r="Q6903" s="287" t="s">
        <v>154</v>
      </c>
    </row>
    <row r="6904" spans="1:17" s="162" customFormat="1" ht="216" x14ac:dyDescent="0.25">
      <c r="A6904" s="281">
        <v>43392</v>
      </c>
      <c r="B6904" s="281">
        <v>43392</v>
      </c>
      <c r="C6904" s="282">
        <v>2018</v>
      </c>
      <c r="D6904" s="35" t="s">
        <v>17</v>
      </c>
      <c r="E6904" s="283" t="s">
        <v>9671</v>
      </c>
      <c r="F6904" s="7" t="s">
        <v>36</v>
      </c>
      <c r="G6904" s="284" t="s">
        <v>9692</v>
      </c>
      <c r="H6904" s="33" t="s">
        <v>9693</v>
      </c>
      <c r="I6904" s="285">
        <v>0</v>
      </c>
      <c r="J6904" s="286">
        <v>215</v>
      </c>
      <c r="K6904" s="285">
        <v>58</v>
      </c>
      <c r="L6904" s="285">
        <v>0</v>
      </c>
      <c r="M6904" s="285">
        <v>0</v>
      </c>
      <c r="N6904" s="285">
        <v>0</v>
      </c>
      <c r="O6904" s="285">
        <v>0</v>
      </c>
      <c r="P6904" s="32">
        <v>3.3911241790000002</v>
      </c>
      <c r="Q6904" s="287" t="s">
        <v>154</v>
      </c>
    </row>
    <row r="6905" spans="1:17" s="162" customFormat="1" ht="132" x14ac:dyDescent="0.25">
      <c r="A6905" s="281">
        <v>43447</v>
      </c>
      <c r="B6905" s="281">
        <v>43447</v>
      </c>
      <c r="C6905" s="282">
        <v>2018</v>
      </c>
      <c r="D6905" s="35" t="s">
        <v>17</v>
      </c>
      <c r="E6905" s="283" t="s">
        <v>9671</v>
      </c>
      <c r="F6905" s="7" t="s">
        <v>87</v>
      </c>
      <c r="G6905" s="284" t="s">
        <v>668</v>
      </c>
      <c r="H6905" s="33" t="s">
        <v>9694</v>
      </c>
      <c r="I6905" s="285">
        <v>2</v>
      </c>
      <c r="J6905" s="286">
        <v>7</v>
      </c>
      <c r="K6905" s="285">
        <v>0</v>
      </c>
      <c r="L6905" s="285">
        <v>0</v>
      </c>
      <c r="M6905" s="285">
        <v>0</v>
      </c>
      <c r="N6905" s="285">
        <v>1</v>
      </c>
      <c r="O6905" s="285">
        <v>0</v>
      </c>
      <c r="P6905" s="32">
        <v>0.01</v>
      </c>
      <c r="Q6905" s="287" t="s">
        <v>154</v>
      </c>
    </row>
    <row r="6906" spans="1:17" s="162" customFormat="1" ht="276" x14ac:dyDescent="0.25">
      <c r="A6906" s="281">
        <v>43124</v>
      </c>
      <c r="B6906" s="281">
        <v>43124</v>
      </c>
      <c r="C6906" s="282">
        <v>2018</v>
      </c>
      <c r="D6906" s="351" t="s">
        <v>23</v>
      </c>
      <c r="E6906" s="283" t="s">
        <v>2070</v>
      </c>
      <c r="F6906" s="7" t="s">
        <v>53</v>
      </c>
      <c r="G6906" s="284" t="s">
        <v>9695</v>
      </c>
      <c r="H6906" s="33" t="s">
        <v>9696</v>
      </c>
      <c r="I6906" s="282">
        <v>1</v>
      </c>
      <c r="J6906" s="286">
        <v>80</v>
      </c>
      <c r="K6906" s="282">
        <v>20</v>
      </c>
      <c r="L6906" s="282">
        <v>0</v>
      </c>
      <c r="M6906" s="282">
        <v>0</v>
      </c>
      <c r="N6906" s="282">
        <v>0</v>
      </c>
      <c r="O6906" s="285">
        <v>0</v>
      </c>
      <c r="P6906" s="288">
        <v>1.4E-2</v>
      </c>
      <c r="Q6906" s="287" t="s">
        <v>154</v>
      </c>
    </row>
    <row r="6907" spans="1:17" s="162" customFormat="1" ht="216" x14ac:dyDescent="0.25">
      <c r="A6907" s="281">
        <v>43137</v>
      </c>
      <c r="B6907" s="281">
        <v>43137</v>
      </c>
      <c r="C6907" s="282">
        <v>2018</v>
      </c>
      <c r="D6907" s="351" t="s">
        <v>23</v>
      </c>
      <c r="E6907" s="283" t="s">
        <v>2070</v>
      </c>
      <c r="F6907" s="7" t="s">
        <v>53</v>
      </c>
      <c r="G6907" s="284" t="s">
        <v>9697</v>
      </c>
      <c r="H6907" s="33" t="s">
        <v>9698</v>
      </c>
      <c r="I6907" s="282">
        <v>0</v>
      </c>
      <c r="J6907" s="286">
        <v>180</v>
      </c>
      <c r="K6907" s="282">
        <v>45</v>
      </c>
      <c r="L6907" s="282">
        <v>0</v>
      </c>
      <c r="M6907" s="282">
        <v>0</v>
      </c>
      <c r="N6907" s="282">
        <v>0</v>
      </c>
      <c r="O6907" s="285">
        <v>0</v>
      </c>
      <c r="P6907" s="288">
        <v>3.15E-2</v>
      </c>
      <c r="Q6907" s="287" t="s">
        <v>154</v>
      </c>
    </row>
    <row r="6908" spans="1:17" s="162" customFormat="1" ht="72" x14ac:dyDescent="0.25">
      <c r="A6908" s="281">
        <v>43175</v>
      </c>
      <c r="B6908" s="281">
        <v>43175</v>
      </c>
      <c r="C6908" s="282">
        <v>2018</v>
      </c>
      <c r="D6908" s="351" t="s">
        <v>23</v>
      </c>
      <c r="E6908" s="283" t="s">
        <v>2070</v>
      </c>
      <c r="F6908" s="7" t="s">
        <v>36</v>
      </c>
      <c r="G6908" s="284" t="s">
        <v>1592</v>
      </c>
      <c r="H6908" s="33" t="s">
        <v>9699</v>
      </c>
      <c r="I6908" s="282">
        <v>0</v>
      </c>
      <c r="J6908" s="286">
        <v>164</v>
      </c>
      <c r="K6908" s="282">
        <v>41</v>
      </c>
      <c r="L6908" s="282">
        <v>0</v>
      </c>
      <c r="M6908" s="282">
        <v>0</v>
      </c>
      <c r="N6908" s="282">
        <v>0</v>
      </c>
      <c r="O6908" s="285">
        <v>0</v>
      </c>
      <c r="P6908" s="288">
        <v>2.87E-2</v>
      </c>
      <c r="Q6908" s="287" t="s">
        <v>154</v>
      </c>
    </row>
    <row r="6909" spans="1:17" s="162" customFormat="1" ht="132" x14ac:dyDescent="0.25">
      <c r="A6909" s="281">
        <v>43200</v>
      </c>
      <c r="B6909" s="281">
        <v>43200</v>
      </c>
      <c r="C6909" s="282">
        <v>2018</v>
      </c>
      <c r="D6909" s="351" t="s">
        <v>23</v>
      </c>
      <c r="E6909" s="283" t="s">
        <v>2070</v>
      </c>
      <c r="F6909" s="7" t="s">
        <v>82</v>
      </c>
      <c r="G6909" s="284" t="s">
        <v>9700</v>
      </c>
      <c r="H6909" s="33" t="s">
        <v>9701</v>
      </c>
      <c r="I6909" s="282">
        <v>0</v>
      </c>
      <c r="J6909" s="286">
        <v>1718</v>
      </c>
      <c r="K6909" s="282">
        <v>274</v>
      </c>
      <c r="L6909" s="282">
        <v>4</v>
      </c>
      <c r="M6909" s="282">
        <v>0</v>
      </c>
      <c r="N6909" s="282">
        <v>3</v>
      </c>
      <c r="O6909" s="285">
        <v>0</v>
      </c>
      <c r="P6909" s="288">
        <v>0.2218</v>
      </c>
      <c r="Q6909" s="287" t="s">
        <v>154</v>
      </c>
    </row>
    <row r="6910" spans="1:17" s="162" customFormat="1" ht="96" x14ac:dyDescent="0.25">
      <c r="A6910" s="281">
        <v>43229</v>
      </c>
      <c r="B6910" s="281">
        <v>43229</v>
      </c>
      <c r="C6910" s="282">
        <v>2018</v>
      </c>
      <c r="D6910" s="351" t="s">
        <v>23</v>
      </c>
      <c r="E6910" s="283" t="s">
        <v>2070</v>
      </c>
      <c r="F6910" s="7" t="s">
        <v>68</v>
      </c>
      <c r="G6910" s="284" t="s">
        <v>9702</v>
      </c>
      <c r="H6910" s="33" t="s">
        <v>9703</v>
      </c>
      <c r="I6910" s="282">
        <v>0</v>
      </c>
      <c r="J6910" s="286">
        <v>35</v>
      </c>
      <c r="K6910" s="282">
        <v>0</v>
      </c>
      <c r="L6910" s="282">
        <v>1</v>
      </c>
      <c r="M6910" s="282">
        <v>0</v>
      </c>
      <c r="N6910" s="282">
        <v>0</v>
      </c>
      <c r="O6910" s="285">
        <v>0</v>
      </c>
      <c r="P6910" s="288">
        <v>4.4999999999999997E-3</v>
      </c>
      <c r="Q6910" s="287" t="s">
        <v>154</v>
      </c>
    </row>
    <row r="6911" spans="1:17" s="162" customFormat="1" ht="204" x14ac:dyDescent="0.25">
      <c r="A6911" s="281">
        <v>43261</v>
      </c>
      <c r="B6911" s="281">
        <v>43261</v>
      </c>
      <c r="C6911" s="282">
        <v>2018</v>
      </c>
      <c r="D6911" s="351" t="s">
        <v>23</v>
      </c>
      <c r="E6911" s="14" t="s">
        <v>32</v>
      </c>
      <c r="F6911" s="7" t="s">
        <v>60</v>
      </c>
      <c r="G6911" s="284" t="s">
        <v>4575</v>
      </c>
      <c r="H6911" s="33" t="s">
        <v>9704</v>
      </c>
      <c r="I6911" s="282">
        <v>0</v>
      </c>
      <c r="J6911" s="286">
        <v>410</v>
      </c>
      <c r="K6911" s="282">
        <v>82</v>
      </c>
      <c r="L6911" s="282">
        <v>0</v>
      </c>
      <c r="M6911" s="282">
        <v>0</v>
      </c>
      <c r="N6911" s="282">
        <v>28</v>
      </c>
      <c r="O6911" s="285">
        <v>0</v>
      </c>
      <c r="P6911" s="288">
        <v>9.0582100000000008</v>
      </c>
      <c r="Q6911" s="287" t="s">
        <v>154</v>
      </c>
    </row>
    <row r="6912" spans="1:17" s="162" customFormat="1" ht="252" x14ac:dyDescent="0.25">
      <c r="A6912" s="281">
        <v>43262</v>
      </c>
      <c r="B6912" s="281">
        <v>43262</v>
      </c>
      <c r="C6912" s="282">
        <v>2018</v>
      </c>
      <c r="D6912" s="351" t="s">
        <v>23</v>
      </c>
      <c r="E6912" s="14" t="s">
        <v>32</v>
      </c>
      <c r="F6912" s="7" t="s">
        <v>58</v>
      </c>
      <c r="G6912" s="284" t="s">
        <v>9705</v>
      </c>
      <c r="H6912" s="33" t="s">
        <v>9706</v>
      </c>
      <c r="I6912" s="282">
        <v>0</v>
      </c>
      <c r="J6912" s="286">
        <v>98</v>
      </c>
      <c r="K6912" s="282">
        <v>140</v>
      </c>
      <c r="L6912" s="282">
        <v>0</v>
      </c>
      <c r="M6912" s="282">
        <v>0</v>
      </c>
      <c r="N6912" s="282">
        <v>6</v>
      </c>
      <c r="O6912" s="285">
        <v>0</v>
      </c>
      <c r="P6912" s="288">
        <v>0.20699999999999999</v>
      </c>
      <c r="Q6912" s="287" t="s">
        <v>154</v>
      </c>
    </row>
    <row r="6913" spans="1:17" s="162" customFormat="1" ht="168" x14ac:dyDescent="0.25">
      <c r="A6913" s="281">
        <v>43266</v>
      </c>
      <c r="B6913" s="281">
        <v>43266</v>
      </c>
      <c r="C6913" s="282">
        <v>2018</v>
      </c>
      <c r="D6913" s="351" t="s">
        <v>23</v>
      </c>
      <c r="E6913" s="14" t="s">
        <v>32</v>
      </c>
      <c r="F6913" s="7" t="s">
        <v>58</v>
      </c>
      <c r="G6913" s="284" t="s">
        <v>9707</v>
      </c>
      <c r="H6913" s="33" t="s">
        <v>9708</v>
      </c>
      <c r="I6913" s="282">
        <v>0</v>
      </c>
      <c r="J6913" s="286">
        <v>97</v>
      </c>
      <c r="K6913" s="282">
        <v>51</v>
      </c>
      <c r="L6913" s="282">
        <v>0</v>
      </c>
      <c r="M6913" s="282">
        <v>1</v>
      </c>
      <c r="N6913" s="282">
        <v>0</v>
      </c>
      <c r="O6913" s="285">
        <v>0</v>
      </c>
      <c r="P6913" s="288">
        <v>0.27662100000000001</v>
      </c>
      <c r="Q6913" s="287" t="s">
        <v>154</v>
      </c>
    </row>
    <row r="6914" spans="1:17" s="162" customFormat="1" ht="178.5" x14ac:dyDescent="0.25">
      <c r="A6914" s="281">
        <v>43270</v>
      </c>
      <c r="B6914" s="281">
        <v>43270</v>
      </c>
      <c r="C6914" s="282">
        <v>2018</v>
      </c>
      <c r="D6914" s="351" t="s">
        <v>23</v>
      </c>
      <c r="E6914" s="283" t="s">
        <v>2223</v>
      </c>
      <c r="F6914" s="7" t="s">
        <v>25</v>
      </c>
      <c r="G6914" s="284" t="s">
        <v>25</v>
      </c>
      <c r="H6914" s="284" t="s">
        <v>9709</v>
      </c>
      <c r="I6914" s="282">
        <v>2</v>
      </c>
      <c r="J6914" s="286">
        <v>188</v>
      </c>
      <c r="K6914" s="282">
        <v>47</v>
      </c>
      <c r="L6914" s="282">
        <v>0</v>
      </c>
      <c r="M6914" s="282">
        <v>0</v>
      </c>
      <c r="N6914" s="282">
        <v>0</v>
      </c>
      <c r="O6914" s="285">
        <v>0</v>
      </c>
      <c r="P6914" s="288">
        <v>4.9349999999999998E-2</v>
      </c>
      <c r="Q6914" s="287" t="s">
        <v>154</v>
      </c>
    </row>
    <row r="6915" spans="1:17" s="162" customFormat="1" ht="300" x14ac:dyDescent="0.25">
      <c r="A6915" s="281">
        <v>43271</v>
      </c>
      <c r="B6915" s="281">
        <v>43271</v>
      </c>
      <c r="C6915" s="282">
        <v>2018</v>
      </c>
      <c r="D6915" s="351" t="s">
        <v>23</v>
      </c>
      <c r="E6915" s="22" t="s">
        <v>86</v>
      </c>
      <c r="F6915" s="7" t="s">
        <v>91</v>
      </c>
      <c r="G6915" s="284" t="s">
        <v>9710</v>
      </c>
      <c r="H6915" s="33" t="s">
        <v>9711</v>
      </c>
      <c r="I6915" s="282">
        <v>2</v>
      </c>
      <c r="J6915" s="286">
        <v>876</v>
      </c>
      <c r="K6915" s="282">
        <v>219</v>
      </c>
      <c r="L6915" s="282">
        <v>0</v>
      </c>
      <c r="M6915" s="282">
        <v>0</v>
      </c>
      <c r="N6915" s="282">
        <v>0</v>
      </c>
      <c r="O6915" s="285">
        <v>0</v>
      </c>
      <c r="P6915" s="288">
        <v>12.646662434999998</v>
      </c>
      <c r="Q6915" s="287" t="s">
        <v>7883</v>
      </c>
    </row>
    <row r="6916" spans="1:17" s="162" customFormat="1" ht="156" x14ac:dyDescent="0.25">
      <c r="A6916" s="281">
        <v>43272</v>
      </c>
      <c r="B6916" s="281">
        <v>43272</v>
      </c>
      <c r="C6916" s="282">
        <v>2018</v>
      </c>
      <c r="D6916" s="351" t="s">
        <v>23</v>
      </c>
      <c r="E6916" s="283" t="s">
        <v>2070</v>
      </c>
      <c r="F6916" s="28" t="s">
        <v>210</v>
      </c>
      <c r="G6916" s="284" t="s">
        <v>9712</v>
      </c>
      <c r="H6916" s="33" t="s">
        <v>9713</v>
      </c>
      <c r="I6916" s="282">
        <v>0</v>
      </c>
      <c r="J6916" s="286">
        <v>2</v>
      </c>
      <c r="K6916" s="282">
        <v>0</v>
      </c>
      <c r="L6916" s="282">
        <v>0</v>
      </c>
      <c r="M6916" s="282">
        <v>0</v>
      </c>
      <c r="N6916" s="282">
        <v>0</v>
      </c>
      <c r="O6916" s="285">
        <v>0</v>
      </c>
      <c r="P6916" s="288">
        <v>7.9380000000000006E-2</v>
      </c>
      <c r="Q6916" s="287" t="s">
        <v>154</v>
      </c>
    </row>
    <row r="6917" spans="1:17" s="162" customFormat="1" ht="60" x14ac:dyDescent="0.25">
      <c r="A6917" s="281">
        <v>43289</v>
      </c>
      <c r="B6917" s="281">
        <v>43289</v>
      </c>
      <c r="C6917" s="282">
        <v>2018</v>
      </c>
      <c r="D6917" s="351" t="s">
        <v>23</v>
      </c>
      <c r="E6917" s="283" t="s">
        <v>2070</v>
      </c>
      <c r="F6917" s="7" t="s">
        <v>62</v>
      </c>
      <c r="G6917" s="284" t="s">
        <v>5445</v>
      </c>
      <c r="H6917" s="33" t="s">
        <v>9714</v>
      </c>
      <c r="I6917" s="282">
        <v>4</v>
      </c>
      <c r="J6917" s="286">
        <v>4</v>
      </c>
      <c r="K6917" s="282">
        <v>0</v>
      </c>
      <c r="L6917" s="282">
        <v>0</v>
      </c>
      <c r="M6917" s="282">
        <v>0</v>
      </c>
      <c r="N6917" s="282">
        <v>0</v>
      </c>
      <c r="O6917" s="285">
        <v>0</v>
      </c>
      <c r="P6917" s="288">
        <v>0</v>
      </c>
      <c r="Q6917" s="287" t="s">
        <v>154</v>
      </c>
    </row>
    <row r="6918" spans="1:17" s="162" customFormat="1" ht="48" x14ac:dyDescent="0.25">
      <c r="A6918" s="281">
        <v>43289</v>
      </c>
      <c r="B6918" s="281">
        <v>43289</v>
      </c>
      <c r="C6918" s="282">
        <v>2018</v>
      </c>
      <c r="D6918" s="351" t="s">
        <v>23</v>
      </c>
      <c r="E6918" s="283" t="s">
        <v>2070</v>
      </c>
      <c r="F6918" s="7" t="s">
        <v>62</v>
      </c>
      <c r="G6918" s="284" t="s">
        <v>9715</v>
      </c>
      <c r="H6918" s="33" t="s">
        <v>9716</v>
      </c>
      <c r="I6918" s="282">
        <v>1</v>
      </c>
      <c r="J6918" s="286">
        <v>1</v>
      </c>
      <c r="K6918" s="282">
        <v>0</v>
      </c>
      <c r="L6918" s="282">
        <v>0</v>
      </c>
      <c r="M6918" s="282">
        <v>0</v>
      </c>
      <c r="N6918" s="282">
        <v>0</v>
      </c>
      <c r="O6918" s="285">
        <v>0</v>
      </c>
      <c r="P6918" s="288">
        <v>0</v>
      </c>
      <c r="Q6918" s="287" t="s">
        <v>154</v>
      </c>
    </row>
    <row r="6919" spans="1:17" s="162" customFormat="1" ht="228" x14ac:dyDescent="0.25">
      <c r="A6919" s="281">
        <v>43290</v>
      </c>
      <c r="B6919" s="281">
        <v>43290</v>
      </c>
      <c r="C6919" s="282">
        <v>2018</v>
      </c>
      <c r="D6919" s="351" t="s">
        <v>23</v>
      </c>
      <c r="E6919" s="22" t="s">
        <v>86</v>
      </c>
      <c r="F6919" s="7" t="s">
        <v>62</v>
      </c>
      <c r="G6919" s="284" t="s">
        <v>165</v>
      </c>
      <c r="H6919" s="33" t="s">
        <v>9717</v>
      </c>
      <c r="I6919" s="282">
        <v>0</v>
      </c>
      <c r="J6919" s="286">
        <v>344</v>
      </c>
      <c r="K6919" s="282">
        <v>0</v>
      </c>
      <c r="L6919" s="282">
        <v>0</v>
      </c>
      <c r="M6919" s="282">
        <v>0</v>
      </c>
      <c r="N6919" s="282">
        <v>0</v>
      </c>
      <c r="O6919" s="285">
        <v>0</v>
      </c>
      <c r="P6919" s="288">
        <v>13.583500135</v>
      </c>
      <c r="Q6919" s="287" t="s">
        <v>7883</v>
      </c>
    </row>
    <row r="6920" spans="1:17" s="162" customFormat="1" ht="132" x14ac:dyDescent="0.25">
      <c r="A6920" s="281">
        <v>43291</v>
      </c>
      <c r="B6920" s="281">
        <v>43291</v>
      </c>
      <c r="C6920" s="282">
        <v>2018</v>
      </c>
      <c r="D6920" s="351" t="s">
        <v>23</v>
      </c>
      <c r="E6920" s="22" t="s">
        <v>86</v>
      </c>
      <c r="F6920" s="7" t="s">
        <v>56</v>
      </c>
      <c r="G6920" s="284" t="s">
        <v>1160</v>
      </c>
      <c r="H6920" s="33" t="s">
        <v>9718</v>
      </c>
      <c r="I6920" s="282">
        <v>0</v>
      </c>
      <c r="J6920" s="286">
        <v>80</v>
      </c>
      <c r="K6920" s="282">
        <v>20</v>
      </c>
      <c r="L6920" s="282">
        <v>0</v>
      </c>
      <c r="M6920" s="282">
        <v>0</v>
      </c>
      <c r="N6920" s="282">
        <v>0</v>
      </c>
      <c r="O6920" s="285">
        <v>0</v>
      </c>
      <c r="P6920" s="288">
        <v>2.1000000000000001E-2</v>
      </c>
      <c r="Q6920" s="287" t="s">
        <v>154</v>
      </c>
    </row>
    <row r="6921" spans="1:17" s="162" customFormat="1" ht="96" x14ac:dyDescent="0.25">
      <c r="A6921" s="281">
        <v>43293</v>
      </c>
      <c r="B6921" s="281">
        <v>43293</v>
      </c>
      <c r="C6921" s="282">
        <v>2018</v>
      </c>
      <c r="D6921" s="351" t="s">
        <v>23</v>
      </c>
      <c r="E6921" s="22" t="s">
        <v>86</v>
      </c>
      <c r="F6921" s="7" t="s">
        <v>60</v>
      </c>
      <c r="G6921" s="284" t="s">
        <v>462</v>
      </c>
      <c r="H6921" s="33" t="s">
        <v>9719</v>
      </c>
      <c r="I6921" s="282">
        <v>0</v>
      </c>
      <c r="J6921" s="286">
        <v>20</v>
      </c>
      <c r="K6921" s="282">
        <v>25</v>
      </c>
      <c r="L6921" s="282">
        <v>0</v>
      </c>
      <c r="M6921" s="282">
        <v>0</v>
      </c>
      <c r="N6921" s="282">
        <v>0</v>
      </c>
      <c r="O6921" s="285">
        <v>0</v>
      </c>
      <c r="P6921" s="288">
        <v>2.5388258720930232</v>
      </c>
      <c r="Q6921" s="287" t="s">
        <v>154</v>
      </c>
    </row>
    <row r="6922" spans="1:17" s="162" customFormat="1" ht="96" x14ac:dyDescent="0.25">
      <c r="A6922" s="281">
        <v>43294</v>
      </c>
      <c r="B6922" s="281">
        <v>43294</v>
      </c>
      <c r="C6922" s="282">
        <v>2018</v>
      </c>
      <c r="D6922" s="351" t="s">
        <v>23</v>
      </c>
      <c r="E6922" s="22" t="s">
        <v>86</v>
      </c>
      <c r="F6922" s="7" t="s">
        <v>53</v>
      </c>
      <c r="G6922" s="284" t="s">
        <v>5685</v>
      </c>
      <c r="H6922" s="33" t="s">
        <v>9720</v>
      </c>
      <c r="I6922" s="282">
        <v>0</v>
      </c>
      <c r="J6922" s="286">
        <v>200</v>
      </c>
      <c r="K6922" s="282">
        <v>50</v>
      </c>
      <c r="L6922" s="282">
        <v>0</v>
      </c>
      <c r="M6922" s="282">
        <v>0</v>
      </c>
      <c r="N6922" s="282">
        <v>0</v>
      </c>
      <c r="O6922" s="285">
        <v>0</v>
      </c>
      <c r="P6922" s="288">
        <v>5.2499999999999998E-2</v>
      </c>
      <c r="Q6922" s="287" t="s">
        <v>154</v>
      </c>
    </row>
    <row r="6923" spans="1:17" s="162" customFormat="1" ht="72" x14ac:dyDescent="0.25">
      <c r="A6923" s="281">
        <v>43298</v>
      </c>
      <c r="B6923" s="281">
        <v>43298</v>
      </c>
      <c r="C6923" s="282">
        <v>2018</v>
      </c>
      <c r="D6923" s="351" t="s">
        <v>23</v>
      </c>
      <c r="E6923" s="22" t="s">
        <v>86</v>
      </c>
      <c r="F6923" s="7" t="s">
        <v>53</v>
      </c>
      <c r="G6923" s="284" t="s">
        <v>8930</v>
      </c>
      <c r="H6923" s="33" t="s">
        <v>9721</v>
      </c>
      <c r="I6923" s="282">
        <v>3</v>
      </c>
      <c r="J6923" s="286">
        <v>3</v>
      </c>
      <c r="K6923" s="282">
        <v>0</v>
      </c>
      <c r="L6923" s="282">
        <v>0</v>
      </c>
      <c r="M6923" s="282">
        <v>0</v>
      </c>
      <c r="N6923" s="282">
        <v>0</v>
      </c>
      <c r="O6923" s="285">
        <v>0</v>
      </c>
      <c r="P6923" s="288">
        <v>3.9690000000000003E-2</v>
      </c>
      <c r="Q6923" s="287" t="s">
        <v>154</v>
      </c>
    </row>
    <row r="6924" spans="1:17" s="162" customFormat="1" ht="204" x14ac:dyDescent="0.25">
      <c r="A6924" s="281">
        <v>43309</v>
      </c>
      <c r="B6924" s="281">
        <v>43309</v>
      </c>
      <c r="C6924" s="282">
        <v>2018</v>
      </c>
      <c r="D6924" s="351" t="s">
        <v>23</v>
      </c>
      <c r="E6924" s="22" t="s">
        <v>86</v>
      </c>
      <c r="F6924" s="7" t="s">
        <v>60</v>
      </c>
      <c r="G6924" s="284" t="s">
        <v>9722</v>
      </c>
      <c r="H6924" s="33" t="s">
        <v>9723</v>
      </c>
      <c r="I6924" s="282">
        <v>0</v>
      </c>
      <c r="J6924" s="286">
        <v>48</v>
      </c>
      <c r="K6924" s="282">
        <v>2</v>
      </c>
      <c r="L6924" s="282">
        <v>0</v>
      </c>
      <c r="M6924" s="282">
        <v>0</v>
      </c>
      <c r="N6924" s="282">
        <v>0</v>
      </c>
      <c r="O6924" s="285">
        <v>0</v>
      </c>
      <c r="P6924" s="288">
        <v>0.12046999999999999</v>
      </c>
      <c r="Q6924" s="287" t="s">
        <v>154</v>
      </c>
    </row>
    <row r="6925" spans="1:17" s="162" customFormat="1" ht="120" x14ac:dyDescent="0.25">
      <c r="A6925" s="281">
        <v>43317</v>
      </c>
      <c r="B6925" s="281">
        <v>43317</v>
      </c>
      <c r="C6925" s="282">
        <v>2018</v>
      </c>
      <c r="D6925" s="351" t="s">
        <v>23</v>
      </c>
      <c r="E6925" s="283" t="s">
        <v>9724</v>
      </c>
      <c r="F6925" s="7" t="s">
        <v>58</v>
      </c>
      <c r="G6925" s="284" t="s">
        <v>168</v>
      </c>
      <c r="H6925" s="33" t="s">
        <v>9725</v>
      </c>
      <c r="I6925" s="282">
        <v>2</v>
      </c>
      <c r="J6925" s="286">
        <v>2</v>
      </c>
      <c r="K6925" s="282">
        <v>0</v>
      </c>
      <c r="L6925" s="282">
        <v>0</v>
      </c>
      <c r="M6925" s="282">
        <v>0</v>
      </c>
      <c r="N6925" s="282">
        <v>0</v>
      </c>
      <c r="O6925" s="285">
        <v>0</v>
      </c>
      <c r="P6925" s="288">
        <v>0</v>
      </c>
      <c r="Q6925" s="287" t="s">
        <v>154</v>
      </c>
    </row>
    <row r="6926" spans="1:17" s="162" customFormat="1" ht="120" x14ac:dyDescent="0.25">
      <c r="A6926" s="281">
        <v>43319</v>
      </c>
      <c r="B6926" s="281">
        <v>43319</v>
      </c>
      <c r="C6926" s="282">
        <v>2018</v>
      </c>
      <c r="D6926" s="351" t="s">
        <v>23</v>
      </c>
      <c r="E6926" s="14" t="s">
        <v>32</v>
      </c>
      <c r="F6926" s="7" t="s">
        <v>67</v>
      </c>
      <c r="G6926" s="284" t="s">
        <v>9726</v>
      </c>
      <c r="H6926" s="33" t="s">
        <v>9727</v>
      </c>
      <c r="I6926" s="282">
        <v>0</v>
      </c>
      <c r="J6926" s="286">
        <v>250</v>
      </c>
      <c r="K6926" s="282">
        <v>0</v>
      </c>
      <c r="L6926" s="282">
        <v>0</v>
      </c>
      <c r="M6926" s="282">
        <v>0</v>
      </c>
      <c r="N6926" s="282">
        <v>0</v>
      </c>
      <c r="O6926" s="285">
        <v>0</v>
      </c>
      <c r="P6926" s="288">
        <v>0</v>
      </c>
      <c r="Q6926" s="287" t="s">
        <v>154</v>
      </c>
    </row>
    <row r="6927" spans="1:17" s="162" customFormat="1" ht="144" x14ac:dyDescent="0.25">
      <c r="A6927" s="281">
        <v>43319</v>
      </c>
      <c r="B6927" s="281">
        <v>43319</v>
      </c>
      <c r="C6927" s="282">
        <v>2018</v>
      </c>
      <c r="D6927" s="351" t="s">
        <v>23</v>
      </c>
      <c r="E6927" s="283" t="s">
        <v>9724</v>
      </c>
      <c r="F6927" s="7" t="s">
        <v>58</v>
      </c>
      <c r="G6927" s="284" t="s">
        <v>6046</v>
      </c>
      <c r="H6927" s="33" t="s">
        <v>9728</v>
      </c>
      <c r="I6927" s="282">
        <v>0</v>
      </c>
      <c r="J6927" s="286">
        <v>16</v>
      </c>
      <c r="K6927" s="282">
        <v>4</v>
      </c>
      <c r="L6927" s="282">
        <v>0</v>
      </c>
      <c r="M6927" s="282">
        <v>0</v>
      </c>
      <c r="N6927" s="282">
        <v>0</v>
      </c>
      <c r="O6927" s="285">
        <v>0</v>
      </c>
      <c r="P6927" s="288">
        <v>0.20399999999999999</v>
      </c>
      <c r="Q6927" s="287" t="s">
        <v>154</v>
      </c>
    </row>
    <row r="6928" spans="1:17" s="162" customFormat="1" ht="192" x14ac:dyDescent="0.25">
      <c r="A6928" s="281">
        <v>43320</v>
      </c>
      <c r="B6928" s="281">
        <v>43320</v>
      </c>
      <c r="C6928" s="282">
        <v>2018</v>
      </c>
      <c r="D6928" s="351" t="s">
        <v>23</v>
      </c>
      <c r="E6928" s="14" t="s">
        <v>32</v>
      </c>
      <c r="F6928" s="7" t="s">
        <v>87</v>
      </c>
      <c r="G6928" s="284" t="s">
        <v>1545</v>
      </c>
      <c r="H6928" s="33" t="s">
        <v>9729</v>
      </c>
      <c r="I6928" s="282">
        <v>0</v>
      </c>
      <c r="J6928" s="286">
        <v>46200</v>
      </c>
      <c r="K6928" s="282">
        <v>500</v>
      </c>
      <c r="L6928" s="282">
        <v>0</v>
      </c>
      <c r="M6928" s="282">
        <v>0</v>
      </c>
      <c r="N6928" s="282">
        <v>0</v>
      </c>
      <c r="O6928" s="285">
        <v>0</v>
      </c>
      <c r="P6928" s="288">
        <v>16.603227308333334</v>
      </c>
      <c r="Q6928" s="287" t="s">
        <v>7883</v>
      </c>
    </row>
    <row r="6929" spans="1:17" s="162" customFormat="1" ht="84" x14ac:dyDescent="0.25">
      <c r="A6929" s="281">
        <v>43324</v>
      </c>
      <c r="B6929" s="281">
        <v>43324</v>
      </c>
      <c r="C6929" s="282">
        <v>2018</v>
      </c>
      <c r="D6929" s="351" t="s">
        <v>23</v>
      </c>
      <c r="E6929" s="283" t="s">
        <v>2223</v>
      </c>
      <c r="F6929" s="7" t="s">
        <v>40</v>
      </c>
      <c r="G6929" s="284" t="s">
        <v>8604</v>
      </c>
      <c r="H6929" s="33" t="s">
        <v>9730</v>
      </c>
      <c r="I6929" s="282">
        <v>0</v>
      </c>
      <c r="J6929" s="286">
        <v>71</v>
      </c>
      <c r="K6929" s="282">
        <v>25</v>
      </c>
      <c r="L6929" s="282">
        <v>0</v>
      </c>
      <c r="M6929" s="282">
        <v>0</v>
      </c>
      <c r="N6929" s="282">
        <v>0</v>
      </c>
      <c r="O6929" s="285">
        <v>0</v>
      </c>
      <c r="P6929" s="288">
        <v>2.6249999999999999E-2</v>
      </c>
      <c r="Q6929" s="287" t="s">
        <v>154</v>
      </c>
    </row>
    <row r="6930" spans="1:17" s="162" customFormat="1" ht="132" x14ac:dyDescent="0.25">
      <c r="A6930" s="281">
        <v>43328</v>
      </c>
      <c r="B6930" s="281">
        <v>43328</v>
      </c>
      <c r="C6930" s="282">
        <v>2018</v>
      </c>
      <c r="D6930" s="351" t="s">
        <v>23</v>
      </c>
      <c r="E6930" s="22" t="s">
        <v>86</v>
      </c>
      <c r="F6930" s="7" t="s">
        <v>36</v>
      </c>
      <c r="G6930" s="284" t="s">
        <v>9731</v>
      </c>
      <c r="H6930" s="33" t="s">
        <v>9732</v>
      </c>
      <c r="I6930" s="282">
        <v>0</v>
      </c>
      <c r="J6930" s="286">
        <v>168</v>
      </c>
      <c r="K6930" s="282">
        <v>42</v>
      </c>
      <c r="L6930" s="282">
        <v>0</v>
      </c>
      <c r="M6930" s="282">
        <v>0</v>
      </c>
      <c r="N6930" s="282">
        <v>8</v>
      </c>
      <c r="O6930" s="285">
        <v>0</v>
      </c>
      <c r="P6930" s="288">
        <v>225.34680970292857</v>
      </c>
      <c r="Q6930" s="287" t="s">
        <v>7883</v>
      </c>
    </row>
    <row r="6931" spans="1:17" s="162" customFormat="1" ht="48" x14ac:dyDescent="0.25">
      <c r="A6931" s="281">
        <v>43329</v>
      </c>
      <c r="B6931" s="281">
        <v>43329</v>
      </c>
      <c r="C6931" s="282">
        <v>2018</v>
      </c>
      <c r="D6931" s="351" t="s">
        <v>23</v>
      </c>
      <c r="E6931" s="22" t="s">
        <v>86</v>
      </c>
      <c r="F6931" s="7" t="s">
        <v>49</v>
      </c>
      <c r="G6931" s="284" t="s">
        <v>49</v>
      </c>
      <c r="H6931" s="33" t="s">
        <v>9733</v>
      </c>
      <c r="I6931" s="282">
        <v>0</v>
      </c>
      <c r="J6931" s="286">
        <v>140</v>
      </c>
      <c r="K6931" s="282">
        <v>34</v>
      </c>
      <c r="L6931" s="282">
        <v>0</v>
      </c>
      <c r="M6931" s="282">
        <v>0</v>
      </c>
      <c r="N6931" s="282">
        <v>0</v>
      </c>
      <c r="O6931" s="285">
        <v>0</v>
      </c>
      <c r="P6931" s="288">
        <v>8.5115360100000004</v>
      </c>
      <c r="Q6931" s="287" t="s">
        <v>7883</v>
      </c>
    </row>
    <row r="6932" spans="1:17" s="162" customFormat="1" ht="108" x14ac:dyDescent="0.25">
      <c r="A6932" s="281">
        <v>43334</v>
      </c>
      <c r="B6932" s="281">
        <v>43334</v>
      </c>
      <c r="C6932" s="282">
        <v>2018</v>
      </c>
      <c r="D6932" s="351" t="s">
        <v>23</v>
      </c>
      <c r="E6932" s="22" t="s">
        <v>86</v>
      </c>
      <c r="F6932" s="28" t="s">
        <v>210</v>
      </c>
      <c r="G6932" s="284" t="s">
        <v>2828</v>
      </c>
      <c r="H6932" s="33" t="s">
        <v>9734</v>
      </c>
      <c r="I6932" s="282">
        <v>0</v>
      </c>
      <c r="J6932" s="286">
        <v>520</v>
      </c>
      <c r="K6932" s="282">
        <v>130</v>
      </c>
      <c r="L6932" s="282">
        <v>0</v>
      </c>
      <c r="M6932" s="282">
        <v>0</v>
      </c>
      <c r="N6932" s="282">
        <v>0</v>
      </c>
      <c r="O6932" s="285">
        <v>0</v>
      </c>
      <c r="P6932" s="288">
        <v>0.13650000000000001</v>
      </c>
      <c r="Q6932" s="287" t="s">
        <v>154</v>
      </c>
    </row>
    <row r="6933" spans="1:17" s="162" customFormat="1" ht="72" x14ac:dyDescent="0.25">
      <c r="A6933" s="281">
        <v>43334</v>
      </c>
      <c r="B6933" s="281">
        <v>43334</v>
      </c>
      <c r="C6933" s="282">
        <v>2018</v>
      </c>
      <c r="D6933" s="351" t="s">
        <v>23</v>
      </c>
      <c r="E6933" s="22" t="s">
        <v>86</v>
      </c>
      <c r="F6933" s="28" t="s">
        <v>210</v>
      </c>
      <c r="G6933" s="284" t="s">
        <v>9735</v>
      </c>
      <c r="H6933" s="33" t="s">
        <v>9736</v>
      </c>
      <c r="I6933" s="282">
        <v>1</v>
      </c>
      <c r="J6933" s="286">
        <v>3</v>
      </c>
      <c r="K6933" s="282">
        <v>1</v>
      </c>
      <c r="L6933" s="282">
        <v>0</v>
      </c>
      <c r="M6933" s="282">
        <v>0</v>
      </c>
      <c r="N6933" s="282">
        <v>0</v>
      </c>
      <c r="O6933" s="285">
        <v>0</v>
      </c>
      <c r="P6933" s="288">
        <v>0.12180000000000001</v>
      </c>
      <c r="Q6933" s="287" t="s">
        <v>154</v>
      </c>
    </row>
    <row r="6934" spans="1:17" s="162" customFormat="1" ht="156" x14ac:dyDescent="0.25">
      <c r="A6934" s="281">
        <v>43335</v>
      </c>
      <c r="B6934" s="281">
        <v>43335</v>
      </c>
      <c r="C6934" s="282">
        <v>2018</v>
      </c>
      <c r="D6934" s="351" t="s">
        <v>23</v>
      </c>
      <c r="E6934" s="22" t="s">
        <v>86</v>
      </c>
      <c r="F6934" s="7" t="s">
        <v>87</v>
      </c>
      <c r="G6934" s="284" t="s">
        <v>567</v>
      </c>
      <c r="H6934" s="33" t="s">
        <v>9737</v>
      </c>
      <c r="I6934" s="282">
        <v>0</v>
      </c>
      <c r="J6934" s="286">
        <v>24</v>
      </c>
      <c r="K6934" s="282">
        <v>6</v>
      </c>
      <c r="L6934" s="282">
        <v>0</v>
      </c>
      <c r="M6934" s="282">
        <v>0</v>
      </c>
      <c r="N6934" s="282">
        <v>0</v>
      </c>
      <c r="O6934" s="285">
        <v>0</v>
      </c>
      <c r="P6934" s="288">
        <v>13.103262186666665</v>
      </c>
      <c r="Q6934" s="287" t="s">
        <v>7883</v>
      </c>
    </row>
    <row r="6935" spans="1:17" s="162" customFormat="1" ht="120" x14ac:dyDescent="0.25">
      <c r="A6935" s="281">
        <v>43335</v>
      </c>
      <c r="B6935" s="281">
        <v>43335</v>
      </c>
      <c r="C6935" s="282">
        <v>2018</v>
      </c>
      <c r="D6935" s="351" t="s">
        <v>23</v>
      </c>
      <c r="E6935" s="283" t="s">
        <v>323</v>
      </c>
      <c r="F6935" s="7" t="s">
        <v>36</v>
      </c>
      <c r="G6935" s="284" t="s">
        <v>9738</v>
      </c>
      <c r="H6935" s="33" t="s">
        <v>9739</v>
      </c>
      <c r="I6935" s="282">
        <v>0</v>
      </c>
      <c r="J6935" s="286">
        <v>400</v>
      </c>
      <c r="K6935" s="282">
        <v>200</v>
      </c>
      <c r="L6935" s="282">
        <v>0</v>
      </c>
      <c r="M6935" s="282">
        <v>0</v>
      </c>
      <c r="N6935" s="282">
        <v>0</v>
      </c>
      <c r="O6935" s="285">
        <v>0</v>
      </c>
      <c r="P6935" s="288">
        <v>7.0000000000000007E-2</v>
      </c>
      <c r="Q6935" s="287" t="s">
        <v>154</v>
      </c>
    </row>
    <row r="6936" spans="1:17" s="162" customFormat="1" ht="252" x14ac:dyDescent="0.25">
      <c r="A6936" s="281">
        <v>43335</v>
      </c>
      <c r="B6936" s="281">
        <v>43335</v>
      </c>
      <c r="C6936" s="282">
        <v>2018</v>
      </c>
      <c r="D6936" s="351" t="s">
        <v>23</v>
      </c>
      <c r="E6936" s="283" t="s">
        <v>323</v>
      </c>
      <c r="F6936" s="7" t="s">
        <v>58</v>
      </c>
      <c r="G6936" s="284" t="s">
        <v>9740</v>
      </c>
      <c r="H6936" s="33" t="s">
        <v>9741</v>
      </c>
      <c r="I6936" s="282">
        <v>0</v>
      </c>
      <c r="J6936" s="286">
        <v>670</v>
      </c>
      <c r="K6936" s="282">
        <v>117</v>
      </c>
      <c r="L6936" s="282">
        <v>0</v>
      </c>
      <c r="M6936" s="282">
        <v>0</v>
      </c>
      <c r="N6936" s="282">
        <v>0</v>
      </c>
      <c r="O6936" s="285">
        <v>0</v>
      </c>
      <c r="P6936" s="288">
        <v>3.0644</v>
      </c>
      <c r="Q6936" s="287" t="s">
        <v>154</v>
      </c>
    </row>
    <row r="6937" spans="1:17" s="162" customFormat="1" ht="108" x14ac:dyDescent="0.25">
      <c r="A6937" s="281">
        <v>43336</v>
      </c>
      <c r="B6937" s="281">
        <v>43336</v>
      </c>
      <c r="C6937" s="282">
        <v>2018</v>
      </c>
      <c r="D6937" s="351" t="s">
        <v>23</v>
      </c>
      <c r="E6937" s="283" t="s">
        <v>323</v>
      </c>
      <c r="F6937" s="7" t="s">
        <v>36</v>
      </c>
      <c r="G6937" s="284" t="s">
        <v>232</v>
      </c>
      <c r="H6937" s="33" t="s">
        <v>9742</v>
      </c>
      <c r="I6937" s="282">
        <v>0</v>
      </c>
      <c r="J6937" s="286">
        <v>4</v>
      </c>
      <c r="K6937" s="282">
        <v>1</v>
      </c>
      <c r="L6937" s="282">
        <v>0</v>
      </c>
      <c r="M6937" s="282">
        <v>0</v>
      </c>
      <c r="N6937" s="282">
        <v>0</v>
      </c>
      <c r="O6937" s="285">
        <v>0</v>
      </c>
      <c r="P6937" s="288">
        <v>1.16E-3</v>
      </c>
      <c r="Q6937" s="287" t="s">
        <v>154</v>
      </c>
    </row>
    <row r="6938" spans="1:17" s="162" customFormat="1" ht="156" x14ac:dyDescent="0.25">
      <c r="A6938" s="281">
        <v>43343</v>
      </c>
      <c r="B6938" s="281">
        <v>43343</v>
      </c>
      <c r="C6938" s="282">
        <v>2018</v>
      </c>
      <c r="D6938" s="351" t="s">
        <v>23</v>
      </c>
      <c r="E6938" s="22" t="s">
        <v>86</v>
      </c>
      <c r="F6938" s="7" t="s">
        <v>53</v>
      </c>
      <c r="G6938" s="284" t="s">
        <v>1896</v>
      </c>
      <c r="H6938" s="33" t="s">
        <v>9743</v>
      </c>
      <c r="I6938" s="282">
        <v>2</v>
      </c>
      <c r="J6938" s="286">
        <v>6</v>
      </c>
      <c r="K6938" s="282">
        <v>0</v>
      </c>
      <c r="L6938" s="282">
        <v>0</v>
      </c>
      <c r="M6938" s="282">
        <v>0</v>
      </c>
      <c r="N6938" s="282">
        <v>0</v>
      </c>
      <c r="O6938" s="285">
        <v>0</v>
      </c>
      <c r="P6938" s="288">
        <v>3.5999999999999999E-3</v>
      </c>
      <c r="Q6938" s="287" t="s">
        <v>154</v>
      </c>
    </row>
    <row r="6939" spans="1:17" s="162" customFormat="1" ht="409.5" x14ac:dyDescent="0.25">
      <c r="A6939" s="281">
        <v>43344</v>
      </c>
      <c r="B6939" s="281">
        <v>43344</v>
      </c>
      <c r="C6939" s="282">
        <v>2018</v>
      </c>
      <c r="D6939" s="351" t="s">
        <v>23</v>
      </c>
      <c r="E6939" s="22" t="s">
        <v>86</v>
      </c>
      <c r="F6939" s="7" t="s">
        <v>53</v>
      </c>
      <c r="G6939" s="284" t="s">
        <v>688</v>
      </c>
      <c r="H6939" s="33" t="s">
        <v>9744</v>
      </c>
      <c r="I6939" s="282">
        <v>0</v>
      </c>
      <c r="J6939" s="286">
        <v>3800</v>
      </c>
      <c r="K6939" s="282">
        <v>30</v>
      </c>
      <c r="L6939" s="282">
        <v>0</v>
      </c>
      <c r="M6939" s="282">
        <v>0</v>
      </c>
      <c r="N6939" s="282">
        <v>0</v>
      </c>
      <c r="O6939" s="285">
        <v>0</v>
      </c>
      <c r="P6939" s="288">
        <v>3.15E-2</v>
      </c>
      <c r="Q6939" s="287" t="s">
        <v>154</v>
      </c>
    </row>
    <row r="6940" spans="1:17" s="162" customFormat="1" ht="204" x14ac:dyDescent="0.25">
      <c r="A6940" s="281">
        <v>43346</v>
      </c>
      <c r="B6940" s="281">
        <v>43346</v>
      </c>
      <c r="C6940" s="282">
        <v>2018</v>
      </c>
      <c r="D6940" s="351" t="s">
        <v>23</v>
      </c>
      <c r="E6940" s="22" t="s">
        <v>86</v>
      </c>
      <c r="F6940" s="7" t="s">
        <v>68</v>
      </c>
      <c r="G6940" s="284" t="s">
        <v>3128</v>
      </c>
      <c r="H6940" s="33" t="s">
        <v>9745</v>
      </c>
      <c r="I6940" s="282">
        <v>1</v>
      </c>
      <c r="J6940" s="286">
        <v>3</v>
      </c>
      <c r="K6940" s="282">
        <v>50</v>
      </c>
      <c r="L6940" s="282">
        <v>0</v>
      </c>
      <c r="M6940" s="282">
        <v>0</v>
      </c>
      <c r="N6940" s="282">
        <v>0</v>
      </c>
      <c r="O6940" s="285">
        <v>0</v>
      </c>
      <c r="P6940" s="288">
        <v>1.9889049999999999</v>
      </c>
      <c r="Q6940" s="287" t="s">
        <v>154</v>
      </c>
    </row>
    <row r="6941" spans="1:17" s="162" customFormat="1" ht="372" x14ac:dyDescent="0.25">
      <c r="A6941" s="281">
        <v>43346</v>
      </c>
      <c r="B6941" s="281">
        <v>43346</v>
      </c>
      <c r="C6941" s="282">
        <v>2018</v>
      </c>
      <c r="D6941" s="351" t="s">
        <v>23</v>
      </c>
      <c r="E6941" s="22" t="s">
        <v>86</v>
      </c>
      <c r="F6941" s="7" t="s">
        <v>45</v>
      </c>
      <c r="G6941" s="284" t="s">
        <v>3124</v>
      </c>
      <c r="H6941" s="33" t="s">
        <v>9746</v>
      </c>
      <c r="I6941" s="282">
        <v>0</v>
      </c>
      <c r="J6941" s="286">
        <v>218</v>
      </c>
      <c r="K6941" s="282">
        <v>50</v>
      </c>
      <c r="L6941" s="282">
        <v>0</v>
      </c>
      <c r="M6941" s="282">
        <v>0</v>
      </c>
      <c r="N6941" s="282">
        <v>0</v>
      </c>
      <c r="O6941" s="285">
        <v>0</v>
      </c>
      <c r="P6941" s="288">
        <v>3.6650000000000002E-2</v>
      </c>
      <c r="Q6941" s="287" t="s">
        <v>154</v>
      </c>
    </row>
    <row r="6942" spans="1:17" s="162" customFormat="1" ht="60" x14ac:dyDescent="0.25">
      <c r="A6942" s="281">
        <v>43347</v>
      </c>
      <c r="B6942" s="281">
        <v>43347</v>
      </c>
      <c r="C6942" s="282">
        <v>2018</v>
      </c>
      <c r="D6942" s="351" t="s">
        <v>23</v>
      </c>
      <c r="E6942" s="22" t="s">
        <v>86</v>
      </c>
      <c r="F6942" s="7" t="s">
        <v>67</v>
      </c>
      <c r="G6942" s="284" t="s">
        <v>2417</v>
      </c>
      <c r="H6942" s="33" t="s">
        <v>9747</v>
      </c>
      <c r="I6942" s="282">
        <v>0</v>
      </c>
      <c r="J6942" s="286">
        <v>120</v>
      </c>
      <c r="K6942" s="282">
        <v>30</v>
      </c>
      <c r="L6942" s="282">
        <v>0</v>
      </c>
      <c r="M6942" s="282">
        <v>0</v>
      </c>
      <c r="N6942" s="282">
        <v>0</v>
      </c>
      <c r="O6942" s="285">
        <v>0</v>
      </c>
      <c r="P6942" s="288">
        <v>2.1000000000000001E-2</v>
      </c>
      <c r="Q6942" s="287" t="s">
        <v>154</v>
      </c>
    </row>
    <row r="6943" spans="1:17" s="162" customFormat="1" ht="132" x14ac:dyDescent="0.25">
      <c r="A6943" s="281">
        <v>43347</v>
      </c>
      <c r="B6943" s="281">
        <v>43347</v>
      </c>
      <c r="C6943" s="282">
        <v>2018</v>
      </c>
      <c r="D6943" s="351" t="s">
        <v>23</v>
      </c>
      <c r="E6943" s="22" t="s">
        <v>86</v>
      </c>
      <c r="F6943" s="7" t="s">
        <v>49</v>
      </c>
      <c r="G6943" s="284" t="s">
        <v>49</v>
      </c>
      <c r="H6943" s="33" t="s">
        <v>9748</v>
      </c>
      <c r="I6943" s="282">
        <v>0</v>
      </c>
      <c r="J6943" s="286">
        <v>8</v>
      </c>
      <c r="K6943" s="282">
        <v>2</v>
      </c>
      <c r="L6943" s="282">
        <v>0</v>
      </c>
      <c r="M6943" s="282">
        <v>0</v>
      </c>
      <c r="N6943" s="282">
        <v>0</v>
      </c>
      <c r="O6943" s="285">
        <v>0</v>
      </c>
      <c r="P6943" s="288">
        <v>7.9012841099999997</v>
      </c>
      <c r="Q6943" s="287" t="s">
        <v>7883</v>
      </c>
    </row>
    <row r="6944" spans="1:17" s="162" customFormat="1" ht="120" x14ac:dyDescent="0.25">
      <c r="A6944" s="281">
        <v>43349</v>
      </c>
      <c r="B6944" s="281">
        <v>43349</v>
      </c>
      <c r="C6944" s="282">
        <v>2018</v>
      </c>
      <c r="D6944" s="351" t="s">
        <v>23</v>
      </c>
      <c r="E6944" s="22" t="s">
        <v>86</v>
      </c>
      <c r="F6944" s="7" t="s">
        <v>67</v>
      </c>
      <c r="G6944" s="284" t="s">
        <v>9749</v>
      </c>
      <c r="H6944" s="33" t="s">
        <v>9750</v>
      </c>
      <c r="I6944" s="282">
        <v>4</v>
      </c>
      <c r="J6944" s="286">
        <v>4</v>
      </c>
      <c r="K6944" s="282">
        <v>0</v>
      </c>
      <c r="L6944" s="282">
        <v>0</v>
      </c>
      <c r="M6944" s="282">
        <v>0</v>
      </c>
      <c r="N6944" s="282">
        <v>0</v>
      </c>
      <c r="O6944" s="285">
        <v>0</v>
      </c>
      <c r="P6944" s="288">
        <v>3.9690000000000003E-2</v>
      </c>
      <c r="Q6944" s="287" t="s">
        <v>154</v>
      </c>
    </row>
    <row r="6945" spans="1:17" s="162" customFormat="1" ht="132" x14ac:dyDescent="0.25">
      <c r="A6945" s="281">
        <v>43349</v>
      </c>
      <c r="B6945" s="281">
        <v>43349</v>
      </c>
      <c r="C6945" s="282">
        <v>2018</v>
      </c>
      <c r="D6945" s="351" t="s">
        <v>23</v>
      </c>
      <c r="E6945" s="283" t="s">
        <v>2223</v>
      </c>
      <c r="F6945" s="7" t="s">
        <v>45</v>
      </c>
      <c r="G6945" s="284" t="s">
        <v>2866</v>
      </c>
      <c r="H6945" s="33" t="s">
        <v>9751</v>
      </c>
      <c r="I6945" s="282">
        <v>0</v>
      </c>
      <c r="J6945" s="289">
        <v>0</v>
      </c>
      <c r="K6945" s="282">
        <v>1</v>
      </c>
      <c r="L6945" s="282">
        <v>0</v>
      </c>
      <c r="M6945" s="282">
        <v>0</v>
      </c>
      <c r="N6945" s="282">
        <v>0</v>
      </c>
      <c r="O6945" s="285">
        <v>0</v>
      </c>
      <c r="P6945" s="288">
        <v>0.12</v>
      </c>
      <c r="Q6945" s="287" t="s">
        <v>154</v>
      </c>
    </row>
    <row r="6946" spans="1:17" s="162" customFormat="1" ht="409.5" x14ac:dyDescent="0.25">
      <c r="A6946" s="281">
        <v>43349</v>
      </c>
      <c r="B6946" s="281">
        <v>43349</v>
      </c>
      <c r="C6946" s="282">
        <v>2018</v>
      </c>
      <c r="D6946" s="351" t="s">
        <v>23</v>
      </c>
      <c r="E6946" s="22" t="s">
        <v>86</v>
      </c>
      <c r="F6946" s="7" t="s">
        <v>45</v>
      </c>
      <c r="G6946" s="284" t="s">
        <v>9752</v>
      </c>
      <c r="H6946" s="33" t="s">
        <v>9753</v>
      </c>
      <c r="I6946" s="282">
        <v>0</v>
      </c>
      <c r="J6946" s="286">
        <v>42</v>
      </c>
      <c r="K6946" s="282">
        <v>142</v>
      </c>
      <c r="L6946" s="282">
        <v>0</v>
      </c>
      <c r="M6946" s="282">
        <v>0</v>
      </c>
      <c r="N6946" s="282">
        <v>0</v>
      </c>
      <c r="O6946" s="285">
        <v>0</v>
      </c>
      <c r="P6946" s="288">
        <v>9.5894830600000009</v>
      </c>
      <c r="Q6946" s="287" t="s">
        <v>7883</v>
      </c>
    </row>
    <row r="6947" spans="1:17" s="162" customFormat="1" ht="168" x14ac:dyDescent="0.25">
      <c r="A6947" s="281">
        <v>43351</v>
      </c>
      <c r="B6947" s="281">
        <v>43351</v>
      </c>
      <c r="C6947" s="282">
        <v>2018</v>
      </c>
      <c r="D6947" s="351" t="s">
        <v>23</v>
      </c>
      <c r="E6947" s="22" t="s">
        <v>86</v>
      </c>
      <c r="F6947" s="7" t="s">
        <v>40</v>
      </c>
      <c r="G6947" s="284" t="s">
        <v>6987</v>
      </c>
      <c r="H6947" s="33" t="s">
        <v>9754</v>
      </c>
      <c r="I6947" s="282">
        <v>0</v>
      </c>
      <c r="J6947" s="286">
        <v>50</v>
      </c>
      <c r="K6947" s="282">
        <v>20</v>
      </c>
      <c r="L6947" s="282">
        <v>0</v>
      </c>
      <c r="M6947" s="282">
        <v>0</v>
      </c>
      <c r="N6947" s="282">
        <v>0</v>
      </c>
      <c r="O6947" s="285">
        <v>0</v>
      </c>
      <c r="P6947" s="288">
        <v>2.1000000000000001E-2</v>
      </c>
      <c r="Q6947" s="287" t="s">
        <v>154</v>
      </c>
    </row>
    <row r="6948" spans="1:17" s="162" customFormat="1" ht="180" x14ac:dyDescent="0.25">
      <c r="A6948" s="281">
        <v>43354</v>
      </c>
      <c r="B6948" s="281">
        <v>43354</v>
      </c>
      <c r="C6948" s="282">
        <v>2018</v>
      </c>
      <c r="D6948" s="351" t="s">
        <v>23</v>
      </c>
      <c r="E6948" s="22" t="s">
        <v>86</v>
      </c>
      <c r="F6948" s="7" t="s">
        <v>62</v>
      </c>
      <c r="G6948" s="284" t="s">
        <v>2261</v>
      </c>
      <c r="H6948" s="33" t="s">
        <v>9755</v>
      </c>
      <c r="I6948" s="282">
        <v>0</v>
      </c>
      <c r="J6948" s="286">
        <v>80</v>
      </c>
      <c r="K6948" s="282">
        <v>62</v>
      </c>
      <c r="L6948" s="282">
        <v>0</v>
      </c>
      <c r="M6948" s="282">
        <v>0</v>
      </c>
      <c r="N6948" s="282">
        <v>0</v>
      </c>
      <c r="O6948" s="285">
        <v>0</v>
      </c>
      <c r="P6948" s="288">
        <v>1.2545999999999999</v>
      </c>
      <c r="Q6948" s="287" t="s">
        <v>154</v>
      </c>
    </row>
    <row r="6949" spans="1:17" s="162" customFormat="1" ht="409.5" x14ac:dyDescent="0.25">
      <c r="A6949" s="281">
        <v>43355</v>
      </c>
      <c r="B6949" s="281">
        <v>43355</v>
      </c>
      <c r="C6949" s="282">
        <v>2018</v>
      </c>
      <c r="D6949" s="351" t="s">
        <v>23</v>
      </c>
      <c r="E6949" s="22" t="s">
        <v>86</v>
      </c>
      <c r="F6949" s="7" t="s">
        <v>53</v>
      </c>
      <c r="G6949" s="284" t="s">
        <v>9756</v>
      </c>
      <c r="H6949" s="33" t="s">
        <v>9757</v>
      </c>
      <c r="I6949" s="282">
        <v>0</v>
      </c>
      <c r="J6949" s="286">
        <v>16</v>
      </c>
      <c r="K6949" s="282">
        <v>4</v>
      </c>
      <c r="L6949" s="282">
        <v>0</v>
      </c>
      <c r="M6949" s="282">
        <v>0</v>
      </c>
      <c r="N6949" s="282">
        <v>0</v>
      </c>
      <c r="O6949" s="285">
        <v>0</v>
      </c>
      <c r="P6949" s="288">
        <v>4.1999999999999997E-3</v>
      </c>
      <c r="Q6949" s="287" t="s">
        <v>154</v>
      </c>
    </row>
    <row r="6950" spans="1:17" s="162" customFormat="1" ht="409.5" x14ac:dyDescent="0.25">
      <c r="A6950" s="281">
        <v>43355</v>
      </c>
      <c r="B6950" s="281">
        <v>43355</v>
      </c>
      <c r="C6950" s="282">
        <v>2018</v>
      </c>
      <c r="D6950" s="351" t="s">
        <v>23</v>
      </c>
      <c r="E6950" s="22" t="s">
        <v>86</v>
      </c>
      <c r="F6950" s="7" t="s">
        <v>75</v>
      </c>
      <c r="G6950" s="284" t="s">
        <v>75</v>
      </c>
      <c r="H6950" s="33" t="s">
        <v>9758</v>
      </c>
      <c r="I6950" s="282">
        <v>0</v>
      </c>
      <c r="J6950" s="286">
        <v>308</v>
      </c>
      <c r="K6950" s="282">
        <v>67</v>
      </c>
      <c r="L6950" s="282">
        <v>0</v>
      </c>
      <c r="M6950" s="282">
        <v>0</v>
      </c>
      <c r="N6950" s="282">
        <v>0</v>
      </c>
      <c r="O6950" s="285">
        <v>0</v>
      </c>
      <c r="P6950" s="288">
        <v>0</v>
      </c>
      <c r="Q6950" s="287" t="s">
        <v>154</v>
      </c>
    </row>
    <row r="6951" spans="1:17" s="162" customFormat="1" ht="132" x14ac:dyDescent="0.25">
      <c r="A6951" s="281">
        <v>43355</v>
      </c>
      <c r="B6951" s="281">
        <v>43355</v>
      </c>
      <c r="C6951" s="282">
        <v>2018</v>
      </c>
      <c r="D6951" s="351" t="s">
        <v>23</v>
      </c>
      <c r="E6951" s="22" t="s">
        <v>86</v>
      </c>
      <c r="F6951" s="7" t="s">
        <v>72</v>
      </c>
      <c r="G6951" s="284" t="s">
        <v>7538</v>
      </c>
      <c r="H6951" s="33" t="s">
        <v>9759</v>
      </c>
      <c r="I6951" s="282">
        <v>0</v>
      </c>
      <c r="J6951" s="286">
        <v>100</v>
      </c>
      <c r="K6951" s="282">
        <v>25</v>
      </c>
      <c r="L6951" s="282">
        <v>0</v>
      </c>
      <c r="M6951" s="282">
        <v>0</v>
      </c>
      <c r="N6951" s="282">
        <v>0</v>
      </c>
      <c r="O6951" s="285">
        <v>0</v>
      </c>
      <c r="P6951" s="288">
        <v>0</v>
      </c>
      <c r="Q6951" s="287" t="s">
        <v>154</v>
      </c>
    </row>
    <row r="6952" spans="1:17" s="162" customFormat="1" ht="108" x14ac:dyDescent="0.25">
      <c r="A6952" s="281">
        <v>43356</v>
      </c>
      <c r="B6952" s="281">
        <v>43356</v>
      </c>
      <c r="C6952" s="282">
        <v>2018</v>
      </c>
      <c r="D6952" s="351" t="s">
        <v>23</v>
      </c>
      <c r="E6952" s="283" t="s">
        <v>2223</v>
      </c>
      <c r="F6952" s="7" t="s">
        <v>75</v>
      </c>
      <c r="G6952" s="284" t="s">
        <v>9760</v>
      </c>
      <c r="H6952" s="33" t="s">
        <v>9761</v>
      </c>
      <c r="I6952" s="282">
        <v>0</v>
      </c>
      <c r="J6952" s="289">
        <v>0</v>
      </c>
      <c r="K6952" s="282">
        <v>30</v>
      </c>
      <c r="L6952" s="282">
        <v>0</v>
      </c>
      <c r="M6952" s="282">
        <v>0</v>
      </c>
      <c r="N6952" s="282">
        <v>0</v>
      </c>
      <c r="O6952" s="285">
        <v>0</v>
      </c>
      <c r="P6952" s="288">
        <v>0</v>
      </c>
      <c r="Q6952" s="287" t="s">
        <v>154</v>
      </c>
    </row>
    <row r="6953" spans="1:17" s="162" customFormat="1" ht="144" x14ac:dyDescent="0.25">
      <c r="A6953" s="281">
        <v>43356</v>
      </c>
      <c r="B6953" s="281">
        <v>43356</v>
      </c>
      <c r="C6953" s="282">
        <v>2018</v>
      </c>
      <c r="D6953" s="351" t="s">
        <v>23</v>
      </c>
      <c r="E6953" s="22" t="s">
        <v>86</v>
      </c>
      <c r="F6953" s="7" t="s">
        <v>72</v>
      </c>
      <c r="G6953" s="284" t="s">
        <v>8259</v>
      </c>
      <c r="H6953" s="33" t="s">
        <v>9762</v>
      </c>
      <c r="I6953" s="282">
        <v>0</v>
      </c>
      <c r="J6953" s="286">
        <v>2000</v>
      </c>
      <c r="K6953" s="282">
        <v>0</v>
      </c>
      <c r="L6953" s="282">
        <v>0</v>
      </c>
      <c r="M6953" s="282">
        <v>0</v>
      </c>
      <c r="N6953" s="282">
        <v>0</v>
      </c>
      <c r="O6953" s="285">
        <v>0</v>
      </c>
      <c r="P6953" s="288">
        <v>3.4544999999999999</v>
      </c>
      <c r="Q6953" s="287" t="s">
        <v>154</v>
      </c>
    </row>
    <row r="6954" spans="1:17" s="162" customFormat="1" ht="168" x14ac:dyDescent="0.25">
      <c r="A6954" s="281">
        <v>43359</v>
      </c>
      <c r="B6954" s="281">
        <v>43359</v>
      </c>
      <c r="C6954" s="282">
        <v>2018</v>
      </c>
      <c r="D6954" s="351" t="s">
        <v>23</v>
      </c>
      <c r="E6954" s="22" t="s">
        <v>86</v>
      </c>
      <c r="F6954" s="7" t="s">
        <v>65</v>
      </c>
      <c r="G6954" s="284" t="s">
        <v>2952</v>
      </c>
      <c r="H6954" s="33" t="s">
        <v>9763</v>
      </c>
      <c r="I6954" s="282">
        <v>0</v>
      </c>
      <c r="J6954" s="286">
        <v>1400</v>
      </c>
      <c r="K6954" s="282">
        <v>350</v>
      </c>
      <c r="L6954" s="282">
        <v>0</v>
      </c>
      <c r="M6954" s="282">
        <v>0</v>
      </c>
      <c r="N6954" s="282">
        <v>0</v>
      </c>
      <c r="O6954" s="285">
        <v>0</v>
      </c>
      <c r="P6954" s="288">
        <v>0.36749999999999999</v>
      </c>
      <c r="Q6954" s="287" t="s">
        <v>154</v>
      </c>
    </row>
    <row r="6955" spans="1:17" s="162" customFormat="1" ht="240" x14ac:dyDescent="0.25">
      <c r="A6955" s="281">
        <v>43360</v>
      </c>
      <c r="B6955" s="281">
        <v>43360</v>
      </c>
      <c r="C6955" s="282">
        <v>2018</v>
      </c>
      <c r="D6955" s="351" t="s">
        <v>23</v>
      </c>
      <c r="E6955" s="22" t="s">
        <v>86</v>
      </c>
      <c r="F6955" s="7" t="s">
        <v>60</v>
      </c>
      <c r="G6955" s="284" t="s">
        <v>1605</v>
      </c>
      <c r="H6955" s="33" t="s">
        <v>9764</v>
      </c>
      <c r="I6955" s="282">
        <v>0</v>
      </c>
      <c r="J6955" s="286">
        <v>70</v>
      </c>
      <c r="K6955" s="282">
        <v>4</v>
      </c>
      <c r="L6955" s="282">
        <v>0</v>
      </c>
      <c r="M6955" s="282">
        <v>0</v>
      </c>
      <c r="N6955" s="282">
        <v>0</v>
      </c>
      <c r="O6955" s="285">
        <v>0</v>
      </c>
      <c r="P6955" s="288">
        <v>6.6654000000000005E-2</v>
      </c>
      <c r="Q6955" s="287" t="s">
        <v>7883</v>
      </c>
    </row>
    <row r="6956" spans="1:17" s="162" customFormat="1" ht="360" x14ac:dyDescent="0.25">
      <c r="A6956" s="281">
        <v>43362</v>
      </c>
      <c r="B6956" s="281">
        <v>43362</v>
      </c>
      <c r="C6956" s="282">
        <v>2018</v>
      </c>
      <c r="D6956" s="351" t="s">
        <v>23</v>
      </c>
      <c r="E6956" s="22" t="s">
        <v>86</v>
      </c>
      <c r="F6956" s="7" t="s">
        <v>40</v>
      </c>
      <c r="G6956" s="284" t="s">
        <v>9765</v>
      </c>
      <c r="H6956" s="33" t="s">
        <v>9766</v>
      </c>
      <c r="I6956" s="282">
        <v>4</v>
      </c>
      <c r="J6956" s="286">
        <v>604</v>
      </c>
      <c r="K6956" s="282">
        <v>1</v>
      </c>
      <c r="L6956" s="282">
        <v>0</v>
      </c>
      <c r="M6956" s="282">
        <v>0</v>
      </c>
      <c r="N6956" s="282">
        <v>0</v>
      </c>
      <c r="O6956" s="285">
        <v>0</v>
      </c>
      <c r="P6956" s="288">
        <v>61.157461210000001</v>
      </c>
      <c r="Q6956" s="287" t="s">
        <v>154</v>
      </c>
    </row>
    <row r="6957" spans="1:17" s="162" customFormat="1" ht="409.5" x14ac:dyDescent="0.25">
      <c r="A6957" s="281">
        <v>43363</v>
      </c>
      <c r="B6957" s="281">
        <v>43363</v>
      </c>
      <c r="C6957" s="282">
        <v>2018</v>
      </c>
      <c r="D6957" s="351" t="s">
        <v>23</v>
      </c>
      <c r="E6957" s="14" t="s">
        <v>32</v>
      </c>
      <c r="F6957" s="7" t="s">
        <v>84</v>
      </c>
      <c r="G6957" s="284" t="s">
        <v>9767</v>
      </c>
      <c r="H6957" s="33" t="s">
        <v>9768</v>
      </c>
      <c r="I6957" s="282">
        <v>4</v>
      </c>
      <c r="J6957" s="286">
        <v>184825</v>
      </c>
      <c r="K6957" s="290">
        <v>2686</v>
      </c>
      <c r="L6957" s="282">
        <v>412</v>
      </c>
      <c r="M6957" s="282">
        <v>2</v>
      </c>
      <c r="N6957" s="290">
        <v>1408</v>
      </c>
      <c r="O6957" s="285">
        <v>0</v>
      </c>
      <c r="P6957" s="32">
        <v>3183.6941815</v>
      </c>
      <c r="Q6957" s="287" t="s">
        <v>22</v>
      </c>
    </row>
    <row r="6958" spans="1:17" s="162" customFormat="1" ht="409.5" x14ac:dyDescent="0.25">
      <c r="A6958" s="281">
        <v>43361</v>
      </c>
      <c r="B6958" s="281">
        <v>43361</v>
      </c>
      <c r="C6958" s="282">
        <v>2018</v>
      </c>
      <c r="D6958" s="351" t="s">
        <v>23</v>
      </c>
      <c r="E6958" s="14" t="s">
        <v>32</v>
      </c>
      <c r="F6958" s="7" t="s">
        <v>87</v>
      </c>
      <c r="G6958" s="284" t="s">
        <v>9769</v>
      </c>
      <c r="H6958" s="33" t="s">
        <v>9770</v>
      </c>
      <c r="I6958" s="282">
        <v>0</v>
      </c>
      <c r="J6958" s="286">
        <v>132420</v>
      </c>
      <c r="K6958" s="282">
        <v>79</v>
      </c>
      <c r="L6958" s="282">
        <v>0</v>
      </c>
      <c r="M6958" s="282">
        <v>0</v>
      </c>
      <c r="N6958" s="282">
        <v>0</v>
      </c>
      <c r="O6958" s="285">
        <v>0</v>
      </c>
      <c r="P6958" s="288">
        <v>1034.636383</v>
      </c>
      <c r="Q6958" s="287" t="s">
        <v>7883</v>
      </c>
    </row>
    <row r="6959" spans="1:17" s="162" customFormat="1" ht="372" x14ac:dyDescent="0.25">
      <c r="A6959" s="281">
        <v>43366</v>
      </c>
      <c r="B6959" s="281">
        <v>43366</v>
      </c>
      <c r="C6959" s="282">
        <v>2018</v>
      </c>
      <c r="D6959" s="351" t="s">
        <v>23</v>
      </c>
      <c r="E6959" s="283" t="s">
        <v>2223</v>
      </c>
      <c r="F6959" s="7" t="s">
        <v>62</v>
      </c>
      <c r="G6959" s="284" t="s">
        <v>9771</v>
      </c>
      <c r="H6959" s="33" t="s">
        <v>9772</v>
      </c>
      <c r="I6959" s="282">
        <v>8</v>
      </c>
      <c r="J6959" s="286">
        <v>1526</v>
      </c>
      <c r="K6959" s="282">
        <v>205</v>
      </c>
      <c r="L6959" s="282">
        <v>0</v>
      </c>
      <c r="M6959" s="282">
        <v>0</v>
      </c>
      <c r="N6959" s="282">
        <v>0</v>
      </c>
      <c r="O6959" s="285">
        <v>0</v>
      </c>
      <c r="P6959" s="288">
        <v>180.78215950000001</v>
      </c>
      <c r="Q6959" s="287" t="s">
        <v>7883</v>
      </c>
    </row>
    <row r="6960" spans="1:17" s="162" customFormat="1" ht="409.5" x14ac:dyDescent="0.25">
      <c r="A6960" s="281">
        <v>43362</v>
      </c>
      <c r="B6960" s="281">
        <v>43362</v>
      </c>
      <c r="C6960" s="282">
        <v>2018</v>
      </c>
      <c r="D6960" s="351" t="s">
        <v>23</v>
      </c>
      <c r="E6960" s="22" t="s">
        <v>86</v>
      </c>
      <c r="F6960" s="7" t="s">
        <v>101</v>
      </c>
      <c r="G6960" s="284" t="s">
        <v>9773</v>
      </c>
      <c r="H6960" s="33" t="s">
        <v>9774</v>
      </c>
      <c r="I6960" s="282">
        <v>0</v>
      </c>
      <c r="J6960" s="286">
        <v>28809</v>
      </c>
      <c r="K6960" s="282">
        <v>1588</v>
      </c>
      <c r="L6960" s="282">
        <v>1</v>
      </c>
      <c r="M6960" s="282">
        <v>0</v>
      </c>
      <c r="N6960" s="282">
        <v>1</v>
      </c>
      <c r="O6960" s="285">
        <v>0</v>
      </c>
      <c r="P6960" s="288">
        <v>1.584474385</v>
      </c>
      <c r="Q6960" s="287" t="s">
        <v>7883</v>
      </c>
    </row>
    <row r="6961" spans="1:17" s="162" customFormat="1" ht="84" x14ac:dyDescent="0.25">
      <c r="A6961" s="281">
        <v>43369</v>
      </c>
      <c r="B6961" s="281">
        <v>43369</v>
      </c>
      <c r="C6961" s="282">
        <v>2018</v>
      </c>
      <c r="D6961" s="351" t="s">
        <v>23</v>
      </c>
      <c r="E6961" s="283" t="s">
        <v>2070</v>
      </c>
      <c r="F6961" s="28" t="s">
        <v>210</v>
      </c>
      <c r="G6961" s="284" t="s">
        <v>2329</v>
      </c>
      <c r="H6961" s="33" t="s">
        <v>9775</v>
      </c>
      <c r="I6961" s="282">
        <v>0</v>
      </c>
      <c r="J6961" s="286">
        <v>5</v>
      </c>
      <c r="K6961" s="282">
        <v>0</v>
      </c>
      <c r="L6961" s="282">
        <v>0</v>
      </c>
      <c r="M6961" s="282">
        <v>0</v>
      </c>
      <c r="N6961" s="282">
        <v>0</v>
      </c>
      <c r="O6961" s="285">
        <v>0</v>
      </c>
      <c r="P6961" s="288">
        <v>1.7314E-2</v>
      </c>
      <c r="Q6961" s="287" t="s">
        <v>154</v>
      </c>
    </row>
    <row r="6962" spans="1:17" s="162" customFormat="1" ht="132" x14ac:dyDescent="0.25">
      <c r="A6962" s="281">
        <v>43370</v>
      </c>
      <c r="B6962" s="281">
        <v>43370</v>
      </c>
      <c r="C6962" s="282">
        <v>2018</v>
      </c>
      <c r="D6962" s="351" t="s">
        <v>23</v>
      </c>
      <c r="E6962" s="22" t="s">
        <v>86</v>
      </c>
      <c r="F6962" s="7" t="s">
        <v>84</v>
      </c>
      <c r="G6962" s="284" t="s">
        <v>84</v>
      </c>
      <c r="H6962" s="33" t="s">
        <v>9776</v>
      </c>
      <c r="I6962" s="282">
        <v>0</v>
      </c>
      <c r="J6962" s="286">
        <v>600</v>
      </c>
      <c r="K6962" s="282">
        <v>150</v>
      </c>
      <c r="L6962" s="282">
        <v>0</v>
      </c>
      <c r="M6962" s="282">
        <v>0</v>
      </c>
      <c r="N6962" s="282">
        <v>0</v>
      </c>
      <c r="O6962" s="285">
        <v>0</v>
      </c>
      <c r="P6962" s="288">
        <v>0</v>
      </c>
      <c r="Q6962" s="287" t="s">
        <v>154</v>
      </c>
    </row>
    <row r="6963" spans="1:17" s="162" customFormat="1" ht="168" x14ac:dyDescent="0.25">
      <c r="A6963" s="281">
        <v>43370</v>
      </c>
      <c r="B6963" s="281">
        <v>43370</v>
      </c>
      <c r="C6963" s="282">
        <v>2018</v>
      </c>
      <c r="D6963" s="351" t="s">
        <v>23</v>
      </c>
      <c r="E6963" s="22" t="s">
        <v>86</v>
      </c>
      <c r="F6963" s="7" t="s">
        <v>49</v>
      </c>
      <c r="G6963" s="284" t="s">
        <v>9777</v>
      </c>
      <c r="H6963" s="33" t="s">
        <v>9778</v>
      </c>
      <c r="I6963" s="282">
        <v>0</v>
      </c>
      <c r="J6963" s="286">
        <v>400</v>
      </c>
      <c r="K6963" s="282">
        <v>100</v>
      </c>
      <c r="L6963" s="282">
        <v>0</v>
      </c>
      <c r="M6963" s="282">
        <v>0</v>
      </c>
      <c r="N6963" s="282">
        <v>0</v>
      </c>
      <c r="O6963" s="285">
        <v>0</v>
      </c>
      <c r="P6963" s="288">
        <v>8.7499999999999994E-2</v>
      </c>
      <c r="Q6963" s="287" t="s">
        <v>154</v>
      </c>
    </row>
    <row r="6964" spans="1:17" s="162" customFormat="1" ht="344.25" x14ac:dyDescent="0.25">
      <c r="A6964" s="281">
        <v>43389</v>
      </c>
      <c r="B6964" s="281">
        <v>43389</v>
      </c>
      <c r="C6964" s="282">
        <v>2018</v>
      </c>
      <c r="D6964" s="351" t="s">
        <v>23</v>
      </c>
      <c r="E6964" s="22" t="s">
        <v>86</v>
      </c>
      <c r="F6964" s="28" t="s">
        <v>210</v>
      </c>
      <c r="G6964" s="284" t="s">
        <v>9779</v>
      </c>
      <c r="H6964" s="33" t="s">
        <v>9780</v>
      </c>
      <c r="I6964" s="282">
        <v>0</v>
      </c>
      <c r="J6964" s="286">
        <v>211677</v>
      </c>
      <c r="K6964" s="282">
        <v>58910</v>
      </c>
      <c r="L6964" s="282">
        <v>36</v>
      </c>
      <c r="M6964" s="282">
        <v>0</v>
      </c>
      <c r="N6964" s="282">
        <v>0</v>
      </c>
      <c r="O6964" s="285">
        <v>0</v>
      </c>
      <c r="P6964" s="288">
        <v>562.59500400000002</v>
      </c>
      <c r="Q6964" s="287" t="s">
        <v>7883</v>
      </c>
    </row>
    <row r="6965" spans="1:17" s="162" customFormat="1" ht="409.5" x14ac:dyDescent="0.25">
      <c r="A6965" s="281">
        <v>43393</v>
      </c>
      <c r="B6965" s="281">
        <v>43393</v>
      </c>
      <c r="C6965" s="282">
        <v>2018</v>
      </c>
      <c r="D6965" s="351" t="s">
        <v>23</v>
      </c>
      <c r="E6965" s="22" t="s">
        <v>86</v>
      </c>
      <c r="F6965" s="7" t="s">
        <v>72</v>
      </c>
      <c r="G6965" s="284" t="s">
        <v>9781</v>
      </c>
      <c r="H6965" s="33" t="s">
        <v>9782</v>
      </c>
      <c r="I6965" s="282">
        <v>0</v>
      </c>
      <c r="J6965" s="286">
        <v>398</v>
      </c>
      <c r="K6965" s="282">
        <v>99</v>
      </c>
      <c r="L6965" s="282">
        <v>0</v>
      </c>
      <c r="M6965" s="282">
        <v>0</v>
      </c>
      <c r="N6965" s="282">
        <v>0</v>
      </c>
      <c r="O6965" s="285">
        <v>0</v>
      </c>
      <c r="P6965" s="288">
        <v>68.07642315999999</v>
      </c>
      <c r="Q6965" s="287" t="s">
        <v>7883</v>
      </c>
    </row>
    <row r="6966" spans="1:17" s="162" customFormat="1" ht="204" x14ac:dyDescent="0.25">
      <c r="A6966" s="281">
        <v>43394</v>
      </c>
      <c r="B6966" s="281">
        <v>43394</v>
      </c>
      <c r="C6966" s="282">
        <v>2018</v>
      </c>
      <c r="D6966" s="351" t="s">
        <v>23</v>
      </c>
      <c r="E6966" s="22" t="s">
        <v>86</v>
      </c>
      <c r="F6966" s="7" t="s">
        <v>62</v>
      </c>
      <c r="G6966" s="284" t="s">
        <v>1320</v>
      </c>
      <c r="H6966" s="33" t="s">
        <v>9783</v>
      </c>
      <c r="I6966" s="282">
        <v>0</v>
      </c>
      <c r="J6966" s="286">
        <v>53</v>
      </c>
      <c r="K6966" s="282">
        <v>15</v>
      </c>
      <c r="L6966" s="282">
        <v>0</v>
      </c>
      <c r="M6966" s="282">
        <v>0</v>
      </c>
      <c r="N6966" s="282">
        <v>0</v>
      </c>
      <c r="O6966" s="285">
        <v>0</v>
      </c>
      <c r="P6966" s="288">
        <v>0.3609</v>
      </c>
      <c r="Q6966" s="287" t="s">
        <v>154</v>
      </c>
    </row>
    <row r="6967" spans="1:17" s="162" customFormat="1" ht="108" x14ac:dyDescent="0.25">
      <c r="A6967" s="281">
        <v>43396</v>
      </c>
      <c r="B6967" s="281">
        <v>43396</v>
      </c>
      <c r="C6967" s="282">
        <v>2018</v>
      </c>
      <c r="D6967" s="351" t="s">
        <v>23</v>
      </c>
      <c r="E6967" s="14" t="s">
        <v>32</v>
      </c>
      <c r="F6967" s="7" t="s">
        <v>84</v>
      </c>
      <c r="G6967" s="284" t="s">
        <v>9784</v>
      </c>
      <c r="H6967" s="33" t="s">
        <v>9785</v>
      </c>
      <c r="I6967" s="282">
        <v>2</v>
      </c>
      <c r="J6967" s="286">
        <v>103511</v>
      </c>
      <c r="K6967" s="282">
        <v>893</v>
      </c>
      <c r="L6967" s="282">
        <v>97</v>
      </c>
      <c r="M6967" s="282">
        <v>1</v>
      </c>
      <c r="N6967" s="282">
        <v>150</v>
      </c>
      <c r="O6967" s="285">
        <v>0</v>
      </c>
      <c r="P6967" s="288">
        <v>1641.0436414000001</v>
      </c>
      <c r="Q6967" s="287" t="s">
        <v>22</v>
      </c>
    </row>
    <row r="6968" spans="1:17" s="162" customFormat="1" ht="144" x14ac:dyDescent="0.25">
      <c r="A6968" s="281">
        <v>43396</v>
      </c>
      <c r="B6968" s="281">
        <v>43396</v>
      </c>
      <c r="C6968" s="282">
        <v>2018</v>
      </c>
      <c r="D6968" s="351" t="s">
        <v>23</v>
      </c>
      <c r="E6968" s="14" t="s">
        <v>32</v>
      </c>
      <c r="F6968" s="7" t="s">
        <v>67</v>
      </c>
      <c r="G6968" s="284" t="s">
        <v>9786</v>
      </c>
      <c r="H6968" s="33" t="s">
        <v>9787</v>
      </c>
      <c r="I6968" s="282">
        <v>7</v>
      </c>
      <c r="J6968" s="286">
        <v>132044</v>
      </c>
      <c r="K6968" s="290">
        <v>4141</v>
      </c>
      <c r="L6968" s="282">
        <v>666</v>
      </c>
      <c r="M6968" s="282">
        <v>17</v>
      </c>
      <c r="N6968" s="282">
        <v>0</v>
      </c>
      <c r="O6968" s="285">
        <v>0</v>
      </c>
      <c r="P6968" s="288">
        <v>1986.3809857085996</v>
      </c>
      <c r="Q6968" s="287" t="s">
        <v>22</v>
      </c>
    </row>
    <row r="6969" spans="1:17" s="162" customFormat="1" ht="168" x14ac:dyDescent="0.25">
      <c r="A6969" s="281">
        <v>43406</v>
      </c>
      <c r="B6969" s="281">
        <v>43406</v>
      </c>
      <c r="C6969" s="282">
        <v>2018</v>
      </c>
      <c r="D6969" s="351" t="s">
        <v>23</v>
      </c>
      <c r="E6969" s="22" t="s">
        <v>86</v>
      </c>
      <c r="F6969" s="7" t="s">
        <v>58</v>
      </c>
      <c r="G6969" s="284" t="s">
        <v>1194</v>
      </c>
      <c r="H6969" s="33" t="s">
        <v>9788</v>
      </c>
      <c r="I6969" s="282">
        <v>2</v>
      </c>
      <c r="J6969" s="286">
        <v>2</v>
      </c>
      <c r="K6969" s="282">
        <v>0</v>
      </c>
      <c r="L6969" s="282">
        <v>0</v>
      </c>
      <c r="M6969" s="282">
        <v>0</v>
      </c>
      <c r="N6969" s="282">
        <v>0</v>
      </c>
      <c r="O6969" s="285">
        <v>0</v>
      </c>
      <c r="P6969" s="288">
        <v>3.9690000000000003E-2</v>
      </c>
      <c r="Q6969" s="287" t="s">
        <v>154</v>
      </c>
    </row>
    <row r="6970" spans="1:17" s="162" customFormat="1" ht="216" x14ac:dyDescent="0.25">
      <c r="A6970" s="281">
        <v>43417</v>
      </c>
      <c r="B6970" s="281">
        <v>43417</v>
      </c>
      <c r="C6970" s="282">
        <v>2018</v>
      </c>
      <c r="D6970" s="351" t="s">
        <v>23</v>
      </c>
      <c r="E6970" s="22" t="s">
        <v>86</v>
      </c>
      <c r="F6970" s="25" t="s">
        <v>781</v>
      </c>
      <c r="G6970" s="284" t="s">
        <v>9789</v>
      </c>
      <c r="H6970" s="33" t="s">
        <v>9790</v>
      </c>
      <c r="I6970" s="282">
        <v>0</v>
      </c>
      <c r="J6970" s="286">
        <v>122</v>
      </c>
      <c r="K6970" s="282">
        <v>0</v>
      </c>
      <c r="L6970" s="282">
        <v>0</v>
      </c>
      <c r="M6970" s="282">
        <v>0</v>
      </c>
      <c r="N6970" s="282">
        <v>0</v>
      </c>
      <c r="O6970" s="285">
        <v>0</v>
      </c>
      <c r="P6970" s="288">
        <v>1.4274469999999999</v>
      </c>
      <c r="Q6970" s="287" t="s">
        <v>7883</v>
      </c>
    </row>
    <row r="6971" spans="1:17" s="162" customFormat="1" ht="120" x14ac:dyDescent="0.25">
      <c r="A6971" s="281">
        <v>43440</v>
      </c>
      <c r="B6971" s="281">
        <v>43440</v>
      </c>
      <c r="C6971" s="282">
        <v>2018</v>
      </c>
      <c r="D6971" s="351" t="s">
        <v>23</v>
      </c>
      <c r="E6971" s="283" t="s">
        <v>2223</v>
      </c>
      <c r="F6971" s="28" t="s">
        <v>210</v>
      </c>
      <c r="G6971" s="284" t="s">
        <v>9791</v>
      </c>
      <c r="H6971" s="33" t="s">
        <v>9792</v>
      </c>
      <c r="I6971" s="282">
        <v>0</v>
      </c>
      <c r="J6971" s="286">
        <v>4212</v>
      </c>
      <c r="K6971" s="282">
        <v>1053</v>
      </c>
      <c r="L6971" s="282">
        <v>0</v>
      </c>
      <c r="M6971" s="282">
        <v>0</v>
      </c>
      <c r="N6971" s="282">
        <v>0</v>
      </c>
      <c r="O6971" s="285">
        <v>0</v>
      </c>
      <c r="P6971" s="288">
        <v>1.9692750000000001</v>
      </c>
      <c r="Q6971" s="287" t="s">
        <v>154</v>
      </c>
    </row>
    <row r="6972" spans="1:17" s="162" customFormat="1" ht="84" x14ac:dyDescent="0.25">
      <c r="A6972" s="281">
        <v>43104</v>
      </c>
      <c r="B6972" s="281">
        <v>43104</v>
      </c>
      <c r="C6972" s="282">
        <v>2018</v>
      </c>
      <c r="D6972" s="35" t="s">
        <v>28</v>
      </c>
      <c r="E6972" s="283" t="s">
        <v>2933</v>
      </c>
      <c r="F6972" s="7" t="s">
        <v>53</v>
      </c>
      <c r="G6972" s="284" t="s">
        <v>2287</v>
      </c>
      <c r="H6972" s="33" t="s">
        <v>9793</v>
      </c>
      <c r="I6972" s="282">
        <v>0</v>
      </c>
      <c r="J6972" s="286">
        <v>1</v>
      </c>
      <c r="K6972" s="282">
        <v>0</v>
      </c>
      <c r="L6972" s="282">
        <v>0</v>
      </c>
      <c r="M6972" s="282">
        <v>0</v>
      </c>
      <c r="N6972" s="282">
        <v>0</v>
      </c>
      <c r="O6972" s="285">
        <v>0</v>
      </c>
      <c r="P6972" s="288">
        <v>9.3170000000000006E-3</v>
      </c>
      <c r="Q6972" s="287" t="s">
        <v>154</v>
      </c>
    </row>
    <row r="6973" spans="1:17" s="162" customFormat="1" ht="84" x14ac:dyDescent="0.25">
      <c r="A6973" s="281">
        <v>43112</v>
      </c>
      <c r="B6973" s="281">
        <v>43112</v>
      </c>
      <c r="C6973" s="282">
        <v>2018</v>
      </c>
      <c r="D6973" s="35" t="s">
        <v>28</v>
      </c>
      <c r="E6973" s="283" t="s">
        <v>2933</v>
      </c>
      <c r="F6973" s="7" t="s">
        <v>53</v>
      </c>
      <c r="G6973" s="284" t="s">
        <v>9794</v>
      </c>
      <c r="H6973" s="33" t="s">
        <v>9795</v>
      </c>
      <c r="I6973" s="282">
        <v>1</v>
      </c>
      <c r="J6973" s="286">
        <v>1</v>
      </c>
      <c r="K6973" s="282">
        <v>1</v>
      </c>
      <c r="L6973" s="282">
        <v>0</v>
      </c>
      <c r="M6973" s="282">
        <v>0</v>
      </c>
      <c r="N6973" s="282">
        <v>0</v>
      </c>
      <c r="O6973" s="285">
        <v>0</v>
      </c>
      <c r="P6973" s="288">
        <v>5.4999999999999997E-3</v>
      </c>
      <c r="Q6973" s="287" t="s">
        <v>154</v>
      </c>
    </row>
    <row r="6974" spans="1:17" s="162" customFormat="1" ht="288" x14ac:dyDescent="0.25">
      <c r="A6974" s="281">
        <v>43113</v>
      </c>
      <c r="B6974" s="281">
        <v>43113</v>
      </c>
      <c r="C6974" s="282">
        <v>2018</v>
      </c>
      <c r="D6974" s="35" t="s">
        <v>28</v>
      </c>
      <c r="E6974" s="283" t="s">
        <v>2933</v>
      </c>
      <c r="F6974" s="7" t="s">
        <v>56</v>
      </c>
      <c r="G6974" s="284" t="s">
        <v>1707</v>
      </c>
      <c r="H6974" s="33" t="s">
        <v>9796</v>
      </c>
      <c r="I6974" s="282">
        <v>0</v>
      </c>
      <c r="J6974" s="286">
        <v>33</v>
      </c>
      <c r="K6974" s="282">
        <v>10</v>
      </c>
      <c r="L6974" s="282">
        <v>0</v>
      </c>
      <c r="M6974" s="282">
        <v>0</v>
      </c>
      <c r="N6974" s="282">
        <v>0</v>
      </c>
      <c r="O6974" s="285">
        <v>0</v>
      </c>
      <c r="P6974" s="288">
        <v>0.60270000000000001</v>
      </c>
      <c r="Q6974" s="287" t="s">
        <v>154</v>
      </c>
    </row>
    <row r="6975" spans="1:17" s="162" customFormat="1" ht="156" x14ac:dyDescent="0.25">
      <c r="A6975" s="281">
        <v>43120</v>
      </c>
      <c r="B6975" s="281">
        <v>43120</v>
      </c>
      <c r="C6975" s="282">
        <v>2018</v>
      </c>
      <c r="D6975" s="35" t="s">
        <v>28</v>
      </c>
      <c r="E6975" s="283" t="s">
        <v>369</v>
      </c>
      <c r="F6975" s="28" t="s">
        <v>151</v>
      </c>
      <c r="G6975" s="284" t="s">
        <v>1477</v>
      </c>
      <c r="H6975" s="33" t="s">
        <v>9797</v>
      </c>
      <c r="I6975" s="282">
        <v>0</v>
      </c>
      <c r="J6975" s="289">
        <v>0</v>
      </c>
      <c r="K6975" s="282">
        <v>0</v>
      </c>
      <c r="L6975" s="282">
        <v>0</v>
      </c>
      <c r="M6975" s="282">
        <v>0</v>
      </c>
      <c r="N6975" s="282">
        <v>0</v>
      </c>
      <c r="O6975" s="285">
        <v>0</v>
      </c>
      <c r="P6975" s="288">
        <v>0.47380711382387142</v>
      </c>
      <c r="Q6975" s="287" t="s">
        <v>154</v>
      </c>
    </row>
    <row r="6976" spans="1:17" s="162" customFormat="1" ht="180" x14ac:dyDescent="0.25">
      <c r="A6976" s="281">
        <v>43152</v>
      </c>
      <c r="B6976" s="281">
        <v>43152</v>
      </c>
      <c r="C6976" s="282">
        <v>2018</v>
      </c>
      <c r="D6976" s="35" t="s">
        <v>28</v>
      </c>
      <c r="E6976" s="283" t="s">
        <v>2933</v>
      </c>
      <c r="F6976" s="7" t="s">
        <v>80</v>
      </c>
      <c r="G6976" s="284" t="s">
        <v>5558</v>
      </c>
      <c r="H6976" s="33" t="s">
        <v>9798</v>
      </c>
      <c r="I6976" s="282">
        <v>0</v>
      </c>
      <c r="J6976" s="286">
        <v>20</v>
      </c>
      <c r="K6976" s="282">
        <v>0</v>
      </c>
      <c r="L6976" s="282">
        <v>0</v>
      </c>
      <c r="M6976" s="282">
        <v>0</v>
      </c>
      <c r="N6976" s="282">
        <v>0</v>
      </c>
      <c r="O6976" s="285">
        <v>0</v>
      </c>
      <c r="P6976" s="288">
        <v>0.42482700000000001</v>
      </c>
      <c r="Q6976" s="287" t="s">
        <v>154</v>
      </c>
    </row>
    <row r="6977" spans="1:17" s="162" customFormat="1" ht="216" x14ac:dyDescent="0.25">
      <c r="A6977" s="281">
        <v>43157</v>
      </c>
      <c r="B6977" s="281">
        <v>43157</v>
      </c>
      <c r="C6977" s="282">
        <v>2018</v>
      </c>
      <c r="D6977" s="35" t="s">
        <v>28</v>
      </c>
      <c r="E6977" s="283" t="s">
        <v>149</v>
      </c>
      <c r="F6977" s="28" t="s">
        <v>160</v>
      </c>
      <c r="G6977" s="284" t="s">
        <v>6249</v>
      </c>
      <c r="H6977" s="33" t="s">
        <v>9799</v>
      </c>
      <c r="I6977" s="282">
        <v>0</v>
      </c>
      <c r="J6977" s="286">
        <v>18</v>
      </c>
      <c r="K6977" s="282">
        <v>0</v>
      </c>
      <c r="L6977" s="282">
        <v>0</v>
      </c>
      <c r="M6977" s="282">
        <v>0</v>
      </c>
      <c r="N6977" s="282">
        <v>0</v>
      </c>
      <c r="O6977" s="285">
        <v>0</v>
      </c>
      <c r="P6977" s="288">
        <v>0.76454100000000003</v>
      </c>
      <c r="Q6977" s="287" t="s">
        <v>154</v>
      </c>
    </row>
    <row r="6978" spans="1:17" s="162" customFormat="1" ht="144" x14ac:dyDescent="0.25">
      <c r="A6978" s="281">
        <v>43157</v>
      </c>
      <c r="B6978" s="281">
        <v>43157</v>
      </c>
      <c r="C6978" s="282">
        <v>2018</v>
      </c>
      <c r="D6978" s="35" t="s">
        <v>28</v>
      </c>
      <c r="E6978" s="283" t="s">
        <v>2933</v>
      </c>
      <c r="F6978" s="7" t="s">
        <v>30</v>
      </c>
      <c r="G6978" s="284" t="s">
        <v>9672</v>
      </c>
      <c r="H6978" s="33" t="s">
        <v>9800</v>
      </c>
      <c r="I6978" s="282">
        <v>0</v>
      </c>
      <c r="J6978" s="286">
        <v>601</v>
      </c>
      <c r="K6978" s="282">
        <v>0</v>
      </c>
      <c r="L6978" s="282">
        <v>0</v>
      </c>
      <c r="M6978" s="282">
        <v>0</v>
      </c>
      <c r="N6978" s="282">
        <v>1</v>
      </c>
      <c r="O6978" s="285">
        <v>0</v>
      </c>
      <c r="P6978" s="288">
        <v>0.22734499999999999</v>
      </c>
      <c r="Q6978" s="287" t="s">
        <v>154</v>
      </c>
    </row>
    <row r="6979" spans="1:17" s="162" customFormat="1" ht="168" x14ac:dyDescent="0.25">
      <c r="A6979" s="281">
        <v>43157</v>
      </c>
      <c r="B6979" s="281">
        <v>43157</v>
      </c>
      <c r="C6979" s="282">
        <v>2018</v>
      </c>
      <c r="D6979" s="35" t="s">
        <v>28</v>
      </c>
      <c r="E6979" s="283" t="s">
        <v>149</v>
      </c>
      <c r="F6979" s="7" t="s">
        <v>56</v>
      </c>
      <c r="G6979" s="284" t="s">
        <v>3722</v>
      </c>
      <c r="H6979" s="33" t="s">
        <v>9801</v>
      </c>
      <c r="I6979" s="282">
        <v>0</v>
      </c>
      <c r="J6979" s="286">
        <v>123</v>
      </c>
      <c r="K6979" s="282">
        <v>0</v>
      </c>
      <c r="L6979" s="282">
        <v>0</v>
      </c>
      <c r="M6979" s="282">
        <v>0</v>
      </c>
      <c r="N6979" s="282">
        <v>1</v>
      </c>
      <c r="O6979" s="285">
        <v>0</v>
      </c>
      <c r="P6979" s="288">
        <v>6.9535E-2</v>
      </c>
      <c r="Q6979" s="287" t="s">
        <v>154</v>
      </c>
    </row>
    <row r="6980" spans="1:17" s="162" customFormat="1" ht="72" x14ac:dyDescent="0.25">
      <c r="A6980" s="281">
        <v>43158</v>
      </c>
      <c r="B6980" s="281">
        <v>43158</v>
      </c>
      <c r="C6980" s="282">
        <v>2018</v>
      </c>
      <c r="D6980" s="35" t="s">
        <v>28</v>
      </c>
      <c r="E6980" s="283" t="s">
        <v>149</v>
      </c>
      <c r="F6980" s="7" t="s">
        <v>53</v>
      </c>
      <c r="G6980" s="284" t="s">
        <v>9794</v>
      </c>
      <c r="H6980" s="33" t="s">
        <v>9802</v>
      </c>
      <c r="I6980" s="282">
        <v>2</v>
      </c>
      <c r="J6980" s="286">
        <v>5</v>
      </c>
      <c r="K6980" s="282">
        <v>1</v>
      </c>
      <c r="L6980" s="282">
        <v>0</v>
      </c>
      <c r="M6980" s="282">
        <v>0</v>
      </c>
      <c r="N6980" s="282">
        <v>0</v>
      </c>
      <c r="O6980" s="285">
        <v>0</v>
      </c>
      <c r="P6980" s="288">
        <v>2.7000000000000001E-3</v>
      </c>
      <c r="Q6980" s="287" t="s">
        <v>154</v>
      </c>
    </row>
    <row r="6981" spans="1:17" s="162" customFormat="1" ht="156" x14ac:dyDescent="0.25">
      <c r="A6981" s="281">
        <v>43159</v>
      </c>
      <c r="B6981" s="281">
        <v>43159</v>
      </c>
      <c r="C6981" s="282">
        <v>2018</v>
      </c>
      <c r="D6981" s="35" t="s">
        <v>28</v>
      </c>
      <c r="E6981" s="283" t="s">
        <v>125</v>
      </c>
      <c r="F6981" s="28" t="s">
        <v>157</v>
      </c>
      <c r="G6981" s="284" t="s">
        <v>206</v>
      </c>
      <c r="H6981" s="33" t="s">
        <v>9803</v>
      </c>
      <c r="I6981" s="282">
        <v>0</v>
      </c>
      <c r="J6981" s="286">
        <v>500</v>
      </c>
      <c r="K6981" s="282">
        <v>0</v>
      </c>
      <c r="L6981" s="282">
        <v>0</v>
      </c>
      <c r="M6981" s="282">
        <v>0</v>
      </c>
      <c r="N6981" s="282">
        <v>0</v>
      </c>
      <c r="O6981" s="285">
        <v>0</v>
      </c>
      <c r="P6981" s="288">
        <v>0</v>
      </c>
      <c r="Q6981" s="287" t="s">
        <v>154</v>
      </c>
    </row>
    <row r="6982" spans="1:17" s="162" customFormat="1" ht="132" x14ac:dyDescent="0.25">
      <c r="A6982" s="281">
        <v>43159</v>
      </c>
      <c r="B6982" s="281">
        <v>43159</v>
      </c>
      <c r="C6982" s="282">
        <v>2018</v>
      </c>
      <c r="D6982" s="35" t="s">
        <v>28</v>
      </c>
      <c r="E6982" s="283" t="s">
        <v>149</v>
      </c>
      <c r="F6982" s="7" t="s">
        <v>60</v>
      </c>
      <c r="G6982" s="284" t="s">
        <v>1605</v>
      </c>
      <c r="H6982" s="33" t="s">
        <v>9804</v>
      </c>
      <c r="I6982" s="282">
        <v>0</v>
      </c>
      <c r="J6982" s="286">
        <v>174</v>
      </c>
      <c r="K6982" s="282">
        <v>0</v>
      </c>
      <c r="L6982" s="282">
        <v>0</v>
      </c>
      <c r="M6982" s="282">
        <v>0</v>
      </c>
      <c r="N6982" s="282">
        <v>0</v>
      </c>
      <c r="O6982" s="285">
        <v>0</v>
      </c>
      <c r="P6982" s="288">
        <v>0</v>
      </c>
      <c r="Q6982" s="287" t="s">
        <v>154</v>
      </c>
    </row>
    <row r="6983" spans="1:17" s="162" customFormat="1" ht="276" x14ac:dyDescent="0.25">
      <c r="A6983" s="281">
        <v>43164</v>
      </c>
      <c r="B6983" s="281">
        <v>43164</v>
      </c>
      <c r="C6983" s="282">
        <v>2018</v>
      </c>
      <c r="D6983" s="35" t="s">
        <v>28</v>
      </c>
      <c r="E6983" s="283" t="s">
        <v>149</v>
      </c>
      <c r="F6983" s="7" t="s">
        <v>91</v>
      </c>
      <c r="G6983" s="284" t="s">
        <v>9805</v>
      </c>
      <c r="H6983" s="33" t="s">
        <v>9806</v>
      </c>
      <c r="I6983" s="282">
        <v>0</v>
      </c>
      <c r="J6983" s="286">
        <v>600</v>
      </c>
      <c r="K6983" s="282">
        <v>0</v>
      </c>
      <c r="L6983" s="282">
        <v>0</v>
      </c>
      <c r="M6983" s="282">
        <v>0</v>
      </c>
      <c r="N6983" s="282">
        <v>0</v>
      </c>
      <c r="O6983" s="285">
        <v>0</v>
      </c>
      <c r="P6983" s="288">
        <v>0</v>
      </c>
      <c r="Q6983" s="287" t="s">
        <v>154</v>
      </c>
    </row>
    <row r="6984" spans="1:17" s="162" customFormat="1" ht="144" x14ac:dyDescent="0.25">
      <c r="A6984" s="281">
        <v>43166</v>
      </c>
      <c r="B6984" s="281">
        <v>43166</v>
      </c>
      <c r="C6984" s="282">
        <v>2018</v>
      </c>
      <c r="D6984" s="35" t="s">
        <v>28</v>
      </c>
      <c r="E6984" s="283" t="s">
        <v>149</v>
      </c>
      <c r="F6984" s="7" t="s">
        <v>56</v>
      </c>
      <c r="G6984" s="284" t="s">
        <v>9807</v>
      </c>
      <c r="H6984" s="33" t="s">
        <v>9808</v>
      </c>
      <c r="I6984" s="282">
        <v>0</v>
      </c>
      <c r="J6984" s="286">
        <v>24</v>
      </c>
      <c r="K6984" s="282">
        <v>0</v>
      </c>
      <c r="L6984" s="282">
        <v>0</v>
      </c>
      <c r="M6984" s="282">
        <v>0</v>
      </c>
      <c r="N6984" s="282">
        <v>0</v>
      </c>
      <c r="O6984" s="285">
        <v>0</v>
      </c>
      <c r="P6984" s="288">
        <v>0.26700699999999999</v>
      </c>
      <c r="Q6984" s="287" t="s">
        <v>154</v>
      </c>
    </row>
    <row r="6985" spans="1:17" s="162" customFormat="1" ht="84" x14ac:dyDescent="0.25">
      <c r="A6985" s="281">
        <v>43166</v>
      </c>
      <c r="B6985" s="281">
        <v>43166</v>
      </c>
      <c r="C6985" s="282">
        <v>2018</v>
      </c>
      <c r="D6985" s="35" t="s">
        <v>28</v>
      </c>
      <c r="E6985" s="283" t="s">
        <v>149</v>
      </c>
      <c r="F6985" s="7" t="s">
        <v>53</v>
      </c>
      <c r="G6985" s="284" t="s">
        <v>9794</v>
      </c>
      <c r="H6985" s="33" t="s">
        <v>9809</v>
      </c>
      <c r="I6985" s="282">
        <v>1</v>
      </c>
      <c r="J6985" s="286">
        <v>1</v>
      </c>
      <c r="K6985" s="282">
        <v>0</v>
      </c>
      <c r="L6985" s="282">
        <v>0</v>
      </c>
      <c r="M6985" s="282">
        <v>0</v>
      </c>
      <c r="N6985" s="282">
        <v>0</v>
      </c>
      <c r="O6985" s="285">
        <v>0</v>
      </c>
      <c r="P6985" s="288">
        <v>0</v>
      </c>
      <c r="Q6985" s="287" t="s">
        <v>154</v>
      </c>
    </row>
    <row r="6986" spans="1:17" s="162" customFormat="1" ht="180" x14ac:dyDescent="0.25">
      <c r="A6986" s="281">
        <v>43168</v>
      </c>
      <c r="B6986" s="281">
        <v>43168</v>
      </c>
      <c r="C6986" s="282">
        <v>2018</v>
      </c>
      <c r="D6986" s="35" t="s">
        <v>28</v>
      </c>
      <c r="E6986" s="283" t="s">
        <v>149</v>
      </c>
      <c r="F6986" s="7" t="s">
        <v>60</v>
      </c>
      <c r="G6986" s="284" t="s">
        <v>2508</v>
      </c>
      <c r="H6986" s="33" t="s">
        <v>9810</v>
      </c>
      <c r="I6986" s="282">
        <v>0</v>
      </c>
      <c r="J6986" s="289">
        <v>0</v>
      </c>
      <c r="K6986" s="282">
        <v>0</v>
      </c>
      <c r="L6986" s="282">
        <v>0</v>
      </c>
      <c r="M6986" s="282">
        <v>0</v>
      </c>
      <c r="N6986" s="282">
        <v>1</v>
      </c>
      <c r="O6986" s="285">
        <v>0</v>
      </c>
      <c r="P6986" s="288">
        <v>0.70512600674778403</v>
      </c>
      <c r="Q6986" s="287" t="s">
        <v>154</v>
      </c>
    </row>
    <row r="6987" spans="1:17" s="162" customFormat="1" ht="180" x14ac:dyDescent="0.25">
      <c r="A6987" s="281">
        <v>43168</v>
      </c>
      <c r="B6987" s="281">
        <v>43168</v>
      </c>
      <c r="C6987" s="282">
        <v>2018</v>
      </c>
      <c r="D6987" s="35" t="s">
        <v>28</v>
      </c>
      <c r="E6987" s="283" t="s">
        <v>149</v>
      </c>
      <c r="F6987" s="7" t="s">
        <v>53</v>
      </c>
      <c r="G6987" s="284" t="s">
        <v>9811</v>
      </c>
      <c r="H6987" s="33" t="s">
        <v>9812</v>
      </c>
      <c r="I6987" s="282">
        <v>0</v>
      </c>
      <c r="J6987" s="286">
        <v>1</v>
      </c>
      <c r="K6987" s="282">
        <v>0</v>
      </c>
      <c r="L6987" s="282">
        <v>0</v>
      </c>
      <c r="M6987" s="282">
        <v>0</v>
      </c>
      <c r="N6987" s="282">
        <v>1</v>
      </c>
      <c r="O6987" s="285">
        <v>0</v>
      </c>
      <c r="P6987" s="288">
        <v>0.01</v>
      </c>
      <c r="Q6987" s="287" t="s">
        <v>154</v>
      </c>
    </row>
    <row r="6988" spans="1:17" s="162" customFormat="1" ht="228" x14ac:dyDescent="0.25">
      <c r="A6988" s="281">
        <v>43169</v>
      </c>
      <c r="B6988" s="281">
        <v>43169</v>
      </c>
      <c r="C6988" s="282">
        <v>2018</v>
      </c>
      <c r="D6988" s="35" t="s">
        <v>28</v>
      </c>
      <c r="E6988" s="283" t="s">
        <v>149</v>
      </c>
      <c r="F6988" s="7" t="s">
        <v>60</v>
      </c>
      <c r="G6988" s="284" t="s">
        <v>9813</v>
      </c>
      <c r="H6988" s="33" t="s">
        <v>9814</v>
      </c>
      <c r="I6988" s="282">
        <v>0</v>
      </c>
      <c r="J6988" s="289">
        <v>0</v>
      </c>
      <c r="K6988" s="282">
        <v>0</v>
      </c>
      <c r="L6988" s="282">
        <v>0</v>
      </c>
      <c r="M6988" s="282">
        <v>0</v>
      </c>
      <c r="N6988" s="282">
        <v>1</v>
      </c>
      <c r="O6988" s="285">
        <v>0</v>
      </c>
      <c r="P6988" s="288">
        <v>0.01</v>
      </c>
      <c r="Q6988" s="287" t="s">
        <v>154</v>
      </c>
    </row>
    <row r="6989" spans="1:17" s="162" customFormat="1" ht="96" x14ac:dyDescent="0.25">
      <c r="A6989" s="281">
        <v>43171</v>
      </c>
      <c r="B6989" s="281">
        <v>43171</v>
      </c>
      <c r="C6989" s="282">
        <v>2018</v>
      </c>
      <c r="D6989" s="35" t="s">
        <v>28</v>
      </c>
      <c r="E6989" s="283" t="s">
        <v>2933</v>
      </c>
      <c r="F6989" s="7" t="s">
        <v>97</v>
      </c>
      <c r="G6989" s="284" t="s">
        <v>9815</v>
      </c>
      <c r="H6989" s="33" t="s">
        <v>9816</v>
      </c>
      <c r="I6989" s="282">
        <v>0</v>
      </c>
      <c r="J6989" s="286">
        <v>1</v>
      </c>
      <c r="K6989" s="282">
        <v>1</v>
      </c>
      <c r="L6989" s="282">
        <v>0</v>
      </c>
      <c r="M6989" s="282">
        <v>0</v>
      </c>
      <c r="N6989" s="282">
        <v>0</v>
      </c>
      <c r="O6989" s="285">
        <v>0</v>
      </c>
      <c r="P6989" s="288">
        <v>7.0600000000000003E-3</v>
      </c>
      <c r="Q6989" s="287" t="s">
        <v>154</v>
      </c>
    </row>
    <row r="6990" spans="1:17" s="162" customFormat="1" ht="72" x14ac:dyDescent="0.25">
      <c r="A6990" s="281">
        <v>43172</v>
      </c>
      <c r="B6990" s="281">
        <v>43172</v>
      </c>
      <c r="C6990" s="282">
        <v>2018</v>
      </c>
      <c r="D6990" s="35" t="s">
        <v>28</v>
      </c>
      <c r="E6990" s="283" t="s">
        <v>149</v>
      </c>
      <c r="F6990" s="7" t="s">
        <v>68</v>
      </c>
      <c r="G6990" s="284" t="s">
        <v>1121</v>
      </c>
      <c r="H6990" s="33" t="s">
        <v>9817</v>
      </c>
      <c r="I6990" s="282">
        <v>2</v>
      </c>
      <c r="J6990" s="286">
        <v>16</v>
      </c>
      <c r="K6990" s="282">
        <v>1</v>
      </c>
      <c r="L6990" s="282">
        <v>0</v>
      </c>
      <c r="M6990" s="282">
        <v>0</v>
      </c>
      <c r="N6990" s="282">
        <v>0</v>
      </c>
      <c r="O6990" s="285">
        <v>0</v>
      </c>
      <c r="P6990" s="288">
        <v>2.734E-2</v>
      </c>
      <c r="Q6990" s="287" t="s">
        <v>154</v>
      </c>
    </row>
    <row r="6991" spans="1:17" s="162" customFormat="1" ht="84" x14ac:dyDescent="0.25">
      <c r="A6991" s="281">
        <v>43172</v>
      </c>
      <c r="B6991" s="281">
        <v>43172</v>
      </c>
      <c r="C6991" s="282">
        <v>2018</v>
      </c>
      <c r="D6991" s="35" t="s">
        <v>28</v>
      </c>
      <c r="E6991" s="283" t="s">
        <v>149</v>
      </c>
      <c r="F6991" s="7" t="s">
        <v>62</v>
      </c>
      <c r="G6991" s="284" t="s">
        <v>165</v>
      </c>
      <c r="H6991" s="33" t="s">
        <v>9818</v>
      </c>
      <c r="I6991" s="282">
        <v>0</v>
      </c>
      <c r="J6991" s="286">
        <v>40</v>
      </c>
      <c r="K6991" s="282">
        <v>9</v>
      </c>
      <c r="L6991" s="282">
        <v>0</v>
      </c>
      <c r="M6991" s="282">
        <v>0</v>
      </c>
      <c r="N6991" s="282">
        <v>0</v>
      </c>
      <c r="O6991" s="285">
        <v>0</v>
      </c>
      <c r="P6991" s="288">
        <v>4.9500000000000002E-2</v>
      </c>
      <c r="Q6991" s="287" t="s">
        <v>154</v>
      </c>
    </row>
    <row r="6992" spans="1:17" s="162" customFormat="1" ht="132" x14ac:dyDescent="0.25">
      <c r="A6992" s="281">
        <v>43172</v>
      </c>
      <c r="B6992" s="281">
        <v>43172</v>
      </c>
      <c r="C6992" s="282">
        <v>2018</v>
      </c>
      <c r="D6992" s="35" t="s">
        <v>28</v>
      </c>
      <c r="E6992" s="283" t="s">
        <v>149</v>
      </c>
      <c r="F6992" s="28" t="s">
        <v>157</v>
      </c>
      <c r="G6992" s="284" t="s">
        <v>1062</v>
      </c>
      <c r="H6992" s="33" t="s">
        <v>9819</v>
      </c>
      <c r="I6992" s="282">
        <v>0</v>
      </c>
      <c r="J6992" s="286">
        <v>200</v>
      </c>
      <c r="K6992" s="282">
        <v>0</v>
      </c>
      <c r="L6992" s="282">
        <v>0</v>
      </c>
      <c r="M6992" s="282">
        <v>0</v>
      </c>
      <c r="N6992" s="282">
        <v>0</v>
      </c>
      <c r="O6992" s="285">
        <v>0</v>
      </c>
      <c r="P6992" s="288">
        <v>0</v>
      </c>
      <c r="Q6992" s="287" t="s">
        <v>154</v>
      </c>
    </row>
    <row r="6993" spans="1:17" s="162" customFormat="1" ht="132" x14ac:dyDescent="0.25">
      <c r="A6993" s="281">
        <v>43175</v>
      </c>
      <c r="B6993" s="281">
        <v>43175</v>
      </c>
      <c r="C6993" s="282">
        <v>2018</v>
      </c>
      <c r="D6993" s="35" t="s">
        <v>28</v>
      </c>
      <c r="E6993" s="283" t="s">
        <v>2933</v>
      </c>
      <c r="F6993" s="7" t="s">
        <v>56</v>
      </c>
      <c r="G6993" s="284" t="s">
        <v>2906</v>
      </c>
      <c r="H6993" s="33" t="s">
        <v>9820</v>
      </c>
      <c r="I6993" s="282">
        <v>1</v>
      </c>
      <c r="J6993" s="286">
        <v>2</v>
      </c>
      <c r="K6993" s="282">
        <v>0</v>
      </c>
      <c r="L6993" s="282">
        <v>0</v>
      </c>
      <c r="M6993" s="282">
        <v>0</v>
      </c>
      <c r="N6993" s="282">
        <v>0</v>
      </c>
      <c r="O6993" s="285">
        <v>0</v>
      </c>
      <c r="P6993" s="288">
        <v>0.21734500000000001</v>
      </c>
      <c r="Q6993" s="287" t="s">
        <v>154</v>
      </c>
    </row>
    <row r="6994" spans="1:17" s="162" customFormat="1" ht="132" x14ac:dyDescent="0.25">
      <c r="A6994" s="281">
        <v>43177</v>
      </c>
      <c r="B6994" s="281">
        <v>43177</v>
      </c>
      <c r="C6994" s="282">
        <v>2018</v>
      </c>
      <c r="D6994" s="35" t="s">
        <v>28</v>
      </c>
      <c r="E6994" s="283" t="s">
        <v>2933</v>
      </c>
      <c r="F6994" s="7" t="s">
        <v>84</v>
      </c>
      <c r="G6994" s="284" t="s">
        <v>939</v>
      </c>
      <c r="H6994" s="33" t="s">
        <v>9821</v>
      </c>
      <c r="I6994" s="282">
        <v>0</v>
      </c>
      <c r="J6994" s="286">
        <v>7</v>
      </c>
      <c r="K6994" s="282">
        <v>0</v>
      </c>
      <c r="L6994" s="282">
        <v>0</v>
      </c>
      <c r="M6994" s="282">
        <v>0</v>
      </c>
      <c r="N6994" s="282">
        <v>0</v>
      </c>
      <c r="O6994" s="285">
        <v>0</v>
      </c>
      <c r="P6994" s="288">
        <v>0</v>
      </c>
      <c r="Q6994" s="287" t="s">
        <v>154</v>
      </c>
    </row>
    <row r="6995" spans="1:17" s="162" customFormat="1" ht="96" x14ac:dyDescent="0.25">
      <c r="A6995" s="281">
        <v>43180</v>
      </c>
      <c r="B6995" s="281">
        <v>43180</v>
      </c>
      <c r="C6995" s="282">
        <v>2018</v>
      </c>
      <c r="D6995" s="35" t="s">
        <v>28</v>
      </c>
      <c r="E6995" s="283" t="s">
        <v>2933</v>
      </c>
      <c r="F6995" s="7" t="s">
        <v>58</v>
      </c>
      <c r="G6995" s="284" t="s">
        <v>6715</v>
      </c>
      <c r="H6995" s="33" t="s">
        <v>9822</v>
      </c>
      <c r="I6995" s="282">
        <v>1</v>
      </c>
      <c r="J6995" s="286">
        <v>3</v>
      </c>
      <c r="K6995" s="282">
        <v>0</v>
      </c>
      <c r="L6995" s="282">
        <v>0</v>
      </c>
      <c r="M6995" s="282">
        <v>0</v>
      </c>
      <c r="N6995" s="282">
        <v>0</v>
      </c>
      <c r="O6995" s="285">
        <v>0</v>
      </c>
      <c r="P6995" s="288">
        <v>1.8E-3</v>
      </c>
      <c r="Q6995" s="287" t="s">
        <v>154</v>
      </c>
    </row>
    <row r="6996" spans="1:17" s="162" customFormat="1" ht="108" x14ac:dyDescent="0.25">
      <c r="A6996" s="281">
        <v>43192</v>
      </c>
      <c r="B6996" s="281">
        <v>43192</v>
      </c>
      <c r="C6996" s="282">
        <v>2018</v>
      </c>
      <c r="D6996" s="35" t="s">
        <v>28</v>
      </c>
      <c r="E6996" s="283" t="s">
        <v>2933</v>
      </c>
      <c r="F6996" s="25" t="s">
        <v>781</v>
      </c>
      <c r="G6996" s="284" t="s">
        <v>2337</v>
      </c>
      <c r="H6996" s="33" t="s">
        <v>9823</v>
      </c>
      <c r="I6996" s="282">
        <v>0</v>
      </c>
      <c r="J6996" s="286">
        <v>100</v>
      </c>
      <c r="K6996" s="282">
        <v>0</v>
      </c>
      <c r="L6996" s="282">
        <v>0</v>
      </c>
      <c r="M6996" s="282">
        <v>0</v>
      </c>
      <c r="N6996" s="282">
        <v>1</v>
      </c>
      <c r="O6996" s="285">
        <v>0</v>
      </c>
      <c r="P6996" s="288">
        <v>0.01</v>
      </c>
      <c r="Q6996" s="287" t="s">
        <v>154</v>
      </c>
    </row>
    <row r="6997" spans="1:17" s="162" customFormat="1" ht="96" x14ac:dyDescent="0.25">
      <c r="A6997" s="281">
        <v>43193</v>
      </c>
      <c r="B6997" s="281">
        <v>43193</v>
      </c>
      <c r="C6997" s="282">
        <v>2018</v>
      </c>
      <c r="D6997" s="35" t="s">
        <v>28</v>
      </c>
      <c r="E6997" s="283" t="s">
        <v>369</v>
      </c>
      <c r="F6997" s="7" t="s">
        <v>97</v>
      </c>
      <c r="G6997" s="284" t="s">
        <v>9824</v>
      </c>
      <c r="H6997" s="33" t="s">
        <v>9825</v>
      </c>
      <c r="I6997" s="282">
        <v>1</v>
      </c>
      <c r="J6997" s="289">
        <v>0</v>
      </c>
      <c r="K6997" s="282">
        <v>0</v>
      </c>
      <c r="L6997" s="282">
        <v>0</v>
      </c>
      <c r="M6997" s="282">
        <v>0</v>
      </c>
      <c r="N6997" s="282">
        <v>0</v>
      </c>
      <c r="O6997" s="285">
        <v>0</v>
      </c>
      <c r="P6997" s="288">
        <v>0.23553691382387143</v>
      </c>
      <c r="Q6997" s="287" t="s">
        <v>154</v>
      </c>
    </row>
    <row r="6998" spans="1:17" s="162" customFormat="1" ht="180" x14ac:dyDescent="0.25">
      <c r="A6998" s="281">
        <v>43194</v>
      </c>
      <c r="B6998" s="281">
        <v>43194</v>
      </c>
      <c r="C6998" s="282">
        <v>2018</v>
      </c>
      <c r="D6998" s="35" t="s">
        <v>28</v>
      </c>
      <c r="E6998" s="283" t="s">
        <v>149</v>
      </c>
      <c r="F6998" s="7" t="s">
        <v>40</v>
      </c>
      <c r="G6998" s="284" t="s">
        <v>2097</v>
      </c>
      <c r="H6998" s="33" t="s">
        <v>9826</v>
      </c>
      <c r="I6998" s="282">
        <v>0</v>
      </c>
      <c r="J6998" s="286">
        <v>270</v>
      </c>
      <c r="K6998" s="282">
        <v>0</v>
      </c>
      <c r="L6998" s="282">
        <v>0</v>
      </c>
      <c r="M6998" s="282">
        <v>0</v>
      </c>
      <c r="N6998" s="282">
        <v>1</v>
      </c>
      <c r="O6998" s="285">
        <v>0</v>
      </c>
      <c r="P6998" s="288">
        <v>0.01</v>
      </c>
      <c r="Q6998" s="287" t="s">
        <v>154</v>
      </c>
    </row>
    <row r="6999" spans="1:17" s="162" customFormat="1" ht="72" x14ac:dyDescent="0.25">
      <c r="A6999" s="281">
        <v>43200</v>
      </c>
      <c r="B6999" s="281">
        <v>43200</v>
      </c>
      <c r="C6999" s="282">
        <v>2018</v>
      </c>
      <c r="D6999" s="35" t="s">
        <v>28</v>
      </c>
      <c r="E6999" s="283" t="s">
        <v>149</v>
      </c>
      <c r="F6999" s="7" t="s">
        <v>49</v>
      </c>
      <c r="G6999" s="284" t="s">
        <v>49</v>
      </c>
      <c r="H6999" s="33" t="s">
        <v>9827</v>
      </c>
      <c r="I6999" s="282">
        <v>0</v>
      </c>
      <c r="J6999" s="286">
        <v>25</v>
      </c>
      <c r="K6999" s="282">
        <v>5</v>
      </c>
      <c r="L6999" s="282">
        <v>0</v>
      </c>
      <c r="M6999" s="282">
        <v>0</v>
      </c>
      <c r="N6999" s="282">
        <v>0</v>
      </c>
      <c r="O6999" s="285">
        <v>0</v>
      </c>
      <c r="P6999" s="288">
        <v>2.75E-2</v>
      </c>
      <c r="Q6999" s="287" t="s">
        <v>154</v>
      </c>
    </row>
    <row r="7000" spans="1:17" s="162" customFormat="1" ht="96" x14ac:dyDescent="0.25">
      <c r="A7000" s="281">
        <v>43200</v>
      </c>
      <c r="B7000" s="281">
        <v>43200</v>
      </c>
      <c r="C7000" s="282">
        <v>2018</v>
      </c>
      <c r="D7000" s="35" t="s">
        <v>28</v>
      </c>
      <c r="E7000" s="283" t="s">
        <v>125</v>
      </c>
      <c r="F7000" s="28" t="s">
        <v>157</v>
      </c>
      <c r="G7000" s="284" t="s">
        <v>4820</v>
      </c>
      <c r="H7000" s="33" t="s">
        <v>9828</v>
      </c>
      <c r="I7000" s="282">
        <v>0</v>
      </c>
      <c r="J7000" s="286">
        <v>7</v>
      </c>
      <c r="K7000" s="282">
        <v>1</v>
      </c>
      <c r="L7000" s="282">
        <v>0</v>
      </c>
      <c r="M7000" s="282">
        <v>0</v>
      </c>
      <c r="N7000" s="282">
        <v>0</v>
      </c>
      <c r="O7000" s="285">
        <v>0</v>
      </c>
      <c r="P7000" s="288">
        <v>0.01</v>
      </c>
      <c r="Q7000" s="287" t="s">
        <v>154</v>
      </c>
    </row>
    <row r="7001" spans="1:17" s="162" customFormat="1" ht="228" x14ac:dyDescent="0.25">
      <c r="A7001" s="281">
        <v>43200</v>
      </c>
      <c r="B7001" s="281">
        <v>43200</v>
      </c>
      <c r="C7001" s="282">
        <v>2018</v>
      </c>
      <c r="D7001" s="35" t="s">
        <v>28</v>
      </c>
      <c r="E7001" s="283" t="s">
        <v>9829</v>
      </c>
      <c r="F7001" s="7" t="s">
        <v>60</v>
      </c>
      <c r="G7001" s="284" t="s">
        <v>9830</v>
      </c>
      <c r="H7001" s="33" t="s">
        <v>9831</v>
      </c>
      <c r="I7001" s="282">
        <v>0</v>
      </c>
      <c r="J7001" s="286">
        <v>12534</v>
      </c>
      <c r="K7001" s="282">
        <v>0</v>
      </c>
      <c r="L7001" s="282">
        <v>0</v>
      </c>
      <c r="M7001" s="282">
        <v>0</v>
      </c>
      <c r="N7001" s="282">
        <v>0</v>
      </c>
      <c r="O7001" s="285">
        <v>0</v>
      </c>
      <c r="P7001" s="288">
        <v>0</v>
      </c>
      <c r="Q7001" s="287" t="s">
        <v>154</v>
      </c>
    </row>
    <row r="7002" spans="1:17" s="162" customFormat="1" ht="108" x14ac:dyDescent="0.25">
      <c r="A7002" s="281">
        <v>43202</v>
      </c>
      <c r="B7002" s="281">
        <v>43202</v>
      </c>
      <c r="C7002" s="282">
        <v>2018</v>
      </c>
      <c r="D7002" s="35" t="s">
        <v>28</v>
      </c>
      <c r="E7002" s="283" t="s">
        <v>149</v>
      </c>
      <c r="F7002" s="7" t="s">
        <v>53</v>
      </c>
      <c r="G7002" s="284" t="s">
        <v>2975</v>
      </c>
      <c r="H7002" s="33" t="s">
        <v>9832</v>
      </c>
      <c r="I7002" s="282">
        <v>0</v>
      </c>
      <c r="J7002" s="286">
        <v>271</v>
      </c>
      <c r="K7002" s="282">
        <v>2</v>
      </c>
      <c r="L7002" s="282">
        <v>0</v>
      </c>
      <c r="M7002" s="282">
        <v>0</v>
      </c>
      <c r="N7002" s="282">
        <v>1</v>
      </c>
      <c r="O7002" s="285">
        <v>0</v>
      </c>
      <c r="P7002" s="288">
        <v>2.1899999999999999E-2</v>
      </c>
      <c r="Q7002" s="287" t="s">
        <v>154</v>
      </c>
    </row>
    <row r="7003" spans="1:17" s="162" customFormat="1" ht="120" x14ac:dyDescent="0.25">
      <c r="A7003" s="281">
        <v>43203</v>
      </c>
      <c r="B7003" s="281">
        <v>43203</v>
      </c>
      <c r="C7003" s="282">
        <v>2018</v>
      </c>
      <c r="D7003" s="35" t="s">
        <v>28</v>
      </c>
      <c r="E7003" s="283" t="s">
        <v>149</v>
      </c>
      <c r="F7003" s="28" t="s">
        <v>160</v>
      </c>
      <c r="G7003" s="284" t="s">
        <v>6762</v>
      </c>
      <c r="H7003" s="33" t="s">
        <v>9833</v>
      </c>
      <c r="I7003" s="282">
        <v>0</v>
      </c>
      <c r="J7003" s="286">
        <v>15</v>
      </c>
      <c r="K7003" s="282">
        <v>0</v>
      </c>
      <c r="L7003" s="282">
        <v>0</v>
      </c>
      <c r="M7003" s="282">
        <v>0</v>
      </c>
      <c r="N7003" s="282">
        <v>1</v>
      </c>
      <c r="O7003" s="285">
        <v>0</v>
      </c>
      <c r="P7003" s="288">
        <v>0.01</v>
      </c>
      <c r="Q7003" s="287" t="s">
        <v>154</v>
      </c>
    </row>
    <row r="7004" spans="1:17" s="162" customFormat="1" ht="36" x14ac:dyDescent="0.25">
      <c r="A7004" s="281">
        <v>43206</v>
      </c>
      <c r="B7004" s="281">
        <v>43206</v>
      </c>
      <c r="C7004" s="282">
        <v>2018</v>
      </c>
      <c r="D7004" s="35" t="s">
        <v>28</v>
      </c>
      <c r="E7004" s="283" t="s">
        <v>149</v>
      </c>
      <c r="F7004" s="7" t="s">
        <v>62</v>
      </c>
      <c r="G7004" s="284" t="s">
        <v>165</v>
      </c>
      <c r="H7004" s="33" t="s">
        <v>9834</v>
      </c>
      <c r="I7004" s="282">
        <v>1</v>
      </c>
      <c r="J7004" s="286">
        <v>2</v>
      </c>
      <c r="K7004" s="282">
        <v>0</v>
      </c>
      <c r="L7004" s="282">
        <v>0</v>
      </c>
      <c r="M7004" s="282">
        <v>0</v>
      </c>
      <c r="N7004" s="282">
        <v>0</v>
      </c>
      <c r="O7004" s="285">
        <v>0</v>
      </c>
      <c r="P7004" s="288">
        <v>8.9999999999999998E-4</v>
      </c>
      <c r="Q7004" s="287" t="s">
        <v>154</v>
      </c>
    </row>
    <row r="7005" spans="1:17" s="162" customFormat="1" ht="84" x14ac:dyDescent="0.25">
      <c r="A7005" s="281">
        <v>43208</v>
      </c>
      <c r="B7005" s="281">
        <v>43208</v>
      </c>
      <c r="C7005" s="282">
        <v>2018</v>
      </c>
      <c r="D7005" s="35" t="s">
        <v>28</v>
      </c>
      <c r="E7005" s="283" t="s">
        <v>149</v>
      </c>
      <c r="F7005" s="7" t="s">
        <v>53</v>
      </c>
      <c r="G7005" s="284" t="s">
        <v>8930</v>
      </c>
      <c r="H7005" s="33" t="s">
        <v>9835</v>
      </c>
      <c r="I7005" s="282">
        <v>0</v>
      </c>
      <c r="J7005" s="286">
        <v>40</v>
      </c>
      <c r="K7005" s="282">
        <v>0</v>
      </c>
      <c r="L7005" s="282">
        <v>0</v>
      </c>
      <c r="M7005" s="282">
        <v>0</v>
      </c>
      <c r="N7005" s="282">
        <v>1</v>
      </c>
      <c r="O7005" s="285">
        <v>0</v>
      </c>
      <c r="P7005" s="288">
        <v>0.01</v>
      </c>
      <c r="Q7005" s="287" t="s">
        <v>154</v>
      </c>
    </row>
    <row r="7006" spans="1:17" s="162" customFormat="1" ht="120" x14ac:dyDescent="0.25">
      <c r="A7006" s="281">
        <v>43209</v>
      </c>
      <c r="B7006" s="281">
        <v>43209</v>
      </c>
      <c r="C7006" s="282">
        <v>2018</v>
      </c>
      <c r="D7006" s="35" t="s">
        <v>28</v>
      </c>
      <c r="E7006" s="283" t="s">
        <v>369</v>
      </c>
      <c r="F7006" s="7" t="s">
        <v>62</v>
      </c>
      <c r="G7006" s="284" t="s">
        <v>1533</v>
      </c>
      <c r="H7006" s="33" t="s">
        <v>9836</v>
      </c>
      <c r="I7006" s="282">
        <v>0</v>
      </c>
      <c r="J7006" s="286">
        <v>5</v>
      </c>
      <c r="K7006" s="282">
        <v>0</v>
      </c>
      <c r="L7006" s="282">
        <v>0</v>
      </c>
      <c r="M7006" s="282">
        <v>0</v>
      </c>
      <c r="N7006" s="282">
        <v>1</v>
      </c>
      <c r="O7006" s="285">
        <v>0</v>
      </c>
      <c r="P7006" s="288">
        <v>0.01</v>
      </c>
      <c r="Q7006" s="287" t="s">
        <v>154</v>
      </c>
    </row>
    <row r="7007" spans="1:17" s="162" customFormat="1" ht="60" x14ac:dyDescent="0.25">
      <c r="A7007" s="281">
        <v>43210</v>
      </c>
      <c r="B7007" s="281">
        <v>43210</v>
      </c>
      <c r="C7007" s="282">
        <v>2018</v>
      </c>
      <c r="D7007" s="35" t="s">
        <v>28</v>
      </c>
      <c r="E7007" s="283" t="s">
        <v>369</v>
      </c>
      <c r="F7007" s="28" t="s">
        <v>157</v>
      </c>
      <c r="G7007" s="284" t="s">
        <v>158</v>
      </c>
      <c r="H7007" s="33" t="s">
        <v>9837</v>
      </c>
      <c r="I7007" s="282">
        <v>0</v>
      </c>
      <c r="J7007" s="286">
        <v>3</v>
      </c>
      <c r="K7007" s="282">
        <v>1</v>
      </c>
      <c r="L7007" s="282">
        <v>0</v>
      </c>
      <c r="M7007" s="282">
        <v>0</v>
      </c>
      <c r="N7007" s="282">
        <v>0</v>
      </c>
      <c r="O7007" s="285">
        <v>0</v>
      </c>
      <c r="P7007" s="288">
        <v>5.4999999999999997E-3</v>
      </c>
      <c r="Q7007" s="287" t="s">
        <v>154</v>
      </c>
    </row>
    <row r="7008" spans="1:17" s="162" customFormat="1" ht="108" x14ac:dyDescent="0.25">
      <c r="A7008" s="281">
        <v>43213</v>
      </c>
      <c r="B7008" s="281">
        <v>43213</v>
      </c>
      <c r="C7008" s="282">
        <v>2018</v>
      </c>
      <c r="D7008" s="35" t="s">
        <v>28</v>
      </c>
      <c r="E7008" s="283" t="s">
        <v>149</v>
      </c>
      <c r="F7008" s="28" t="s">
        <v>157</v>
      </c>
      <c r="G7008" s="284" t="s">
        <v>857</v>
      </c>
      <c r="H7008" s="33" t="s">
        <v>9838</v>
      </c>
      <c r="I7008" s="282">
        <v>0</v>
      </c>
      <c r="J7008" s="286">
        <v>50</v>
      </c>
      <c r="K7008" s="282">
        <v>1</v>
      </c>
      <c r="L7008" s="282">
        <v>0</v>
      </c>
      <c r="M7008" s="282">
        <v>0</v>
      </c>
      <c r="N7008" s="282">
        <v>0</v>
      </c>
      <c r="O7008" s="285">
        <v>0</v>
      </c>
      <c r="P7008" s="288">
        <v>5.4999999999999997E-3</v>
      </c>
      <c r="Q7008" s="287" t="s">
        <v>154</v>
      </c>
    </row>
    <row r="7009" spans="1:17" s="162" customFormat="1" ht="108" x14ac:dyDescent="0.25">
      <c r="A7009" s="281">
        <v>43213</v>
      </c>
      <c r="B7009" s="281">
        <v>43213</v>
      </c>
      <c r="C7009" s="282">
        <v>2018</v>
      </c>
      <c r="D7009" s="35" t="s">
        <v>28</v>
      </c>
      <c r="E7009" s="283" t="s">
        <v>369</v>
      </c>
      <c r="F7009" s="7" t="s">
        <v>60</v>
      </c>
      <c r="G7009" s="284" t="s">
        <v>1605</v>
      </c>
      <c r="H7009" s="33" t="s">
        <v>9839</v>
      </c>
      <c r="I7009" s="282">
        <v>0</v>
      </c>
      <c r="J7009" s="286">
        <v>5</v>
      </c>
      <c r="K7009" s="282">
        <v>0</v>
      </c>
      <c r="L7009" s="282">
        <v>0</v>
      </c>
      <c r="M7009" s="282">
        <v>0</v>
      </c>
      <c r="N7009" s="282">
        <v>0</v>
      </c>
      <c r="O7009" s="285">
        <v>0</v>
      </c>
      <c r="P7009" s="288">
        <v>0</v>
      </c>
      <c r="Q7009" s="287" t="s">
        <v>154</v>
      </c>
    </row>
    <row r="7010" spans="1:17" s="162" customFormat="1" ht="108" x14ac:dyDescent="0.25">
      <c r="A7010" s="281">
        <v>43232</v>
      </c>
      <c r="B7010" s="281">
        <v>43232</v>
      </c>
      <c r="C7010" s="282">
        <v>2018</v>
      </c>
      <c r="D7010" s="35" t="s">
        <v>28</v>
      </c>
      <c r="E7010" s="283" t="s">
        <v>2933</v>
      </c>
      <c r="F7010" s="7" t="s">
        <v>45</v>
      </c>
      <c r="G7010" s="284" t="s">
        <v>1259</v>
      </c>
      <c r="H7010" s="33" t="s">
        <v>9840</v>
      </c>
      <c r="I7010" s="282">
        <v>0</v>
      </c>
      <c r="J7010" s="286">
        <v>5</v>
      </c>
      <c r="K7010" s="282">
        <v>0</v>
      </c>
      <c r="L7010" s="282">
        <v>0</v>
      </c>
      <c r="M7010" s="282">
        <v>0</v>
      </c>
      <c r="N7010" s="282">
        <v>1</v>
      </c>
      <c r="O7010" s="285">
        <v>0</v>
      </c>
      <c r="P7010" s="288">
        <v>1.0967249999999999</v>
      </c>
      <c r="Q7010" s="287" t="s">
        <v>154</v>
      </c>
    </row>
    <row r="7011" spans="1:17" s="162" customFormat="1" ht="180" x14ac:dyDescent="0.25">
      <c r="A7011" s="281">
        <v>43243</v>
      </c>
      <c r="B7011" s="281">
        <v>43243</v>
      </c>
      <c r="C7011" s="282">
        <v>2018</v>
      </c>
      <c r="D7011" s="35" t="s">
        <v>28</v>
      </c>
      <c r="E7011" s="283" t="s">
        <v>125</v>
      </c>
      <c r="F7011" s="7" t="s">
        <v>84</v>
      </c>
      <c r="G7011" s="284" t="s">
        <v>939</v>
      </c>
      <c r="H7011" s="33" t="s">
        <v>9841</v>
      </c>
      <c r="I7011" s="282">
        <v>0</v>
      </c>
      <c r="J7011" s="286">
        <v>450</v>
      </c>
      <c r="K7011" s="282">
        <v>0</v>
      </c>
      <c r="L7011" s="282">
        <v>0</v>
      </c>
      <c r="M7011" s="282">
        <v>0</v>
      </c>
      <c r="N7011" s="282">
        <v>0</v>
      </c>
      <c r="O7011" s="285">
        <v>0</v>
      </c>
      <c r="P7011" s="288">
        <v>0</v>
      </c>
      <c r="Q7011" s="287" t="s">
        <v>154</v>
      </c>
    </row>
    <row r="7012" spans="1:17" s="162" customFormat="1" ht="132" x14ac:dyDescent="0.25">
      <c r="A7012" s="281">
        <v>43247</v>
      </c>
      <c r="B7012" s="281">
        <v>43247</v>
      </c>
      <c r="C7012" s="282">
        <v>2018</v>
      </c>
      <c r="D7012" s="35" t="s">
        <v>28</v>
      </c>
      <c r="E7012" s="283" t="s">
        <v>149</v>
      </c>
      <c r="F7012" s="7" t="s">
        <v>68</v>
      </c>
      <c r="G7012" s="284" t="s">
        <v>2512</v>
      </c>
      <c r="H7012" s="33" t="s">
        <v>9842</v>
      </c>
      <c r="I7012" s="282">
        <v>0</v>
      </c>
      <c r="J7012" s="286">
        <v>450</v>
      </c>
      <c r="K7012" s="282">
        <v>0</v>
      </c>
      <c r="L7012" s="282">
        <v>0</v>
      </c>
      <c r="M7012" s="282">
        <v>0</v>
      </c>
      <c r="N7012" s="282">
        <v>1</v>
      </c>
      <c r="O7012" s="285">
        <v>0</v>
      </c>
      <c r="P7012" s="288">
        <v>0.01</v>
      </c>
      <c r="Q7012" s="287" t="s">
        <v>154</v>
      </c>
    </row>
    <row r="7013" spans="1:17" s="162" customFormat="1" ht="144" x14ac:dyDescent="0.25">
      <c r="A7013" s="281">
        <v>43248</v>
      </c>
      <c r="B7013" s="281">
        <v>43248</v>
      </c>
      <c r="C7013" s="282">
        <v>2018</v>
      </c>
      <c r="D7013" s="35" t="s">
        <v>28</v>
      </c>
      <c r="E7013" s="283" t="s">
        <v>9829</v>
      </c>
      <c r="F7013" s="28" t="s">
        <v>157</v>
      </c>
      <c r="G7013" s="284" t="s">
        <v>206</v>
      </c>
      <c r="H7013" s="33" t="s">
        <v>9843</v>
      </c>
      <c r="I7013" s="282">
        <v>0</v>
      </c>
      <c r="J7013" s="286">
        <v>200</v>
      </c>
      <c r="K7013" s="282">
        <v>0</v>
      </c>
      <c r="L7013" s="282">
        <v>0</v>
      </c>
      <c r="M7013" s="282">
        <v>0</v>
      </c>
      <c r="N7013" s="282">
        <v>1</v>
      </c>
      <c r="O7013" s="285">
        <v>0</v>
      </c>
      <c r="P7013" s="288">
        <v>0.01</v>
      </c>
      <c r="Q7013" s="287" t="s">
        <v>154</v>
      </c>
    </row>
    <row r="7014" spans="1:17" s="162" customFormat="1" ht="132" x14ac:dyDescent="0.25">
      <c r="A7014" s="281">
        <v>43250</v>
      </c>
      <c r="B7014" s="281">
        <v>43250</v>
      </c>
      <c r="C7014" s="282">
        <v>2018</v>
      </c>
      <c r="D7014" s="35" t="s">
        <v>28</v>
      </c>
      <c r="E7014" s="283" t="s">
        <v>149</v>
      </c>
      <c r="F7014" s="28" t="s">
        <v>157</v>
      </c>
      <c r="G7014" s="284" t="s">
        <v>1089</v>
      </c>
      <c r="H7014" s="33" t="s">
        <v>9844</v>
      </c>
      <c r="I7014" s="282">
        <v>0</v>
      </c>
      <c r="J7014" s="286">
        <v>2</v>
      </c>
      <c r="K7014" s="282">
        <v>0</v>
      </c>
      <c r="L7014" s="282">
        <v>0</v>
      </c>
      <c r="M7014" s="282">
        <v>0</v>
      </c>
      <c r="N7014" s="282">
        <v>1</v>
      </c>
      <c r="O7014" s="285">
        <v>0</v>
      </c>
      <c r="P7014" s="288">
        <v>0.01</v>
      </c>
      <c r="Q7014" s="287" t="s">
        <v>154</v>
      </c>
    </row>
    <row r="7015" spans="1:17" s="162" customFormat="1" ht="96" x14ac:dyDescent="0.25">
      <c r="A7015" s="281">
        <v>43252</v>
      </c>
      <c r="B7015" s="281">
        <v>43252</v>
      </c>
      <c r="C7015" s="282">
        <v>2018</v>
      </c>
      <c r="D7015" s="35" t="s">
        <v>28</v>
      </c>
      <c r="E7015" s="283" t="s">
        <v>149</v>
      </c>
      <c r="F7015" s="28" t="s">
        <v>157</v>
      </c>
      <c r="G7015" s="284" t="s">
        <v>206</v>
      </c>
      <c r="H7015" s="33" t="s">
        <v>9845</v>
      </c>
      <c r="I7015" s="282">
        <v>0</v>
      </c>
      <c r="J7015" s="286">
        <v>15</v>
      </c>
      <c r="K7015" s="282">
        <v>0</v>
      </c>
      <c r="L7015" s="282">
        <v>0</v>
      </c>
      <c r="M7015" s="282">
        <v>0</v>
      </c>
      <c r="N7015" s="282">
        <v>1</v>
      </c>
      <c r="O7015" s="285">
        <v>0</v>
      </c>
      <c r="P7015" s="288">
        <v>0.01</v>
      </c>
      <c r="Q7015" s="287" t="s">
        <v>154</v>
      </c>
    </row>
    <row r="7016" spans="1:17" s="162" customFormat="1" ht="156" x14ac:dyDescent="0.25">
      <c r="A7016" s="281">
        <v>43257</v>
      </c>
      <c r="B7016" s="281">
        <v>43257</v>
      </c>
      <c r="C7016" s="282">
        <v>2018</v>
      </c>
      <c r="D7016" s="35" t="s">
        <v>28</v>
      </c>
      <c r="E7016" s="283" t="s">
        <v>2933</v>
      </c>
      <c r="F7016" s="7" t="s">
        <v>53</v>
      </c>
      <c r="G7016" s="284" t="s">
        <v>9794</v>
      </c>
      <c r="H7016" s="33" t="s">
        <v>9846</v>
      </c>
      <c r="I7016" s="282">
        <v>7</v>
      </c>
      <c r="J7016" s="286">
        <v>18</v>
      </c>
      <c r="K7016" s="282">
        <v>23</v>
      </c>
      <c r="L7016" s="282">
        <v>0</v>
      </c>
      <c r="M7016" s="282">
        <v>0</v>
      </c>
      <c r="N7016" s="282">
        <v>0</v>
      </c>
      <c r="O7016" s="285">
        <v>0</v>
      </c>
      <c r="P7016" s="288">
        <v>0.70889999999999997</v>
      </c>
      <c r="Q7016" s="287" t="s">
        <v>154</v>
      </c>
    </row>
    <row r="7017" spans="1:17" s="162" customFormat="1" ht="96" x14ac:dyDescent="0.25">
      <c r="A7017" s="281">
        <v>43257</v>
      </c>
      <c r="B7017" s="281">
        <v>43257</v>
      </c>
      <c r="C7017" s="282">
        <v>2018</v>
      </c>
      <c r="D7017" s="35" t="s">
        <v>28</v>
      </c>
      <c r="E7017" s="283" t="s">
        <v>2933</v>
      </c>
      <c r="F7017" s="28" t="s">
        <v>210</v>
      </c>
      <c r="G7017" s="284" t="s">
        <v>6205</v>
      </c>
      <c r="H7017" s="33" t="s">
        <v>9847</v>
      </c>
      <c r="I7017" s="282">
        <v>0</v>
      </c>
      <c r="J7017" s="286">
        <v>3</v>
      </c>
      <c r="K7017" s="282">
        <v>0</v>
      </c>
      <c r="L7017" s="282">
        <v>0</v>
      </c>
      <c r="M7017" s="282">
        <v>0</v>
      </c>
      <c r="N7017" s="282">
        <v>1</v>
      </c>
      <c r="O7017" s="285">
        <v>0</v>
      </c>
      <c r="P7017" s="288">
        <v>1.2699999999999999E-2</v>
      </c>
      <c r="Q7017" s="287" t="s">
        <v>154</v>
      </c>
    </row>
    <row r="7018" spans="1:17" s="162" customFormat="1" ht="84" x14ac:dyDescent="0.25">
      <c r="A7018" s="281">
        <v>43266</v>
      </c>
      <c r="B7018" s="281">
        <v>43266</v>
      </c>
      <c r="C7018" s="282">
        <v>2018</v>
      </c>
      <c r="D7018" s="35" t="s">
        <v>28</v>
      </c>
      <c r="E7018" s="283" t="s">
        <v>149</v>
      </c>
      <c r="F7018" s="7" t="s">
        <v>30</v>
      </c>
      <c r="G7018" s="284" t="s">
        <v>9672</v>
      </c>
      <c r="H7018" s="33" t="s">
        <v>9848</v>
      </c>
      <c r="I7018" s="282">
        <v>0</v>
      </c>
      <c r="J7018" s="286">
        <v>30</v>
      </c>
      <c r="K7018" s="282">
        <v>0</v>
      </c>
      <c r="L7018" s="282">
        <v>0</v>
      </c>
      <c r="M7018" s="282">
        <v>0</v>
      </c>
      <c r="N7018" s="282">
        <v>1</v>
      </c>
      <c r="O7018" s="285">
        <v>0</v>
      </c>
      <c r="P7018" s="288">
        <v>0.01</v>
      </c>
      <c r="Q7018" s="287" t="s">
        <v>154</v>
      </c>
    </row>
    <row r="7019" spans="1:17" s="162" customFormat="1" ht="84" x14ac:dyDescent="0.25">
      <c r="A7019" s="281">
        <v>43270</v>
      </c>
      <c r="B7019" s="281">
        <v>43270</v>
      </c>
      <c r="C7019" s="282">
        <v>2018</v>
      </c>
      <c r="D7019" s="35" t="s">
        <v>28</v>
      </c>
      <c r="E7019" s="283" t="s">
        <v>125</v>
      </c>
      <c r="F7019" s="7" t="s">
        <v>91</v>
      </c>
      <c r="G7019" s="284" t="s">
        <v>2315</v>
      </c>
      <c r="H7019" s="33" t="s">
        <v>9849</v>
      </c>
      <c r="I7019" s="282">
        <v>0</v>
      </c>
      <c r="J7019" s="286">
        <v>30</v>
      </c>
      <c r="K7019" s="282">
        <v>0</v>
      </c>
      <c r="L7019" s="282">
        <v>0</v>
      </c>
      <c r="M7019" s="282">
        <v>0</v>
      </c>
      <c r="N7019" s="282">
        <v>0</v>
      </c>
      <c r="O7019" s="285">
        <v>0</v>
      </c>
      <c r="P7019" s="288">
        <v>0</v>
      </c>
      <c r="Q7019" s="287" t="s">
        <v>154</v>
      </c>
    </row>
    <row r="7020" spans="1:17" s="162" customFormat="1" ht="108" x14ac:dyDescent="0.25">
      <c r="A7020" s="281">
        <v>43271</v>
      </c>
      <c r="B7020" s="281">
        <v>43271</v>
      </c>
      <c r="C7020" s="282">
        <v>2018</v>
      </c>
      <c r="D7020" s="35" t="s">
        <v>28</v>
      </c>
      <c r="E7020" s="283" t="s">
        <v>2933</v>
      </c>
      <c r="F7020" s="25" t="s">
        <v>781</v>
      </c>
      <c r="G7020" s="284" t="s">
        <v>1555</v>
      </c>
      <c r="H7020" s="33" t="s">
        <v>9850</v>
      </c>
      <c r="I7020" s="282">
        <v>0</v>
      </c>
      <c r="J7020" s="286">
        <v>3</v>
      </c>
      <c r="K7020" s="282">
        <v>1</v>
      </c>
      <c r="L7020" s="282">
        <v>0</v>
      </c>
      <c r="M7020" s="282">
        <v>0</v>
      </c>
      <c r="N7020" s="282">
        <v>0</v>
      </c>
      <c r="O7020" s="285">
        <v>0</v>
      </c>
      <c r="P7020" s="288">
        <v>8.2000000000000007E-3</v>
      </c>
      <c r="Q7020" s="287" t="s">
        <v>154</v>
      </c>
    </row>
    <row r="7021" spans="1:17" s="162" customFormat="1" ht="84" x14ac:dyDescent="0.25">
      <c r="A7021" s="281">
        <v>43271</v>
      </c>
      <c r="B7021" s="281">
        <v>43271</v>
      </c>
      <c r="C7021" s="282">
        <v>2018</v>
      </c>
      <c r="D7021" s="35" t="s">
        <v>28</v>
      </c>
      <c r="E7021" s="283" t="s">
        <v>149</v>
      </c>
      <c r="F7021" s="7" t="s">
        <v>80</v>
      </c>
      <c r="G7021" s="284" t="s">
        <v>9851</v>
      </c>
      <c r="H7021" s="33" t="s">
        <v>9852</v>
      </c>
      <c r="I7021" s="282">
        <v>0</v>
      </c>
      <c r="J7021" s="286">
        <v>237</v>
      </c>
      <c r="K7021" s="282">
        <v>0</v>
      </c>
      <c r="L7021" s="282">
        <v>0</v>
      </c>
      <c r="M7021" s="282">
        <v>0</v>
      </c>
      <c r="N7021" s="282">
        <v>1</v>
      </c>
      <c r="O7021" s="285">
        <v>0</v>
      </c>
      <c r="P7021" s="288">
        <v>0.01</v>
      </c>
      <c r="Q7021" s="287" t="s">
        <v>154</v>
      </c>
    </row>
    <row r="7022" spans="1:17" s="162" customFormat="1" ht="132" x14ac:dyDescent="0.25">
      <c r="A7022" s="281">
        <v>43273</v>
      </c>
      <c r="B7022" s="281">
        <v>43273</v>
      </c>
      <c r="C7022" s="282">
        <v>2018</v>
      </c>
      <c r="D7022" s="35" t="s">
        <v>28</v>
      </c>
      <c r="E7022" s="283" t="s">
        <v>125</v>
      </c>
      <c r="F7022" s="28" t="s">
        <v>157</v>
      </c>
      <c r="G7022" s="284" t="s">
        <v>1062</v>
      </c>
      <c r="H7022" s="33" t="s">
        <v>9853</v>
      </c>
      <c r="I7022" s="282">
        <v>0</v>
      </c>
      <c r="J7022" s="286">
        <v>150</v>
      </c>
      <c r="K7022" s="282">
        <v>0</v>
      </c>
      <c r="L7022" s="282">
        <v>0</v>
      </c>
      <c r="M7022" s="282">
        <v>0</v>
      </c>
      <c r="N7022" s="282">
        <v>0</v>
      </c>
      <c r="O7022" s="285">
        <v>0</v>
      </c>
      <c r="P7022" s="288">
        <v>0</v>
      </c>
      <c r="Q7022" s="287" t="s">
        <v>154</v>
      </c>
    </row>
    <row r="7023" spans="1:17" s="162" customFormat="1" ht="60" x14ac:dyDescent="0.25">
      <c r="A7023" s="281">
        <v>43276</v>
      </c>
      <c r="B7023" s="281">
        <v>43276</v>
      </c>
      <c r="C7023" s="282">
        <v>2018</v>
      </c>
      <c r="D7023" s="35" t="s">
        <v>28</v>
      </c>
      <c r="E7023" s="283" t="s">
        <v>2933</v>
      </c>
      <c r="F7023" s="7" t="s">
        <v>53</v>
      </c>
      <c r="G7023" s="284" t="s">
        <v>9794</v>
      </c>
      <c r="H7023" s="33" t="s">
        <v>9854</v>
      </c>
      <c r="I7023" s="282">
        <v>1</v>
      </c>
      <c r="J7023" s="286">
        <v>7</v>
      </c>
      <c r="K7023" s="282">
        <v>1</v>
      </c>
      <c r="L7023" s="282">
        <v>0</v>
      </c>
      <c r="M7023" s="282">
        <v>0</v>
      </c>
      <c r="N7023" s="282">
        <v>0</v>
      </c>
      <c r="O7023" s="285">
        <v>0</v>
      </c>
      <c r="P7023" s="288">
        <v>0</v>
      </c>
      <c r="Q7023" s="287" t="s">
        <v>154</v>
      </c>
    </row>
    <row r="7024" spans="1:17" s="162" customFormat="1" ht="204" x14ac:dyDescent="0.25">
      <c r="A7024" s="281">
        <v>43276</v>
      </c>
      <c r="B7024" s="281">
        <v>43276</v>
      </c>
      <c r="C7024" s="282">
        <v>2018</v>
      </c>
      <c r="D7024" s="35" t="s">
        <v>28</v>
      </c>
      <c r="E7024" s="283" t="s">
        <v>2933</v>
      </c>
      <c r="F7024" s="7" t="s">
        <v>53</v>
      </c>
      <c r="G7024" s="284" t="s">
        <v>9855</v>
      </c>
      <c r="H7024" s="33" t="s">
        <v>9856</v>
      </c>
      <c r="I7024" s="282">
        <v>0</v>
      </c>
      <c r="J7024" s="286">
        <v>3</v>
      </c>
      <c r="K7024" s="282">
        <v>0</v>
      </c>
      <c r="L7024" s="282">
        <v>0</v>
      </c>
      <c r="M7024" s="282">
        <v>0</v>
      </c>
      <c r="N7024" s="282">
        <v>0</v>
      </c>
      <c r="O7024" s="285">
        <v>0</v>
      </c>
      <c r="P7024" s="288">
        <v>2.7951E-2</v>
      </c>
      <c r="Q7024" s="287" t="s">
        <v>154</v>
      </c>
    </row>
    <row r="7025" spans="1:17" s="162" customFormat="1" ht="264" x14ac:dyDescent="0.25">
      <c r="A7025" s="281">
        <v>43277</v>
      </c>
      <c r="B7025" s="281">
        <v>43277</v>
      </c>
      <c r="C7025" s="282">
        <v>2018</v>
      </c>
      <c r="D7025" s="35" t="s">
        <v>28</v>
      </c>
      <c r="E7025" s="283" t="s">
        <v>149</v>
      </c>
      <c r="F7025" s="7" t="s">
        <v>40</v>
      </c>
      <c r="G7025" s="284" t="s">
        <v>2097</v>
      </c>
      <c r="H7025" s="33" t="s">
        <v>9857</v>
      </c>
      <c r="I7025" s="282">
        <v>0</v>
      </c>
      <c r="J7025" s="286">
        <v>21</v>
      </c>
      <c r="K7025" s="282">
        <v>0</v>
      </c>
      <c r="L7025" s="282">
        <v>0</v>
      </c>
      <c r="M7025" s="282">
        <v>0</v>
      </c>
      <c r="N7025" s="282">
        <v>1</v>
      </c>
      <c r="O7025" s="285">
        <v>0</v>
      </c>
      <c r="P7025" s="288">
        <v>0.01</v>
      </c>
      <c r="Q7025" s="287" t="s">
        <v>154</v>
      </c>
    </row>
    <row r="7026" spans="1:17" s="162" customFormat="1" ht="132" x14ac:dyDescent="0.25">
      <c r="A7026" s="281">
        <v>43283</v>
      </c>
      <c r="B7026" s="281">
        <v>43283</v>
      </c>
      <c r="C7026" s="282">
        <v>2018</v>
      </c>
      <c r="D7026" s="35" t="s">
        <v>28</v>
      </c>
      <c r="E7026" s="283" t="s">
        <v>125</v>
      </c>
      <c r="F7026" s="7" t="s">
        <v>84</v>
      </c>
      <c r="G7026" s="284" t="s">
        <v>1453</v>
      </c>
      <c r="H7026" s="33" t="s">
        <v>9858</v>
      </c>
      <c r="I7026" s="282">
        <v>0</v>
      </c>
      <c r="J7026" s="286">
        <v>1500</v>
      </c>
      <c r="K7026" s="282">
        <v>0</v>
      </c>
      <c r="L7026" s="282">
        <v>0</v>
      </c>
      <c r="M7026" s="282">
        <v>0</v>
      </c>
      <c r="N7026" s="282">
        <v>0</v>
      </c>
      <c r="O7026" s="285">
        <v>0</v>
      </c>
      <c r="P7026" s="288">
        <v>0</v>
      </c>
      <c r="Q7026" s="287" t="s">
        <v>154</v>
      </c>
    </row>
    <row r="7027" spans="1:17" s="162" customFormat="1" ht="360" x14ac:dyDescent="0.25">
      <c r="A7027" s="281">
        <v>43286</v>
      </c>
      <c r="B7027" s="281">
        <v>43286</v>
      </c>
      <c r="C7027" s="282">
        <v>2018</v>
      </c>
      <c r="D7027" s="35" t="s">
        <v>28</v>
      </c>
      <c r="E7027" s="283" t="s">
        <v>2933</v>
      </c>
      <c r="F7027" s="7" t="s">
        <v>53</v>
      </c>
      <c r="G7027" s="284" t="s">
        <v>9794</v>
      </c>
      <c r="H7027" s="33" t="s">
        <v>9859</v>
      </c>
      <c r="I7027" s="282">
        <v>24</v>
      </c>
      <c r="J7027" s="286">
        <v>78</v>
      </c>
      <c r="K7027" s="282">
        <v>0</v>
      </c>
      <c r="L7027" s="282">
        <v>0</v>
      </c>
      <c r="M7027" s="282">
        <v>0</v>
      </c>
      <c r="N7027" s="282">
        <v>1</v>
      </c>
      <c r="O7027" s="285">
        <v>0</v>
      </c>
      <c r="P7027" s="288">
        <v>2.254829</v>
      </c>
      <c r="Q7027" s="287" t="s">
        <v>154</v>
      </c>
    </row>
    <row r="7028" spans="1:17" s="162" customFormat="1" ht="144" x14ac:dyDescent="0.25">
      <c r="A7028" s="281">
        <v>43291</v>
      </c>
      <c r="B7028" s="281">
        <v>43291</v>
      </c>
      <c r="C7028" s="282">
        <v>2018</v>
      </c>
      <c r="D7028" s="35" t="s">
        <v>28</v>
      </c>
      <c r="E7028" s="283" t="s">
        <v>149</v>
      </c>
      <c r="F7028" s="7" t="s">
        <v>56</v>
      </c>
      <c r="G7028" s="284" t="s">
        <v>9807</v>
      </c>
      <c r="H7028" s="33" t="s">
        <v>9860</v>
      </c>
      <c r="I7028" s="282">
        <v>0</v>
      </c>
      <c r="J7028" s="286">
        <v>560</v>
      </c>
      <c r="K7028" s="282">
        <v>1</v>
      </c>
      <c r="L7028" s="282">
        <v>0</v>
      </c>
      <c r="M7028" s="282">
        <v>0</v>
      </c>
      <c r="N7028" s="282">
        <v>0</v>
      </c>
      <c r="O7028" s="285">
        <v>0</v>
      </c>
      <c r="P7028" s="288">
        <v>0.2940655813789041</v>
      </c>
      <c r="Q7028" s="287" t="s">
        <v>154</v>
      </c>
    </row>
    <row r="7029" spans="1:17" s="162" customFormat="1" ht="180" x14ac:dyDescent="0.25">
      <c r="A7029" s="281">
        <v>43292</v>
      </c>
      <c r="B7029" s="281">
        <v>43292</v>
      </c>
      <c r="C7029" s="282">
        <v>2018</v>
      </c>
      <c r="D7029" s="35" t="s">
        <v>28</v>
      </c>
      <c r="E7029" s="283" t="s">
        <v>149</v>
      </c>
      <c r="F7029" s="28" t="s">
        <v>157</v>
      </c>
      <c r="G7029" s="284" t="s">
        <v>1062</v>
      </c>
      <c r="H7029" s="33" t="s">
        <v>9861</v>
      </c>
      <c r="I7029" s="282">
        <v>0</v>
      </c>
      <c r="J7029" s="286">
        <v>3</v>
      </c>
      <c r="K7029" s="282">
        <v>0</v>
      </c>
      <c r="L7029" s="282">
        <v>0</v>
      </c>
      <c r="M7029" s="282">
        <v>1</v>
      </c>
      <c r="N7029" s="282">
        <v>0</v>
      </c>
      <c r="O7029" s="285">
        <v>0</v>
      </c>
      <c r="P7029" s="288">
        <v>0</v>
      </c>
      <c r="Q7029" s="287" t="s">
        <v>154</v>
      </c>
    </row>
    <row r="7030" spans="1:17" s="162" customFormat="1" ht="96" x14ac:dyDescent="0.25">
      <c r="A7030" s="281">
        <v>43297</v>
      </c>
      <c r="B7030" s="281">
        <v>43297</v>
      </c>
      <c r="C7030" s="282">
        <v>2018</v>
      </c>
      <c r="D7030" s="35" t="s">
        <v>28</v>
      </c>
      <c r="E7030" s="283" t="s">
        <v>125</v>
      </c>
      <c r="F7030" s="28" t="s">
        <v>157</v>
      </c>
      <c r="G7030" s="284" t="s">
        <v>1062</v>
      </c>
      <c r="H7030" s="33" t="s">
        <v>9862</v>
      </c>
      <c r="I7030" s="282">
        <v>0</v>
      </c>
      <c r="J7030" s="286">
        <v>60</v>
      </c>
      <c r="K7030" s="282">
        <v>0</v>
      </c>
      <c r="L7030" s="282">
        <v>0</v>
      </c>
      <c r="M7030" s="282">
        <v>0</v>
      </c>
      <c r="N7030" s="282">
        <v>0</v>
      </c>
      <c r="O7030" s="285">
        <v>0</v>
      </c>
      <c r="P7030" s="288">
        <v>0</v>
      </c>
      <c r="Q7030" s="287" t="s">
        <v>154</v>
      </c>
    </row>
    <row r="7031" spans="1:17" s="162" customFormat="1" ht="132" x14ac:dyDescent="0.25">
      <c r="A7031" s="281">
        <v>43322</v>
      </c>
      <c r="B7031" s="281">
        <v>43322</v>
      </c>
      <c r="C7031" s="282">
        <v>2018</v>
      </c>
      <c r="D7031" s="35" t="s">
        <v>28</v>
      </c>
      <c r="E7031" s="283" t="s">
        <v>149</v>
      </c>
      <c r="F7031" s="28" t="s">
        <v>157</v>
      </c>
      <c r="G7031" s="284" t="s">
        <v>1089</v>
      </c>
      <c r="H7031" s="33" t="s">
        <v>9863</v>
      </c>
      <c r="I7031" s="282">
        <v>0</v>
      </c>
      <c r="J7031" s="286">
        <v>65</v>
      </c>
      <c r="K7031" s="282">
        <v>0</v>
      </c>
      <c r="L7031" s="282">
        <v>0</v>
      </c>
      <c r="M7031" s="282">
        <v>0</v>
      </c>
      <c r="N7031" s="282">
        <v>0</v>
      </c>
      <c r="O7031" s="285">
        <v>0</v>
      </c>
      <c r="P7031" s="288">
        <v>0.44899779160159359</v>
      </c>
      <c r="Q7031" s="287" t="s">
        <v>154</v>
      </c>
    </row>
    <row r="7032" spans="1:17" s="162" customFormat="1" ht="180" x14ac:dyDescent="0.25">
      <c r="A7032" s="281">
        <v>43323</v>
      </c>
      <c r="B7032" s="281">
        <v>43323</v>
      </c>
      <c r="C7032" s="282">
        <v>2018</v>
      </c>
      <c r="D7032" s="35" t="s">
        <v>28</v>
      </c>
      <c r="E7032" s="283" t="s">
        <v>149</v>
      </c>
      <c r="F7032" s="7" t="s">
        <v>30</v>
      </c>
      <c r="G7032" s="284" t="s">
        <v>9672</v>
      </c>
      <c r="H7032" s="33" t="s">
        <v>9864</v>
      </c>
      <c r="I7032" s="282">
        <v>0</v>
      </c>
      <c r="J7032" s="286">
        <v>40</v>
      </c>
      <c r="K7032" s="282">
        <v>0</v>
      </c>
      <c r="L7032" s="282">
        <v>0</v>
      </c>
      <c r="M7032" s="282">
        <v>0</v>
      </c>
      <c r="N7032" s="282">
        <v>1</v>
      </c>
      <c r="O7032" s="285">
        <v>0</v>
      </c>
      <c r="P7032" s="288">
        <v>0.01</v>
      </c>
      <c r="Q7032" s="287" t="s">
        <v>154</v>
      </c>
    </row>
    <row r="7033" spans="1:17" s="162" customFormat="1" ht="96" x14ac:dyDescent="0.25">
      <c r="A7033" s="281">
        <v>43328</v>
      </c>
      <c r="B7033" s="281">
        <v>43328</v>
      </c>
      <c r="C7033" s="282">
        <v>2018</v>
      </c>
      <c r="D7033" s="35" t="s">
        <v>28</v>
      </c>
      <c r="E7033" s="283" t="s">
        <v>149</v>
      </c>
      <c r="F7033" s="7" t="s">
        <v>56</v>
      </c>
      <c r="G7033" s="284" t="s">
        <v>9865</v>
      </c>
      <c r="H7033" s="33" t="s">
        <v>9866</v>
      </c>
      <c r="I7033" s="282">
        <v>0</v>
      </c>
      <c r="J7033" s="286">
        <v>206</v>
      </c>
      <c r="K7033" s="282">
        <v>0</v>
      </c>
      <c r="L7033" s="282">
        <v>0</v>
      </c>
      <c r="M7033" s="282">
        <v>0</v>
      </c>
      <c r="N7033" s="282">
        <v>0</v>
      </c>
      <c r="O7033" s="285">
        <v>0</v>
      </c>
      <c r="P7033" s="288">
        <v>5.4000000000000003E-3</v>
      </c>
      <c r="Q7033" s="287" t="s">
        <v>154</v>
      </c>
    </row>
    <row r="7034" spans="1:17" s="162" customFormat="1" ht="132" x14ac:dyDescent="0.25">
      <c r="A7034" s="281">
        <v>43328</v>
      </c>
      <c r="B7034" s="281">
        <v>43328</v>
      </c>
      <c r="C7034" s="282">
        <v>2018</v>
      </c>
      <c r="D7034" s="35" t="s">
        <v>28</v>
      </c>
      <c r="E7034" s="283" t="s">
        <v>369</v>
      </c>
      <c r="F7034" s="7" t="s">
        <v>53</v>
      </c>
      <c r="G7034" s="284" t="s">
        <v>5082</v>
      </c>
      <c r="H7034" s="33" t="s">
        <v>9867</v>
      </c>
      <c r="I7034" s="282">
        <v>0</v>
      </c>
      <c r="J7034" s="286">
        <v>100</v>
      </c>
      <c r="K7034" s="282">
        <v>0</v>
      </c>
      <c r="L7034" s="282">
        <v>0</v>
      </c>
      <c r="M7034" s="282">
        <v>0</v>
      </c>
      <c r="N7034" s="282">
        <v>0</v>
      </c>
      <c r="O7034" s="285">
        <v>0</v>
      </c>
      <c r="P7034" s="288">
        <v>0</v>
      </c>
      <c r="Q7034" s="287" t="s">
        <v>154</v>
      </c>
    </row>
    <row r="7035" spans="1:17" s="162" customFormat="1" ht="360" x14ac:dyDescent="0.25">
      <c r="A7035" s="281">
        <v>43328</v>
      </c>
      <c r="B7035" s="281">
        <v>43328</v>
      </c>
      <c r="C7035" s="282">
        <v>2018</v>
      </c>
      <c r="D7035" s="35" t="s">
        <v>28</v>
      </c>
      <c r="E7035" s="283" t="s">
        <v>2933</v>
      </c>
      <c r="F7035" s="7" t="s">
        <v>53</v>
      </c>
      <c r="G7035" s="284" t="s">
        <v>2776</v>
      </c>
      <c r="H7035" s="33" t="s">
        <v>9859</v>
      </c>
      <c r="I7035" s="282">
        <v>1</v>
      </c>
      <c r="J7035" s="286">
        <v>3</v>
      </c>
      <c r="K7035" s="282">
        <v>0</v>
      </c>
      <c r="L7035" s="282">
        <v>0</v>
      </c>
      <c r="M7035" s="282">
        <v>0</v>
      </c>
      <c r="N7035" s="282">
        <v>0</v>
      </c>
      <c r="O7035" s="285">
        <v>0</v>
      </c>
      <c r="P7035" s="288">
        <v>3.1199999999999999E-3</v>
      </c>
      <c r="Q7035" s="287" t="s">
        <v>154</v>
      </c>
    </row>
    <row r="7036" spans="1:17" s="162" customFormat="1" ht="132" x14ac:dyDescent="0.25">
      <c r="A7036" s="281">
        <v>43336</v>
      </c>
      <c r="B7036" s="281">
        <v>43336</v>
      </c>
      <c r="C7036" s="282">
        <v>2018</v>
      </c>
      <c r="D7036" s="35" t="s">
        <v>28</v>
      </c>
      <c r="E7036" s="283" t="s">
        <v>2933</v>
      </c>
      <c r="F7036" s="28" t="s">
        <v>210</v>
      </c>
      <c r="G7036" s="284" t="s">
        <v>9868</v>
      </c>
      <c r="H7036" s="33" t="s">
        <v>9869</v>
      </c>
      <c r="I7036" s="282">
        <v>0</v>
      </c>
      <c r="J7036" s="286">
        <v>8</v>
      </c>
      <c r="K7036" s="282">
        <v>0</v>
      </c>
      <c r="L7036" s="282">
        <v>0</v>
      </c>
      <c r="M7036" s="282">
        <v>0</v>
      </c>
      <c r="N7036" s="282">
        <v>0</v>
      </c>
      <c r="O7036" s="285">
        <v>0</v>
      </c>
      <c r="P7036" s="288">
        <v>0.60255000000000003</v>
      </c>
      <c r="Q7036" s="287" t="s">
        <v>154</v>
      </c>
    </row>
    <row r="7037" spans="1:17" s="162" customFormat="1" ht="108" x14ac:dyDescent="0.25">
      <c r="A7037" s="281">
        <v>43339</v>
      </c>
      <c r="B7037" s="281">
        <v>43339</v>
      </c>
      <c r="C7037" s="282">
        <v>2018</v>
      </c>
      <c r="D7037" s="35" t="s">
        <v>28</v>
      </c>
      <c r="E7037" s="283" t="s">
        <v>2933</v>
      </c>
      <c r="F7037" s="28" t="s">
        <v>210</v>
      </c>
      <c r="G7037" s="284" t="s">
        <v>5123</v>
      </c>
      <c r="H7037" s="33" t="s">
        <v>9870</v>
      </c>
      <c r="I7037" s="282">
        <v>0</v>
      </c>
      <c r="J7037" s="286">
        <v>2</v>
      </c>
      <c r="K7037" s="282">
        <v>0</v>
      </c>
      <c r="L7037" s="282">
        <v>0</v>
      </c>
      <c r="M7037" s="282">
        <v>0</v>
      </c>
      <c r="N7037" s="282">
        <v>1</v>
      </c>
      <c r="O7037" s="285">
        <v>0</v>
      </c>
      <c r="P7037" s="288">
        <v>5.9662E-2</v>
      </c>
      <c r="Q7037" s="287" t="s">
        <v>154</v>
      </c>
    </row>
    <row r="7038" spans="1:17" s="162" customFormat="1" ht="168" x14ac:dyDescent="0.25">
      <c r="A7038" s="281">
        <v>43354</v>
      </c>
      <c r="B7038" s="281">
        <v>43354</v>
      </c>
      <c r="C7038" s="282">
        <v>2018</v>
      </c>
      <c r="D7038" s="35" t="s">
        <v>28</v>
      </c>
      <c r="E7038" s="283" t="s">
        <v>9871</v>
      </c>
      <c r="F7038" s="7" t="s">
        <v>84</v>
      </c>
      <c r="G7038" s="284" t="s">
        <v>4988</v>
      </c>
      <c r="H7038" s="33" t="s">
        <v>9872</v>
      </c>
      <c r="I7038" s="282">
        <v>0</v>
      </c>
      <c r="J7038" s="286">
        <v>44</v>
      </c>
      <c r="K7038" s="282">
        <v>0</v>
      </c>
      <c r="L7038" s="282">
        <v>0</v>
      </c>
      <c r="M7038" s="282">
        <v>0</v>
      </c>
      <c r="N7038" s="282">
        <v>0</v>
      </c>
      <c r="O7038" s="285">
        <v>0</v>
      </c>
      <c r="P7038" s="288">
        <v>3.9600000000000003E-2</v>
      </c>
      <c r="Q7038" s="287" t="s">
        <v>154</v>
      </c>
    </row>
    <row r="7039" spans="1:17" s="162" customFormat="1" ht="409.5" x14ac:dyDescent="0.25">
      <c r="A7039" s="281">
        <v>43355</v>
      </c>
      <c r="B7039" s="281">
        <v>43355</v>
      </c>
      <c r="C7039" s="282">
        <v>2018</v>
      </c>
      <c r="D7039" s="35" t="s">
        <v>28</v>
      </c>
      <c r="E7039" s="283" t="s">
        <v>125</v>
      </c>
      <c r="F7039" s="7" t="s">
        <v>75</v>
      </c>
      <c r="G7039" s="284" t="s">
        <v>75</v>
      </c>
      <c r="H7039" s="33" t="s">
        <v>9873</v>
      </c>
      <c r="I7039" s="282">
        <v>0</v>
      </c>
      <c r="J7039" s="286">
        <v>60000</v>
      </c>
      <c r="K7039" s="282">
        <v>0</v>
      </c>
      <c r="L7039" s="282">
        <v>0</v>
      </c>
      <c r="M7039" s="282">
        <v>0</v>
      </c>
      <c r="N7039" s="282">
        <v>0</v>
      </c>
      <c r="O7039" s="285">
        <v>0</v>
      </c>
      <c r="P7039" s="288">
        <v>0</v>
      </c>
      <c r="Q7039" s="287" t="s">
        <v>154</v>
      </c>
    </row>
    <row r="7040" spans="1:17" s="162" customFormat="1" ht="228" x14ac:dyDescent="0.25">
      <c r="A7040" s="281">
        <v>43358</v>
      </c>
      <c r="B7040" s="281">
        <v>43358</v>
      </c>
      <c r="C7040" s="282">
        <v>2018</v>
      </c>
      <c r="D7040" s="35" t="s">
        <v>28</v>
      </c>
      <c r="E7040" s="283" t="s">
        <v>125</v>
      </c>
      <c r="F7040" s="7" t="s">
        <v>56</v>
      </c>
      <c r="G7040" s="284" t="s">
        <v>1707</v>
      </c>
      <c r="H7040" s="33" t="s">
        <v>9874</v>
      </c>
      <c r="I7040" s="282">
        <v>0</v>
      </c>
      <c r="J7040" s="286">
        <v>256</v>
      </c>
      <c r="K7040" s="282">
        <v>0</v>
      </c>
      <c r="L7040" s="282">
        <v>0</v>
      </c>
      <c r="M7040" s="282">
        <v>0</v>
      </c>
      <c r="N7040" s="282">
        <v>0</v>
      </c>
      <c r="O7040" s="285">
        <v>0</v>
      </c>
      <c r="P7040" s="288">
        <v>5.4000000000000003E-3</v>
      </c>
      <c r="Q7040" s="287" t="s">
        <v>154</v>
      </c>
    </row>
    <row r="7041" spans="1:17" s="162" customFormat="1" ht="324" x14ac:dyDescent="0.25">
      <c r="A7041" s="281">
        <v>43370</v>
      </c>
      <c r="B7041" s="281">
        <v>43370</v>
      </c>
      <c r="C7041" s="282">
        <v>2018</v>
      </c>
      <c r="D7041" s="35" t="s">
        <v>28</v>
      </c>
      <c r="E7041" s="283" t="s">
        <v>149</v>
      </c>
      <c r="F7041" s="28" t="s">
        <v>157</v>
      </c>
      <c r="G7041" s="284" t="s">
        <v>206</v>
      </c>
      <c r="H7041" s="33" t="s">
        <v>9875</v>
      </c>
      <c r="I7041" s="282">
        <v>0</v>
      </c>
      <c r="J7041" s="286">
        <v>800</v>
      </c>
      <c r="K7041" s="282">
        <v>0</v>
      </c>
      <c r="L7041" s="282">
        <v>0</v>
      </c>
      <c r="M7041" s="282">
        <v>0</v>
      </c>
      <c r="N7041" s="282">
        <v>1</v>
      </c>
      <c r="O7041" s="285">
        <v>0</v>
      </c>
      <c r="P7041" s="288">
        <v>0.01</v>
      </c>
      <c r="Q7041" s="287" t="s">
        <v>154</v>
      </c>
    </row>
    <row r="7042" spans="1:17" s="162" customFormat="1" ht="120" x14ac:dyDescent="0.25">
      <c r="A7042" s="281">
        <v>43374</v>
      </c>
      <c r="B7042" s="281">
        <v>43374</v>
      </c>
      <c r="C7042" s="282">
        <v>2018</v>
      </c>
      <c r="D7042" s="35" t="s">
        <v>28</v>
      </c>
      <c r="E7042" s="283" t="s">
        <v>149</v>
      </c>
      <c r="F7042" s="7" t="s">
        <v>53</v>
      </c>
      <c r="G7042" s="284" t="s">
        <v>8930</v>
      </c>
      <c r="H7042" s="33" t="s">
        <v>9876</v>
      </c>
      <c r="I7042" s="282">
        <v>0</v>
      </c>
      <c r="J7042" s="286">
        <v>150</v>
      </c>
      <c r="K7042" s="282">
        <v>5</v>
      </c>
      <c r="L7042" s="282">
        <v>0</v>
      </c>
      <c r="M7042" s="282">
        <v>0</v>
      </c>
      <c r="N7042" s="282">
        <v>0</v>
      </c>
      <c r="O7042" s="285">
        <v>0</v>
      </c>
      <c r="P7042" s="288">
        <v>0.6</v>
      </c>
      <c r="Q7042" s="287" t="s">
        <v>154</v>
      </c>
    </row>
    <row r="7043" spans="1:17" s="162" customFormat="1" ht="120" x14ac:dyDescent="0.25">
      <c r="A7043" s="281">
        <v>43376</v>
      </c>
      <c r="B7043" s="281">
        <v>43376</v>
      </c>
      <c r="C7043" s="282">
        <v>2018</v>
      </c>
      <c r="D7043" s="35" t="s">
        <v>28</v>
      </c>
      <c r="E7043" s="283" t="s">
        <v>2933</v>
      </c>
      <c r="F7043" s="7" t="s">
        <v>65</v>
      </c>
      <c r="G7043" s="284" t="s">
        <v>1632</v>
      </c>
      <c r="H7043" s="33" t="s">
        <v>9877</v>
      </c>
      <c r="I7043" s="282">
        <v>0</v>
      </c>
      <c r="J7043" s="286">
        <v>1</v>
      </c>
      <c r="K7043" s="282">
        <v>1</v>
      </c>
      <c r="L7043" s="282">
        <v>0</v>
      </c>
      <c r="M7043" s="282">
        <v>0</v>
      </c>
      <c r="N7043" s="282">
        <v>0</v>
      </c>
      <c r="O7043" s="285">
        <v>0</v>
      </c>
      <c r="P7043" s="288">
        <v>6.4000000000000003E-3</v>
      </c>
      <c r="Q7043" s="287" t="s">
        <v>154</v>
      </c>
    </row>
    <row r="7044" spans="1:17" s="162" customFormat="1" ht="132" x14ac:dyDescent="0.25">
      <c r="A7044" s="281">
        <v>43377</v>
      </c>
      <c r="B7044" s="281">
        <v>43377</v>
      </c>
      <c r="C7044" s="282">
        <v>2018</v>
      </c>
      <c r="D7044" s="35" t="s">
        <v>28</v>
      </c>
      <c r="E7044" s="283" t="s">
        <v>2933</v>
      </c>
      <c r="F7044" s="7" t="s">
        <v>53</v>
      </c>
      <c r="G7044" s="284" t="s">
        <v>8930</v>
      </c>
      <c r="H7044" s="33" t="s">
        <v>9878</v>
      </c>
      <c r="I7044" s="282">
        <v>0</v>
      </c>
      <c r="J7044" s="286">
        <v>70</v>
      </c>
      <c r="K7044" s="282">
        <v>0</v>
      </c>
      <c r="L7044" s="282">
        <v>0</v>
      </c>
      <c r="M7044" s="282">
        <v>0</v>
      </c>
      <c r="N7044" s="282">
        <v>1</v>
      </c>
      <c r="O7044" s="285">
        <v>0</v>
      </c>
      <c r="P7044" s="288">
        <v>1.2699999999999999E-2</v>
      </c>
      <c r="Q7044" s="287" t="s">
        <v>154</v>
      </c>
    </row>
    <row r="7045" spans="1:17" s="162" customFormat="1" ht="180" x14ac:dyDescent="0.25">
      <c r="A7045" s="281">
        <v>43377</v>
      </c>
      <c r="B7045" s="281">
        <v>43377</v>
      </c>
      <c r="C7045" s="282">
        <v>2018</v>
      </c>
      <c r="D7045" s="35" t="s">
        <v>28</v>
      </c>
      <c r="E7045" s="283" t="s">
        <v>369</v>
      </c>
      <c r="F7045" s="7" t="s">
        <v>60</v>
      </c>
      <c r="G7045" s="284" t="s">
        <v>908</v>
      </c>
      <c r="H7045" s="33" t="s">
        <v>9879</v>
      </c>
      <c r="I7045" s="282">
        <v>0</v>
      </c>
      <c r="J7045" s="286">
        <v>21</v>
      </c>
      <c r="K7045" s="282">
        <v>0</v>
      </c>
      <c r="L7045" s="282">
        <v>0</v>
      </c>
      <c r="M7045" s="282">
        <v>0</v>
      </c>
      <c r="N7045" s="282">
        <v>0</v>
      </c>
      <c r="O7045" s="285">
        <v>0</v>
      </c>
      <c r="P7045" s="288">
        <v>5.4000000000000003E-3</v>
      </c>
      <c r="Q7045" s="287" t="s">
        <v>154</v>
      </c>
    </row>
    <row r="7046" spans="1:17" s="162" customFormat="1" ht="216" x14ac:dyDescent="0.25">
      <c r="A7046" s="281">
        <v>43387</v>
      </c>
      <c r="B7046" s="281">
        <v>43387</v>
      </c>
      <c r="C7046" s="282">
        <v>2018</v>
      </c>
      <c r="D7046" s="35" t="s">
        <v>28</v>
      </c>
      <c r="E7046" s="283" t="s">
        <v>125</v>
      </c>
      <c r="F7046" s="28" t="s">
        <v>160</v>
      </c>
      <c r="G7046" s="284" t="s">
        <v>5780</v>
      </c>
      <c r="H7046" s="33" t="s">
        <v>9880</v>
      </c>
      <c r="I7046" s="282">
        <v>1</v>
      </c>
      <c r="J7046" s="286">
        <v>207</v>
      </c>
      <c r="K7046" s="282">
        <v>0</v>
      </c>
      <c r="L7046" s="282">
        <v>0</v>
      </c>
      <c r="M7046" s="282">
        <v>0</v>
      </c>
      <c r="N7046" s="282">
        <v>0</v>
      </c>
      <c r="O7046" s="285">
        <v>0</v>
      </c>
      <c r="P7046" s="288">
        <v>0</v>
      </c>
      <c r="Q7046" s="287" t="s">
        <v>154</v>
      </c>
    </row>
    <row r="7047" spans="1:17" s="162" customFormat="1" ht="156" x14ac:dyDescent="0.25">
      <c r="A7047" s="281">
        <v>43395</v>
      </c>
      <c r="B7047" s="281">
        <v>43395</v>
      </c>
      <c r="C7047" s="282">
        <v>2018</v>
      </c>
      <c r="D7047" s="35" t="s">
        <v>28</v>
      </c>
      <c r="E7047" s="283" t="s">
        <v>149</v>
      </c>
      <c r="F7047" s="28" t="s">
        <v>157</v>
      </c>
      <c r="G7047" s="284" t="s">
        <v>1062</v>
      </c>
      <c r="H7047" s="33" t="s">
        <v>9881</v>
      </c>
      <c r="I7047" s="282">
        <v>0</v>
      </c>
      <c r="J7047" s="286">
        <v>2000</v>
      </c>
      <c r="K7047" s="282">
        <v>0</v>
      </c>
      <c r="L7047" s="282">
        <v>0</v>
      </c>
      <c r="M7047" s="282">
        <v>0</v>
      </c>
      <c r="N7047" s="282">
        <v>0</v>
      </c>
      <c r="O7047" s="285">
        <v>0</v>
      </c>
      <c r="P7047" s="288">
        <v>8.9999999999999998E-4</v>
      </c>
      <c r="Q7047" s="287" t="s">
        <v>154</v>
      </c>
    </row>
    <row r="7048" spans="1:17" s="162" customFormat="1" ht="132" x14ac:dyDescent="0.25">
      <c r="A7048" s="281">
        <v>43400</v>
      </c>
      <c r="B7048" s="281">
        <v>43400</v>
      </c>
      <c r="C7048" s="282">
        <v>2018</v>
      </c>
      <c r="D7048" s="35" t="s">
        <v>28</v>
      </c>
      <c r="E7048" s="283" t="s">
        <v>149</v>
      </c>
      <c r="F7048" s="7" t="s">
        <v>77</v>
      </c>
      <c r="G7048" s="284" t="s">
        <v>77</v>
      </c>
      <c r="H7048" s="33" t="s">
        <v>9882</v>
      </c>
      <c r="I7048" s="282">
        <v>0</v>
      </c>
      <c r="J7048" s="286">
        <v>100</v>
      </c>
      <c r="K7048" s="282">
        <v>0</v>
      </c>
      <c r="L7048" s="282">
        <v>0</v>
      </c>
      <c r="M7048" s="282">
        <v>0</v>
      </c>
      <c r="N7048" s="282">
        <v>1</v>
      </c>
      <c r="O7048" s="285">
        <v>0</v>
      </c>
      <c r="P7048" s="288">
        <v>0.01</v>
      </c>
      <c r="Q7048" s="287" t="s">
        <v>154</v>
      </c>
    </row>
    <row r="7049" spans="1:17" s="162" customFormat="1" ht="288" x14ac:dyDescent="0.25">
      <c r="A7049" s="281">
        <v>43404</v>
      </c>
      <c r="B7049" s="281">
        <v>43404</v>
      </c>
      <c r="C7049" s="282">
        <v>2018</v>
      </c>
      <c r="D7049" s="35" t="s">
        <v>28</v>
      </c>
      <c r="E7049" s="283" t="s">
        <v>125</v>
      </c>
      <c r="F7049" s="7" t="s">
        <v>62</v>
      </c>
      <c r="G7049" s="284" t="s">
        <v>474</v>
      </c>
      <c r="H7049" s="33" t="s">
        <v>9883</v>
      </c>
      <c r="I7049" s="282">
        <v>0</v>
      </c>
      <c r="J7049" s="289">
        <v>0</v>
      </c>
      <c r="K7049" s="282">
        <v>0</v>
      </c>
      <c r="L7049" s="282">
        <v>0</v>
      </c>
      <c r="M7049" s="282">
        <v>0</v>
      </c>
      <c r="N7049" s="282">
        <v>0</v>
      </c>
      <c r="O7049" s="285">
        <v>0</v>
      </c>
      <c r="P7049" s="288">
        <v>0.51233039690958893</v>
      </c>
      <c r="Q7049" s="287" t="s">
        <v>154</v>
      </c>
    </row>
    <row r="7050" spans="1:17" s="162" customFormat="1" ht="168" x14ac:dyDescent="0.25">
      <c r="A7050" s="281">
        <v>43405</v>
      </c>
      <c r="B7050" s="281">
        <v>43405</v>
      </c>
      <c r="C7050" s="282">
        <v>2018</v>
      </c>
      <c r="D7050" s="35" t="s">
        <v>28</v>
      </c>
      <c r="E7050" s="283" t="s">
        <v>125</v>
      </c>
      <c r="F7050" s="25" t="s">
        <v>781</v>
      </c>
      <c r="G7050" s="284" t="s">
        <v>3061</v>
      </c>
      <c r="H7050" s="33" t="s">
        <v>9884</v>
      </c>
      <c r="I7050" s="282">
        <v>0</v>
      </c>
      <c r="J7050" s="286">
        <v>15</v>
      </c>
      <c r="K7050" s="282">
        <v>0</v>
      </c>
      <c r="L7050" s="282">
        <v>0</v>
      </c>
      <c r="M7050" s="282">
        <v>0</v>
      </c>
      <c r="N7050" s="282">
        <v>0</v>
      </c>
      <c r="O7050" s="285">
        <v>0</v>
      </c>
      <c r="P7050" s="288">
        <v>3.68E-4</v>
      </c>
      <c r="Q7050" s="287" t="s">
        <v>154</v>
      </c>
    </row>
    <row r="7051" spans="1:17" s="162" customFormat="1" ht="132" x14ac:dyDescent="0.25">
      <c r="A7051" s="281">
        <v>43406</v>
      </c>
      <c r="B7051" s="281">
        <v>43406</v>
      </c>
      <c r="C7051" s="282">
        <v>2018</v>
      </c>
      <c r="D7051" s="35" t="s">
        <v>28</v>
      </c>
      <c r="E7051" s="283" t="s">
        <v>149</v>
      </c>
      <c r="F7051" s="7" t="s">
        <v>68</v>
      </c>
      <c r="G7051" s="284" t="s">
        <v>752</v>
      </c>
      <c r="H7051" s="33" t="s">
        <v>9885</v>
      </c>
      <c r="I7051" s="282">
        <v>0</v>
      </c>
      <c r="J7051" s="286">
        <v>42</v>
      </c>
      <c r="K7051" s="282">
        <v>0</v>
      </c>
      <c r="L7051" s="282">
        <v>0</v>
      </c>
      <c r="M7051" s="282">
        <v>0</v>
      </c>
      <c r="N7051" s="282">
        <v>0</v>
      </c>
      <c r="O7051" s="285">
        <v>0</v>
      </c>
      <c r="P7051" s="288">
        <v>0.61727463558926132</v>
      </c>
      <c r="Q7051" s="287" t="s">
        <v>154</v>
      </c>
    </row>
    <row r="7052" spans="1:17" s="162" customFormat="1" ht="156" x14ac:dyDescent="0.25">
      <c r="A7052" s="281">
        <v>43417</v>
      </c>
      <c r="B7052" s="281">
        <v>43417</v>
      </c>
      <c r="C7052" s="282">
        <v>2018</v>
      </c>
      <c r="D7052" s="35" t="s">
        <v>28</v>
      </c>
      <c r="E7052" s="283" t="s">
        <v>369</v>
      </c>
      <c r="F7052" s="7" t="s">
        <v>53</v>
      </c>
      <c r="G7052" s="284" t="s">
        <v>2287</v>
      </c>
      <c r="H7052" s="33" t="s">
        <v>9886</v>
      </c>
      <c r="I7052" s="282">
        <v>0</v>
      </c>
      <c r="J7052" s="286">
        <v>200</v>
      </c>
      <c r="K7052" s="282">
        <v>0</v>
      </c>
      <c r="L7052" s="282">
        <v>0</v>
      </c>
      <c r="M7052" s="282">
        <v>0</v>
      </c>
      <c r="N7052" s="282">
        <v>0</v>
      </c>
      <c r="O7052" s="285">
        <v>0</v>
      </c>
      <c r="P7052" s="288">
        <v>0.36595028350684922</v>
      </c>
      <c r="Q7052" s="287" t="s">
        <v>154</v>
      </c>
    </row>
    <row r="7053" spans="1:17" s="162" customFormat="1" ht="168" x14ac:dyDescent="0.25">
      <c r="A7053" s="281">
        <v>43417</v>
      </c>
      <c r="B7053" s="281">
        <v>43417</v>
      </c>
      <c r="C7053" s="282">
        <v>2018</v>
      </c>
      <c r="D7053" s="35" t="s">
        <v>28</v>
      </c>
      <c r="E7053" s="283" t="s">
        <v>2933</v>
      </c>
      <c r="F7053" s="28" t="s">
        <v>210</v>
      </c>
      <c r="G7053" s="284" t="s">
        <v>893</v>
      </c>
      <c r="H7053" s="33" t="s">
        <v>9887</v>
      </c>
      <c r="I7053" s="282">
        <v>0</v>
      </c>
      <c r="J7053" s="286">
        <v>6</v>
      </c>
      <c r="K7053" s="282">
        <v>0</v>
      </c>
      <c r="L7053" s="282">
        <v>0</v>
      </c>
      <c r="M7053" s="282">
        <v>0</v>
      </c>
      <c r="N7053" s="282">
        <v>1</v>
      </c>
      <c r="O7053" s="285">
        <v>0</v>
      </c>
      <c r="P7053" s="288">
        <v>0.01</v>
      </c>
      <c r="Q7053" s="287" t="s">
        <v>154</v>
      </c>
    </row>
    <row r="7054" spans="1:17" s="162" customFormat="1" ht="264" x14ac:dyDescent="0.25">
      <c r="A7054" s="281">
        <v>43419</v>
      </c>
      <c r="B7054" s="281">
        <v>43419</v>
      </c>
      <c r="C7054" s="282">
        <v>2018</v>
      </c>
      <c r="D7054" s="35" t="s">
        <v>28</v>
      </c>
      <c r="E7054" s="283" t="s">
        <v>149</v>
      </c>
      <c r="F7054" s="7" t="s">
        <v>49</v>
      </c>
      <c r="G7054" s="284" t="s">
        <v>49</v>
      </c>
      <c r="H7054" s="33" t="s">
        <v>9888</v>
      </c>
      <c r="I7054" s="282">
        <v>0</v>
      </c>
      <c r="J7054" s="289">
        <v>0</v>
      </c>
      <c r="K7054" s="282">
        <v>0</v>
      </c>
      <c r="L7054" s="282">
        <v>0</v>
      </c>
      <c r="M7054" s="282">
        <v>1</v>
      </c>
      <c r="N7054" s="282">
        <v>0</v>
      </c>
      <c r="O7054" s="285">
        <v>0</v>
      </c>
      <c r="P7054" s="288">
        <v>0</v>
      </c>
      <c r="Q7054" s="287" t="s">
        <v>154</v>
      </c>
    </row>
    <row r="7055" spans="1:17" s="162" customFormat="1" ht="132" x14ac:dyDescent="0.25">
      <c r="A7055" s="281">
        <v>43423</v>
      </c>
      <c r="B7055" s="281">
        <v>43423</v>
      </c>
      <c r="C7055" s="282">
        <v>2018</v>
      </c>
      <c r="D7055" s="35" t="s">
        <v>28</v>
      </c>
      <c r="E7055" s="283" t="s">
        <v>149</v>
      </c>
      <c r="F7055" s="28" t="s">
        <v>157</v>
      </c>
      <c r="G7055" s="284" t="s">
        <v>4237</v>
      </c>
      <c r="H7055" s="33" t="s">
        <v>9889</v>
      </c>
      <c r="I7055" s="282">
        <v>0</v>
      </c>
      <c r="J7055" s="286">
        <v>80</v>
      </c>
      <c r="K7055" s="282">
        <v>1</v>
      </c>
      <c r="L7055" s="282">
        <v>0</v>
      </c>
      <c r="M7055" s="282">
        <v>0</v>
      </c>
      <c r="N7055" s="282">
        <v>0</v>
      </c>
      <c r="O7055" s="285">
        <v>0</v>
      </c>
      <c r="P7055" s="288">
        <v>5.4999999999999997E-3</v>
      </c>
      <c r="Q7055" s="287" t="s">
        <v>154</v>
      </c>
    </row>
    <row r="7056" spans="1:17" s="162" customFormat="1" ht="96" x14ac:dyDescent="0.25">
      <c r="A7056" s="281">
        <v>43431</v>
      </c>
      <c r="B7056" s="281">
        <v>43431</v>
      </c>
      <c r="C7056" s="282">
        <v>2018</v>
      </c>
      <c r="D7056" s="35" t="s">
        <v>28</v>
      </c>
      <c r="E7056" s="283" t="s">
        <v>125</v>
      </c>
      <c r="F7056" s="7" t="s">
        <v>72</v>
      </c>
      <c r="G7056" s="284" t="s">
        <v>72</v>
      </c>
      <c r="H7056" s="33" t="s">
        <v>9890</v>
      </c>
      <c r="I7056" s="282">
        <v>0</v>
      </c>
      <c r="J7056" s="286">
        <v>17</v>
      </c>
      <c r="K7056" s="282">
        <v>0</v>
      </c>
      <c r="L7056" s="282">
        <v>0</v>
      </c>
      <c r="M7056" s="282">
        <v>0</v>
      </c>
      <c r="N7056" s="282">
        <v>0</v>
      </c>
      <c r="O7056" s="285">
        <v>0</v>
      </c>
      <c r="P7056" s="288">
        <v>3.1199999999999999E-3</v>
      </c>
      <c r="Q7056" s="287" t="s">
        <v>154</v>
      </c>
    </row>
    <row r="7057" spans="1:17" s="162" customFormat="1" ht="84" x14ac:dyDescent="0.25">
      <c r="A7057" s="281">
        <v>43431</v>
      </c>
      <c r="B7057" s="281">
        <v>43431</v>
      </c>
      <c r="C7057" s="282">
        <v>2018</v>
      </c>
      <c r="D7057" s="35" t="s">
        <v>28</v>
      </c>
      <c r="E7057" s="283" t="s">
        <v>2933</v>
      </c>
      <c r="F7057" s="7" t="s">
        <v>53</v>
      </c>
      <c r="G7057" s="284" t="s">
        <v>9794</v>
      </c>
      <c r="H7057" s="33" t="s">
        <v>9891</v>
      </c>
      <c r="I7057" s="282">
        <v>0</v>
      </c>
      <c r="J7057" s="286">
        <v>1</v>
      </c>
      <c r="K7057" s="282">
        <v>0</v>
      </c>
      <c r="L7057" s="282">
        <v>0</v>
      </c>
      <c r="M7057" s="282">
        <v>0</v>
      </c>
      <c r="N7057" s="282">
        <v>0</v>
      </c>
      <c r="O7057" s="285">
        <v>0</v>
      </c>
      <c r="P7057" s="288">
        <v>8.9999999999999998E-4</v>
      </c>
      <c r="Q7057" s="287" t="s">
        <v>154</v>
      </c>
    </row>
    <row r="7058" spans="1:17" s="162" customFormat="1" ht="144" x14ac:dyDescent="0.25">
      <c r="A7058" s="281">
        <v>43445</v>
      </c>
      <c r="B7058" s="281">
        <v>43445</v>
      </c>
      <c r="C7058" s="282">
        <v>2018</v>
      </c>
      <c r="D7058" s="35" t="s">
        <v>28</v>
      </c>
      <c r="E7058" s="283" t="s">
        <v>149</v>
      </c>
      <c r="F7058" s="7" t="s">
        <v>30</v>
      </c>
      <c r="G7058" s="284" t="s">
        <v>9672</v>
      </c>
      <c r="H7058" s="33" t="s">
        <v>9892</v>
      </c>
      <c r="I7058" s="282">
        <v>0</v>
      </c>
      <c r="J7058" s="286">
        <v>20</v>
      </c>
      <c r="K7058" s="282">
        <v>0</v>
      </c>
      <c r="L7058" s="282">
        <v>0</v>
      </c>
      <c r="M7058" s="282">
        <v>0</v>
      </c>
      <c r="N7058" s="282">
        <v>0</v>
      </c>
      <c r="O7058" s="285">
        <v>0</v>
      </c>
      <c r="P7058" s="288">
        <v>0</v>
      </c>
      <c r="Q7058" s="287" t="s">
        <v>154</v>
      </c>
    </row>
    <row r="7059" spans="1:17" s="162" customFormat="1" ht="96" x14ac:dyDescent="0.25">
      <c r="A7059" s="281">
        <v>43447</v>
      </c>
      <c r="B7059" s="281">
        <v>43447</v>
      </c>
      <c r="C7059" s="282">
        <v>2018</v>
      </c>
      <c r="D7059" s="35" t="s">
        <v>28</v>
      </c>
      <c r="E7059" s="283" t="s">
        <v>125</v>
      </c>
      <c r="F7059" s="7" t="s">
        <v>65</v>
      </c>
      <c r="G7059" s="284" t="s">
        <v>1511</v>
      </c>
      <c r="H7059" s="33" t="s">
        <v>9893</v>
      </c>
      <c r="I7059" s="282">
        <v>0</v>
      </c>
      <c r="J7059" s="286">
        <v>400</v>
      </c>
      <c r="K7059" s="282">
        <v>0</v>
      </c>
      <c r="L7059" s="282">
        <v>0</v>
      </c>
      <c r="M7059" s="282">
        <v>0</v>
      </c>
      <c r="N7059" s="282">
        <v>0</v>
      </c>
      <c r="O7059" s="285">
        <v>0</v>
      </c>
      <c r="P7059" s="288">
        <v>0</v>
      </c>
      <c r="Q7059" s="287" t="s">
        <v>154</v>
      </c>
    </row>
    <row r="7060" spans="1:17" s="162" customFormat="1" ht="264" x14ac:dyDescent="0.25">
      <c r="A7060" s="281">
        <v>43447</v>
      </c>
      <c r="B7060" s="281">
        <v>43447</v>
      </c>
      <c r="C7060" s="282">
        <v>2018</v>
      </c>
      <c r="D7060" s="35" t="s">
        <v>28</v>
      </c>
      <c r="E7060" s="283" t="s">
        <v>125</v>
      </c>
      <c r="F7060" s="7" t="s">
        <v>30</v>
      </c>
      <c r="G7060" s="284" t="s">
        <v>9672</v>
      </c>
      <c r="H7060" s="33" t="s">
        <v>9894</v>
      </c>
      <c r="I7060" s="282">
        <v>0</v>
      </c>
      <c r="J7060" s="286">
        <v>162</v>
      </c>
      <c r="K7060" s="282">
        <v>0</v>
      </c>
      <c r="L7060" s="282">
        <v>0</v>
      </c>
      <c r="M7060" s="282">
        <v>0</v>
      </c>
      <c r="N7060" s="282">
        <v>0</v>
      </c>
      <c r="O7060" s="285">
        <v>0</v>
      </c>
      <c r="P7060" s="288">
        <v>0</v>
      </c>
      <c r="Q7060" s="287" t="s">
        <v>154</v>
      </c>
    </row>
    <row r="7061" spans="1:17" s="162" customFormat="1" ht="156" x14ac:dyDescent="0.25">
      <c r="A7061" s="281">
        <v>43460</v>
      </c>
      <c r="B7061" s="281">
        <v>43460</v>
      </c>
      <c r="C7061" s="282">
        <v>2018</v>
      </c>
      <c r="D7061" s="35" t="s">
        <v>28</v>
      </c>
      <c r="E7061" s="283" t="s">
        <v>369</v>
      </c>
      <c r="F7061" s="7" t="s">
        <v>56</v>
      </c>
      <c r="G7061" s="284" t="s">
        <v>1666</v>
      </c>
      <c r="H7061" s="33" t="s">
        <v>9895</v>
      </c>
      <c r="I7061" s="282">
        <v>0</v>
      </c>
      <c r="J7061" s="286">
        <v>2400</v>
      </c>
      <c r="K7061" s="282">
        <v>0</v>
      </c>
      <c r="L7061" s="282">
        <v>0</v>
      </c>
      <c r="M7061" s="282">
        <v>0</v>
      </c>
      <c r="N7061" s="282">
        <v>0</v>
      </c>
      <c r="O7061" s="285">
        <v>0</v>
      </c>
      <c r="P7061" s="288">
        <v>0</v>
      </c>
      <c r="Q7061" s="287" t="s">
        <v>154</v>
      </c>
    </row>
    <row r="7062" spans="1:17" s="162" customFormat="1" ht="144" x14ac:dyDescent="0.25">
      <c r="A7062" s="281">
        <v>43460</v>
      </c>
      <c r="B7062" s="281">
        <v>43460</v>
      </c>
      <c r="C7062" s="282">
        <v>2018</v>
      </c>
      <c r="D7062" s="35" t="s">
        <v>28</v>
      </c>
      <c r="E7062" s="283" t="s">
        <v>2933</v>
      </c>
      <c r="F7062" s="7" t="s">
        <v>62</v>
      </c>
      <c r="G7062" s="284" t="s">
        <v>8018</v>
      </c>
      <c r="H7062" s="33" t="s">
        <v>9896</v>
      </c>
      <c r="I7062" s="282">
        <v>1</v>
      </c>
      <c r="J7062" s="286">
        <v>11</v>
      </c>
      <c r="K7062" s="282">
        <v>5</v>
      </c>
      <c r="L7062" s="282">
        <v>0</v>
      </c>
      <c r="M7062" s="282">
        <v>0</v>
      </c>
      <c r="N7062" s="282">
        <v>0</v>
      </c>
      <c r="O7062" s="285">
        <v>0</v>
      </c>
      <c r="P7062" s="288">
        <v>3.3269E-2</v>
      </c>
      <c r="Q7062" s="287" t="s">
        <v>154</v>
      </c>
    </row>
    <row r="7063" spans="1:17" s="162" customFormat="1" ht="72" x14ac:dyDescent="0.25">
      <c r="A7063" s="281">
        <v>43461</v>
      </c>
      <c r="B7063" s="281">
        <v>43461</v>
      </c>
      <c r="C7063" s="282">
        <v>2018</v>
      </c>
      <c r="D7063" s="35" t="s">
        <v>28</v>
      </c>
      <c r="E7063" s="283" t="s">
        <v>2933</v>
      </c>
      <c r="F7063" s="7" t="s">
        <v>47</v>
      </c>
      <c r="G7063" s="284" t="s">
        <v>9465</v>
      </c>
      <c r="H7063" s="33" t="s">
        <v>9897</v>
      </c>
      <c r="I7063" s="282">
        <v>1</v>
      </c>
      <c r="J7063" s="286">
        <v>2</v>
      </c>
      <c r="K7063" s="282">
        <v>0</v>
      </c>
      <c r="L7063" s="282">
        <v>0</v>
      </c>
      <c r="M7063" s="282">
        <v>0</v>
      </c>
      <c r="N7063" s="282">
        <v>1</v>
      </c>
      <c r="O7063" s="285">
        <v>0</v>
      </c>
      <c r="P7063" s="288">
        <v>1.09E-2</v>
      </c>
      <c r="Q7063" s="287" t="s">
        <v>154</v>
      </c>
    </row>
    <row r="7064" spans="1:17" s="162" customFormat="1" ht="204" x14ac:dyDescent="0.25">
      <c r="A7064" s="281">
        <v>43340</v>
      </c>
      <c r="B7064" s="281">
        <v>43340</v>
      </c>
      <c r="C7064" s="282">
        <v>2018</v>
      </c>
      <c r="D7064" s="35" t="s">
        <v>28</v>
      </c>
      <c r="E7064" s="283" t="s">
        <v>2933</v>
      </c>
      <c r="F7064" s="7" t="s">
        <v>77</v>
      </c>
      <c r="G7064" s="284" t="s">
        <v>681</v>
      </c>
      <c r="H7064" s="33" t="s">
        <v>9898</v>
      </c>
      <c r="I7064" s="282">
        <v>1</v>
      </c>
      <c r="J7064" s="286">
        <v>3</v>
      </c>
      <c r="K7064" s="282">
        <v>0</v>
      </c>
      <c r="L7064" s="282">
        <v>0</v>
      </c>
      <c r="M7064" s="282">
        <v>0</v>
      </c>
      <c r="N7064" s="282">
        <v>0</v>
      </c>
      <c r="O7064" s="285">
        <v>0</v>
      </c>
      <c r="P7064" s="288">
        <v>2.3271E-2</v>
      </c>
      <c r="Q7064" s="287" t="s">
        <v>154</v>
      </c>
    </row>
    <row r="7065" spans="1:17" s="162" customFormat="1" ht="180" x14ac:dyDescent="0.25">
      <c r="A7065" s="281">
        <v>43345</v>
      </c>
      <c r="B7065" s="281">
        <v>43345</v>
      </c>
      <c r="C7065" s="282">
        <v>2018</v>
      </c>
      <c r="D7065" s="35" t="s">
        <v>28</v>
      </c>
      <c r="E7065" s="283" t="s">
        <v>2933</v>
      </c>
      <c r="F7065" s="28" t="s">
        <v>157</v>
      </c>
      <c r="G7065" s="284" t="s">
        <v>876</v>
      </c>
      <c r="H7065" s="33" t="s">
        <v>9899</v>
      </c>
      <c r="I7065" s="282">
        <v>0</v>
      </c>
      <c r="J7065" s="286">
        <v>4</v>
      </c>
      <c r="K7065" s="282">
        <v>0</v>
      </c>
      <c r="L7065" s="282">
        <v>0</v>
      </c>
      <c r="M7065" s="282">
        <v>0</v>
      </c>
      <c r="N7065" s="282">
        <v>0</v>
      </c>
      <c r="O7065" s="285">
        <v>0</v>
      </c>
      <c r="P7065" s="288">
        <v>0</v>
      </c>
      <c r="Q7065" s="287" t="s">
        <v>154</v>
      </c>
    </row>
    <row r="7066" spans="1:17" s="162" customFormat="1" ht="144" x14ac:dyDescent="0.25">
      <c r="A7066" s="281">
        <v>43346</v>
      </c>
      <c r="B7066" s="281">
        <v>43346</v>
      </c>
      <c r="C7066" s="282">
        <v>2018</v>
      </c>
      <c r="D7066" s="35" t="s">
        <v>28</v>
      </c>
      <c r="E7066" s="283" t="s">
        <v>2933</v>
      </c>
      <c r="F7066" s="7" t="s">
        <v>53</v>
      </c>
      <c r="G7066" s="284" t="s">
        <v>926</v>
      </c>
      <c r="H7066" s="33" t="s">
        <v>9900</v>
      </c>
      <c r="I7066" s="282">
        <v>0</v>
      </c>
      <c r="J7066" s="286">
        <v>2</v>
      </c>
      <c r="K7066" s="282">
        <v>0</v>
      </c>
      <c r="L7066" s="282">
        <v>0</v>
      </c>
      <c r="M7066" s="282">
        <v>0</v>
      </c>
      <c r="N7066" s="282">
        <v>0</v>
      </c>
      <c r="O7066" s="285">
        <v>0</v>
      </c>
      <c r="P7066" s="288">
        <v>0</v>
      </c>
      <c r="Q7066" s="287" t="s">
        <v>154</v>
      </c>
    </row>
    <row r="7067" spans="1:17" s="162" customFormat="1" ht="96" x14ac:dyDescent="0.25">
      <c r="A7067" s="281">
        <v>43346</v>
      </c>
      <c r="B7067" s="281">
        <v>43346</v>
      </c>
      <c r="C7067" s="282">
        <v>2018</v>
      </c>
      <c r="D7067" s="35" t="s">
        <v>28</v>
      </c>
      <c r="E7067" s="283" t="s">
        <v>2933</v>
      </c>
      <c r="F7067" s="7" t="s">
        <v>68</v>
      </c>
      <c r="G7067" s="284" t="s">
        <v>2852</v>
      </c>
      <c r="H7067" s="33" t="s">
        <v>9901</v>
      </c>
      <c r="I7067" s="282">
        <v>0</v>
      </c>
      <c r="J7067" s="286">
        <v>84</v>
      </c>
      <c r="K7067" s="282">
        <v>0</v>
      </c>
      <c r="L7067" s="282">
        <v>0</v>
      </c>
      <c r="M7067" s="282">
        <v>0</v>
      </c>
      <c r="N7067" s="282">
        <v>1</v>
      </c>
      <c r="O7067" s="285">
        <v>0</v>
      </c>
      <c r="P7067" s="288">
        <v>0.01</v>
      </c>
      <c r="Q7067" s="287" t="s">
        <v>154</v>
      </c>
    </row>
    <row r="7068" spans="1:17" s="162" customFormat="1" ht="191.25" x14ac:dyDescent="0.25">
      <c r="A7068" s="281">
        <v>43373</v>
      </c>
      <c r="B7068" s="281">
        <v>43373</v>
      </c>
      <c r="C7068" s="282">
        <v>2018</v>
      </c>
      <c r="D7068" s="35" t="s">
        <v>28</v>
      </c>
      <c r="E7068" s="283" t="s">
        <v>2933</v>
      </c>
      <c r="F7068" s="7" t="s">
        <v>53</v>
      </c>
      <c r="G7068" s="284" t="s">
        <v>926</v>
      </c>
      <c r="H7068" s="284" t="s">
        <v>9902</v>
      </c>
      <c r="I7068" s="282">
        <v>0</v>
      </c>
      <c r="J7068" s="286">
        <v>10</v>
      </c>
      <c r="K7068" s="282">
        <v>0</v>
      </c>
      <c r="L7068" s="282">
        <v>0</v>
      </c>
      <c r="M7068" s="282">
        <v>0</v>
      </c>
      <c r="N7068" s="282">
        <v>0</v>
      </c>
      <c r="O7068" s="285">
        <v>0</v>
      </c>
      <c r="P7068" s="288">
        <v>0</v>
      </c>
      <c r="Q7068" s="287" t="s">
        <v>154</v>
      </c>
    </row>
    <row r="7069" spans="1:17" s="162" customFormat="1" ht="102" x14ac:dyDescent="0.25">
      <c r="A7069" s="281">
        <v>43414</v>
      </c>
      <c r="B7069" s="281">
        <v>43414</v>
      </c>
      <c r="C7069" s="282">
        <v>2018</v>
      </c>
      <c r="D7069" s="35" t="s">
        <v>28</v>
      </c>
      <c r="E7069" s="283" t="s">
        <v>2933</v>
      </c>
      <c r="F7069" s="7" t="s">
        <v>53</v>
      </c>
      <c r="G7069" s="284" t="s">
        <v>9794</v>
      </c>
      <c r="H7069" s="284" t="s">
        <v>9891</v>
      </c>
      <c r="I7069" s="282">
        <v>2</v>
      </c>
      <c r="J7069" s="286">
        <v>2</v>
      </c>
      <c r="K7069" s="282">
        <v>0</v>
      </c>
      <c r="L7069" s="282">
        <v>0</v>
      </c>
      <c r="M7069" s="282">
        <v>0</v>
      </c>
      <c r="N7069" s="282">
        <v>0</v>
      </c>
      <c r="O7069" s="285">
        <v>0</v>
      </c>
      <c r="P7069" s="288">
        <v>0</v>
      </c>
      <c r="Q7069" s="287" t="s">
        <v>154</v>
      </c>
    </row>
    <row r="7070" spans="1:17" s="162" customFormat="1" ht="96" x14ac:dyDescent="0.25">
      <c r="A7070" s="281">
        <v>43418</v>
      </c>
      <c r="B7070" s="281">
        <v>43418</v>
      </c>
      <c r="C7070" s="282">
        <v>2018</v>
      </c>
      <c r="D7070" s="35" t="s">
        <v>28</v>
      </c>
      <c r="E7070" s="283" t="s">
        <v>2933</v>
      </c>
      <c r="F7070" s="7" t="s">
        <v>97</v>
      </c>
      <c r="G7070" s="284" t="s">
        <v>9824</v>
      </c>
      <c r="H7070" s="33" t="s">
        <v>9903</v>
      </c>
      <c r="I7070" s="282">
        <v>1</v>
      </c>
      <c r="J7070" s="286">
        <v>1</v>
      </c>
      <c r="K7070" s="282">
        <v>0</v>
      </c>
      <c r="L7070" s="282">
        <v>0</v>
      </c>
      <c r="M7070" s="282">
        <v>0</v>
      </c>
      <c r="N7070" s="282">
        <v>0</v>
      </c>
      <c r="O7070" s="285">
        <v>0</v>
      </c>
      <c r="P7070" s="288">
        <v>0</v>
      </c>
      <c r="Q7070" s="287" t="s">
        <v>154</v>
      </c>
    </row>
    <row r="7071" spans="1:17" s="162" customFormat="1" ht="372" x14ac:dyDescent="0.25">
      <c r="A7071" s="281">
        <v>43433</v>
      </c>
      <c r="B7071" s="281">
        <v>43433</v>
      </c>
      <c r="C7071" s="282">
        <v>2018</v>
      </c>
      <c r="D7071" s="35" t="s">
        <v>28</v>
      </c>
      <c r="E7071" s="283" t="s">
        <v>2933</v>
      </c>
      <c r="F7071" s="25" t="s">
        <v>781</v>
      </c>
      <c r="G7071" s="284" t="s">
        <v>1580</v>
      </c>
      <c r="H7071" s="33" t="s">
        <v>9904</v>
      </c>
      <c r="I7071" s="282">
        <v>2</v>
      </c>
      <c r="J7071" s="286">
        <v>6</v>
      </c>
      <c r="K7071" s="282">
        <v>0</v>
      </c>
      <c r="L7071" s="282">
        <v>0</v>
      </c>
      <c r="M7071" s="282">
        <v>0</v>
      </c>
      <c r="N7071" s="282">
        <v>0</v>
      </c>
      <c r="O7071" s="285">
        <v>0</v>
      </c>
      <c r="P7071" s="288">
        <v>0</v>
      </c>
      <c r="Q7071" s="287" t="s">
        <v>154</v>
      </c>
    </row>
    <row r="7072" spans="1:17" s="162" customFormat="1" ht="96" x14ac:dyDescent="0.25">
      <c r="A7072" s="281">
        <v>43445</v>
      </c>
      <c r="B7072" s="281">
        <v>43445</v>
      </c>
      <c r="C7072" s="282">
        <v>2018</v>
      </c>
      <c r="D7072" s="35" t="s">
        <v>28</v>
      </c>
      <c r="E7072" s="283" t="s">
        <v>2933</v>
      </c>
      <c r="F7072" s="7" t="s">
        <v>77</v>
      </c>
      <c r="G7072" s="284" t="s">
        <v>969</v>
      </c>
      <c r="H7072" s="33" t="s">
        <v>9905</v>
      </c>
      <c r="I7072" s="282">
        <v>5</v>
      </c>
      <c r="J7072" s="286">
        <v>20</v>
      </c>
      <c r="K7072" s="282">
        <v>0</v>
      </c>
      <c r="L7072" s="282">
        <v>0</v>
      </c>
      <c r="M7072" s="282">
        <v>0</v>
      </c>
      <c r="N7072" s="282">
        <v>0</v>
      </c>
      <c r="O7072" s="285">
        <v>0</v>
      </c>
      <c r="P7072" s="288">
        <v>0</v>
      </c>
      <c r="Q7072" s="287" t="s">
        <v>154</v>
      </c>
    </row>
    <row r="7073" spans="1:17" s="162" customFormat="1" ht="96" x14ac:dyDescent="0.25">
      <c r="A7073" s="281">
        <v>43107</v>
      </c>
      <c r="B7073" s="281">
        <v>43107</v>
      </c>
      <c r="C7073" s="282">
        <v>2018</v>
      </c>
      <c r="D7073" s="24" t="s">
        <v>141</v>
      </c>
      <c r="E7073" s="30" t="s">
        <v>142</v>
      </c>
      <c r="F7073" s="7" t="s">
        <v>49</v>
      </c>
      <c r="G7073" s="284" t="s">
        <v>9906</v>
      </c>
      <c r="H7073" s="33" t="s">
        <v>9907</v>
      </c>
      <c r="I7073" s="282">
        <v>4</v>
      </c>
      <c r="J7073" s="286">
        <v>19</v>
      </c>
      <c r="K7073" s="282">
        <v>0</v>
      </c>
      <c r="L7073" s="282">
        <v>0</v>
      </c>
      <c r="M7073" s="282">
        <v>0</v>
      </c>
      <c r="N7073" s="282">
        <v>0</v>
      </c>
      <c r="O7073" s="285">
        <v>0</v>
      </c>
      <c r="P7073" s="288">
        <v>0.66269999999999996</v>
      </c>
      <c r="Q7073" s="287" t="s">
        <v>154</v>
      </c>
    </row>
    <row r="7074" spans="1:17" s="162" customFormat="1" ht="144" x14ac:dyDescent="0.25">
      <c r="A7074" s="281">
        <v>43111</v>
      </c>
      <c r="B7074" s="281">
        <v>43111</v>
      </c>
      <c r="C7074" s="282">
        <v>2018</v>
      </c>
      <c r="D7074" s="24" t="s">
        <v>141</v>
      </c>
      <c r="E7074" s="30" t="s">
        <v>142</v>
      </c>
      <c r="F7074" s="28" t="s">
        <v>210</v>
      </c>
      <c r="G7074" s="284" t="s">
        <v>210</v>
      </c>
      <c r="H7074" s="33" t="s">
        <v>9908</v>
      </c>
      <c r="I7074" s="282">
        <v>8</v>
      </c>
      <c r="J7074" s="286">
        <v>8</v>
      </c>
      <c r="K7074" s="282">
        <v>0</v>
      </c>
      <c r="L7074" s="282">
        <v>0</v>
      </c>
      <c r="M7074" s="282">
        <v>0</v>
      </c>
      <c r="N7074" s="282">
        <v>0</v>
      </c>
      <c r="O7074" s="285">
        <v>0</v>
      </c>
      <c r="P7074" s="288">
        <v>0.90404700000000005</v>
      </c>
      <c r="Q7074" s="287" t="s">
        <v>154</v>
      </c>
    </row>
    <row r="7075" spans="1:17" s="162" customFormat="1" ht="120" x14ac:dyDescent="0.25">
      <c r="A7075" s="281">
        <v>43111</v>
      </c>
      <c r="B7075" s="281">
        <v>43111</v>
      </c>
      <c r="C7075" s="282">
        <v>2018</v>
      </c>
      <c r="D7075" s="24" t="s">
        <v>141</v>
      </c>
      <c r="E7075" s="30" t="s">
        <v>142</v>
      </c>
      <c r="F7075" s="7" t="s">
        <v>36</v>
      </c>
      <c r="G7075" s="284" t="s">
        <v>232</v>
      </c>
      <c r="H7075" s="33" t="s">
        <v>9909</v>
      </c>
      <c r="I7075" s="282">
        <v>2</v>
      </c>
      <c r="J7075" s="286">
        <v>5</v>
      </c>
      <c r="K7075" s="282">
        <v>0</v>
      </c>
      <c r="L7075" s="282">
        <v>0</v>
      </c>
      <c r="M7075" s="282">
        <v>0</v>
      </c>
      <c r="N7075" s="282">
        <v>0</v>
      </c>
      <c r="O7075" s="285">
        <v>0</v>
      </c>
      <c r="P7075" s="288">
        <v>0.81420891000000006</v>
      </c>
      <c r="Q7075" s="287" t="s">
        <v>154</v>
      </c>
    </row>
    <row r="7076" spans="1:17" s="162" customFormat="1" ht="127.5" x14ac:dyDescent="0.25">
      <c r="A7076" s="281">
        <v>43117</v>
      </c>
      <c r="B7076" s="281">
        <v>43117</v>
      </c>
      <c r="C7076" s="282">
        <v>2018</v>
      </c>
      <c r="D7076" s="24" t="s">
        <v>141</v>
      </c>
      <c r="E7076" s="30" t="s">
        <v>142</v>
      </c>
      <c r="F7076" s="7" t="s">
        <v>60</v>
      </c>
      <c r="G7076" s="284" t="s">
        <v>3754</v>
      </c>
      <c r="H7076" s="284" t="s">
        <v>9910</v>
      </c>
      <c r="I7076" s="282">
        <v>5</v>
      </c>
      <c r="J7076" s="286">
        <v>15</v>
      </c>
      <c r="K7076" s="282">
        <v>0</v>
      </c>
      <c r="L7076" s="282">
        <v>0</v>
      </c>
      <c r="M7076" s="282">
        <v>0</v>
      </c>
      <c r="N7076" s="282">
        <v>0</v>
      </c>
      <c r="O7076" s="285">
        <v>0</v>
      </c>
      <c r="P7076" s="288">
        <v>3.0750470000000001</v>
      </c>
      <c r="Q7076" s="287" t="s">
        <v>154</v>
      </c>
    </row>
    <row r="7077" spans="1:17" s="162" customFormat="1" ht="108" x14ac:dyDescent="0.25">
      <c r="A7077" s="281">
        <v>43119</v>
      </c>
      <c r="B7077" s="281">
        <v>43119</v>
      </c>
      <c r="C7077" s="282">
        <v>2018</v>
      </c>
      <c r="D7077" s="24" t="s">
        <v>141</v>
      </c>
      <c r="E7077" s="30" t="s">
        <v>142</v>
      </c>
      <c r="F7077" s="7" t="s">
        <v>53</v>
      </c>
      <c r="G7077" s="284" t="s">
        <v>1304</v>
      </c>
      <c r="H7077" s="33" t="s">
        <v>9911</v>
      </c>
      <c r="I7077" s="282">
        <v>5</v>
      </c>
      <c r="J7077" s="286">
        <v>16</v>
      </c>
      <c r="K7077" s="282">
        <v>4</v>
      </c>
      <c r="L7077" s="282">
        <v>0</v>
      </c>
      <c r="M7077" s="282">
        <v>0</v>
      </c>
      <c r="N7077" s="282">
        <v>0</v>
      </c>
      <c r="O7077" s="285">
        <v>0</v>
      </c>
      <c r="P7077" s="288">
        <v>1.1275303488372095</v>
      </c>
      <c r="Q7077" s="287" t="s">
        <v>154</v>
      </c>
    </row>
    <row r="7078" spans="1:17" s="162" customFormat="1" ht="120" x14ac:dyDescent="0.25">
      <c r="A7078" s="281">
        <v>43132</v>
      </c>
      <c r="B7078" s="281">
        <v>43132</v>
      </c>
      <c r="C7078" s="282">
        <v>2018</v>
      </c>
      <c r="D7078" s="24" t="s">
        <v>141</v>
      </c>
      <c r="E7078" s="30" t="s">
        <v>142</v>
      </c>
      <c r="F7078" s="7" t="s">
        <v>53</v>
      </c>
      <c r="G7078" s="284" t="s">
        <v>1236</v>
      </c>
      <c r="H7078" s="33" t="s">
        <v>9912</v>
      </c>
      <c r="I7078" s="282">
        <v>2</v>
      </c>
      <c r="J7078" s="286">
        <v>22</v>
      </c>
      <c r="K7078" s="282">
        <v>0</v>
      </c>
      <c r="L7078" s="282">
        <v>0</v>
      </c>
      <c r="M7078" s="282">
        <v>0</v>
      </c>
      <c r="N7078" s="282">
        <v>0</v>
      </c>
      <c r="O7078" s="285">
        <v>0</v>
      </c>
      <c r="P7078" s="288">
        <v>2.5760312588372094</v>
      </c>
      <c r="Q7078" s="287" t="s">
        <v>154</v>
      </c>
    </row>
    <row r="7079" spans="1:17" s="162" customFormat="1" ht="84" x14ac:dyDescent="0.25">
      <c r="A7079" s="281">
        <v>43143</v>
      </c>
      <c r="B7079" s="281">
        <v>43143</v>
      </c>
      <c r="C7079" s="282">
        <v>2018</v>
      </c>
      <c r="D7079" s="24" t="s">
        <v>141</v>
      </c>
      <c r="E7079" s="30" t="s">
        <v>142</v>
      </c>
      <c r="F7079" s="7" t="s">
        <v>84</v>
      </c>
      <c r="G7079" s="284" t="s">
        <v>3740</v>
      </c>
      <c r="H7079" s="33" t="s">
        <v>9913</v>
      </c>
      <c r="I7079" s="282">
        <v>2</v>
      </c>
      <c r="J7079" s="286">
        <v>2</v>
      </c>
      <c r="K7079" s="282">
        <v>0</v>
      </c>
      <c r="L7079" s="282">
        <v>0</v>
      </c>
      <c r="M7079" s="282">
        <v>0</v>
      </c>
      <c r="N7079" s="282">
        <v>0</v>
      </c>
      <c r="O7079" s="285">
        <v>0</v>
      </c>
      <c r="P7079" s="288">
        <v>4.4899779160159357</v>
      </c>
      <c r="Q7079" s="287" t="s">
        <v>154</v>
      </c>
    </row>
    <row r="7080" spans="1:17" s="162" customFormat="1" ht="120" x14ac:dyDescent="0.25">
      <c r="A7080" s="281">
        <v>43143</v>
      </c>
      <c r="B7080" s="281">
        <v>43143</v>
      </c>
      <c r="C7080" s="282">
        <v>2018</v>
      </c>
      <c r="D7080" s="24" t="s">
        <v>141</v>
      </c>
      <c r="E7080" s="30" t="s">
        <v>142</v>
      </c>
      <c r="F7080" s="7" t="s">
        <v>67</v>
      </c>
      <c r="G7080" s="284" t="s">
        <v>8606</v>
      </c>
      <c r="H7080" s="33" t="s">
        <v>9914</v>
      </c>
      <c r="I7080" s="282">
        <v>2</v>
      </c>
      <c r="J7080" s="286">
        <v>12</v>
      </c>
      <c r="K7080" s="282">
        <v>0</v>
      </c>
      <c r="L7080" s="282">
        <v>0</v>
      </c>
      <c r="M7080" s="282">
        <v>0</v>
      </c>
      <c r="N7080" s="282">
        <v>0</v>
      </c>
      <c r="O7080" s="285">
        <v>0</v>
      </c>
      <c r="P7080" s="288">
        <v>0.11361</v>
      </c>
      <c r="Q7080" s="287" t="s">
        <v>154</v>
      </c>
    </row>
    <row r="7081" spans="1:17" s="162" customFormat="1" ht="108" x14ac:dyDescent="0.25">
      <c r="A7081" s="281">
        <v>43145</v>
      </c>
      <c r="B7081" s="281">
        <v>43145</v>
      </c>
      <c r="C7081" s="282">
        <v>2018</v>
      </c>
      <c r="D7081" s="24" t="s">
        <v>141</v>
      </c>
      <c r="E7081" s="30" t="s">
        <v>142</v>
      </c>
      <c r="F7081" s="7" t="s">
        <v>82</v>
      </c>
      <c r="G7081" s="284" t="s">
        <v>82</v>
      </c>
      <c r="H7081" s="33" t="s">
        <v>9915</v>
      </c>
      <c r="I7081" s="282">
        <v>4</v>
      </c>
      <c r="J7081" s="286">
        <v>31</v>
      </c>
      <c r="K7081" s="282">
        <v>0</v>
      </c>
      <c r="L7081" s="282">
        <v>0</v>
      </c>
      <c r="M7081" s="282">
        <v>0</v>
      </c>
      <c r="N7081" s="282">
        <v>0</v>
      </c>
      <c r="O7081" s="285">
        <v>0</v>
      </c>
      <c r="P7081" s="288">
        <v>1.6890303488372094</v>
      </c>
      <c r="Q7081" s="287" t="s">
        <v>154</v>
      </c>
    </row>
    <row r="7082" spans="1:17" s="162" customFormat="1" ht="264" x14ac:dyDescent="0.25">
      <c r="A7082" s="281">
        <v>43145</v>
      </c>
      <c r="B7082" s="281">
        <v>43145</v>
      </c>
      <c r="C7082" s="282">
        <v>2018</v>
      </c>
      <c r="D7082" s="24" t="s">
        <v>141</v>
      </c>
      <c r="E7082" s="30" t="s">
        <v>142</v>
      </c>
      <c r="F7082" s="7" t="s">
        <v>30</v>
      </c>
      <c r="G7082" s="284" t="s">
        <v>9168</v>
      </c>
      <c r="H7082" s="33" t="s">
        <v>9916</v>
      </c>
      <c r="I7082" s="282">
        <v>1</v>
      </c>
      <c r="J7082" s="286">
        <v>11</v>
      </c>
      <c r="K7082" s="282">
        <v>0</v>
      </c>
      <c r="L7082" s="282">
        <v>0</v>
      </c>
      <c r="M7082" s="282">
        <v>0</v>
      </c>
      <c r="N7082" s="282">
        <v>0</v>
      </c>
      <c r="O7082" s="285">
        <v>0</v>
      </c>
      <c r="P7082" s="288">
        <v>0.32006600000000002</v>
      </c>
      <c r="Q7082" s="287" t="s">
        <v>154</v>
      </c>
    </row>
    <row r="7083" spans="1:17" s="162" customFormat="1" ht="108" x14ac:dyDescent="0.25">
      <c r="A7083" s="281">
        <v>43146</v>
      </c>
      <c r="B7083" s="281">
        <v>43146</v>
      </c>
      <c r="C7083" s="282">
        <v>2018</v>
      </c>
      <c r="D7083" s="24" t="s">
        <v>141</v>
      </c>
      <c r="E7083" s="30" t="s">
        <v>142</v>
      </c>
      <c r="F7083" s="7" t="s">
        <v>87</v>
      </c>
      <c r="G7083" s="284" t="s">
        <v>936</v>
      </c>
      <c r="H7083" s="33" t="s">
        <v>9917</v>
      </c>
      <c r="I7083" s="282">
        <v>2</v>
      </c>
      <c r="J7083" s="286">
        <v>14</v>
      </c>
      <c r="K7083" s="282">
        <v>0</v>
      </c>
      <c r="L7083" s="282">
        <v>0</v>
      </c>
      <c r="M7083" s="282">
        <v>0</v>
      </c>
      <c r="N7083" s="282">
        <v>0</v>
      </c>
      <c r="O7083" s="285">
        <v>0</v>
      </c>
      <c r="P7083" s="288">
        <v>0.66</v>
      </c>
      <c r="Q7083" s="287" t="s">
        <v>154</v>
      </c>
    </row>
    <row r="7084" spans="1:17" s="162" customFormat="1" ht="96" x14ac:dyDescent="0.25">
      <c r="A7084" s="281">
        <v>43152</v>
      </c>
      <c r="B7084" s="281">
        <v>43152</v>
      </c>
      <c r="C7084" s="282">
        <v>2018</v>
      </c>
      <c r="D7084" s="24" t="s">
        <v>141</v>
      </c>
      <c r="E7084" s="30" t="s">
        <v>142</v>
      </c>
      <c r="F7084" s="7" t="s">
        <v>75</v>
      </c>
      <c r="G7084" s="284" t="s">
        <v>8293</v>
      </c>
      <c r="H7084" s="33" t="s">
        <v>9918</v>
      </c>
      <c r="I7084" s="282">
        <v>1</v>
      </c>
      <c r="J7084" s="286">
        <v>21</v>
      </c>
      <c r="K7084" s="282">
        <v>0</v>
      </c>
      <c r="L7084" s="282">
        <v>0</v>
      </c>
      <c r="M7084" s="282">
        <v>0</v>
      </c>
      <c r="N7084" s="282">
        <v>0</v>
      </c>
      <c r="O7084" s="285">
        <v>0</v>
      </c>
      <c r="P7084" s="288">
        <v>0.66720000000000002</v>
      </c>
      <c r="Q7084" s="287" t="s">
        <v>154</v>
      </c>
    </row>
    <row r="7085" spans="1:17" s="162" customFormat="1" ht="96" x14ac:dyDescent="0.25">
      <c r="A7085" s="281">
        <v>43157</v>
      </c>
      <c r="B7085" s="281">
        <v>43157</v>
      </c>
      <c r="C7085" s="282">
        <v>2018</v>
      </c>
      <c r="D7085" s="24" t="s">
        <v>141</v>
      </c>
      <c r="E7085" s="30" t="s">
        <v>142</v>
      </c>
      <c r="F7085" s="7" t="s">
        <v>75</v>
      </c>
      <c r="G7085" s="284" t="s">
        <v>3437</v>
      </c>
      <c r="H7085" s="33" t="s">
        <v>9919</v>
      </c>
      <c r="I7085" s="282">
        <v>3</v>
      </c>
      <c r="J7085" s="286">
        <v>5</v>
      </c>
      <c r="K7085" s="282">
        <v>0</v>
      </c>
      <c r="L7085" s="282">
        <v>0</v>
      </c>
      <c r="M7085" s="282">
        <v>0</v>
      </c>
      <c r="N7085" s="282">
        <v>0</v>
      </c>
      <c r="O7085" s="285">
        <v>0</v>
      </c>
      <c r="P7085" s="288">
        <v>0.65100000000000002</v>
      </c>
      <c r="Q7085" s="287" t="s">
        <v>154</v>
      </c>
    </row>
    <row r="7086" spans="1:17" s="162" customFormat="1" ht="96" x14ac:dyDescent="0.25">
      <c r="A7086" s="281">
        <v>43160</v>
      </c>
      <c r="B7086" s="281">
        <v>43160</v>
      </c>
      <c r="C7086" s="282">
        <v>2018</v>
      </c>
      <c r="D7086" s="24" t="s">
        <v>141</v>
      </c>
      <c r="E7086" s="30" t="s">
        <v>142</v>
      </c>
      <c r="F7086" s="7" t="s">
        <v>97</v>
      </c>
      <c r="G7086" s="284" t="s">
        <v>8708</v>
      </c>
      <c r="H7086" s="33" t="s">
        <v>9920</v>
      </c>
      <c r="I7086" s="282">
        <v>7</v>
      </c>
      <c r="J7086" s="286">
        <v>15</v>
      </c>
      <c r="K7086" s="282">
        <v>0</v>
      </c>
      <c r="L7086" s="282">
        <v>0</v>
      </c>
      <c r="M7086" s="282">
        <v>0</v>
      </c>
      <c r="N7086" s="282">
        <v>0</v>
      </c>
      <c r="O7086" s="285">
        <v>0</v>
      </c>
      <c r="P7086" s="288">
        <v>0.26204699999999997</v>
      </c>
      <c r="Q7086" s="287" t="s">
        <v>154</v>
      </c>
    </row>
    <row r="7087" spans="1:17" s="162" customFormat="1" ht="192" x14ac:dyDescent="0.25">
      <c r="A7087" s="281">
        <v>43161</v>
      </c>
      <c r="B7087" s="281">
        <v>43161</v>
      </c>
      <c r="C7087" s="282">
        <v>2018</v>
      </c>
      <c r="D7087" s="24" t="s">
        <v>141</v>
      </c>
      <c r="E7087" s="30" t="s">
        <v>142</v>
      </c>
      <c r="F7087" s="7" t="s">
        <v>91</v>
      </c>
      <c r="G7087" s="284" t="s">
        <v>9527</v>
      </c>
      <c r="H7087" s="33" t="s">
        <v>9921</v>
      </c>
      <c r="I7087" s="282">
        <v>0</v>
      </c>
      <c r="J7087" s="286">
        <v>1800</v>
      </c>
      <c r="K7087" s="282">
        <v>0</v>
      </c>
      <c r="L7087" s="282">
        <v>0</v>
      </c>
      <c r="M7087" s="282">
        <v>0</v>
      </c>
      <c r="N7087" s="282">
        <v>0</v>
      </c>
      <c r="O7087" s="285">
        <v>0</v>
      </c>
      <c r="P7087" s="288">
        <v>9.0905086499435947E-2</v>
      </c>
      <c r="Q7087" s="287" t="s">
        <v>154</v>
      </c>
    </row>
    <row r="7088" spans="1:17" s="162" customFormat="1" ht="180" x14ac:dyDescent="0.25">
      <c r="A7088" s="281">
        <v>43163</v>
      </c>
      <c r="B7088" s="281">
        <v>43163</v>
      </c>
      <c r="C7088" s="282">
        <v>2018</v>
      </c>
      <c r="D7088" s="24" t="s">
        <v>141</v>
      </c>
      <c r="E7088" s="30" t="s">
        <v>142</v>
      </c>
      <c r="F7088" s="7" t="s">
        <v>82</v>
      </c>
      <c r="G7088" s="284" t="s">
        <v>9922</v>
      </c>
      <c r="H7088" s="33" t="s">
        <v>9923</v>
      </c>
      <c r="I7088" s="282">
        <v>0</v>
      </c>
      <c r="J7088" s="289">
        <v>0</v>
      </c>
      <c r="K7088" s="282">
        <v>0</v>
      </c>
      <c r="L7088" s="282">
        <v>0</v>
      </c>
      <c r="M7088" s="282">
        <v>0</v>
      </c>
      <c r="N7088" s="282">
        <v>0</v>
      </c>
      <c r="O7088" s="285">
        <v>0</v>
      </c>
      <c r="P7088" s="288">
        <v>1.013313294117647</v>
      </c>
      <c r="Q7088" s="287" t="s">
        <v>154</v>
      </c>
    </row>
    <row r="7089" spans="1:17" s="162" customFormat="1" ht="120" x14ac:dyDescent="0.25">
      <c r="A7089" s="281">
        <v>43169</v>
      </c>
      <c r="B7089" s="281">
        <v>43169</v>
      </c>
      <c r="C7089" s="282">
        <v>2018</v>
      </c>
      <c r="D7089" s="24" t="s">
        <v>141</v>
      </c>
      <c r="E7089" s="30" t="s">
        <v>142</v>
      </c>
      <c r="F7089" s="28" t="s">
        <v>160</v>
      </c>
      <c r="G7089" s="284" t="s">
        <v>7046</v>
      </c>
      <c r="H7089" s="33" t="s">
        <v>9924</v>
      </c>
      <c r="I7089" s="282">
        <v>4</v>
      </c>
      <c r="J7089" s="286">
        <v>18</v>
      </c>
      <c r="K7089" s="282">
        <v>0</v>
      </c>
      <c r="L7089" s="282">
        <v>0</v>
      </c>
      <c r="M7089" s="282">
        <v>0</v>
      </c>
      <c r="N7089" s="282">
        <v>0</v>
      </c>
      <c r="O7089" s="285">
        <v>0</v>
      </c>
      <c r="P7089" s="288">
        <v>0.30713699999999999</v>
      </c>
      <c r="Q7089" s="287" t="s">
        <v>154</v>
      </c>
    </row>
    <row r="7090" spans="1:17" s="162" customFormat="1" ht="96" x14ac:dyDescent="0.25">
      <c r="A7090" s="281">
        <v>43174</v>
      </c>
      <c r="B7090" s="281">
        <v>43174</v>
      </c>
      <c r="C7090" s="282">
        <v>2018</v>
      </c>
      <c r="D7090" s="24" t="s">
        <v>141</v>
      </c>
      <c r="E7090" s="30" t="s">
        <v>142</v>
      </c>
      <c r="F7090" s="7" t="s">
        <v>56</v>
      </c>
      <c r="G7090" s="284" t="s">
        <v>1638</v>
      </c>
      <c r="H7090" s="33" t="s">
        <v>9925</v>
      </c>
      <c r="I7090" s="282">
        <v>0</v>
      </c>
      <c r="J7090" s="286">
        <v>2</v>
      </c>
      <c r="K7090" s="282">
        <v>0</v>
      </c>
      <c r="L7090" s="282">
        <v>0</v>
      </c>
      <c r="M7090" s="282">
        <v>0</v>
      </c>
      <c r="N7090" s="282">
        <v>0</v>
      </c>
      <c r="O7090" s="285">
        <v>0</v>
      </c>
      <c r="P7090" s="288">
        <v>4.4917779160159359</v>
      </c>
      <c r="Q7090" s="287" t="s">
        <v>154</v>
      </c>
    </row>
    <row r="7091" spans="1:17" s="162" customFormat="1" ht="144" x14ac:dyDescent="0.25">
      <c r="A7091" s="281">
        <v>43177</v>
      </c>
      <c r="B7091" s="281">
        <v>43177</v>
      </c>
      <c r="C7091" s="282">
        <v>2018</v>
      </c>
      <c r="D7091" s="24" t="s">
        <v>141</v>
      </c>
      <c r="E7091" s="30" t="s">
        <v>142</v>
      </c>
      <c r="F7091" s="28" t="s">
        <v>210</v>
      </c>
      <c r="G7091" s="284" t="s">
        <v>653</v>
      </c>
      <c r="H7091" s="33" t="s">
        <v>9926</v>
      </c>
      <c r="I7091" s="282">
        <v>0</v>
      </c>
      <c r="J7091" s="286">
        <v>31</v>
      </c>
      <c r="K7091" s="282">
        <v>0</v>
      </c>
      <c r="L7091" s="282">
        <v>0</v>
      </c>
      <c r="M7091" s="282">
        <v>0</v>
      </c>
      <c r="N7091" s="282">
        <v>0</v>
      </c>
      <c r="O7091" s="285">
        <v>0</v>
      </c>
      <c r="P7091" s="288">
        <v>9.282E-2</v>
      </c>
      <c r="Q7091" s="287" t="s">
        <v>154</v>
      </c>
    </row>
    <row r="7092" spans="1:17" s="162" customFormat="1" ht="120" x14ac:dyDescent="0.25">
      <c r="A7092" s="281">
        <v>43182</v>
      </c>
      <c r="B7092" s="281">
        <v>43182</v>
      </c>
      <c r="C7092" s="282">
        <v>2018</v>
      </c>
      <c r="D7092" s="24" t="s">
        <v>141</v>
      </c>
      <c r="E7092" s="30" t="s">
        <v>142</v>
      </c>
      <c r="F7092" s="7" t="s">
        <v>56</v>
      </c>
      <c r="G7092" s="284" t="s">
        <v>351</v>
      </c>
      <c r="H7092" s="33" t="s">
        <v>9927</v>
      </c>
      <c r="I7092" s="282">
        <v>4</v>
      </c>
      <c r="J7092" s="286">
        <v>18</v>
      </c>
      <c r="K7092" s="282">
        <v>0</v>
      </c>
      <c r="L7092" s="282">
        <v>0</v>
      </c>
      <c r="M7092" s="282">
        <v>0</v>
      </c>
      <c r="N7092" s="282">
        <v>0</v>
      </c>
      <c r="O7092" s="285">
        <v>0</v>
      </c>
      <c r="P7092" s="288">
        <v>0.11720999999999999</v>
      </c>
      <c r="Q7092" s="287" t="s">
        <v>154</v>
      </c>
    </row>
    <row r="7093" spans="1:17" s="162" customFormat="1" ht="108" x14ac:dyDescent="0.25">
      <c r="A7093" s="281">
        <v>43192</v>
      </c>
      <c r="B7093" s="281">
        <v>43192</v>
      </c>
      <c r="C7093" s="282">
        <v>2018</v>
      </c>
      <c r="D7093" s="24" t="s">
        <v>141</v>
      </c>
      <c r="E7093" s="30" t="s">
        <v>142</v>
      </c>
      <c r="F7093" s="7" t="s">
        <v>45</v>
      </c>
      <c r="G7093" s="284" t="s">
        <v>1820</v>
      </c>
      <c r="H7093" s="33" t="s">
        <v>9928</v>
      </c>
      <c r="I7093" s="282">
        <v>7</v>
      </c>
      <c r="J7093" s="286">
        <v>30</v>
      </c>
      <c r="K7093" s="282">
        <v>0</v>
      </c>
      <c r="L7093" s="282">
        <v>0</v>
      </c>
      <c r="M7093" s="282">
        <v>0</v>
      </c>
      <c r="N7093" s="282">
        <v>0</v>
      </c>
      <c r="O7093" s="285">
        <v>0</v>
      </c>
      <c r="P7093" s="288">
        <v>0.66990000000000005</v>
      </c>
      <c r="Q7093" s="287" t="s">
        <v>154</v>
      </c>
    </row>
    <row r="7094" spans="1:17" s="162" customFormat="1" ht="153" x14ac:dyDescent="0.25">
      <c r="A7094" s="281">
        <v>43192</v>
      </c>
      <c r="B7094" s="281">
        <v>43192</v>
      </c>
      <c r="C7094" s="282">
        <v>2018</v>
      </c>
      <c r="D7094" s="24" t="s">
        <v>141</v>
      </c>
      <c r="E7094" s="30" t="s">
        <v>142</v>
      </c>
      <c r="F7094" s="7" t="s">
        <v>25</v>
      </c>
      <c r="G7094" s="284" t="s">
        <v>25</v>
      </c>
      <c r="H7094" s="284" t="s">
        <v>9929</v>
      </c>
      <c r="I7094" s="282">
        <v>2</v>
      </c>
      <c r="J7094" s="286">
        <v>36</v>
      </c>
      <c r="K7094" s="282">
        <v>0</v>
      </c>
      <c r="L7094" s="282">
        <v>0</v>
      </c>
      <c r="M7094" s="282">
        <v>0</v>
      </c>
      <c r="N7094" s="282">
        <v>0</v>
      </c>
      <c r="O7094" s="285">
        <v>0</v>
      </c>
      <c r="P7094" s="288">
        <v>0.92114700000000005</v>
      </c>
      <c r="Q7094" s="287" t="s">
        <v>154</v>
      </c>
    </row>
    <row r="7095" spans="1:17" s="162" customFormat="1" ht="108" x14ac:dyDescent="0.25">
      <c r="A7095" s="281">
        <v>43192</v>
      </c>
      <c r="B7095" s="281">
        <v>43192</v>
      </c>
      <c r="C7095" s="282">
        <v>2018</v>
      </c>
      <c r="D7095" s="24" t="s">
        <v>141</v>
      </c>
      <c r="E7095" s="30" t="s">
        <v>142</v>
      </c>
      <c r="F7095" s="7" t="s">
        <v>53</v>
      </c>
      <c r="G7095" s="284" t="s">
        <v>1502</v>
      </c>
      <c r="H7095" s="33" t="s">
        <v>9930</v>
      </c>
      <c r="I7095" s="282">
        <v>0</v>
      </c>
      <c r="J7095" s="286">
        <v>42</v>
      </c>
      <c r="K7095" s="282">
        <v>0</v>
      </c>
      <c r="L7095" s="282">
        <v>0</v>
      </c>
      <c r="M7095" s="282">
        <v>0</v>
      </c>
      <c r="N7095" s="282">
        <v>0</v>
      </c>
      <c r="O7095" s="285">
        <v>0</v>
      </c>
      <c r="P7095" s="288">
        <v>0.45804</v>
      </c>
      <c r="Q7095" s="287" t="s">
        <v>154</v>
      </c>
    </row>
    <row r="7096" spans="1:17" s="162" customFormat="1" ht="96" x14ac:dyDescent="0.25">
      <c r="A7096" s="281">
        <v>43193</v>
      </c>
      <c r="B7096" s="281">
        <v>43193</v>
      </c>
      <c r="C7096" s="282">
        <v>2018</v>
      </c>
      <c r="D7096" s="24" t="s">
        <v>141</v>
      </c>
      <c r="E7096" s="30" t="s">
        <v>142</v>
      </c>
      <c r="F7096" s="7" t="s">
        <v>68</v>
      </c>
      <c r="G7096" s="284" t="s">
        <v>9931</v>
      </c>
      <c r="H7096" s="33" t="s">
        <v>9932</v>
      </c>
      <c r="I7096" s="282">
        <v>1</v>
      </c>
      <c r="J7096" s="286">
        <v>26</v>
      </c>
      <c r="K7096" s="282">
        <v>0</v>
      </c>
      <c r="L7096" s="282">
        <v>0</v>
      </c>
      <c r="M7096" s="282">
        <v>0</v>
      </c>
      <c r="N7096" s="282">
        <v>0</v>
      </c>
      <c r="O7096" s="285">
        <v>0</v>
      </c>
      <c r="P7096" s="288">
        <v>8.7419999999999998E-2</v>
      </c>
      <c r="Q7096" s="287" t="s">
        <v>154</v>
      </c>
    </row>
    <row r="7097" spans="1:17" s="162" customFormat="1" ht="108" x14ac:dyDescent="0.25">
      <c r="A7097" s="281">
        <v>43193</v>
      </c>
      <c r="B7097" s="281">
        <v>43193</v>
      </c>
      <c r="C7097" s="282">
        <v>2018</v>
      </c>
      <c r="D7097" s="24" t="s">
        <v>141</v>
      </c>
      <c r="E7097" s="30" t="s">
        <v>142</v>
      </c>
      <c r="F7097" s="7" t="s">
        <v>62</v>
      </c>
      <c r="G7097" s="284" t="s">
        <v>622</v>
      </c>
      <c r="H7097" s="33" t="s">
        <v>9933</v>
      </c>
      <c r="I7097" s="282">
        <v>1</v>
      </c>
      <c r="J7097" s="286">
        <v>20</v>
      </c>
      <c r="K7097" s="282">
        <v>0</v>
      </c>
      <c r="L7097" s="282">
        <v>0</v>
      </c>
      <c r="M7097" s="282">
        <v>0</v>
      </c>
      <c r="N7097" s="282">
        <v>0</v>
      </c>
      <c r="O7097" s="285">
        <v>0</v>
      </c>
      <c r="P7097" s="288">
        <v>8.1119999999999998E-2</v>
      </c>
      <c r="Q7097" s="287" t="s">
        <v>154</v>
      </c>
    </row>
    <row r="7098" spans="1:17" s="162" customFormat="1" ht="96" x14ac:dyDescent="0.25">
      <c r="A7098" s="281">
        <v>43196</v>
      </c>
      <c r="B7098" s="281">
        <v>43196</v>
      </c>
      <c r="C7098" s="282">
        <v>2018</v>
      </c>
      <c r="D7098" s="24" t="s">
        <v>141</v>
      </c>
      <c r="E7098" s="30" t="s">
        <v>142</v>
      </c>
      <c r="F7098" s="28" t="s">
        <v>157</v>
      </c>
      <c r="G7098" s="284" t="s">
        <v>857</v>
      </c>
      <c r="H7098" s="33" t="s">
        <v>9934</v>
      </c>
      <c r="I7098" s="282">
        <v>0</v>
      </c>
      <c r="J7098" s="286">
        <v>22</v>
      </c>
      <c r="K7098" s="282">
        <v>0</v>
      </c>
      <c r="L7098" s="282">
        <v>0</v>
      </c>
      <c r="M7098" s="282">
        <v>0</v>
      </c>
      <c r="N7098" s="282">
        <v>0</v>
      </c>
      <c r="O7098" s="285">
        <v>0</v>
      </c>
      <c r="P7098" s="288">
        <v>8.4720000000000004E-2</v>
      </c>
      <c r="Q7098" s="287" t="s">
        <v>154</v>
      </c>
    </row>
    <row r="7099" spans="1:17" s="162" customFormat="1" ht="108" x14ac:dyDescent="0.25">
      <c r="A7099" s="281">
        <v>43197</v>
      </c>
      <c r="B7099" s="281">
        <v>43197</v>
      </c>
      <c r="C7099" s="282">
        <v>2018</v>
      </c>
      <c r="D7099" s="24" t="s">
        <v>141</v>
      </c>
      <c r="E7099" s="30" t="s">
        <v>142</v>
      </c>
      <c r="F7099" s="7" t="s">
        <v>62</v>
      </c>
      <c r="G7099" s="284" t="s">
        <v>1320</v>
      </c>
      <c r="H7099" s="33" t="s">
        <v>9935</v>
      </c>
      <c r="I7099" s="282">
        <v>0</v>
      </c>
      <c r="J7099" s="286">
        <v>9</v>
      </c>
      <c r="K7099" s="282">
        <v>0</v>
      </c>
      <c r="L7099" s="282">
        <v>0</v>
      </c>
      <c r="M7099" s="282">
        <v>0</v>
      </c>
      <c r="N7099" s="282">
        <v>0</v>
      </c>
      <c r="O7099" s="285">
        <v>0</v>
      </c>
      <c r="P7099" s="288">
        <v>1.14408</v>
      </c>
      <c r="Q7099" s="287" t="s">
        <v>154</v>
      </c>
    </row>
    <row r="7100" spans="1:17" s="162" customFormat="1" ht="168" x14ac:dyDescent="0.25">
      <c r="A7100" s="281">
        <v>43197</v>
      </c>
      <c r="B7100" s="281">
        <v>43197</v>
      </c>
      <c r="C7100" s="282">
        <v>2018</v>
      </c>
      <c r="D7100" s="24" t="s">
        <v>141</v>
      </c>
      <c r="E7100" s="30" t="s">
        <v>142</v>
      </c>
      <c r="F7100" s="7" t="s">
        <v>53</v>
      </c>
      <c r="G7100" s="284" t="s">
        <v>6691</v>
      </c>
      <c r="H7100" s="33" t="s">
        <v>9936</v>
      </c>
      <c r="I7100" s="282">
        <v>0</v>
      </c>
      <c r="J7100" s="286">
        <v>37</v>
      </c>
      <c r="K7100" s="282">
        <v>0</v>
      </c>
      <c r="L7100" s="282">
        <v>0</v>
      </c>
      <c r="M7100" s="282">
        <v>0</v>
      </c>
      <c r="N7100" s="282">
        <v>0</v>
      </c>
      <c r="O7100" s="285">
        <v>0</v>
      </c>
      <c r="P7100" s="288">
        <v>2.3017573488372096</v>
      </c>
      <c r="Q7100" s="287" t="s">
        <v>154</v>
      </c>
    </row>
    <row r="7101" spans="1:17" s="162" customFormat="1" ht="84" x14ac:dyDescent="0.25">
      <c r="A7101" s="281">
        <v>43200</v>
      </c>
      <c r="B7101" s="281">
        <v>43200</v>
      </c>
      <c r="C7101" s="282">
        <v>2018</v>
      </c>
      <c r="D7101" s="24" t="s">
        <v>141</v>
      </c>
      <c r="E7101" s="30" t="s">
        <v>142</v>
      </c>
      <c r="F7101" s="7" t="s">
        <v>53</v>
      </c>
      <c r="G7101" s="284" t="s">
        <v>460</v>
      </c>
      <c r="H7101" s="33" t="s">
        <v>9937</v>
      </c>
      <c r="I7101" s="282">
        <v>0</v>
      </c>
      <c r="J7101" s="286">
        <v>10</v>
      </c>
      <c r="K7101" s="282">
        <v>0</v>
      </c>
      <c r="L7101" s="282">
        <v>0</v>
      </c>
      <c r="M7101" s="282">
        <v>0</v>
      </c>
      <c r="N7101" s="282">
        <v>0</v>
      </c>
      <c r="O7101" s="285">
        <v>0</v>
      </c>
      <c r="P7101" s="288">
        <v>0.50969399999999998</v>
      </c>
      <c r="Q7101" s="287" t="s">
        <v>154</v>
      </c>
    </row>
    <row r="7102" spans="1:17" s="162" customFormat="1" ht="96" x14ac:dyDescent="0.25">
      <c r="A7102" s="281">
        <v>43203</v>
      </c>
      <c r="B7102" s="281">
        <v>43203</v>
      </c>
      <c r="C7102" s="282">
        <v>2018</v>
      </c>
      <c r="D7102" s="24" t="s">
        <v>141</v>
      </c>
      <c r="E7102" s="30" t="s">
        <v>142</v>
      </c>
      <c r="F7102" s="7" t="s">
        <v>80</v>
      </c>
      <c r="G7102" s="284" t="s">
        <v>1089</v>
      </c>
      <c r="H7102" s="33" t="s">
        <v>9938</v>
      </c>
      <c r="I7102" s="282">
        <v>0</v>
      </c>
      <c r="J7102" s="286">
        <v>20</v>
      </c>
      <c r="K7102" s="282">
        <v>0</v>
      </c>
      <c r="L7102" s="282">
        <v>0</v>
      </c>
      <c r="M7102" s="282">
        <v>0</v>
      </c>
      <c r="N7102" s="282">
        <v>0</v>
      </c>
      <c r="O7102" s="285">
        <v>0</v>
      </c>
      <c r="P7102" s="288">
        <v>0.33776699999999998</v>
      </c>
      <c r="Q7102" s="287" t="s">
        <v>154</v>
      </c>
    </row>
    <row r="7103" spans="1:17" s="162" customFormat="1" ht="132" x14ac:dyDescent="0.25">
      <c r="A7103" s="281">
        <v>43204</v>
      </c>
      <c r="B7103" s="281">
        <v>43204</v>
      </c>
      <c r="C7103" s="282">
        <v>2018</v>
      </c>
      <c r="D7103" s="24" t="s">
        <v>141</v>
      </c>
      <c r="E7103" s="30" t="s">
        <v>142</v>
      </c>
      <c r="F7103" s="28" t="s">
        <v>210</v>
      </c>
      <c r="G7103" s="284" t="s">
        <v>567</v>
      </c>
      <c r="H7103" s="33" t="s">
        <v>9939</v>
      </c>
      <c r="I7103" s="282">
        <v>0</v>
      </c>
      <c r="J7103" s="286">
        <v>16</v>
      </c>
      <c r="K7103" s="282">
        <v>0</v>
      </c>
      <c r="L7103" s="282">
        <v>0</v>
      </c>
      <c r="M7103" s="282">
        <v>0</v>
      </c>
      <c r="N7103" s="282">
        <v>0</v>
      </c>
      <c r="O7103" s="285">
        <v>0</v>
      </c>
      <c r="P7103" s="288">
        <v>7.9320000000000002E-2</v>
      </c>
      <c r="Q7103" s="287" t="s">
        <v>154</v>
      </c>
    </row>
    <row r="7104" spans="1:17" s="162" customFormat="1" ht="132" x14ac:dyDescent="0.25">
      <c r="A7104" s="281">
        <v>43205</v>
      </c>
      <c r="B7104" s="281">
        <v>43205</v>
      </c>
      <c r="C7104" s="282">
        <v>2018</v>
      </c>
      <c r="D7104" s="24" t="s">
        <v>141</v>
      </c>
      <c r="E7104" s="30" t="s">
        <v>142</v>
      </c>
      <c r="F7104" s="7" t="s">
        <v>72</v>
      </c>
      <c r="G7104" s="284" t="s">
        <v>9940</v>
      </c>
      <c r="H7104" s="33" t="s">
        <v>9941</v>
      </c>
      <c r="I7104" s="282">
        <v>0</v>
      </c>
      <c r="J7104" s="286">
        <v>25</v>
      </c>
      <c r="K7104" s="282">
        <v>0</v>
      </c>
      <c r="L7104" s="282">
        <v>0</v>
      </c>
      <c r="M7104" s="282">
        <v>0</v>
      </c>
      <c r="N7104" s="282">
        <v>0</v>
      </c>
      <c r="O7104" s="285">
        <v>0</v>
      </c>
      <c r="P7104" s="288">
        <v>0.67169999999999996</v>
      </c>
      <c r="Q7104" s="287" t="s">
        <v>154</v>
      </c>
    </row>
    <row r="7105" spans="1:17" s="162" customFormat="1" ht="84" x14ac:dyDescent="0.25">
      <c r="A7105" s="281">
        <v>43206</v>
      </c>
      <c r="B7105" s="281">
        <v>43206</v>
      </c>
      <c r="C7105" s="282">
        <v>2018</v>
      </c>
      <c r="D7105" s="24" t="s">
        <v>141</v>
      </c>
      <c r="E7105" s="30" t="s">
        <v>142</v>
      </c>
      <c r="F7105" s="28" t="s">
        <v>151</v>
      </c>
      <c r="G7105" s="284" t="s">
        <v>9942</v>
      </c>
      <c r="H7105" s="33" t="s">
        <v>9943</v>
      </c>
      <c r="I7105" s="282">
        <v>2</v>
      </c>
      <c r="J7105" s="286">
        <v>20</v>
      </c>
      <c r="K7105" s="282">
        <v>0</v>
      </c>
      <c r="L7105" s="282">
        <v>0</v>
      </c>
      <c r="M7105" s="282">
        <v>0</v>
      </c>
      <c r="N7105" s="282">
        <v>0</v>
      </c>
      <c r="O7105" s="285">
        <v>0</v>
      </c>
      <c r="P7105" s="288">
        <v>0.66539999999999999</v>
      </c>
      <c r="Q7105" s="287" t="s">
        <v>154</v>
      </c>
    </row>
    <row r="7106" spans="1:17" s="162" customFormat="1" ht="156" x14ac:dyDescent="0.25">
      <c r="A7106" s="281">
        <v>43209</v>
      </c>
      <c r="B7106" s="281">
        <v>43209</v>
      </c>
      <c r="C7106" s="282">
        <v>2018</v>
      </c>
      <c r="D7106" s="24" t="s">
        <v>141</v>
      </c>
      <c r="E7106" s="30" t="s">
        <v>142</v>
      </c>
      <c r="F7106" s="7" t="s">
        <v>67</v>
      </c>
      <c r="G7106" s="284" t="s">
        <v>2973</v>
      </c>
      <c r="H7106" s="33" t="s">
        <v>9944</v>
      </c>
      <c r="I7106" s="282">
        <v>2</v>
      </c>
      <c r="J7106" s="286">
        <v>5</v>
      </c>
      <c r="K7106" s="282">
        <v>0</v>
      </c>
      <c r="L7106" s="282">
        <v>0</v>
      </c>
      <c r="M7106" s="282">
        <v>0</v>
      </c>
      <c r="N7106" s="282">
        <v>0</v>
      </c>
      <c r="O7106" s="285">
        <v>0</v>
      </c>
      <c r="P7106" s="288">
        <v>0.78584699999999996</v>
      </c>
      <c r="Q7106" s="287" t="s">
        <v>154</v>
      </c>
    </row>
    <row r="7107" spans="1:17" s="162" customFormat="1" ht="204" x14ac:dyDescent="0.25">
      <c r="A7107" s="281">
        <v>43218</v>
      </c>
      <c r="B7107" s="281">
        <v>43218</v>
      </c>
      <c r="C7107" s="282">
        <v>2018</v>
      </c>
      <c r="D7107" s="24" t="s">
        <v>141</v>
      </c>
      <c r="E7107" s="30" t="s">
        <v>142</v>
      </c>
      <c r="F7107" s="7" t="s">
        <v>67</v>
      </c>
      <c r="G7107" s="284" t="s">
        <v>9945</v>
      </c>
      <c r="H7107" s="33" t="s">
        <v>9946</v>
      </c>
      <c r="I7107" s="282">
        <v>1</v>
      </c>
      <c r="J7107" s="286">
        <v>30</v>
      </c>
      <c r="K7107" s="282">
        <v>0</v>
      </c>
      <c r="L7107" s="282">
        <v>0</v>
      </c>
      <c r="M7107" s="282">
        <v>0</v>
      </c>
      <c r="N7107" s="282">
        <v>0</v>
      </c>
      <c r="O7107" s="285">
        <v>0</v>
      </c>
      <c r="P7107" s="288">
        <v>0.18087303488372092</v>
      </c>
      <c r="Q7107" s="287" t="s">
        <v>154</v>
      </c>
    </row>
    <row r="7108" spans="1:17" s="162" customFormat="1" ht="144" x14ac:dyDescent="0.25">
      <c r="A7108" s="281">
        <v>43219</v>
      </c>
      <c r="B7108" s="281">
        <v>43219</v>
      </c>
      <c r="C7108" s="282">
        <v>2018</v>
      </c>
      <c r="D7108" s="24" t="s">
        <v>141</v>
      </c>
      <c r="E7108" s="30" t="s">
        <v>142</v>
      </c>
      <c r="F7108" s="7" t="s">
        <v>58</v>
      </c>
      <c r="G7108" s="284" t="s">
        <v>9947</v>
      </c>
      <c r="H7108" s="33" t="s">
        <v>9948</v>
      </c>
      <c r="I7108" s="282">
        <v>1</v>
      </c>
      <c r="J7108" s="286">
        <v>6</v>
      </c>
      <c r="K7108" s="282">
        <v>0</v>
      </c>
      <c r="L7108" s="282">
        <v>0</v>
      </c>
      <c r="M7108" s="282">
        <v>0</v>
      </c>
      <c r="N7108" s="282">
        <v>0</v>
      </c>
      <c r="O7108" s="285">
        <v>0</v>
      </c>
      <c r="P7108" s="288">
        <v>8.3879999999999996E-2</v>
      </c>
      <c r="Q7108" s="287" t="s">
        <v>154</v>
      </c>
    </row>
    <row r="7109" spans="1:17" s="162" customFormat="1" ht="132" x14ac:dyDescent="0.25">
      <c r="A7109" s="281">
        <v>43220</v>
      </c>
      <c r="B7109" s="281">
        <v>43220</v>
      </c>
      <c r="C7109" s="282">
        <v>2018</v>
      </c>
      <c r="D7109" s="24" t="s">
        <v>141</v>
      </c>
      <c r="E7109" s="30" t="s">
        <v>142</v>
      </c>
      <c r="F7109" s="7" t="s">
        <v>84</v>
      </c>
      <c r="G7109" s="284" t="s">
        <v>2846</v>
      </c>
      <c r="H7109" s="33" t="s">
        <v>9949</v>
      </c>
      <c r="I7109" s="282">
        <v>0</v>
      </c>
      <c r="J7109" s="286">
        <v>1</v>
      </c>
      <c r="K7109" s="282">
        <v>0</v>
      </c>
      <c r="L7109" s="282">
        <v>0</v>
      </c>
      <c r="M7109" s="282">
        <v>0</v>
      </c>
      <c r="N7109" s="282">
        <v>0</v>
      </c>
      <c r="O7109" s="285">
        <v>0</v>
      </c>
      <c r="P7109" s="288">
        <v>4.6669779160159361</v>
      </c>
      <c r="Q7109" s="287" t="s">
        <v>154</v>
      </c>
    </row>
    <row r="7110" spans="1:17" s="162" customFormat="1" ht="108" x14ac:dyDescent="0.25">
      <c r="A7110" s="281">
        <v>43132</v>
      </c>
      <c r="B7110" s="281">
        <v>43132</v>
      </c>
      <c r="C7110" s="282">
        <v>2018</v>
      </c>
      <c r="D7110" s="24" t="s">
        <v>141</v>
      </c>
      <c r="E7110" s="30" t="s">
        <v>142</v>
      </c>
      <c r="F7110" s="28" t="s">
        <v>210</v>
      </c>
      <c r="G7110" s="284" t="s">
        <v>9950</v>
      </c>
      <c r="H7110" s="33" t="s">
        <v>9951</v>
      </c>
      <c r="I7110" s="282">
        <v>3</v>
      </c>
      <c r="J7110" s="286">
        <v>14</v>
      </c>
      <c r="K7110" s="282">
        <v>0</v>
      </c>
      <c r="L7110" s="282">
        <v>0</v>
      </c>
      <c r="M7110" s="282">
        <v>0</v>
      </c>
      <c r="N7110" s="282">
        <v>0</v>
      </c>
      <c r="O7110" s="285">
        <v>0</v>
      </c>
      <c r="P7110" s="288">
        <v>0.11451</v>
      </c>
      <c r="Q7110" s="287" t="s">
        <v>154</v>
      </c>
    </row>
    <row r="7111" spans="1:17" s="162" customFormat="1" ht="228" x14ac:dyDescent="0.25">
      <c r="A7111" s="281">
        <v>43226</v>
      </c>
      <c r="B7111" s="281">
        <v>43226</v>
      </c>
      <c r="C7111" s="282">
        <v>2018</v>
      </c>
      <c r="D7111" s="24" t="s">
        <v>141</v>
      </c>
      <c r="E7111" s="30" t="s">
        <v>142</v>
      </c>
      <c r="F7111" s="7" t="s">
        <v>87</v>
      </c>
      <c r="G7111" s="284" t="s">
        <v>2168</v>
      </c>
      <c r="H7111" s="33" t="s">
        <v>9952</v>
      </c>
      <c r="I7111" s="282">
        <v>1</v>
      </c>
      <c r="J7111" s="286">
        <v>25</v>
      </c>
      <c r="K7111" s="282">
        <v>0</v>
      </c>
      <c r="L7111" s="282">
        <v>0</v>
      </c>
      <c r="M7111" s="282">
        <v>0</v>
      </c>
      <c r="N7111" s="282">
        <v>0</v>
      </c>
      <c r="O7111" s="285">
        <v>0</v>
      </c>
      <c r="P7111" s="288">
        <v>7.9320000000000002E-2</v>
      </c>
      <c r="Q7111" s="287" t="s">
        <v>154</v>
      </c>
    </row>
    <row r="7112" spans="1:17" s="162" customFormat="1" ht="120" x14ac:dyDescent="0.25">
      <c r="A7112" s="281">
        <v>43229</v>
      </c>
      <c r="B7112" s="281">
        <v>43229</v>
      </c>
      <c r="C7112" s="282">
        <v>2018</v>
      </c>
      <c r="D7112" s="24" t="s">
        <v>141</v>
      </c>
      <c r="E7112" s="30" t="s">
        <v>142</v>
      </c>
      <c r="F7112" s="25" t="s">
        <v>781</v>
      </c>
      <c r="G7112" s="284" t="s">
        <v>1580</v>
      </c>
      <c r="H7112" s="33" t="s">
        <v>9953</v>
      </c>
      <c r="I7112" s="282">
        <v>0</v>
      </c>
      <c r="J7112" s="286">
        <v>40</v>
      </c>
      <c r="K7112" s="282">
        <v>0</v>
      </c>
      <c r="L7112" s="282">
        <v>0</v>
      </c>
      <c r="M7112" s="282">
        <v>0</v>
      </c>
      <c r="N7112" s="282">
        <v>0</v>
      </c>
      <c r="O7112" s="285">
        <v>0</v>
      </c>
      <c r="P7112" s="288">
        <v>7.8420000000000004E-2</v>
      </c>
      <c r="Q7112" s="287" t="s">
        <v>154</v>
      </c>
    </row>
    <row r="7113" spans="1:17" s="162" customFormat="1" ht="144" x14ac:dyDescent="0.25">
      <c r="A7113" s="281">
        <v>43233</v>
      </c>
      <c r="B7113" s="281">
        <v>43233</v>
      </c>
      <c r="C7113" s="282">
        <v>2018</v>
      </c>
      <c r="D7113" s="24" t="s">
        <v>141</v>
      </c>
      <c r="E7113" s="30" t="s">
        <v>142</v>
      </c>
      <c r="F7113" s="7" t="s">
        <v>87</v>
      </c>
      <c r="G7113" s="284" t="s">
        <v>936</v>
      </c>
      <c r="H7113" s="33" t="s">
        <v>9954</v>
      </c>
      <c r="I7113" s="282">
        <v>0</v>
      </c>
      <c r="J7113" s="286">
        <v>5</v>
      </c>
      <c r="K7113" s="282">
        <v>0</v>
      </c>
      <c r="L7113" s="282">
        <v>0</v>
      </c>
      <c r="M7113" s="282">
        <v>0</v>
      </c>
      <c r="N7113" s="282">
        <v>0</v>
      </c>
      <c r="O7113" s="285">
        <v>0</v>
      </c>
      <c r="P7113" s="288">
        <v>1.1897909100000001</v>
      </c>
      <c r="Q7113" s="287" t="s">
        <v>154</v>
      </c>
    </row>
    <row r="7114" spans="1:17" s="162" customFormat="1" ht="108" x14ac:dyDescent="0.25">
      <c r="A7114" s="281">
        <v>43235</v>
      </c>
      <c r="B7114" s="281">
        <v>43235</v>
      </c>
      <c r="C7114" s="282">
        <v>2018</v>
      </c>
      <c r="D7114" s="24" t="s">
        <v>141</v>
      </c>
      <c r="E7114" s="30" t="s">
        <v>142</v>
      </c>
      <c r="F7114" s="7" t="s">
        <v>36</v>
      </c>
      <c r="G7114" s="284" t="s">
        <v>9955</v>
      </c>
      <c r="H7114" s="33" t="s">
        <v>9956</v>
      </c>
      <c r="I7114" s="282">
        <v>2</v>
      </c>
      <c r="J7114" s="286">
        <v>2</v>
      </c>
      <c r="K7114" s="282">
        <v>0</v>
      </c>
      <c r="L7114" s="282">
        <v>0</v>
      </c>
      <c r="M7114" s="282">
        <v>0</v>
      </c>
      <c r="N7114" s="282">
        <v>0</v>
      </c>
      <c r="O7114" s="285">
        <v>0</v>
      </c>
      <c r="P7114" s="288">
        <v>4.4899779160159357</v>
      </c>
      <c r="Q7114" s="287" t="s">
        <v>154</v>
      </c>
    </row>
    <row r="7115" spans="1:17" s="162" customFormat="1" ht="216" x14ac:dyDescent="0.25">
      <c r="A7115" s="281">
        <v>43239</v>
      </c>
      <c r="B7115" s="281">
        <v>43239</v>
      </c>
      <c r="C7115" s="282">
        <v>2018</v>
      </c>
      <c r="D7115" s="24" t="s">
        <v>141</v>
      </c>
      <c r="E7115" s="30" t="s">
        <v>142</v>
      </c>
      <c r="F7115" s="7" t="s">
        <v>65</v>
      </c>
      <c r="G7115" s="284" t="s">
        <v>418</v>
      </c>
      <c r="H7115" s="33" t="s">
        <v>9957</v>
      </c>
      <c r="I7115" s="282">
        <v>0</v>
      </c>
      <c r="J7115" s="286">
        <v>48</v>
      </c>
      <c r="K7115" s="282">
        <v>0</v>
      </c>
      <c r="L7115" s="282">
        <v>0</v>
      </c>
      <c r="M7115" s="282">
        <v>0</v>
      </c>
      <c r="N7115" s="282">
        <v>0</v>
      </c>
      <c r="O7115" s="285">
        <v>0</v>
      </c>
      <c r="P7115" s="288">
        <v>9.3719999999999998E-2</v>
      </c>
      <c r="Q7115" s="287" t="s">
        <v>154</v>
      </c>
    </row>
    <row r="7116" spans="1:17" s="162" customFormat="1" ht="192" x14ac:dyDescent="0.25">
      <c r="A7116" s="281">
        <v>43240</v>
      </c>
      <c r="B7116" s="281">
        <v>43240</v>
      </c>
      <c r="C7116" s="282">
        <v>2018</v>
      </c>
      <c r="D7116" s="24" t="s">
        <v>141</v>
      </c>
      <c r="E7116" s="30" t="s">
        <v>142</v>
      </c>
      <c r="F7116" s="7" t="s">
        <v>53</v>
      </c>
      <c r="G7116" s="284" t="s">
        <v>8945</v>
      </c>
      <c r="H7116" s="33" t="s">
        <v>9958</v>
      </c>
      <c r="I7116" s="282">
        <v>2</v>
      </c>
      <c r="J7116" s="286">
        <v>30</v>
      </c>
      <c r="K7116" s="282">
        <v>0</v>
      </c>
      <c r="L7116" s="282">
        <v>0</v>
      </c>
      <c r="M7116" s="282">
        <v>0</v>
      </c>
      <c r="N7116" s="282">
        <v>0</v>
      </c>
      <c r="O7116" s="285">
        <v>0</v>
      </c>
      <c r="P7116" s="288">
        <v>0.66539999999999999</v>
      </c>
      <c r="Q7116" s="287" t="s">
        <v>154</v>
      </c>
    </row>
    <row r="7117" spans="1:17" s="162" customFormat="1" ht="192" x14ac:dyDescent="0.25">
      <c r="A7117" s="281">
        <v>43245</v>
      </c>
      <c r="B7117" s="281">
        <v>43245</v>
      </c>
      <c r="C7117" s="282">
        <v>2018</v>
      </c>
      <c r="D7117" s="24" t="s">
        <v>141</v>
      </c>
      <c r="E7117" s="30" t="s">
        <v>142</v>
      </c>
      <c r="F7117" s="7" t="s">
        <v>101</v>
      </c>
      <c r="G7117" s="284" t="s">
        <v>752</v>
      </c>
      <c r="H7117" s="33" t="s">
        <v>9959</v>
      </c>
      <c r="I7117" s="282">
        <v>0</v>
      </c>
      <c r="J7117" s="286">
        <v>15</v>
      </c>
      <c r="K7117" s="282">
        <v>0</v>
      </c>
      <c r="L7117" s="282">
        <v>0</v>
      </c>
      <c r="M7117" s="282">
        <v>0</v>
      </c>
      <c r="N7117" s="282">
        <v>0</v>
      </c>
      <c r="O7117" s="285">
        <v>0</v>
      </c>
      <c r="P7117" s="288">
        <v>0.18303</v>
      </c>
      <c r="Q7117" s="287" t="s">
        <v>154</v>
      </c>
    </row>
    <row r="7118" spans="1:17" s="162" customFormat="1" ht="96" x14ac:dyDescent="0.25">
      <c r="A7118" s="281">
        <v>43248</v>
      </c>
      <c r="B7118" s="281">
        <v>43248</v>
      </c>
      <c r="C7118" s="282">
        <v>2018</v>
      </c>
      <c r="D7118" s="24" t="s">
        <v>141</v>
      </c>
      <c r="E7118" s="30" t="s">
        <v>142</v>
      </c>
      <c r="F7118" s="7" t="s">
        <v>68</v>
      </c>
      <c r="G7118" s="284" t="s">
        <v>9960</v>
      </c>
      <c r="H7118" s="33" t="s">
        <v>9961</v>
      </c>
      <c r="I7118" s="282">
        <v>1</v>
      </c>
      <c r="J7118" s="286">
        <v>1</v>
      </c>
      <c r="K7118" s="282">
        <v>0</v>
      </c>
      <c r="L7118" s="282">
        <v>0</v>
      </c>
      <c r="M7118" s="282">
        <v>0</v>
      </c>
      <c r="N7118" s="282">
        <v>0</v>
      </c>
      <c r="O7118" s="285">
        <v>0</v>
      </c>
      <c r="P7118" s="288">
        <v>0.20310606976744186</v>
      </c>
      <c r="Q7118" s="287" t="s">
        <v>154</v>
      </c>
    </row>
    <row r="7119" spans="1:17" s="162" customFormat="1" ht="120" x14ac:dyDescent="0.25">
      <c r="A7119" s="281">
        <v>43248</v>
      </c>
      <c r="B7119" s="281">
        <v>43248</v>
      </c>
      <c r="C7119" s="282">
        <v>2018</v>
      </c>
      <c r="D7119" s="24" t="s">
        <v>141</v>
      </c>
      <c r="E7119" s="30" t="s">
        <v>142</v>
      </c>
      <c r="F7119" s="28" t="s">
        <v>210</v>
      </c>
      <c r="G7119" s="284" t="s">
        <v>2938</v>
      </c>
      <c r="H7119" s="33" t="s">
        <v>9962</v>
      </c>
      <c r="I7119" s="282">
        <v>1</v>
      </c>
      <c r="J7119" s="286">
        <v>30</v>
      </c>
      <c r="K7119" s="282">
        <v>0</v>
      </c>
      <c r="L7119" s="282">
        <v>0</v>
      </c>
      <c r="M7119" s="282">
        <v>0</v>
      </c>
      <c r="N7119" s="282">
        <v>0</v>
      </c>
      <c r="O7119" s="285">
        <v>0</v>
      </c>
      <c r="P7119" s="288">
        <v>0.77685303488372093</v>
      </c>
      <c r="Q7119" s="287" t="s">
        <v>154</v>
      </c>
    </row>
    <row r="7120" spans="1:17" s="162" customFormat="1" ht="156" x14ac:dyDescent="0.25">
      <c r="A7120" s="281">
        <v>43249</v>
      </c>
      <c r="B7120" s="281">
        <v>43249</v>
      </c>
      <c r="C7120" s="282">
        <v>2018</v>
      </c>
      <c r="D7120" s="24" t="s">
        <v>141</v>
      </c>
      <c r="E7120" s="30" t="s">
        <v>142</v>
      </c>
      <c r="F7120" s="28" t="s">
        <v>157</v>
      </c>
      <c r="G7120" s="284" t="s">
        <v>206</v>
      </c>
      <c r="H7120" s="33" t="s">
        <v>9963</v>
      </c>
      <c r="I7120" s="282">
        <v>0</v>
      </c>
      <c r="J7120" s="286">
        <v>15</v>
      </c>
      <c r="K7120" s="282">
        <v>0</v>
      </c>
      <c r="L7120" s="282">
        <v>0</v>
      </c>
      <c r="M7120" s="282">
        <v>0</v>
      </c>
      <c r="N7120" s="282">
        <v>0</v>
      </c>
      <c r="O7120" s="285">
        <v>0</v>
      </c>
      <c r="P7120" s="288">
        <v>0.35041506976744186</v>
      </c>
      <c r="Q7120" s="287" t="s">
        <v>154</v>
      </c>
    </row>
    <row r="7121" spans="1:17" s="162" customFormat="1" ht="96" x14ac:dyDescent="0.25">
      <c r="A7121" s="281">
        <v>43250</v>
      </c>
      <c r="B7121" s="281">
        <v>43250</v>
      </c>
      <c r="C7121" s="282">
        <v>2018</v>
      </c>
      <c r="D7121" s="24" t="s">
        <v>141</v>
      </c>
      <c r="E7121" s="30" t="s">
        <v>142</v>
      </c>
      <c r="F7121" s="7" t="s">
        <v>40</v>
      </c>
      <c r="G7121" s="284" t="s">
        <v>6766</v>
      </c>
      <c r="H7121" s="33" t="s">
        <v>9964</v>
      </c>
      <c r="I7121" s="282">
        <v>1</v>
      </c>
      <c r="J7121" s="286">
        <v>6</v>
      </c>
      <c r="K7121" s="282">
        <v>0</v>
      </c>
      <c r="L7121" s="282">
        <v>0</v>
      </c>
      <c r="M7121" s="282">
        <v>0</v>
      </c>
      <c r="N7121" s="282">
        <v>0</v>
      </c>
      <c r="O7121" s="285">
        <v>0</v>
      </c>
      <c r="P7121" s="288">
        <v>2.0355606976744185</v>
      </c>
      <c r="Q7121" s="287" t="s">
        <v>154</v>
      </c>
    </row>
    <row r="7122" spans="1:17" s="162" customFormat="1" ht="180" x14ac:dyDescent="0.25">
      <c r="A7122" s="281">
        <v>43253</v>
      </c>
      <c r="B7122" s="281">
        <v>43253</v>
      </c>
      <c r="C7122" s="282">
        <v>2018</v>
      </c>
      <c r="D7122" s="24" t="s">
        <v>141</v>
      </c>
      <c r="E7122" s="30" t="s">
        <v>142</v>
      </c>
      <c r="F7122" s="7" t="s">
        <v>53</v>
      </c>
      <c r="G7122" s="284" t="s">
        <v>9965</v>
      </c>
      <c r="H7122" s="33" t="s">
        <v>9966</v>
      </c>
      <c r="I7122" s="282">
        <v>8</v>
      </c>
      <c r="J7122" s="286">
        <v>23</v>
      </c>
      <c r="K7122" s="282">
        <v>0</v>
      </c>
      <c r="L7122" s="282">
        <v>0</v>
      </c>
      <c r="M7122" s="282">
        <v>0</v>
      </c>
      <c r="N7122" s="282">
        <v>0</v>
      </c>
      <c r="O7122" s="285">
        <v>0</v>
      </c>
      <c r="P7122" s="288">
        <v>1.6782303488372095</v>
      </c>
      <c r="Q7122" s="287" t="s">
        <v>154</v>
      </c>
    </row>
    <row r="7123" spans="1:17" s="162" customFormat="1" ht="132" x14ac:dyDescent="0.25">
      <c r="A7123" s="281">
        <v>43255</v>
      </c>
      <c r="B7123" s="281">
        <v>43255</v>
      </c>
      <c r="C7123" s="282">
        <v>2018</v>
      </c>
      <c r="D7123" s="24" t="s">
        <v>141</v>
      </c>
      <c r="E7123" s="41" t="s">
        <v>1965</v>
      </c>
      <c r="F7123" s="7" t="s">
        <v>40</v>
      </c>
      <c r="G7123" s="284" t="s">
        <v>4333</v>
      </c>
      <c r="H7123" s="33" t="s">
        <v>9967</v>
      </c>
      <c r="I7123" s="282">
        <v>4</v>
      </c>
      <c r="J7123" s="286">
        <v>20</v>
      </c>
      <c r="K7123" s="282">
        <v>0</v>
      </c>
      <c r="L7123" s="282">
        <v>0</v>
      </c>
      <c r="M7123" s="282">
        <v>0</v>
      </c>
      <c r="N7123" s="282">
        <v>1</v>
      </c>
      <c r="O7123" s="285">
        <v>0</v>
      </c>
      <c r="P7123" s="288">
        <v>0.38131399999999999</v>
      </c>
      <c r="Q7123" s="287" t="s">
        <v>154</v>
      </c>
    </row>
    <row r="7124" spans="1:17" s="162" customFormat="1" ht="96" x14ac:dyDescent="0.25">
      <c r="A7124" s="281">
        <v>43255</v>
      </c>
      <c r="B7124" s="281">
        <v>43255</v>
      </c>
      <c r="C7124" s="282">
        <v>2018</v>
      </c>
      <c r="D7124" s="24" t="s">
        <v>141</v>
      </c>
      <c r="E7124" s="30" t="s">
        <v>142</v>
      </c>
      <c r="F7124" s="7" t="s">
        <v>75</v>
      </c>
      <c r="G7124" s="284" t="s">
        <v>5046</v>
      </c>
      <c r="H7124" s="33" t="s">
        <v>9968</v>
      </c>
      <c r="I7124" s="282">
        <v>0</v>
      </c>
      <c r="J7124" s="286">
        <v>11</v>
      </c>
      <c r="K7124" s="282">
        <v>0</v>
      </c>
      <c r="L7124" s="282">
        <v>0</v>
      </c>
      <c r="M7124" s="282">
        <v>0</v>
      </c>
      <c r="N7124" s="282">
        <v>0</v>
      </c>
      <c r="O7124" s="285">
        <v>0</v>
      </c>
      <c r="P7124" s="288">
        <v>6.8519999999999998E-2</v>
      </c>
      <c r="Q7124" s="287" t="s">
        <v>154</v>
      </c>
    </row>
    <row r="7125" spans="1:17" s="162" customFormat="1" ht="96" x14ac:dyDescent="0.25">
      <c r="A7125" s="281">
        <v>43257</v>
      </c>
      <c r="B7125" s="281">
        <v>43257</v>
      </c>
      <c r="C7125" s="282">
        <v>2018</v>
      </c>
      <c r="D7125" s="24" t="s">
        <v>141</v>
      </c>
      <c r="E7125" s="30" t="s">
        <v>142</v>
      </c>
      <c r="F7125" s="7" t="s">
        <v>60</v>
      </c>
      <c r="G7125" s="284" t="s">
        <v>1256</v>
      </c>
      <c r="H7125" s="33" t="s">
        <v>9969</v>
      </c>
      <c r="I7125" s="282">
        <v>0</v>
      </c>
      <c r="J7125" s="286">
        <v>19</v>
      </c>
      <c r="K7125" s="282">
        <v>0</v>
      </c>
      <c r="L7125" s="282">
        <v>0</v>
      </c>
      <c r="M7125" s="282">
        <v>0</v>
      </c>
      <c r="N7125" s="282">
        <v>0</v>
      </c>
      <c r="O7125" s="285">
        <v>0</v>
      </c>
      <c r="P7125" s="288">
        <v>0.21272818200000004</v>
      </c>
      <c r="Q7125" s="287" t="s">
        <v>154</v>
      </c>
    </row>
    <row r="7126" spans="1:17" s="162" customFormat="1" ht="108" x14ac:dyDescent="0.25">
      <c r="A7126" s="281">
        <v>43258</v>
      </c>
      <c r="B7126" s="281">
        <v>43258</v>
      </c>
      <c r="C7126" s="282">
        <v>2018</v>
      </c>
      <c r="D7126" s="24" t="s">
        <v>141</v>
      </c>
      <c r="E7126" s="30" t="s">
        <v>142</v>
      </c>
      <c r="F7126" s="7" t="s">
        <v>60</v>
      </c>
      <c r="G7126" s="284" t="s">
        <v>2508</v>
      </c>
      <c r="H7126" s="33" t="s">
        <v>9970</v>
      </c>
      <c r="I7126" s="282">
        <v>1</v>
      </c>
      <c r="J7126" s="286">
        <v>51</v>
      </c>
      <c r="K7126" s="282">
        <v>0</v>
      </c>
      <c r="L7126" s="282">
        <v>0</v>
      </c>
      <c r="M7126" s="282">
        <v>0</v>
      </c>
      <c r="N7126" s="282">
        <v>0</v>
      </c>
      <c r="O7126" s="285">
        <v>0</v>
      </c>
      <c r="P7126" s="288">
        <v>1.2302909100000001</v>
      </c>
      <c r="Q7126" s="287" t="s">
        <v>154</v>
      </c>
    </row>
    <row r="7127" spans="1:17" s="162" customFormat="1" ht="120" x14ac:dyDescent="0.25">
      <c r="A7127" s="281">
        <v>43258</v>
      </c>
      <c r="B7127" s="281">
        <v>43258</v>
      </c>
      <c r="C7127" s="282">
        <v>2018</v>
      </c>
      <c r="D7127" s="24" t="s">
        <v>141</v>
      </c>
      <c r="E7127" s="30" t="s">
        <v>142</v>
      </c>
      <c r="F7127" s="28" t="s">
        <v>157</v>
      </c>
      <c r="G7127" s="284" t="s">
        <v>526</v>
      </c>
      <c r="H7127" s="33" t="s">
        <v>9971</v>
      </c>
      <c r="I7127" s="282">
        <v>0</v>
      </c>
      <c r="J7127" s="286">
        <v>7</v>
      </c>
      <c r="K7127" s="282">
        <v>0</v>
      </c>
      <c r="L7127" s="282">
        <v>0</v>
      </c>
      <c r="M7127" s="282">
        <v>0</v>
      </c>
      <c r="N7127" s="282">
        <v>0</v>
      </c>
      <c r="O7127" s="285">
        <v>0</v>
      </c>
      <c r="P7127" s="288">
        <v>3.1784699999999999E-2</v>
      </c>
      <c r="Q7127" s="287" t="s">
        <v>154</v>
      </c>
    </row>
    <row r="7128" spans="1:17" s="162" customFormat="1" ht="120" x14ac:dyDescent="0.25">
      <c r="A7128" s="281">
        <v>43258</v>
      </c>
      <c r="B7128" s="281">
        <v>43258</v>
      </c>
      <c r="C7128" s="282">
        <v>2018</v>
      </c>
      <c r="D7128" s="24" t="s">
        <v>141</v>
      </c>
      <c r="E7128" s="30" t="s">
        <v>142</v>
      </c>
      <c r="F7128" s="7" t="s">
        <v>67</v>
      </c>
      <c r="G7128" s="284" t="s">
        <v>5164</v>
      </c>
      <c r="H7128" s="33" t="s">
        <v>9972</v>
      </c>
      <c r="I7128" s="282">
        <v>0</v>
      </c>
      <c r="J7128" s="286">
        <v>35</v>
      </c>
      <c r="K7128" s="282">
        <v>0</v>
      </c>
      <c r="L7128" s="282">
        <v>0</v>
      </c>
      <c r="M7128" s="282">
        <v>0</v>
      </c>
      <c r="N7128" s="282">
        <v>0</v>
      </c>
      <c r="O7128" s="285">
        <v>0</v>
      </c>
      <c r="P7128" s="288">
        <v>0.75885303488372091</v>
      </c>
      <c r="Q7128" s="287" t="s">
        <v>154</v>
      </c>
    </row>
    <row r="7129" spans="1:17" s="162" customFormat="1" ht="96" x14ac:dyDescent="0.25">
      <c r="A7129" s="281">
        <v>43262</v>
      </c>
      <c r="B7129" s="281">
        <v>43262</v>
      </c>
      <c r="C7129" s="282">
        <v>2018</v>
      </c>
      <c r="D7129" s="24" t="s">
        <v>141</v>
      </c>
      <c r="E7129" s="30" t="s">
        <v>142</v>
      </c>
      <c r="F7129" s="7" t="s">
        <v>58</v>
      </c>
      <c r="G7129" s="284" t="s">
        <v>5823</v>
      </c>
      <c r="H7129" s="33" t="s">
        <v>9973</v>
      </c>
      <c r="I7129" s="282">
        <v>0</v>
      </c>
      <c r="J7129" s="286">
        <v>9</v>
      </c>
      <c r="K7129" s="282">
        <v>0</v>
      </c>
      <c r="L7129" s="282">
        <v>0</v>
      </c>
      <c r="M7129" s="282">
        <v>0</v>
      </c>
      <c r="N7129" s="282">
        <v>0</v>
      </c>
      <c r="O7129" s="285">
        <v>0</v>
      </c>
      <c r="P7129" s="288">
        <v>8.7480000000000002E-2</v>
      </c>
      <c r="Q7129" s="287" t="s">
        <v>154</v>
      </c>
    </row>
    <row r="7130" spans="1:17" s="162" customFormat="1" ht="108" x14ac:dyDescent="0.25">
      <c r="A7130" s="281">
        <v>43266</v>
      </c>
      <c r="B7130" s="281">
        <v>43266</v>
      </c>
      <c r="C7130" s="282">
        <v>2018</v>
      </c>
      <c r="D7130" s="24" t="s">
        <v>141</v>
      </c>
      <c r="E7130" s="30" t="s">
        <v>142</v>
      </c>
      <c r="F7130" s="7" t="s">
        <v>60</v>
      </c>
      <c r="G7130" s="284" t="s">
        <v>1256</v>
      </c>
      <c r="H7130" s="33" t="s">
        <v>9974</v>
      </c>
      <c r="I7130" s="282">
        <v>6</v>
      </c>
      <c r="J7130" s="286">
        <v>41</v>
      </c>
      <c r="K7130" s="282">
        <v>0</v>
      </c>
      <c r="L7130" s="282">
        <v>0</v>
      </c>
      <c r="M7130" s="282">
        <v>0</v>
      </c>
      <c r="N7130" s="282">
        <v>0</v>
      </c>
      <c r="O7130" s="285">
        <v>0</v>
      </c>
      <c r="P7130" s="288">
        <v>0.68069999999999997</v>
      </c>
      <c r="Q7130" s="287" t="s">
        <v>154</v>
      </c>
    </row>
    <row r="7131" spans="1:17" s="162" customFormat="1" ht="96" x14ac:dyDescent="0.25">
      <c r="A7131" s="281">
        <v>43270</v>
      </c>
      <c r="B7131" s="281">
        <v>43270</v>
      </c>
      <c r="C7131" s="282">
        <v>2018</v>
      </c>
      <c r="D7131" s="24" t="s">
        <v>141</v>
      </c>
      <c r="E7131" s="30" t="s">
        <v>142</v>
      </c>
      <c r="F7131" s="7" t="s">
        <v>87</v>
      </c>
      <c r="G7131" s="284" t="s">
        <v>2168</v>
      </c>
      <c r="H7131" s="33" t="s">
        <v>9975</v>
      </c>
      <c r="I7131" s="282">
        <v>9</v>
      </c>
      <c r="J7131" s="286">
        <v>16</v>
      </c>
      <c r="K7131" s="282">
        <v>0</v>
      </c>
      <c r="L7131" s="282">
        <v>0</v>
      </c>
      <c r="M7131" s="282">
        <v>0</v>
      </c>
      <c r="N7131" s="282">
        <v>0</v>
      </c>
      <c r="O7131" s="285">
        <v>0</v>
      </c>
      <c r="P7131" s="288">
        <v>1.0077</v>
      </c>
      <c r="Q7131" s="287" t="s">
        <v>154</v>
      </c>
    </row>
    <row r="7132" spans="1:17" s="162" customFormat="1" ht="108" x14ac:dyDescent="0.25">
      <c r="A7132" s="281">
        <v>43270</v>
      </c>
      <c r="B7132" s="281">
        <v>43270</v>
      </c>
      <c r="C7132" s="282">
        <v>2018</v>
      </c>
      <c r="D7132" s="24" t="s">
        <v>141</v>
      </c>
      <c r="E7132" s="41" t="s">
        <v>1965</v>
      </c>
      <c r="F7132" s="7" t="s">
        <v>80</v>
      </c>
      <c r="G7132" s="284" t="s">
        <v>1089</v>
      </c>
      <c r="H7132" s="33" t="s">
        <v>9976</v>
      </c>
      <c r="I7132" s="282">
        <v>0</v>
      </c>
      <c r="J7132" s="286">
        <v>9</v>
      </c>
      <c r="K7132" s="282">
        <v>0</v>
      </c>
      <c r="L7132" s="282">
        <v>0</v>
      </c>
      <c r="M7132" s="282">
        <v>0</v>
      </c>
      <c r="N7132" s="282">
        <v>0</v>
      </c>
      <c r="O7132" s="285">
        <v>0</v>
      </c>
      <c r="P7132" s="288">
        <v>6.3E-3</v>
      </c>
      <c r="Q7132" s="287" t="s">
        <v>154</v>
      </c>
    </row>
    <row r="7133" spans="1:17" s="162" customFormat="1" ht="84" x14ac:dyDescent="0.25">
      <c r="A7133" s="281">
        <v>43272</v>
      </c>
      <c r="B7133" s="281">
        <v>43272</v>
      </c>
      <c r="C7133" s="282">
        <v>2018</v>
      </c>
      <c r="D7133" s="24" t="s">
        <v>141</v>
      </c>
      <c r="E7133" s="30" t="s">
        <v>142</v>
      </c>
      <c r="F7133" s="7" t="s">
        <v>68</v>
      </c>
      <c r="G7133" s="284" t="s">
        <v>9960</v>
      </c>
      <c r="H7133" s="33" t="s">
        <v>9977</v>
      </c>
      <c r="I7133" s="282">
        <v>0</v>
      </c>
      <c r="J7133" s="286">
        <v>43</v>
      </c>
      <c r="K7133" s="282">
        <v>0</v>
      </c>
      <c r="L7133" s="282">
        <v>0</v>
      </c>
      <c r="M7133" s="282">
        <v>0</v>
      </c>
      <c r="N7133" s="282">
        <v>0</v>
      </c>
      <c r="O7133" s="285">
        <v>0</v>
      </c>
      <c r="P7133" s="288">
        <v>0.90584699999999996</v>
      </c>
      <c r="Q7133" s="287" t="s">
        <v>154</v>
      </c>
    </row>
    <row r="7134" spans="1:17" s="162" customFormat="1" ht="156" x14ac:dyDescent="0.25">
      <c r="A7134" s="281">
        <v>43275</v>
      </c>
      <c r="B7134" s="281">
        <v>43275</v>
      </c>
      <c r="C7134" s="282">
        <v>2018</v>
      </c>
      <c r="D7134" s="24" t="s">
        <v>141</v>
      </c>
      <c r="E7134" s="30" t="s">
        <v>142</v>
      </c>
      <c r="F7134" s="7" t="s">
        <v>56</v>
      </c>
      <c r="G7134" s="284" t="s">
        <v>1638</v>
      </c>
      <c r="H7134" s="33" t="s">
        <v>9978</v>
      </c>
      <c r="I7134" s="282">
        <v>1</v>
      </c>
      <c r="J7134" s="286">
        <v>8</v>
      </c>
      <c r="K7134" s="282">
        <v>0</v>
      </c>
      <c r="L7134" s="282">
        <v>0</v>
      </c>
      <c r="M7134" s="282">
        <v>0</v>
      </c>
      <c r="N7134" s="282">
        <v>0</v>
      </c>
      <c r="O7134" s="285">
        <v>0</v>
      </c>
      <c r="P7134" s="288">
        <v>0.30083700000000002</v>
      </c>
      <c r="Q7134" s="287" t="s">
        <v>154</v>
      </c>
    </row>
    <row r="7135" spans="1:17" s="162" customFormat="1" ht="156" x14ac:dyDescent="0.25">
      <c r="A7135" s="281">
        <v>43280</v>
      </c>
      <c r="B7135" s="281">
        <v>43280</v>
      </c>
      <c r="C7135" s="282">
        <v>2018</v>
      </c>
      <c r="D7135" s="24" t="s">
        <v>141</v>
      </c>
      <c r="E7135" s="30" t="s">
        <v>142</v>
      </c>
      <c r="F7135" s="7" t="s">
        <v>75</v>
      </c>
      <c r="G7135" s="284" t="s">
        <v>269</v>
      </c>
      <c r="H7135" s="33" t="s">
        <v>9979</v>
      </c>
      <c r="I7135" s="282">
        <v>0</v>
      </c>
      <c r="J7135" s="286">
        <v>7</v>
      </c>
      <c r="K7135" s="282">
        <v>0</v>
      </c>
      <c r="L7135" s="282">
        <v>0</v>
      </c>
      <c r="M7135" s="282">
        <v>0</v>
      </c>
      <c r="N7135" s="282">
        <v>0</v>
      </c>
      <c r="O7135" s="285">
        <v>0</v>
      </c>
      <c r="P7135" s="288">
        <v>0.12482909100000002</v>
      </c>
      <c r="Q7135" s="287" t="s">
        <v>154</v>
      </c>
    </row>
    <row r="7136" spans="1:17" s="162" customFormat="1" ht="156" x14ac:dyDescent="0.25">
      <c r="A7136" s="281">
        <v>43288</v>
      </c>
      <c r="B7136" s="281">
        <v>43288</v>
      </c>
      <c r="C7136" s="282">
        <v>2018</v>
      </c>
      <c r="D7136" s="24" t="s">
        <v>141</v>
      </c>
      <c r="E7136" s="30" t="s">
        <v>142</v>
      </c>
      <c r="F7136" s="7" t="s">
        <v>53</v>
      </c>
      <c r="G7136" s="284" t="s">
        <v>6359</v>
      </c>
      <c r="H7136" s="33" t="s">
        <v>9980</v>
      </c>
      <c r="I7136" s="282">
        <v>3</v>
      </c>
      <c r="J7136" s="286">
        <v>24</v>
      </c>
      <c r="K7136" s="282">
        <v>0</v>
      </c>
      <c r="L7136" s="282">
        <v>0</v>
      </c>
      <c r="M7136" s="282">
        <v>0</v>
      </c>
      <c r="N7136" s="282">
        <v>0</v>
      </c>
      <c r="O7136" s="285">
        <v>0</v>
      </c>
      <c r="P7136" s="288">
        <v>0.702809091</v>
      </c>
      <c r="Q7136" s="287" t="s">
        <v>154</v>
      </c>
    </row>
    <row r="7137" spans="1:17" s="162" customFormat="1" ht="156" x14ac:dyDescent="0.25">
      <c r="A7137" s="281">
        <v>43288</v>
      </c>
      <c r="B7137" s="281">
        <v>43288</v>
      </c>
      <c r="C7137" s="282">
        <v>2018</v>
      </c>
      <c r="D7137" s="24" t="s">
        <v>141</v>
      </c>
      <c r="E7137" s="30" t="s">
        <v>142</v>
      </c>
      <c r="F7137" s="7" t="s">
        <v>97</v>
      </c>
      <c r="G7137" s="284" t="s">
        <v>97</v>
      </c>
      <c r="H7137" s="33" t="s">
        <v>9981</v>
      </c>
      <c r="I7137" s="282">
        <v>4</v>
      </c>
      <c r="J7137" s="286">
        <v>10</v>
      </c>
      <c r="K7137" s="282">
        <v>0</v>
      </c>
      <c r="L7137" s="282">
        <v>0</v>
      </c>
      <c r="M7137" s="282">
        <v>0</v>
      </c>
      <c r="N7137" s="282">
        <v>0</v>
      </c>
      <c r="O7137" s="285">
        <v>0</v>
      </c>
      <c r="P7137" s="288">
        <v>0.29993700000000001</v>
      </c>
      <c r="Q7137" s="287" t="s">
        <v>154</v>
      </c>
    </row>
    <row r="7138" spans="1:17" s="162" customFormat="1" ht="96" x14ac:dyDescent="0.25">
      <c r="A7138" s="281">
        <v>43290</v>
      </c>
      <c r="B7138" s="281">
        <v>43290</v>
      </c>
      <c r="C7138" s="282">
        <v>2018</v>
      </c>
      <c r="D7138" s="24" t="s">
        <v>141</v>
      </c>
      <c r="E7138" s="30" t="s">
        <v>142</v>
      </c>
      <c r="F7138" s="7" t="s">
        <v>75</v>
      </c>
      <c r="G7138" s="284" t="s">
        <v>5046</v>
      </c>
      <c r="H7138" s="33" t="s">
        <v>9982</v>
      </c>
      <c r="I7138" s="282">
        <v>0</v>
      </c>
      <c r="J7138" s="286">
        <v>4</v>
      </c>
      <c r="K7138" s="282">
        <v>0</v>
      </c>
      <c r="L7138" s="282">
        <v>0</v>
      </c>
      <c r="M7138" s="282">
        <v>0</v>
      </c>
      <c r="N7138" s="282">
        <v>0</v>
      </c>
      <c r="O7138" s="285">
        <v>0</v>
      </c>
      <c r="P7138" s="288">
        <v>0.20159188200000003</v>
      </c>
      <c r="Q7138" s="287" t="s">
        <v>154</v>
      </c>
    </row>
    <row r="7139" spans="1:17" s="162" customFormat="1" ht="108" x14ac:dyDescent="0.25">
      <c r="A7139" s="281">
        <v>43291</v>
      </c>
      <c r="B7139" s="281">
        <v>43291</v>
      </c>
      <c r="C7139" s="282">
        <v>2018</v>
      </c>
      <c r="D7139" s="24" t="s">
        <v>141</v>
      </c>
      <c r="E7139" s="30" t="s">
        <v>142</v>
      </c>
      <c r="F7139" s="28" t="s">
        <v>210</v>
      </c>
      <c r="G7139" s="284" t="s">
        <v>210</v>
      </c>
      <c r="H7139" s="33" t="s">
        <v>9983</v>
      </c>
      <c r="I7139" s="282">
        <v>0</v>
      </c>
      <c r="J7139" s="286">
        <v>24</v>
      </c>
      <c r="K7139" s="282">
        <v>0</v>
      </c>
      <c r="L7139" s="282">
        <v>0</v>
      </c>
      <c r="M7139" s="282">
        <v>0</v>
      </c>
      <c r="N7139" s="282">
        <v>0</v>
      </c>
      <c r="O7139" s="285">
        <v>0</v>
      </c>
      <c r="P7139" s="288">
        <v>0.67079999999999995</v>
      </c>
      <c r="Q7139" s="287" t="s">
        <v>154</v>
      </c>
    </row>
    <row r="7140" spans="1:17" s="162" customFormat="1" ht="120" x14ac:dyDescent="0.25">
      <c r="A7140" s="281">
        <v>43291</v>
      </c>
      <c r="B7140" s="281">
        <v>43291</v>
      </c>
      <c r="C7140" s="282">
        <v>2018</v>
      </c>
      <c r="D7140" s="24" t="s">
        <v>141</v>
      </c>
      <c r="E7140" s="30" t="s">
        <v>142</v>
      </c>
      <c r="F7140" s="28" t="s">
        <v>157</v>
      </c>
      <c r="G7140" s="284" t="s">
        <v>1190</v>
      </c>
      <c r="H7140" s="33" t="s">
        <v>9984</v>
      </c>
      <c r="I7140" s="282">
        <v>0</v>
      </c>
      <c r="J7140" s="286">
        <v>23</v>
      </c>
      <c r="K7140" s="282">
        <v>0</v>
      </c>
      <c r="L7140" s="282">
        <v>0</v>
      </c>
      <c r="M7140" s="282">
        <v>0</v>
      </c>
      <c r="N7140" s="282">
        <v>0</v>
      </c>
      <c r="O7140" s="285">
        <v>0</v>
      </c>
      <c r="P7140" s="288">
        <v>0.6492</v>
      </c>
      <c r="Q7140" s="287" t="s">
        <v>154</v>
      </c>
    </row>
    <row r="7141" spans="1:17" s="162" customFormat="1" ht="96" x14ac:dyDescent="0.25">
      <c r="A7141" s="281">
        <v>43292</v>
      </c>
      <c r="B7141" s="281">
        <v>43292</v>
      </c>
      <c r="C7141" s="282">
        <v>2018</v>
      </c>
      <c r="D7141" s="24" t="s">
        <v>141</v>
      </c>
      <c r="E7141" s="30" t="s">
        <v>142</v>
      </c>
      <c r="F7141" s="7" t="s">
        <v>60</v>
      </c>
      <c r="G7141" s="284" t="s">
        <v>908</v>
      </c>
      <c r="H7141" s="33" t="s">
        <v>9985</v>
      </c>
      <c r="I7141" s="282">
        <v>1</v>
      </c>
      <c r="J7141" s="286">
        <v>13</v>
      </c>
      <c r="K7141" s="282">
        <v>0</v>
      </c>
      <c r="L7141" s="282">
        <v>0</v>
      </c>
      <c r="M7141" s="282">
        <v>0</v>
      </c>
      <c r="N7141" s="282">
        <v>0</v>
      </c>
      <c r="O7141" s="285">
        <v>0</v>
      </c>
      <c r="P7141" s="288">
        <v>0.95453699999999997</v>
      </c>
      <c r="Q7141" s="287" t="s">
        <v>154</v>
      </c>
    </row>
    <row r="7142" spans="1:17" s="162" customFormat="1" ht="120" x14ac:dyDescent="0.25">
      <c r="A7142" s="281">
        <v>43293</v>
      </c>
      <c r="B7142" s="281">
        <v>43293</v>
      </c>
      <c r="C7142" s="282">
        <v>2018</v>
      </c>
      <c r="D7142" s="24" t="s">
        <v>141</v>
      </c>
      <c r="E7142" s="283" t="s">
        <v>844</v>
      </c>
      <c r="F7142" s="28" t="s">
        <v>157</v>
      </c>
      <c r="G7142" s="284" t="s">
        <v>857</v>
      </c>
      <c r="H7142" s="33" t="s">
        <v>9986</v>
      </c>
      <c r="I7142" s="282">
        <v>0</v>
      </c>
      <c r="J7142" s="286">
        <v>250</v>
      </c>
      <c r="K7142" s="282">
        <v>0</v>
      </c>
      <c r="L7142" s="282">
        <v>0</v>
      </c>
      <c r="M7142" s="282">
        <v>0</v>
      </c>
      <c r="N7142" s="282">
        <v>1</v>
      </c>
      <c r="O7142" s="285">
        <v>0</v>
      </c>
      <c r="P7142" s="288">
        <v>0.01</v>
      </c>
      <c r="Q7142" s="287" t="s">
        <v>154</v>
      </c>
    </row>
    <row r="7143" spans="1:17" s="162" customFormat="1" ht="156" x14ac:dyDescent="0.25">
      <c r="A7143" s="281">
        <v>43296</v>
      </c>
      <c r="B7143" s="281">
        <v>43296</v>
      </c>
      <c r="C7143" s="282">
        <v>2018</v>
      </c>
      <c r="D7143" s="24" t="s">
        <v>141</v>
      </c>
      <c r="E7143" s="30" t="s">
        <v>142</v>
      </c>
      <c r="F7143" s="7" t="s">
        <v>58</v>
      </c>
      <c r="G7143" s="284" t="s">
        <v>9987</v>
      </c>
      <c r="H7143" s="33" t="s">
        <v>9988</v>
      </c>
      <c r="I7143" s="282">
        <v>0</v>
      </c>
      <c r="J7143" s="286">
        <v>5</v>
      </c>
      <c r="K7143" s="282">
        <v>0</v>
      </c>
      <c r="L7143" s="282">
        <v>0</v>
      </c>
      <c r="M7143" s="282">
        <v>0</v>
      </c>
      <c r="N7143" s="282">
        <v>0</v>
      </c>
      <c r="O7143" s="285">
        <v>0</v>
      </c>
      <c r="P7143" s="288">
        <v>5.5469400000000002E-2</v>
      </c>
      <c r="Q7143" s="287" t="s">
        <v>154</v>
      </c>
    </row>
    <row r="7144" spans="1:17" s="162" customFormat="1" ht="108" x14ac:dyDescent="0.25">
      <c r="A7144" s="281">
        <v>43298</v>
      </c>
      <c r="B7144" s="281">
        <v>43298</v>
      </c>
      <c r="C7144" s="282">
        <v>2018</v>
      </c>
      <c r="D7144" s="24" t="s">
        <v>141</v>
      </c>
      <c r="E7144" s="30" t="s">
        <v>142</v>
      </c>
      <c r="F7144" s="7" t="s">
        <v>72</v>
      </c>
      <c r="G7144" s="284" t="s">
        <v>3834</v>
      </c>
      <c r="H7144" s="33" t="s">
        <v>9989</v>
      </c>
      <c r="I7144" s="282">
        <v>0</v>
      </c>
      <c r="J7144" s="286">
        <v>2</v>
      </c>
      <c r="K7144" s="282">
        <v>0</v>
      </c>
      <c r="L7144" s="282">
        <v>0</v>
      </c>
      <c r="M7144" s="282">
        <v>0</v>
      </c>
      <c r="N7144" s="282">
        <v>0</v>
      </c>
      <c r="O7144" s="285">
        <v>0</v>
      </c>
      <c r="P7144" s="288">
        <v>4.4899779160159357</v>
      </c>
      <c r="Q7144" s="287" t="s">
        <v>154</v>
      </c>
    </row>
    <row r="7145" spans="1:17" s="162" customFormat="1" ht="96" x14ac:dyDescent="0.25">
      <c r="A7145" s="281">
        <v>43299</v>
      </c>
      <c r="B7145" s="281">
        <v>43299</v>
      </c>
      <c r="C7145" s="282">
        <v>2018</v>
      </c>
      <c r="D7145" s="24" t="s">
        <v>141</v>
      </c>
      <c r="E7145" s="41" t="s">
        <v>1965</v>
      </c>
      <c r="F7145" s="7" t="s">
        <v>62</v>
      </c>
      <c r="G7145" s="284" t="s">
        <v>165</v>
      </c>
      <c r="H7145" s="33" t="s">
        <v>9990</v>
      </c>
      <c r="I7145" s="282">
        <v>0</v>
      </c>
      <c r="J7145" s="286">
        <v>35</v>
      </c>
      <c r="K7145" s="282">
        <v>0</v>
      </c>
      <c r="L7145" s="282">
        <v>1</v>
      </c>
      <c r="M7145" s="282">
        <v>0</v>
      </c>
      <c r="N7145" s="282">
        <v>0</v>
      </c>
      <c r="O7145" s="285">
        <v>0</v>
      </c>
      <c r="P7145" s="288">
        <v>3.5999999999999999E-3</v>
      </c>
      <c r="Q7145" s="287" t="s">
        <v>154</v>
      </c>
    </row>
    <row r="7146" spans="1:17" s="162" customFormat="1" ht="108" x14ac:dyDescent="0.25">
      <c r="A7146" s="281">
        <v>43299</v>
      </c>
      <c r="B7146" s="281">
        <v>43299</v>
      </c>
      <c r="C7146" s="282">
        <v>2018</v>
      </c>
      <c r="D7146" s="24" t="s">
        <v>141</v>
      </c>
      <c r="E7146" s="30" t="s">
        <v>142</v>
      </c>
      <c r="F7146" s="7" t="s">
        <v>75</v>
      </c>
      <c r="G7146" s="284" t="s">
        <v>4469</v>
      </c>
      <c r="H7146" s="33" t="s">
        <v>9991</v>
      </c>
      <c r="I7146" s="282">
        <v>0</v>
      </c>
      <c r="J7146" s="286">
        <v>14</v>
      </c>
      <c r="K7146" s="282">
        <v>0</v>
      </c>
      <c r="L7146" s="282">
        <v>0</v>
      </c>
      <c r="M7146" s="282">
        <v>0</v>
      </c>
      <c r="N7146" s="282">
        <v>0</v>
      </c>
      <c r="O7146" s="285">
        <v>0</v>
      </c>
      <c r="P7146" s="288">
        <v>7.5974699999999992E-2</v>
      </c>
      <c r="Q7146" s="287" t="s">
        <v>154</v>
      </c>
    </row>
    <row r="7147" spans="1:17" s="162" customFormat="1" ht="120" x14ac:dyDescent="0.25">
      <c r="A7147" s="281">
        <v>43301</v>
      </c>
      <c r="B7147" s="281">
        <v>43301</v>
      </c>
      <c r="C7147" s="282">
        <v>2018</v>
      </c>
      <c r="D7147" s="24" t="s">
        <v>141</v>
      </c>
      <c r="E7147" s="30" t="s">
        <v>142</v>
      </c>
      <c r="F7147" s="7" t="s">
        <v>53</v>
      </c>
      <c r="G7147" s="284" t="s">
        <v>1304</v>
      </c>
      <c r="H7147" s="33" t="s">
        <v>9992</v>
      </c>
      <c r="I7147" s="282">
        <v>12</v>
      </c>
      <c r="J7147" s="286">
        <v>21</v>
      </c>
      <c r="K7147" s="282">
        <v>0</v>
      </c>
      <c r="L7147" s="282">
        <v>0</v>
      </c>
      <c r="M7147" s="282">
        <v>0</v>
      </c>
      <c r="N7147" s="282">
        <v>0</v>
      </c>
      <c r="O7147" s="285">
        <v>0</v>
      </c>
      <c r="P7147" s="288">
        <v>0.3645000348837209</v>
      </c>
      <c r="Q7147" s="287" t="s">
        <v>154</v>
      </c>
    </row>
    <row r="7148" spans="1:17" s="162" customFormat="1" ht="108" x14ac:dyDescent="0.25">
      <c r="A7148" s="281">
        <v>43301</v>
      </c>
      <c r="B7148" s="281">
        <v>43301</v>
      </c>
      <c r="C7148" s="282">
        <v>2018</v>
      </c>
      <c r="D7148" s="24" t="s">
        <v>141</v>
      </c>
      <c r="E7148" s="30" t="s">
        <v>142</v>
      </c>
      <c r="F7148" s="7" t="s">
        <v>62</v>
      </c>
      <c r="G7148" s="284" t="s">
        <v>6032</v>
      </c>
      <c r="H7148" s="33" t="s">
        <v>9993</v>
      </c>
      <c r="I7148" s="282">
        <v>1</v>
      </c>
      <c r="J7148" s="286">
        <v>30</v>
      </c>
      <c r="K7148" s="282">
        <v>0</v>
      </c>
      <c r="L7148" s="282">
        <v>0</v>
      </c>
      <c r="M7148" s="282">
        <v>0</v>
      </c>
      <c r="N7148" s="282">
        <v>0</v>
      </c>
      <c r="O7148" s="285">
        <v>0</v>
      </c>
      <c r="P7148" s="288">
        <v>0.6492</v>
      </c>
      <c r="Q7148" s="287" t="s">
        <v>154</v>
      </c>
    </row>
    <row r="7149" spans="1:17" s="162" customFormat="1" ht="96" x14ac:dyDescent="0.25">
      <c r="A7149" s="281">
        <v>43301</v>
      </c>
      <c r="B7149" s="281">
        <v>43301</v>
      </c>
      <c r="C7149" s="282">
        <v>2018</v>
      </c>
      <c r="D7149" s="24" t="s">
        <v>141</v>
      </c>
      <c r="E7149" s="30" t="s">
        <v>142</v>
      </c>
      <c r="F7149" s="7" t="s">
        <v>67</v>
      </c>
      <c r="G7149" s="284" t="s">
        <v>5164</v>
      </c>
      <c r="H7149" s="33" t="s">
        <v>9994</v>
      </c>
      <c r="I7149" s="282">
        <v>0</v>
      </c>
      <c r="J7149" s="286">
        <v>46</v>
      </c>
      <c r="K7149" s="282">
        <v>0</v>
      </c>
      <c r="L7149" s="282">
        <v>0</v>
      </c>
      <c r="M7149" s="282">
        <v>0</v>
      </c>
      <c r="N7149" s="282">
        <v>0</v>
      </c>
      <c r="O7149" s="285">
        <v>0</v>
      </c>
      <c r="P7149" s="288">
        <v>6.4920000000000005E-2</v>
      </c>
      <c r="Q7149" s="287" t="s">
        <v>154</v>
      </c>
    </row>
    <row r="7150" spans="1:17" s="162" customFormat="1" ht="108" x14ac:dyDescent="0.25">
      <c r="A7150" s="281">
        <v>43304</v>
      </c>
      <c r="B7150" s="281">
        <v>43304</v>
      </c>
      <c r="C7150" s="282">
        <v>2018</v>
      </c>
      <c r="D7150" s="24" t="s">
        <v>141</v>
      </c>
      <c r="E7150" s="30" t="s">
        <v>142</v>
      </c>
      <c r="F7150" s="28" t="s">
        <v>157</v>
      </c>
      <c r="G7150" s="284" t="s">
        <v>158</v>
      </c>
      <c r="H7150" s="33" t="s">
        <v>9995</v>
      </c>
      <c r="I7150" s="282">
        <v>0</v>
      </c>
      <c r="J7150" s="286">
        <v>3</v>
      </c>
      <c r="K7150" s="282">
        <v>0</v>
      </c>
      <c r="L7150" s="282">
        <v>0</v>
      </c>
      <c r="M7150" s="282">
        <v>0</v>
      </c>
      <c r="N7150" s="282">
        <v>0</v>
      </c>
      <c r="O7150" s="285">
        <v>0</v>
      </c>
      <c r="P7150" s="288">
        <v>0.29642909100000003</v>
      </c>
      <c r="Q7150" s="287" t="s">
        <v>154</v>
      </c>
    </row>
    <row r="7151" spans="1:17" s="162" customFormat="1" ht="120" x14ac:dyDescent="0.25">
      <c r="A7151" s="281">
        <v>43306</v>
      </c>
      <c r="B7151" s="281">
        <v>43306</v>
      </c>
      <c r="C7151" s="282">
        <v>2018</v>
      </c>
      <c r="D7151" s="24" t="s">
        <v>141</v>
      </c>
      <c r="E7151" s="30" t="s">
        <v>142</v>
      </c>
      <c r="F7151" s="7" t="s">
        <v>36</v>
      </c>
      <c r="G7151" s="284" t="s">
        <v>854</v>
      </c>
      <c r="H7151" s="33" t="s">
        <v>9996</v>
      </c>
      <c r="I7151" s="282">
        <v>0</v>
      </c>
      <c r="J7151" s="286">
        <v>11</v>
      </c>
      <c r="K7151" s="282">
        <v>0</v>
      </c>
      <c r="L7151" s="282">
        <v>0</v>
      </c>
      <c r="M7151" s="282">
        <v>0</v>
      </c>
      <c r="N7151" s="282">
        <v>0</v>
      </c>
      <c r="O7151" s="285">
        <v>0</v>
      </c>
      <c r="P7151" s="288">
        <v>0.25844699999999998</v>
      </c>
      <c r="Q7151" s="287" t="s">
        <v>154</v>
      </c>
    </row>
    <row r="7152" spans="1:17" s="162" customFormat="1" ht="132" x14ac:dyDescent="0.25">
      <c r="A7152" s="281">
        <v>43307</v>
      </c>
      <c r="B7152" s="281">
        <v>43307</v>
      </c>
      <c r="C7152" s="282">
        <v>2018</v>
      </c>
      <c r="D7152" s="24" t="s">
        <v>141</v>
      </c>
      <c r="E7152" s="30" t="s">
        <v>142</v>
      </c>
      <c r="F7152" s="7" t="s">
        <v>47</v>
      </c>
      <c r="G7152" s="284" t="s">
        <v>5158</v>
      </c>
      <c r="H7152" s="33" t="s">
        <v>9997</v>
      </c>
      <c r="I7152" s="282">
        <v>4</v>
      </c>
      <c r="J7152" s="286">
        <v>13</v>
      </c>
      <c r="K7152" s="282">
        <v>0</v>
      </c>
      <c r="L7152" s="282">
        <v>0</v>
      </c>
      <c r="M7152" s="282">
        <v>0</v>
      </c>
      <c r="N7152" s="282">
        <v>0</v>
      </c>
      <c r="O7152" s="285">
        <v>0</v>
      </c>
      <c r="P7152" s="288">
        <v>1.1993309100000002</v>
      </c>
      <c r="Q7152" s="287" t="s">
        <v>154</v>
      </c>
    </row>
    <row r="7153" spans="1:17" s="162" customFormat="1" ht="84" x14ac:dyDescent="0.25">
      <c r="A7153" s="281">
        <v>43309</v>
      </c>
      <c r="B7153" s="281">
        <v>43309</v>
      </c>
      <c r="C7153" s="282">
        <v>2018</v>
      </c>
      <c r="D7153" s="24" t="s">
        <v>141</v>
      </c>
      <c r="E7153" s="30" t="s">
        <v>142</v>
      </c>
      <c r="F7153" s="7" t="s">
        <v>67</v>
      </c>
      <c r="G7153" s="284" t="s">
        <v>5164</v>
      </c>
      <c r="H7153" s="33" t="s">
        <v>9998</v>
      </c>
      <c r="I7153" s="282">
        <v>4</v>
      </c>
      <c r="J7153" s="286">
        <v>34</v>
      </c>
      <c r="K7153" s="282">
        <v>0</v>
      </c>
      <c r="L7153" s="282">
        <v>0</v>
      </c>
      <c r="M7153" s="282">
        <v>0</v>
      </c>
      <c r="N7153" s="282">
        <v>0</v>
      </c>
      <c r="O7153" s="285">
        <v>0</v>
      </c>
      <c r="P7153" s="288">
        <v>0.67620000000000002</v>
      </c>
      <c r="Q7153" s="287" t="s">
        <v>154</v>
      </c>
    </row>
    <row r="7154" spans="1:17" s="162" customFormat="1" ht="132" x14ac:dyDescent="0.25">
      <c r="A7154" s="281">
        <v>43309</v>
      </c>
      <c r="B7154" s="281">
        <v>43309</v>
      </c>
      <c r="C7154" s="282">
        <v>2018</v>
      </c>
      <c r="D7154" s="24" t="s">
        <v>141</v>
      </c>
      <c r="E7154" s="30" t="s">
        <v>142</v>
      </c>
      <c r="F7154" s="28" t="s">
        <v>157</v>
      </c>
      <c r="G7154" s="284" t="s">
        <v>401</v>
      </c>
      <c r="H7154" s="33" t="s">
        <v>9999</v>
      </c>
      <c r="I7154" s="282">
        <v>0</v>
      </c>
      <c r="J7154" s="286">
        <v>16</v>
      </c>
      <c r="K7154" s="282">
        <v>0</v>
      </c>
      <c r="L7154" s="282">
        <v>0</v>
      </c>
      <c r="M7154" s="282">
        <v>0</v>
      </c>
      <c r="N7154" s="282">
        <v>0</v>
      </c>
      <c r="O7154" s="285">
        <v>0</v>
      </c>
      <c r="P7154" s="288">
        <v>0.88471791</v>
      </c>
      <c r="Q7154" s="287" t="s">
        <v>154</v>
      </c>
    </row>
    <row r="7155" spans="1:17" s="162" customFormat="1" ht="108" x14ac:dyDescent="0.25">
      <c r="A7155" s="281">
        <v>43309</v>
      </c>
      <c r="B7155" s="281">
        <v>43309</v>
      </c>
      <c r="C7155" s="282">
        <v>2018</v>
      </c>
      <c r="D7155" s="24" t="s">
        <v>141</v>
      </c>
      <c r="E7155" s="30" t="s">
        <v>142</v>
      </c>
      <c r="F7155" s="7" t="s">
        <v>101</v>
      </c>
      <c r="G7155" s="284" t="s">
        <v>7172</v>
      </c>
      <c r="H7155" s="33" t="s">
        <v>10000</v>
      </c>
      <c r="I7155" s="282">
        <v>5</v>
      </c>
      <c r="J7155" s="286">
        <v>9</v>
      </c>
      <c r="K7155" s="282">
        <v>0</v>
      </c>
      <c r="L7155" s="282">
        <v>0</v>
      </c>
      <c r="M7155" s="282">
        <v>0</v>
      </c>
      <c r="N7155" s="282">
        <v>0</v>
      </c>
      <c r="O7155" s="285">
        <v>0</v>
      </c>
      <c r="P7155" s="288">
        <v>0.1479</v>
      </c>
      <c r="Q7155" s="287" t="s">
        <v>154</v>
      </c>
    </row>
    <row r="7156" spans="1:17" s="162" customFormat="1" ht="127.5" x14ac:dyDescent="0.25">
      <c r="A7156" s="281">
        <v>43309</v>
      </c>
      <c r="B7156" s="281">
        <v>43309</v>
      </c>
      <c r="C7156" s="282">
        <v>2018</v>
      </c>
      <c r="D7156" s="24" t="s">
        <v>141</v>
      </c>
      <c r="E7156" s="30" t="s">
        <v>142</v>
      </c>
      <c r="F7156" s="7" t="s">
        <v>60</v>
      </c>
      <c r="G7156" s="284" t="s">
        <v>10001</v>
      </c>
      <c r="H7156" s="284" t="s">
        <v>10002</v>
      </c>
      <c r="I7156" s="282">
        <v>0</v>
      </c>
      <c r="J7156" s="286">
        <v>15</v>
      </c>
      <c r="K7156" s="282">
        <v>0</v>
      </c>
      <c r="L7156" s="282">
        <v>0</v>
      </c>
      <c r="M7156" s="282">
        <v>0</v>
      </c>
      <c r="N7156" s="282">
        <v>0</v>
      </c>
      <c r="O7156" s="285">
        <v>0</v>
      </c>
      <c r="P7156" s="288">
        <v>7.8420000000000004E-2</v>
      </c>
      <c r="Q7156" s="287" t="s">
        <v>154</v>
      </c>
    </row>
    <row r="7157" spans="1:17" s="162" customFormat="1" ht="60" x14ac:dyDescent="0.25">
      <c r="A7157" s="281">
        <v>43311</v>
      </c>
      <c r="B7157" s="281">
        <v>43311</v>
      </c>
      <c r="C7157" s="282">
        <v>2018</v>
      </c>
      <c r="D7157" s="24" t="s">
        <v>141</v>
      </c>
      <c r="E7157" s="30" t="s">
        <v>142</v>
      </c>
      <c r="F7157" s="7" t="s">
        <v>40</v>
      </c>
      <c r="G7157" s="284" t="s">
        <v>1479</v>
      </c>
      <c r="H7157" s="33" t="s">
        <v>10003</v>
      </c>
      <c r="I7157" s="282">
        <v>2</v>
      </c>
      <c r="J7157" s="286">
        <v>7</v>
      </c>
      <c r="K7157" s="282">
        <v>0</v>
      </c>
      <c r="L7157" s="282">
        <v>0</v>
      </c>
      <c r="M7157" s="282">
        <v>0</v>
      </c>
      <c r="N7157" s="282">
        <v>0</v>
      </c>
      <c r="O7157" s="285">
        <v>0</v>
      </c>
      <c r="P7157" s="288">
        <v>6.9419999999999996E-2</v>
      </c>
      <c r="Q7157" s="287" t="s">
        <v>154</v>
      </c>
    </row>
    <row r="7158" spans="1:17" s="162" customFormat="1" ht="84" x14ac:dyDescent="0.25">
      <c r="A7158" s="281">
        <v>43312</v>
      </c>
      <c r="B7158" s="281">
        <v>43312</v>
      </c>
      <c r="C7158" s="282">
        <v>2018</v>
      </c>
      <c r="D7158" s="24" t="s">
        <v>141</v>
      </c>
      <c r="E7158" s="30" t="s">
        <v>142</v>
      </c>
      <c r="F7158" s="7" t="s">
        <v>49</v>
      </c>
      <c r="G7158" s="284" t="s">
        <v>6987</v>
      </c>
      <c r="H7158" s="33" t="s">
        <v>10004</v>
      </c>
      <c r="I7158" s="282">
        <v>6</v>
      </c>
      <c r="J7158" s="286">
        <v>31</v>
      </c>
      <c r="K7158" s="282">
        <v>0</v>
      </c>
      <c r="L7158" s="282">
        <v>0</v>
      </c>
      <c r="M7158" s="282">
        <v>0</v>
      </c>
      <c r="N7158" s="282">
        <v>0</v>
      </c>
      <c r="O7158" s="285">
        <v>0</v>
      </c>
      <c r="P7158" s="288">
        <v>0.77325303488372088</v>
      </c>
      <c r="Q7158" s="287" t="s">
        <v>154</v>
      </c>
    </row>
    <row r="7159" spans="1:17" s="162" customFormat="1" ht="96" x14ac:dyDescent="0.25">
      <c r="A7159" s="281">
        <v>43312</v>
      </c>
      <c r="B7159" s="281">
        <v>43312</v>
      </c>
      <c r="C7159" s="282">
        <v>2018</v>
      </c>
      <c r="D7159" s="24" t="s">
        <v>141</v>
      </c>
      <c r="E7159" s="30" t="s">
        <v>142</v>
      </c>
      <c r="F7159" s="7" t="s">
        <v>49</v>
      </c>
      <c r="G7159" s="284" t="s">
        <v>49</v>
      </c>
      <c r="H7159" s="33" t="s">
        <v>10005</v>
      </c>
      <c r="I7159" s="282">
        <v>0</v>
      </c>
      <c r="J7159" s="286">
        <v>103</v>
      </c>
      <c r="K7159" s="282">
        <v>0</v>
      </c>
      <c r="L7159" s="282">
        <v>0</v>
      </c>
      <c r="M7159" s="282">
        <v>0</v>
      </c>
      <c r="N7159" s="282">
        <v>0</v>
      </c>
      <c r="O7159" s="285">
        <v>0</v>
      </c>
      <c r="P7159" s="288">
        <v>4.4899779160159357</v>
      </c>
      <c r="Q7159" s="287" t="s">
        <v>154</v>
      </c>
    </row>
    <row r="7160" spans="1:17" s="162" customFormat="1" ht="96" x14ac:dyDescent="0.25">
      <c r="A7160" s="281">
        <v>43313</v>
      </c>
      <c r="B7160" s="281">
        <v>43313</v>
      </c>
      <c r="C7160" s="282">
        <v>2018</v>
      </c>
      <c r="D7160" s="24" t="s">
        <v>141</v>
      </c>
      <c r="E7160" s="30" t="s">
        <v>142</v>
      </c>
      <c r="F7160" s="7" t="s">
        <v>67</v>
      </c>
      <c r="G7160" s="284" t="s">
        <v>9027</v>
      </c>
      <c r="H7160" s="33" t="s">
        <v>10006</v>
      </c>
      <c r="I7160" s="282">
        <v>1</v>
      </c>
      <c r="J7160" s="286">
        <v>13</v>
      </c>
      <c r="K7160" s="282">
        <v>0</v>
      </c>
      <c r="L7160" s="282">
        <v>0</v>
      </c>
      <c r="M7160" s="282">
        <v>0</v>
      </c>
      <c r="N7160" s="282">
        <v>1</v>
      </c>
      <c r="O7160" s="285">
        <v>0</v>
      </c>
      <c r="P7160" s="288">
        <v>1.4661103488372094</v>
      </c>
      <c r="Q7160" s="287" t="s">
        <v>154</v>
      </c>
    </row>
    <row r="7161" spans="1:17" s="162" customFormat="1" ht="84" x14ac:dyDescent="0.25">
      <c r="A7161" s="281">
        <v>43313</v>
      </c>
      <c r="B7161" s="281">
        <v>43313</v>
      </c>
      <c r="C7161" s="282">
        <v>2018</v>
      </c>
      <c r="D7161" s="24" t="s">
        <v>141</v>
      </c>
      <c r="E7161" s="30" t="s">
        <v>142</v>
      </c>
      <c r="F7161" s="7" t="s">
        <v>40</v>
      </c>
      <c r="G7161" s="284" t="s">
        <v>10007</v>
      </c>
      <c r="H7161" s="33" t="s">
        <v>10008</v>
      </c>
      <c r="I7161" s="282">
        <v>1</v>
      </c>
      <c r="J7161" s="286">
        <v>1</v>
      </c>
      <c r="K7161" s="282">
        <v>0</v>
      </c>
      <c r="L7161" s="282">
        <v>0</v>
      </c>
      <c r="M7161" s="282">
        <v>0</v>
      </c>
      <c r="N7161" s="282">
        <v>0</v>
      </c>
      <c r="O7161" s="285">
        <v>0</v>
      </c>
      <c r="P7161" s="288">
        <v>4.4899779160159357</v>
      </c>
      <c r="Q7161" s="287" t="s">
        <v>154</v>
      </c>
    </row>
    <row r="7162" spans="1:17" s="162" customFormat="1" ht="96" x14ac:dyDescent="0.25">
      <c r="A7162" s="281">
        <v>43313</v>
      </c>
      <c r="B7162" s="281">
        <v>43313</v>
      </c>
      <c r="C7162" s="282">
        <v>2018</v>
      </c>
      <c r="D7162" s="24" t="s">
        <v>141</v>
      </c>
      <c r="E7162" s="30" t="s">
        <v>142</v>
      </c>
      <c r="F7162" s="28" t="s">
        <v>157</v>
      </c>
      <c r="G7162" s="284" t="s">
        <v>206</v>
      </c>
      <c r="H7162" s="33" t="s">
        <v>10009</v>
      </c>
      <c r="I7162" s="282">
        <v>0</v>
      </c>
      <c r="J7162" s="286">
        <v>14</v>
      </c>
      <c r="K7162" s="282">
        <v>0</v>
      </c>
      <c r="L7162" s="282">
        <v>0</v>
      </c>
      <c r="M7162" s="282">
        <v>0</v>
      </c>
      <c r="N7162" s="282">
        <v>0</v>
      </c>
      <c r="O7162" s="285">
        <v>0</v>
      </c>
      <c r="P7162" s="288">
        <v>0.400947</v>
      </c>
      <c r="Q7162" s="287" t="s">
        <v>154</v>
      </c>
    </row>
    <row r="7163" spans="1:17" s="162" customFormat="1" ht="84" x14ac:dyDescent="0.25">
      <c r="A7163" s="281">
        <v>43313</v>
      </c>
      <c r="B7163" s="281">
        <v>43313</v>
      </c>
      <c r="C7163" s="282">
        <v>2018</v>
      </c>
      <c r="D7163" s="24" t="s">
        <v>141</v>
      </c>
      <c r="E7163" s="30" t="s">
        <v>142</v>
      </c>
      <c r="F7163" s="28" t="s">
        <v>210</v>
      </c>
      <c r="G7163" s="284" t="s">
        <v>2664</v>
      </c>
      <c r="H7163" s="33" t="s">
        <v>10010</v>
      </c>
      <c r="I7163" s="282">
        <v>0</v>
      </c>
      <c r="J7163" s="286">
        <v>12</v>
      </c>
      <c r="K7163" s="282">
        <v>0</v>
      </c>
      <c r="L7163" s="282">
        <v>0</v>
      </c>
      <c r="M7163" s="282">
        <v>0</v>
      </c>
      <c r="N7163" s="282">
        <v>0</v>
      </c>
      <c r="O7163" s="285">
        <v>0</v>
      </c>
      <c r="P7163" s="288">
        <v>0.370257</v>
      </c>
      <c r="Q7163" s="287" t="s">
        <v>154</v>
      </c>
    </row>
    <row r="7164" spans="1:17" s="162" customFormat="1" ht="60" x14ac:dyDescent="0.25">
      <c r="A7164" s="281">
        <v>43314</v>
      </c>
      <c r="B7164" s="281">
        <v>43314</v>
      </c>
      <c r="C7164" s="282">
        <v>2018</v>
      </c>
      <c r="D7164" s="24" t="s">
        <v>141</v>
      </c>
      <c r="E7164" s="30" t="s">
        <v>142</v>
      </c>
      <c r="F7164" s="7" t="s">
        <v>91</v>
      </c>
      <c r="G7164" s="284" t="s">
        <v>3386</v>
      </c>
      <c r="H7164" s="33" t="s">
        <v>10011</v>
      </c>
      <c r="I7164" s="282">
        <v>0</v>
      </c>
      <c r="J7164" s="286">
        <v>8</v>
      </c>
      <c r="K7164" s="282">
        <v>0</v>
      </c>
      <c r="L7164" s="282">
        <v>0</v>
      </c>
      <c r="M7164" s="282">
        <v>0</v>
      </c>
      <c r="N7164" s="282">
        <v>0</v>
      </c>
      <c r="O7164" s="285">
        <v>0</v>
      </c>
      <c r="P7164" s="288">
        <v>7.2120000000000004E-2</v>
      </c>
      <c r="Q7164" s="287" t="s">
        <v>154</v>
      </c>
    </row>
    <row r="7165" spans="1:17" s="162" customFormat="1" ht="84" x14ac:dyDescent="0.25">
      <c r="A7165" s="281">
        <v>43314</v>
      </c>
      <c r="B7165" s="281">
        <v>43314</v>
      </c>
      <c r="C7165" s="282">
        <v>2018</v>
      </c>
      <c r="D7165" s="24" t="s">
        <v>141</v>
      </c>
      <c r="E7165" s="30" t="s">
        <v>142</v>
      </c>
      <c r="F7165" s="7" t="s">
        <v>60</v>
      </c>
      <c r="G7165" s="284" t="s">
        <v>1412</v>
      </c>
      <c r="H7165" s="33" t="s">
        <v>10012</v>
      </c>
      <c r="I7165" s="282">
        <v>0</v>
      </c>
      <c r="J7165" s="286">
        <v>27</v>
      </c>
      <c r="K7165" s="282">
        <v>0</v>
      </c>
      <c r="L7165" s="282">
        <v>0</v>
      </c>
      <c r="M7165" s="282">
        <v>0</v>
      </c>
      <c r="N7165" s="282">
        <v>0</v>
      </c>
      <c r="O7165" s="285">
        <v>0</v>
      </c>
      <c r="P7165" s="288">
        <v>1.1207990910000001</v>
      </c>
      <c r="Q7165" s="287" t="s">
        <v>154</v>
      </c>
    </row>
    <row r="7166" spans="1:17" s="162" customFormat="1" ht="120" x14ac:dyDescent="0.25">
      <c r="A7166" s="281">
        <v>43317</v>
      </c>
      <c r="B7166" s="281">
        <v>43317</v>
      </c>
      <c r="C7166" s="282">
        <v>2018</v>
      </c>
      <c r="D7166" s="24" t="s">
        <v>141</v>
      </c>
      <c r="E7166" s="30" t="s">
        <v>142</v>
      </c>
      <c r="F7166" s="7" t="s">
        <v>91</v>
      </c>
      <c r="G7166" s="284" t="s">
        <v>5127</v>
      </c>
      <c r="H7166" s="33" t="s">
        <v>10013</v>
      </c>
      <c r="I7166" s="282">
        <v>1</v>
      </c>
      <c r="J7166" s="286">
        <v>21</v>
      </c>
      <c r="K7166" s="282">
        <v>0</v>
      </c>
      <c r="L7166" s="282">
        <v>0</v>
      </c>
      <c r="M7166" s="282">
        <v>0</v>
      </c>
      <c r="N7166" s="282">
        <v>0</v>
      </c>
      <c r="O7166" s="285">
        <v>0</v>
      </c>
      <c r="P7166" s="288">
        <v>0.12261</v>
      </c>
      <c r="Q7166" s="287" t="s">
        <v>154</v>
      </c>
    </row>
    <row r="7167" spans="1:17" s="162" customFormat="1" ht="84" x14ac:dyDescent="0.25">
      <c r="A7167" s="281">
        <v>43317</v>
      </c>
      <c r="B7167" s="281">
        <v>43317</v>
      </c>
      <c r="C7167" s="282">
        <v>2018</v>
      </c>
      <c r="D7167" s="24" t="s">
        <v>141</v>
      </c>
      <c r="E7167" s="30" t="s">
        <v>142</v>
      </c>
      <c r="F7167" s="7" t="s">
        <v>91</v>
      </c>
      <c r="G7167" s="284" t="s">
        <v>803</v>
      </c>
      <c r="H7167" s="33" t="s">
        <v>10014</v>
      </c>
      <c r="I7167" s="282">
        <v>1</v>
      </c>
      <c r="J7167" s="286">
        <v>10</v>
      </c>
      <c r="K7167" s="282">
        <v>0</v>
      </c>
      <c r="L7167" s="282">
        <v>0</v>
      </c>
      <c r="M7167" s="282">
        <v>0</v>
      </c>
      <c r="N7167" s="282">
        <v>0</v>
      </c>
      <c r="O7167" s="285">
        <v>0</v>
      </c>
      <c r="P7167" s="288">
        <v>0.11271</v>
      </c>
      <c r="Q7167" s="287" t="s">
        <v>154</v>
      </c>
    </row>
    <row r="7168" spans="1:17" s="162" customFormat="1" ht="96" x14ac:dyDescent="0.25">
      <c r="A7168" s="281">
        <v>43318</v>
      </c>
      <c r="B7168" s="281">
        <v>43318</v>
      </c>
      <c r="C7168" s="282">
        <v>2018</v>
      </c>
      <c r="D7168" s="24" t="s">
        <v>141</v>
      </c>
      <c r="E7168" s="30" t="s">
        <v>142</v>
      </c>
      <c r="F7168" s="28" t="s">
        <v>210</v>
      </c>
      <c r="G7168" s="284" t="s">
        <v>6209</v>
      </c>
      <c r="H7168" s="33" t="s">
        <v>10015</v>
      </c>
      <c r="I7168" s="282">
        <v>0</v>
      </c>
      <c r="J7168" s="286">
        <v>15</v>
      </c>
      <c r="K7168" s="282">
        <v>0</v>
      </c>
      <c r="L7168" s="282">
        <v>0</v>
      </c>
      <c r="M7168" s="282">
        <v>0</v>
      </c>
      <c r="N7168" s="282">
        <v>0</v>
      </c>
      <c r="O7168" s="285">
        <v>0</v>
      </c>
      <c r="P7168" s="288">
        <v>6.762E-2</v>
      </c>
      <c r="Q7168" s="287" t="s">
        <v>154</v>
      </c>
    </row>
    <row r="7169" spans="1:17" s="162" customFormat="1" ht="96" x14ac:dyDescent="0.25">
      <c r="A7169" s="281">
        <v>43319</v>
      </c>
      <c r="B7169" s="281">
        <v>43319</v>
      </c>
      <c r="C7169" s="282">
        <v>2018</v>
      </c>
      <c r="D7169" s="24" t="s">
        <v>141</v>
      </c>
      <c r="E7169" s="41" t="s">
        <v>1965</v>
      </c>
      <c r="F7169" s="7" t="s">
        <v>80</v>
      </c>
      <c r="G7169" s="284" t="s">
        <v>1089</v>
      </c>
      <c r="H7169" s="33" t="s">
        <v>10016</v>
      </c>
      <c r="I7169" s="282">
        <v>1</v>
      </c>
      <c r="J7169" s="286">
        <v>15</v>
      </c>
      <c r="K7169" s="282">
        <v>0</v>
      </c>
      <c r="L7169" s="282">
        <v>0</v>
      </c>
      <c r="M7169" s="282">
        <v>0</v>
      </c>
      <c r="N7169" s="282">
        <v>0</v>
      </c>
      <c r="O7169" s="285">
        <v>0</v>
      </c>
      <c r="P7169" s="288">
        <v>0.35399999999999998</v>
      </c>
      <c r="Q7169" s="287" t="s">
        <v>154</v>
      </c>
    </row>
    <row r="7170" spans="1:17" s="162" customFormat="1" ht="108" x14ac:dyDescent="0.25">
      <c r="A7170" s="281">
        <v>43319</v>
      </c>
      <c r="B7170" s="281">
        <v>43319</v>
      </c>
      <c r="C7170" s="282">
        <v>2018</v>
      </c>
      <c r="D7170" s="24" t="s">
        <v>141</v>
      </c>
      <c r="E7170" s="30" t="s">
        <v>142</v>
      </c>
      <c r="F7170" s="7" t="s">
        <v>33</v>
      </c>
      <c r="G7170" s="284" t="s">
        <v>9168</v>
      </c>
      <c r="H7170" s="33" t="s">
        <v>10017</v>
      </c>
      <c r="I7170" s="282">
        <v>5</v>
      </c>
      <c r="J7170" s="286">
        <v>5</v>
      </c>
      <c r="K7170" s="282">
        <v>0</v>
      </c>
      <c r="L7170" s="282">
        <v>0</v>
      </c>
      <c r="M7170" s="282">
        <v>0</v>
      </c>
      <c r="N7170" s="282">
        <v>0</v>
      </c>
      <c r="O7170" s="285">
        <v>0</v>
      </c>
      <c r="P7170" s="288">
        <v>0.73095632941176469</v>
      </c>
      <c r="Q7170" s="287" t="s">
        <v>154</v>
      </c>
    </row>
    <row r="7171" spans="1:17" s="162" customFormat="1" ht="108" x14ac:dyDescent="0.25">
      <c r="A7171" s="281">
        <v>43320</v>
      </c>
      <c r="B7171" s="281">
        <v>43320</v>
      </c>
      <c r="C7171" s="282">
        <v>2018</v>
      </c>
      <c r="D7171" s="24" t="s">
        <v>141</v>
      </c>
      <c r="E7171" s="30" t="s">
        <v>142</v>
      </c>
      <c r="F7171" s="7" t="s">
        <v>58</v>
      </c>
      <c r="G7171" s="284" t="s">
        <v>10018</v>
      </c>
      <c r="H7171" s="33" t="s">
        <v>10019</v>
      </c>
      <c r="I7171" s="282">
        <v>0</v>
      </c>
      <c r="J7171" s="286">
        <v>20</v>
      </c>
      <c r="K7171" s="282">
        <v>1</v>
      </c>
      <c r="L7171" s="282">
        <v>0</v>
      </c>
      <c r="M7171" s="282">
        <v>0</v>
      </c>
      <c r="N7171" s="282">
        <v>0</v>
      </c>
      <c r="O7171" s="285">
        <v>0</v>
      </c>
      <c r="P7171" s="288">
        <v>0.27024700000000001</v>
      </c>
      <c r="Q7171" s="287" t="s">
        <v>154</v>
      </c>
    </row>
    <row r="7172" spans="1:17" s="162" customFormat="1" ht="96" x14ac:dyDescent="0.25">
      <c r="A7172" s="281">
        <v>43322</v>
      </c>
      <c r="B7172" s="281">
        <v>43322</v>
      </c>
      <c r="C7172" s="282">
        <v>2018</v>
      </c>
      <c r="D7172" s="24" t="s">
        <v>141</v>
      </c>
      <c r="E7172" s="30" t="s">
        <v>142</v>
      </c>
      <c r="F7172" s="7" t="s">
        <v>53</v>
      </c>
      <c r="G7172" s="284" t="s">
        <v>7797</v>
      </c>
      <c r="H7172" s="33" t="s">
        <v>10020</v>
      </c>
      <c r="I7172" s="282">
        <v>0</v>
      </c>
      <c r="J7172" s="286">
        <v>6</v>
      </c>
      <c r="K7172" s="282">
        <v>0</v>
      </c>
      <c r="L7172" s="282">
        <v>0</v>
      </c>
      <c r="M7172" s="282">
        <v>0</v>
      </c>
      <c r="N7172" s="282">
        <v>0</v>
      </c>
      <c r="O7172" s="285">
        <v>0</v>
      </c>
      <c r="P7172" s="288">
        <v>0.4267200348837209</v>
      </c>
      <c r="Q7172" s="287" t="s">
        <v>154</v>
      </c>
    </row>
    <row r="7173" spans="1:17" s="162" customFormat="1" ht="120" x14ac:dyDescent="0.25">
      <c r="A7173" s="281">
        <v>43325</v>
      </c>
      <c r="B7173" s="281">
        <v>43325</v>
      </c>
      <c r="C7173" s="282">
        <v>2018</v>
      </c>
      <c r="D7173" s="24" t="s">
        <v>141</v>
      </c>
      <c r="E7173" s="30" t="s">
        <v>142</v>
      </c>
      <c r="F7173" s="7" t="s">
        <v>60</v>
      </c>
      <c r="G7173" s="284" t="s">
        <v>2508</v>
      </c>
      <c r="H7173" s="33" t="s">
        <v>10021</v>
      </c>
      <c r="I7173" s="282">
        <v>0</v>
      </c>
      <c r="J7173" s="286">
        <v>21</v>
      </c>
      <c r="K7173" s="282">
        <v>0</v>
      </c>
      <c r="L7173" s="282">
        <v>0</v>
      </c>
      <c r="M7173" s="282">
        <v>0</v>
      </c>
      <c r="N7173" s="282">
        <v>0</v>
      </c>
      <c r="O7173" s="285">
        <v>0</v>
      </c>
      <c r="P7173" s="288">
        <v>8.3820000000000006E-2</v>
      </c>
      <c r="Q7173" s="287" t="s">
        <v>154</v>
      </c>
    </row>
    <row r="7174" spans="1:17" s="162" customFormat="1" ht="108" x14ac:dyDescent="0.25">
      <c r="A7174" s="281">
        <v>43327</v>
      </c>
      <c r="B7174" s="281">
        <v>43327</v>
      </c>
      <c r="C7174" s="282">
        <v>2018</v>
      </c>
      <c r="D7174" s="24" t="s">
        <v>141</v>
      </c>
      <c r="E7174" s="30" t="s">
        <v>142</v>
      </c>
      <c r="F7174" s="7" t="s">
        <v>75</v>
      </c>
      <c r="G7174" s="284" t="s">
        <v>8682</v>
      </c>
      <c r="H7174" s="33" t="s">
        <v>10022</v>
      </c>
      <c r="I7174" s="282">
        <v>1</v>
      </c>
      <c r="J7174" s="286">
        <v>13</v>
      </c>
      <c r="K7174" s="282">
        <v>0</v>
      </c>
      <c r="L7174" s="282">
        <v>0</v>
      </c>
      <c r="M7174" s="282">
        <v>0</v>
      </c>
      <c r="N7174" s="282">
        <v>0</v>
      </c>
      <c r="O7174" s="285">
        <v>0</v>
      </c>
      <c r="P7174" s="288">
        <v>0.30533700000000003</v>
      </c>
      <c r="Q7174" s="287" t="s">
        <v>154</v>
      </c>
    </row>
    <row r="7175" spans="1:17" s="162" customFormat="1" ht="120" x14ac:dyDescent="0.25">
      <c r="A7175" s="281">
        <v>43327</v>
      </c>
      <c r="B7175" s="281">
        <v>43327</v>
      </c>
      <c r="C7175" s="282">
        <v>2018</v>
      </c>
      <c r="D7175" s="24" t="s">
        <v>141</v>
      </c>
      <c r="E7175" s="30" t="s">
        <v>142</v>
      </c>
      <c r="F7175" s="7" t="s">
        <v>56</v>
      </c>
      <c r="G7175" s="284" t="s">
        <v>9807</v>
      </c>
      <c r="H7175" s="33" t="s">
        <v>10023</v>
      </c>
      <c r="I7175" s="282">
        <v>0</v>
      </c>
      <c r="J7175" s="286">
        <v>20</v>
      </c>
      <c r="K7175" s="282">
        <v>0</v>
      </c>
      <c r="L7175" s="282">
        <v>0</v>
      </c>
      <c r="M7175" s="282">
        <v>0</v>
      </c>
      <c r="N7175" s="282">
        <v>0</v>
      </c>
      <c r="O7175" s="285">
        <v>0</v>
      </c>
      <c r="P7175" s="288">
        <v>0.12261</v>
      </c>
      <c r="Q7175" s="287" t="s">
        <v>154</v>
      </c>
    </row>
    <row r="7176" spans="1:17" s="162" customFormat="1" ht="96" x14ac:dyDescent="0.25">
      <c r="A7176" s="281">
        <v>43328</v>
      </c>
      <c r="B7176" s="281">
        <v>43328</v>
      </c>
      <c r="C7176" s="282">
        <v>2018</v>
      </c>
      <c r="D7176" s="24" t="s">
        <v>141</v>
      </c>
      <c r="E7176" s="30" t="s">
        <v>142</v>
      </c>
      <c r="F7176" s="28" t="s">
        <v>163</v>
      </c>
      <c r="G7176" s="284" t="s">
        <v>4478</v>
      </c>
      <c r="H7176" s="33" t="s">
        <v>10024</v>
      </c>
      <c r="I7176" s="282">
        <v>2</v>
      </c>
      <c r="J7176" s="286">
        <v>17</v>
      </c>
      <c r="K7176" s="282">
        <v>0</v>
      </c>
      <c r="L7176" s="282">
        <v>0</v>
      </c>
      <c r="M7176" s="282">
        <v>0</v>
      </c>
      <c r="N7176" s="282">
        <v>0</v>
      </c>
      <c r="O7176" s="285">
        <v>0</v>
      </c>
      <c r="P7176" s="288">
        <v>0.71630909100000006</v>
      </c>
      <c r="Q7176" s="287" t="s">
        <v>154</v>
      </c>
    </row>
    <row r="7177" spans="1:17" s="162" customFormat="1" ht="96" x14ac:dyDescent="0.25">
      <c r="A7177" s="281">
        <v>43328</v>
      </c>
      <c r="B7177" s="281">
        <v>43328</v>
      </c>
      <c r="C7177" s="282">
        <v>2018</v>
      </c>
      <c r="D7177" s="24" t="s">
        <v>141</v>
      </c>
      <c r="E7177" s="30" t="s">
        <v>142</v>
      </c>
      <c r="F7177" s="7" t="s">
        <v>45</v>
      </c>
      <c r="G7177" s="284" t="s">
        <v>259</v>
      </c>
      <c r="H7177" s="33" t="s">
        <v>10025</v>
      </c>
      <c r="I7177" s="282">
        <v>1</v>
      </c>
      <c r="J7177" s="286">
        <v>23</v>
      </c>
      <c r="K7177" s="282">
        <v>0</v>
      </c>
      <c r="L7177" s="282">
        <v>0</v>
      </c>
      <c r="M7177" s="282">
        <v>0</v>
      </c>
      <c r="N7177" s="282">
        <v>0</v>
      </c>
      <c r="O7177" s="285">
        <v>0</v>
      </c>
      <c r="P7177" s="288">
        <v>1.4261090910000001</v>
      </c>
      <c r="Q7177" s="287" t="s">
        <v>154</v>
      </c>
    </row>
    <row r="7178" spans="1:17" s="162" customFormat="1" ht="108" x14ac:dyDescent="0.25">
      <c r="A7178" s="281">
        <v>43328</v>
      </c>
      <c r="B7178" s="281">
        <v>43328</v>
      </c>
      <c r="C7178" s="282">
        <v>2018</v>
      </c>
      <c r="D7178" s="24" t="s">
        <v>141</v>
      </c>
      <c r="E7178" s="30" t="s">
        <v>142</v>
      </c>
      <c r="F7178" s="28" t="s">
        <v>160</v>
      </c>
      <c r="G7178" s="284" t="s">
        <v>10026</v>
      </c>
      <c r="H7178" s="33" t="s">
        <v>10027</v>
      </c>
      <c r="I7178" s="282">
        <v>0</v>
      </c>
      <c r="J7178" s="286">
        <v>5</v>
      </c>
      <c r="K7178" s="282">
        <v>0</v>
      </c>
      <c r="L7178" s="282">
        <v>0</v>
      </c>
      <c r="M7178" s="282">
        <v>0</v>
      </c>
      <c r="N7178" s="282">
        <v>0</v>
      </c>
      <c r="O7178" s="285">
        <v>0</v>
      </c>
      <c r="P7178" s="288">
        <v>4.4899779160159357</v>
      </c>
      <c r="Q7178" s="287" t="s">
        <v>154</v>
      </c>
    </row>
    <row r="7179" spans="1:17" s="162" customFormat="1" ht="120" x14ac:dyDescent="0.25">
      <c r="A7179" s="281">
        <v>43329</v>
      </c>
      <c r="B7179" s="281">
        <v>43329</v>
      </c>
      <c r="C7179" s="282">
        <v>2018</v>
      </c>
      <c r="D7179" s="24" t="s">
        <v>141</v>
      </c>
      <c r="E7179" s="30" t="s">
        <v>142</v>
      </c>
      <c r="F7179" s="7" t="s">
        <v>58</v>
      </c>
      <c r="G7179" s="284" t="s">
        <v>1089</v>
      </c>
      <c r="H7179" s="33" t="s">
        <v>10028</v>
      </c>
      <c r="I7179" s="282">
        <v>1</v>
      </c>
      <c r="J7179" s="286">
        <v>14</v>
      </c>
      <c r="K7179" s="282">
        <v>0</v>
      </c>
      <c r="L7179" s="282">
        <v>0</v>
      </c>
      <c r="M7179" s="282">
        <v>0</v>
      </c>
      <c r="N7179" s="282">
        <v>0</v>
      </c>
      <c r="O7179" s="285">
        <v>0</v>
      </c>
      <c r="P7179" s="288">
        <v>1.2604470348837209</v>
      </c>
      <c r="Q7179" s="287" t="s">
        <v>154</v>
      </c>
    </row>
    <row r="7180" spans="1:17" s="162" customFormat="1" ht="96" x14ac:dyDescent="0.25">
      <c r="A7180" s="281">
        <v>43329</v>
      </c>
      <c r="B7180" s="281">
        <v>43329</v>
      </c>
      <c r="C7180" s="282">
        <v>2018</v>
      </c>
      <c r="D7180" s="24" t="s">
        <v>141</v>
      </c>
      <c r="E7180" s="30" t="s">
        <v>142</v>
      </c>
      <c r="F7180" s="7" t="s">
        <v>75</v>
      </c>
      <c r="G7180" s="284" t="s">
        <v>10029</v>
      </c>
      <c r="H7180" s="33" t="s">
        <v>10030</v>
      </c>
      <c r="I7180" s="282">
        <v>0</v>
      </c>
      <c r="J7180" s="286">
        <v>3</v>
      </c>
      <c r="K7180" s="282">
        <v>0</v>
      </c>
      <c r="L7180" s="282">
        <v>0</v>
      </c>
      <c r="M7180" s="282">
        <v>0</v>
      </c>
      <c r="N7180" s="282">
        <v>0</v>
      </c>
      <c r="O7180" s="285">
        <v>0</v>
      </c>
      <c r="P7180" s="288">
        <v>0.45169779160159362</v>
      </c>
      <c r="Q7180" s="287" t="s">
        <v>154</v>
      </c>
    </row>
    <row r="7181" spans="1:17" s="162" customFormat="1" ht="84" x14ac:dyDescent="0.25">
      <c r="A7181" s="281">
        <v>43333</v>
      </c>
      <c r="B7181" s="281">
        <v>43333</v>
      </c>
      <c r="C7181" s="282">
        <v>2018</v>
      </c>
      <c r="D7181" s="24" t="s">
        <v>141</v>
      </c>
      <c r="E7181" s="30" t="s">
        <v>142</v>
      </c>
      <c r="F7181" s="7" t="s">
        <v>62</v>
      </c>
      <c r="G7181" s="284" t="s">
        <v>1920</v>
      </c>
      <c r="H7181" s="33" t="s">
        <v>10031</v>
      </c>
      <c r="I7181" s="282">
        <v>5</v>
      </c>
      <c r="J7181" s="286">
        <v>10</v>
      </c>
      <c r="K7181" s="282">
        <v>0</v>
      </c>
      <c r="L7181" s="282">
        <v>0</v>
      </c>
      <c r="M7181" s="282">
        <v>0</v>
      </c>
      <c r="N7181" s="282">
        <v>0</v>
      </c>
      <c r="O7181" s="285">
        <v>0</v>
      </c>
      <c r="P7181" s="288">
        <v>8.3879999999999996E-2</v>
      </c>
      <c r="Q7181" s="287" t="s">
        <v>154</v>
      </c>
    </row>
    <row r="7182" spans="1:17" s="162" customFormat="1" ht="84" x14ac:dyDescent="0.25">
      <c r="A7182" s="281">
        <v>43333</v>
      </c>
      <c r="B7182" s="281">
        <v>43333</v>
      </c>
      <c r="C7182" s="282">
        <v>2018</v>
      </c>
      <c r="D7182" s="24" t="s">
        <v>141</v>
      </c>
      <c r="E7182" s="30" t="s">
        <v>142</v>
      </c>
      <c r="F7182" s="7" t="s">
        <v>40</v>
      </c>
      <c r="G7182" s="284" t="s">
        <v>2097</v>
      </c>
      <c r="H7182" s="33" t="s">
        <v>10032</v>
      </c>
      <c r="I7182" s="282">
        <v>0</v>
      </c>
      <c r="J7182" s="286">
        <v>1</v>
      </c>
      <c r="K7182" s="282">
        <v>0</v>
      </c>
      <c r="L7182" s="282">
        <v>0</v>
      </c>
      <c r="M7182" s="282">
        <v>0</v>
      </c>
      <c r="N7182" s="282">
        <v>0</v>
      </c>
      <c r="O7182" s="285">
        <v>0</v>
      </c>
      <c r="P7182" s="288">
        <v>0.4498977916015936</v>
      </c>
      <c r="Q7182" s="287" t="s">
        <v>154</v>
      </c>
    </row>
    <row r="7183" spans="1:17" s="162" customFormat="1" ht="120" x14ac:dyDescent="0.25">
      <c r="A7183" s="281">
        <v>43338</v>
      </c>
      <c r="B7183" s="281">
        <v>43338</v>
      </c>
      <c r="C7183" s="282">
        <v>2018</v>
      </c>
      <c r="D7183" s="24" t="s">
        <v>141</v>
      </c>
      <c r="E7183" s="30" t="s">
        <v>142</v>
      </c>
      <c r="F7183" s="7" t="s">
        <v>58</v>
      </c>
      <c r="G7183" s="284" t="s">
        <v>10033</v>
      </c>
      <c r="H7183" s="33" t="s">
        <v>10034</v>
      </c>
      <c r="I7183" s="282">
        <v>0</v>
      </c>
      <c r="J7183" s="286">
        <v>31</v>
      </c>
      <c r="K7183" s="282">
        <v>0</v>
      </c>
      <c r="L7183" s="282">
        <v>0</v>
      </c>
      <c r="M7183" s="282">
        <v>0</v>
      </c>
      <c r="N7183" s="282">
        <v>0</v>
      </c>
      <c r="O7183" s="285">
        <v>0</v>
      </c>
      <c r="P7183" s="288">
        <v>5.4569400000000004E-2</v>
      </c>
      <c r="Q7183" s="287" t="s">
        <v>154</v>
      </c>
    </row>
    <row r="7184" spans="1:17" s="162" customFormat="1" ht="156" x14ac:dyDescent="0.25">
      <c r="A7184" s="281">
        <v>43340</v>
      </c>
      <c r="B7184" s="281">
        <v>43340</v>
      </c>
      <c r="C7184" s="282">
        <v>2018</v>
      </c>
      <c r="D7184" s="24" t="s">
        <v>141</v>
      </c>
      <c r="E7184" s="30" t="s">
        <v>142</v>
      </c>
      <c r="F7184" s="7" t="s">
        <v>82</v>
      </c>
      <c r="G7184" s="284" t="s">
        <v>10035</v>
      </c>
      <c r="H7184" s="33" t="s">
        <v>10036</v>
      </c>
      <c r="I7184" s="282">
        <v>1</v>
      </c>
      <c r="J7184" s="286">
        <v>2</v>
      </c>
      <c r="K7184" s="282">
        <v>0</v>
      </c>
      <c r="L7184" s="282">
        <v>0</v>
      </c>
      <c r="M7184" s="282">
        <v>0</v>
      </c>
      <c r="N7184" s="282">
        <v>0</v>
      </c>
      <c r="O7184" s="285">
        <v>0</v>
      </c>
      <c r="P7184" s="288">
        <v>4.4908779160159362</v>
      </c>
      <c r="Q7184" s="287" t="s">
        <v>154</v>
      </c>
    </row>
    <row r="7185" spans="1:17" s="162" customFormat="1" ht="96" x14ac:dyDescent="0.25">
      <c r="A7185" s="281">
        <v>43341</v>
      </c>
      <c r="B7185" s="281">
        <v>43341</v>
      </c>
      <c r="C7185" s="282">
        <v>2018</v>
      </c>
      <c r="D7185" s="24" t="s">
        <v>141</v>
      </c>
      <c r="E7185" s="283" t="s">
        <v>844</v>
      </c>
      <c r="F7185" s="7" t="s">
        <v>75</v>
      </c>
      <c r="G7185" s="284" t="s">
        <v>6969</v>
      </c>
      <c r="H7185" s="33" t="s">
        <v>10037</v>
      </c>
      <c r="I7185" s="282">
        <v>1</v>
      </c>
      <c r="J7185" s="286">
        <v>2</v>
      </c>
      <c r="K7185" s="282">
        <v>0</v>
      </c>
      <c r="L7185" s="282">
        <v>0</v>
      </c>
      <c r="M7185" s="282">
        <v>0</v>
      </c>
      <c r="N7185" s="282">
        <v>0</v>
      </c>
      <c r="O7185" s="285">
        <v>0</v>
      </c>
      <c r="P7185" s="288">
        <v>8.9999999999999998E-4</v>
      </c>
      <c r="Q7185" s="287" t="s">
        <v>154</v>
      </c>
    </row>
    <row r="7186" spans="1:17" s="162" customFormat="1" ht="96" x14ac:dyDescent="0.25">
      <c r="A7186" s="281">
        <v>43341</v>
      </c>
      <c r="B7186" s="281">
        <v>43341</v>
      </c>
      <c r="C7186" s="282">
        <v>2018</v>
      </c>
      <c r="D7186" s="24" t="s">
        <v>141</v>
      </c>
      <c r="E7186" s="30" t="s">
        <v>142</v>
      </c>
      <c r="F7186" s="7" t="s">
        <v>97</v>
      </c>
      <c r="G7186" s="284" t="s">
        <v>10038</v>
      </c>
      <c r="H7186" s="33" t="s">
        <v>10039</v>
      </c>
      <c r="I7186" s="282">
        <v>1</v>
      </c>
      <c r="J7186" s="286">
        <v>5</v>
      </c>
      <c r="K7186" s="282">
        <v>0</v>
      </c>
      <c r="L7186" s="282">
        <v>0</v>
      </c>
      <c r="M7186" s="282">
        <v>0</v>
      </c>
      <c r="N7186" s="282">
        <v>0</v>
      </c>
      <c r="O7186" s="285">
        <v>0</v>
      </c>
      <c r="P7186" s="288">
        <v>0.25844699999999998</v>
      </c>
      <c r="Q7186" s="287" t="s">
        <v>154</v>
      </c>
    </row>
    <row r="7187" spans="1:17" s="162" customFormat="1" ht="96" x14ac:dyDescent="0.25">
      <c r="A7187" s="281">
        <v>43342</v>
      </c>
      <c r="B7187" s="281">
        <v>43342</v>
      </c>
      <c r="C7187" s="282">
        <v>2018</v>
      </c>
      <c r="D7187" s="24" t="s">
        <v>141</v>
      </c>
      <c r="E7187" s="30" t="s">
        <v>142</v>
      </c>
      <c r="F7187" s="7" t="s">
        <v>60</v>
      </c>
      <c r="G7187" s="284" t="s">
        <v>10040</v>
      </c>
      <c r="H7187" s="33" t="s">
        <v>10041</v>
      </c>
      <c r="I7187" s="282">
        <v>0</v>
      </c>
      <c r="J7187" s="286">
        <v>18</v>
      </c>
      <c r="K7187" s="282">
        <v>0</v>
      </c>
      <c r="L7187" s="282">
        <v>0</v>
      </c>
      <c r="M7187" s="282">
        <v>0</v>
      </c>
      <c r="N7187" s="282">
        <v>0</v>
      </c>
      <c r="O7187" s="285">
        <v>0</v>
      </c>
      <c r="P7187" s="288">
        <v>0.71040003488372094</v>
      </c>
      <c r="Q7187" s="287" t="s">
        <v>154</v>
      </c>
    </row>
    <row r="7188" spans="1:17" s="162" customFormat="1" ht="84" x14ac:dyDescent="0.25">
      <c r="A7188" s="281">
        <v>43343</v>
      </c>
      <c r="B7188" s="281">
        <v>43343</v>
      </c>
      <c r="C7188" s="282">
        <v>2018</v>
      </c>
      <c r="D7188" s="24" t="s">
        <v>141</v>
      </c>
      <c r="E7188" s="30" t="s">
        <v>142</v>
      </c>
      <c r="F7188" s="7" t="s">
        <v>53</v>
      </c>
      <c r="G7188" s="284" t="s">
        <v>10042</v>
      </c>
      <c r="H7188" s="33" t="s">
        <v>10043</v>
      </c>
      <c r="I7188" s="282">
        <v>2</v>
      </c>
      <c r="J7188" s="286">
        <v>12</v>
      </c>
      <c r="K7188" s="282">
        <v>0</v>
      </c>
      <c r="L7188" s="282">
        <v>0</v>
      </c>
      <c r="M7188" s="282">
        <v>0</v>
      </c>
      <c r="N7188" s="282">
        <v>0</v>
      </c>
      <c r="O7188" s="285">
        <v>0</v>
      </c>
      <c r="P7188" s="288">
        <v>0.263847</v>
      </c>
      <c r="Q7188" s="287" t="s">
        <v>154</v>
      </c>
    </row>
    <row r="7189" spans="1:17" s="162" customFormat="1" ht="120" x14ac:dyDescent="0.25">
      <c r="A7189" s="281">
        <v>43349</v>
      </c>
      <c r="B7189" s="281">
        <v>43349</v>
      </c>
      <c r="C7189" s="282">
        <v>2018</v>
      </c>
      <c r="D7189" s="24" t="s">
        <v>141</v>
      </c>
      <c r="E7189" s="41" t="s">
        <v>1965</v>
      </c>
      <c r="F7189" s="28" t="s">
        <v>157</v>
      </c>
      <c r="G7189" s="284" t="s">
        <v>1190</v>
      </c>
      <c r="H7189" s="33" t="s">
        <v>10044</v>
      </c>
      <c r="I7189" s="282">
        <v>1</v>
      </c>
      <c r="J7189" s="286">
        <v>3</v>
      </c>
      <c r="K7189" s="282">
        <v>0</v>
      </c>
      <c r="L7189" s="282">
        <v>0</v>
      </c>
      <c r="M7189" s="282">
        <v>0</v>
      </c>
      <c r="N7189" s="282">
        <v>0</v>
      </c>
      <c r="O7189" s="285">
        <v>0</v>
      </c>
      <c r="P7189" s="288">
        <v>8.9999999999999998E-4</v>
      </c>
      <c r="Q7189" s="287" t="s">
        <v>154</v>
      </c>
    </row>
    <row r="7190" spans="1:17" s="162" customFormat="1" ht="144" x14ac:dyDescent="0.25">
      <c r="A7190" s="281">
        <v>43349</v>
      </c>
      <c r="B7190" s="281">
        <v>43349</v>
      </c>
      <c r="C7190" s="282">
        <v>2018</v>
      </c>
      <c r="D7190" s="35" t="s">
        <v>28</v>
      </c>
      <c r="E7190" s="283" t="s">
        <v>149</v>
      </c>
      <c r="F7190" s="28" t="s">
        <v>157</v>
      </c>
      <c r="G7190" s="284" t="s">
        <v>1062</v>
      </c>
      <c r="H7190" s="33" t="s">
        <v>10045</v>
      </c>
      <c r="I7190" s="282">
        <v>0</v>
      </c>
      <c r="J7190" s="286">
        <v>2</v>
      </c>
      <c r="K7190" s="282">
        <v>0</v>
      </c>
      <c r="L7190" s="282">
        <v>0</v>
      </c>
      <c r="M7190" s="282">
        <v>0</v>
      </c>
      <c r="N7190" s="282">
        <v>1</v>
      </c>
      <c r="O7190" s="285">
        <v>0</v>
      </c>
      <c r="P7190" s="288">
        <v>0.01</v>
      </c>
      <c r="Q7190" s="287" t="s">
        <v>154</v>
      </c>
    </row>
    <row r="7191" spans="1:17" s="162" customFormat="1" ht="96" x14ac:dyDescent="0.25">
      <c r="A7191" s="281">
        <v>43349</v>
      </c>
      <c r="B7191" s="281">
        <v>43349</v>
      </c>
      <c r="C7191" s="282">
        <v>2018</v>
      </c>
      <c r="D7191" s="24" t="s">
        <v>141</v>
      </c>
      <c r="E7191" s="30" t="s">
        <v>142</v>
      </c>
      <c r="F7191" s="7" t="s">
        <v>101</v>
      </c>
      <c r="G7191" s="284" t="s">
        <v>8771</v>
      </c>
      <c r="H7191" s="33" t="s">
        <v>10046</v>
      </c>
      <c r="I7191" s="282">
        <v>0</v>
      </c>
      <c r="J7191" s="286">
        <v>2</v>
      </c>
      <c r="K7191" s="282">
        <v>0</v>
      </c>
      <c r="L7191" s="282">
        <v>0</v>
      </c>
      <c r="M7191" s="282">
        <v>0</v>
      </c>
      <c r="N7191" s="282">
        <v>0</v>
      </c>
      <c r="O7191" s="285">
        <v>0</v>
      </c>
      <c r="P7191" s="288">
        <v>0.20490606976744186</v>
      </c>
      <c r="Q7191" s="287" t="s">
        <v>154</v>
      </c>
    </row>
    <row r="7192" spans="1:17" s="162" customFormat="1" ht="96" x14ac:dyDescent="0.25">
      <c r="A7192" s="281">
        <v>43352</v>
      </c>
      <c r="B7192" s="281">
        <v>43352</v>
      </c>
      <c r="C7192" s="282">
        <v>2018</v>
      </c>
      <c r="D7192" s="24" t="s">
        <v>141</v>
      </c>
      <c r="E7192" s="30" t="s">
        <v>142</v>
      </c>
      <c r="F7192" s="7" t="s">
        <v>53</v>
      </c>
      <c r="G7192" s="284" t="s">
        <v>8930</v>
      </c>
      <c r="H7192" s="33" t="s">
        <v>10047</v>
      </c>
      <c r="I7192" s="282">
        <v>0</v>
      </c>
      <c r="J7192" s="286">
        <v>9</v>
      </c>
      <c r="K7192" s="282">
        <v>0</v>
      </c>
      <c r="L7192" s="282">
        <v>0</v>
      </c>
      <c r="M7192" s="282">
        <v>0</v>
      </c>
      <c r="N7192" s="282">
        <v>0</v>
      </c>
      <c r="O7192" s="285">
        <v>0</v>
      </c>
      <c r="P7192" s="288">
        <v>0.32786700000000002</v>
      </c>
      <c r="Q7192" s="287" t="s">
        <v>154</v>
      </c>
    </row>
    <row r="7193" spans="1:17" s="162" customFormat="1" ht="96" x14ac:dyDescent="0.25">
      <c r="A7193" s="281">
        <v>43355</v>
      </c>
      <c r="B7193" s="281">
        <v>43355</v>
      </c>
      <c r="C7193" s="282">
        <v>2018</v>
      </c>
      <c r="D7193" s="24" t="s">
        <v>141</v>
      </c>
      <c r="E7193" s="30" t="s">
        <v>142</v>
      </c>
      <c r="F7193" s="7" t="s">
        <v>60</v>
      </c>
      <c r="G7193" s="284" t="s">
        <v>908</v>
      </c>
      <c r="H7193" s="33" t="s">
        <v>10048</v>
      </c>
      <c r="I7193" s="282">
        <v>0</v>
      </c>
      <c r="J7193" s="286">
        <v>10</v>
      </c>
      <c r="K7193" s="282">
        <v>0</v>
      </c>
      <c r="L7193" s="282">
        <v>0</v>
      </c>
      <c r="M7193" s="282">
        <v>0</v>
      </c>
      <c r="N7193" s="282">
        <v>0</v>
      </c>
      <c r="O7193" s="285">
        <v>0</v>
      </c>
      <c r="P7193" s="288">
        <v>0.32516699999999998</v>
      </c>
      <c r="Q7193" s="287" t="s">
        <v>154</v>
      </c>
    </row>
    <row r="7194" spans="1:17" s="162" customFormat="1" ht="192" x14ac:dyDescent="0.25">
      <c r="A7194" s="281">
        <v>43358</v>
      </c>
      <c r="B7194" s="281">
        <v>43358</v>
      </c>
      <c r="C7194" s="282">
        <v>2018</v>
      </c>
      <c r="D7194" s="24" t="s">
        <v>141</v>
      </c>
      <c r="E7194" s="30" t="s">
        <v>142</v>
      </c>
      <c r="F7194" s="7" t="s">
        <v>60</v>
      </c>
      <c r="G7194" s="284" t="s">
        <v>10049</v>
      </c>
      <c r="H7194" s="33" t="s">
        <v>10050</v>
      </c>
      <c r="I7194" s="282">
        <v>8</v>
      </c>
      <c r="J7194" s="286">
        <v>43</v>
      </c>
      <c r="K7194" s="282">
        <v>0</v>
      </c>
      <c r="L7194" s="282">
        <v>0</v>
      </c>
      <c r="M7194" s="282">
        <v>0</v>
      </c>
      <c r="N7194" s="282">
        <v>0</v>
      </c>
      <c r="O7194" s="285">
        <v>0</v>
      </c>
      <c r="P7194" s="288">
        <v>1.6872303488372093</v>
      </c>
      <c r="Q7194" s="287" t="s">
        <v>154</v>
      </c>
    </row>
    <row r="7195" spans="1:17" s="162" customFormat="1" ht="192" x14ac:dyDescent="0.25">
      <c r="A7195" s="281">
        <v>43359</v>
      </c>
      <c r="B7195" s="281">
        <v>43359</v>
      </c>
      <c r="C7195" s="282">
        <v>2018</v>
      </c>
      <c r="D7195" s="24" t="s">
        <v>141</v>
      </c>
      <c r="E7195" s="30" t="s">
        <v>142</v>
      </c>
      <c r="F7195" s="7" t="s">
        <v>72</v>
      </c>
      <c r="G7195" s="284" t="s">
        <v>10051</v>
      </c>
      <c r="H7195" s="33" t="s">
        <v>10052</v>
      </c>
      <c r="I7195" s="282">
        <v>0</v>
      </c>
      <c r="J7195" s="286">
        <v>36</v>
      </c>
      <c r="K7195" s="282">
        <v>0</v>
      </c>
      <c r="L7195" s="282">
        <v>0</v>
      </c>
      <c r="M7195" s="282">
        <v>0</v>
      </c>
      <c r="N7195" s="282">
        <v>0</v>
      </c>
      <c r="O7195" s="285">
        <v>0</v>
      </c>
      <c r="P7195" s="288">
        <v>7.3020000000000002E-2</v>
      </c>
      <c r="Q7195" s="287" t="s">
        <v>154</v>
      </c>
    </row>
    <row r="7196" spans="1:17" s="162" customFormat="1" ht="120" x14ac:dyDescent="0.25">
      <c r="A7196" s="281">
        <v>43360</v>
      </c>
      <c r="B7196" s="281">
        <v>43360</v>
      </c>
      <c r="C7196" s="282">
        <v>2018</v>
      </c>
      <c r="D7196" s="24" t="s">
        <v>141</v>
      </c>
      <c r="E7196" s="283" t="s">
        <v>844</v>
      </c>
      <c r="F7196" s="7" t="s">
        <v>56</v>
      </c>
      <c r="G7196" s="284" t="s">
        <v>2281</v>
      </c>
      <c r="H7196" s="33" t="s">
        <v>10053</v>
      </c>
      <c r="I7196" s="282">
        <v>1</v>
      </c>
      <c r="J7196" s="286">
        <v>4</v>
      </c>
      <c r="K7196" s="282">
        <v>0</v>
      </c>
      <c r="L7196" s="282">
        <v>0</v>
      </c>
      <c r="M7196" s="282">
        <v>0</v>
      </c>
      <c r="N7196" s="282">
        <v>0</v>
      </c>
      <c r="O7196" s="285">
        <v>0</v>
      </c>
      <c r="P7196" s="288">
        <v>0</v>
      </c>
      <c r="Q7196" s="287" t="s">
        <v>154</v>
      </c>
    </row>
    <row r="7197" spans="1:17" s="162" customFormat="1" ht="132" x14ac:dyDescent="0.25">
      <c r="A7197" s="281">
        <v>43360</v>
      </c>
      <c r="B7197" s="281">
        <v>43360</v>
      </c>
      <c r="C7197" s="282">
        <v>2018</v>
      </c>
      <c r="D7197" s="24" t="s">
        <v>141</v>
      </c>
      <c r="E7197" s="30" t="s">
        <v>142</v>
      </c>
      <c r="F7197" s="7" t="s">
        <v>60</v>
      </c>
      <c r="G7197" s="284" t="s">
        <v>2797</v>
      </c>
      <c r="H7197" s="33" t="s">
        <v>10054</v>
      </c>
      <c r="I7197" s="282">
        <v>0</v>
      </c>
      <c r="J7197" s="286">
        <v>15</v>
      </c>
      <c r="K7197" s="282">
        <v>0</v>
      </c>
      <c r="L7197" s="282">
        <v>0</v>
      </c>
      <c r="M7197" s="282">
        <v>0</v>
      </c>
      <c r="N7197" s="282">
        <v>0</v>
      </c>
      <c r="O7197" s="285">
        <v>0</v>
      </c>
      <c r="P7197" s="288">
        <v>6.4920000000000005E-2</v>
      </c>
      <c r="Q7197" s="287" t="s">
        <v>154</v>
      </c>
    </row>
    <row r="7198" spans="1:17" s="162" customFormat="1" ht="108" x14ac:dyDescent="0.25">
      <c r="A7198" s="281">
        <v>43361</v>
      </c>
      <c r="B7198" s="281">
        <v>43361</v>
      </c>
      <c r="C7198" s="282">
        <v>2018</v>
      </c>
      <c r="D7198" s="24" t="s">
        <v>141</v>
      </c>
      <c r="E7198" s="283" t="s">
        <v>5734</v>
      </c>
      <c r="F7198" s="7" t="s">
        <v>53</v>
      </c>
      <c r="G7198" s="284" t="s">
        <v>1502</v>
      </c>
      <c r="H7198" s="33" t="s">
        <v>10055</v>
      </c>
      <c r="I7198" s="282">
        <v>0</v>
      </c>
      <c r="J7198" s="286">
        <v>70</v>
      </c>
      <c r="K7198" s="282">
        <v>0</v>
      </c>
      <c r="L7198" s="282">
        <v>0</v>
      </c>
      <c r="M7198" s="282">
        <v>0</v>
      </c>
      <c r="N7198" s="282">
        <v>0</v>
      </c>
      <c r="O7198" s="285">
        <v>0</v>
      </c>
      <c r="P7198" s="288">
        <v>0</v>
      </c>
      <c r="Q7198" s="287" t="s">
        <v>154</v>
      </c>
    </row>
    <row r="7199" spans="1:17" s="162" customFormat="1" ht="108" x14ac:dyDescent="0.25">
      <c r="A7199" s="281">
        <v>43365</v>
      </c>
      <c r="B7199" s="281">
        <v>43365</v>
      </c>
      <c r="C7199" s="282">
        <v>2018</v>
      </c>
      <c r="D7199" s="24" t="s">
        <v>141</v>
      </c>
      <c r="E7199" s="30" t="s">
        <v>142</v>
      </c>
      <c r="F7199" s="7" t="s">
        <v>56</v>
      </c>
      <c r="G7199" s="284" t="s">
        <v>4348</v>
      </c>
      <c r="H7199" s="33" t="s">
        <v>10056</v>
      </c>
      <c r="I7199" s="282">
        <v>1</v>
      </c>
      <c r="J7199" s="286">
        <v>13</v>
      </c>
      <c r="K7199" s="282">
        <v>0</v>
      </c>
      <c r="L7199" s="282">
        <v>0</v>
      </c>
      <c r="M7199" s="282">
        <v>0</v>
      </c>
      <c r="N7199" s="282">
        <v>0</v>
      </c>
      <c r="O7199" s="285">
        <v>0</v>
      </c>
      <c r="P7199" s="288">
        <v>0.92865303488372086</v>
      </c>
      <c r="Q7199" s="287" t="s">
        <v>154</v>
      </c>
    </row>
    <row r="7200" spans="1:17" s="162" customFormat="1" ht="132" x14ac:dyDescent="0.25">
      <c r="A7200" s="281">
        <v>43366</v>
      </c>
      <c r="B7200" s="281">
        <v>43366</v>
      </c>
      <c r="C7200" s="282">
        <v>2018</v>
      </c>
      <c r="D7200" s="24" t="s">
        <v>141</v>
      </c>
      <c r="E7200" s="30" t="s">
        <v>142</v>
      </c>
      <c r="F7200" s="7" t="s">
        <v>67</v>
      </c>
      <c r="G7200" s="284" t="s">
        <v>10057</v>
      </c>
      <c r="H7200" s="33" t="s">
        <v>10058</v>
      </c>
      <c r="I7200" s="282">
        <v>2</v>
      </c>
      <c r="J7200" s="286">
        <v>9</v>
      </c>
      <c r="K7200" s="282">
        <v>0</v>
      </c>
      <c r="L7200" s="282">
        <v>0</v>
      </c>
      <c r="M7200" s="282">
        <v>0</v>
      </c>
      <c r="N7200" s="282">
        <v>0</v>
      </c>
      <c r="O7200" s="285">
        <v>0</v>
      </c>
      <c r="P7200" s="288">
        <v>0.65549999999999997</v>
      </c>
      <c r="Q7200" s="287" t="s">
        <v>154</v>
      </c>
    </row>
    <row r="7201" spans="1:17" s="162" customFormat="1" ht="144" x14ac:dyDescent="0.25">
      <c r="A7201" s="281">
        <v>43367</v>
      </c>
      <c r="B7201" s="281">
        <v>43367</v>
      </c>
      <c r="C7201" s="282">
        <v>2018</v>
      </c>
      <c r="D7201" s="24" t="s">
        <v>141</v>
      </c>
      <c r="E7201" s="30" t="s">
        <v>142</v>
      </c>
      <c r="F7201" s="7" t="s">
        <v>62</v>
      </c>
      <c r="G7201" s="284" t="s">
        <v>5413</v>
      </c>
      <c r="H7201" s="33" t="s">
        <v>10059</v>
      </c>
      <c r="I7201" s="282">
        <v>0</v>
      </c>
      <c r="J7201" s="286">
        <v>48</v>
      </c>
      <c r="K7201" s="282">
        <v>0</v>
      </c>
      <c r="L7201" s="282">
        <v>0</v>
      </c>
      <c r="M7201" s="282">
        <v>0</v>
      </c>
      <c r="N7201" s="282">
        <v>0</v>
      </c>
      <c r="O7201" s="285">
        <v>0</v>
      </c>
      <c r="P7201" s="288">
        <v>0.69240000000000002</v>
      </c>
      <c r="Q7201" s="287" t="s">
        <v>154</v>
      </c>
    </row>
    <row r="7202" spans="1:17" s="162" customFormat="1" ht="132" x14ac:dyDescent="0.25">
      <c r="A7202" s="281">
        <v>43368</v>
      </c>
      <c r="B7202" s="281">
        <v>43368</v>
      </c>
      <c r="C7202" s="282">
        <v>2018</v>
      </c>
      <c r="D7202" s="24" t="s">
        <v>141</v>
      </c>
      <c r="E7202" s="30" t="s">
        <v>142</v>
      </c>
      <c r="F7202" s="7" t="s">
        <v>77</v>
      </c>
      <c r="G7202" s="284" t="s">
        <v>9607</v>
      </c>
      <c r="H7202" s="33" t="s">
        <v>10060</v>
      </c>
      <c r="I7202" s="282">
        <v>0</v>
      </c>
      <c r="J7202" s="286">
        <v>29</v>
      </c>
      <c r="K7202" s="282">
        <v>0</v>
      </c>
      <c r="L7202" s="282">
        <v>0</v>
      </c>
      <c r="M7202" s="282">
        <v>0</v>
      </c>
      <c r="N7202" s="282">
        <v>0</v>
      </c>
      <c r="O7202" s="285">
        <v>0</v>
      </c>
      <c r="P7202" s="288">
        <v>0.24282000000000001</v>
      </c>
      <c r="Q7202" s="287" t="s">
        <v>154</v>
      </c>
    </row>
    <row r="7203" spans="1:17" s="162" customFormat="1" ht="156" x14ac:dyDescent="0.25">
      <c r="A7203" s="281">
        <v>43376</v>
      </c>
      <c r="B7203" s="281">
        <v>43376</v>
      </c>
      <c r="C7203" s="282">
        <v>2018</v>
      </c>
      <c r="D7203" s="24" t="s">
        <v>141</v>
      </c>
      <c r="E7203" s="30" t="s">
        <v>142</v>
      </c>
      <c r="F7203" s="7" t="s">
        <v>56</v>
      </c>
      <c r="G7203" s="284" t="s">
        <v>9807</v>
      </c>
      <c r="H7203" s="33" t="s">
        <v>10061</v>
      </c>
      <c r="I7203" s="282">
        <v>0</v>
      </c>
      <c r="J7203" s="286">
        <v>4</v>
      </c>
      <c r="K7203" s="282">
        <v>0</v>
      </c>
      <c r="L7203" s="282">
        <v>0</v>
      </c>
      <c r="M7203" s="282">
        <v>0</v>
      </c>
      <c r="N7203" s="282">
        <v>0</v>
      </c>
      <c r="O7203" s="285">
        <v>0</v>
      </c>
      <c r="P7203" s="288">
        <v>0.17007303488372091</v>
      </c>
      <c r="Q7203" s="287" t="s">
        <v>154</v>
      </c>
    </row>
    <row r="7204" spans="1:17" s="162" customFormat="1" ht="156" x14ac:dyDescent="0.25">
      <c r="A7204" s="281">
        <v>43377</v>
      </c>
      <c r="B7204" s="281">
        <v>43377</v>
      </c>
      <c r="C7204" s="282">
        <v>2018</v>
      </c>
      <c r="D7204" s="24" t="s">
        <v>141</v>
      </c>
      <c r="E7204" s="30" t="s">
        <v>142</v>
      </c>
      <c r="F7204" s="7" t="s">
        <v>101</v>
      </c>
      <c r="G7204" s="284" t="s">
        <v>7172</v>
      </c>
      <c r="H7204" s="33" t="s">
        <v>10062</v>
      </c>
      <c r="I7204" s="282">
        <v>0</v>
      </c>
      <c r="J7204" s="286">
        <v>9</v>
      </c>
      <c r="K7204" s="282">
        <v>0</v>
      </c>
      <c r="L7204" s="282">
        <v>0</v>
      </c>
      <c r="M7204" s="282">
        <v>0</v>
      </c>
      <c r="N7204" s="282">
        <v>0</v>
      </c>
      <c r="O7204" s="285">
        <v>0</v>
      </c>
      <c r="P7204" s="288">
        <v>0.26294699999999999</v>
      </c>
      <c r="Q7204" s="287" t="s">
        <v>154</v>
      </c>
    </row>
    <row r="7205" spans="1:17" s="162" customFormat="1" ht="132" x14ac:dyDescent="0.25">
      <c r="A7205" s="281">
        <v>43378</v>
      </c>
      <c r="B7205" s="281">
        <v>43378</v>
      </c>
      <c r="C7205" s="282">
        <v>2018</v>
      </c>
      <c r="D7205" s="24" t="s">
        <v>141</v>
      </c>
      <c r="E7205" s="30" t="s">
        <v>142</v>
      </c>
      <c r="F7205" s="7" t="s">
        <v>84</v>
      </c>
      <c r="G7205" s="284" t="s">
        <v>4988</v>
      </c>
      <c r="H7205" s="33" t="s">
        <v>10063</v>
      </c>
      <c r="I7205" s="282">
        <v>0</v>
      </c>
      <c r="J7205" s="286">
        <v>35</v>
      </c>
      <c r="K7205" s="282">
        <v>0</v>
      </c>
      <c r="L7205" s="282">
        <v>0</v>
      </c>
      <c r="M7205" s="282">
        <v>0</v>
      </c>
      <c r="N7205" s="282">
        <v>0</v>
      </c>
      <c r="O7205" s="285">
        <v>0</v>
      </c>
      <c r="P7205" s="288">
        <v>0.7579530348837209</v>
      </c>
      <c r="Q7205" s="287" t="s">
        <v>154</v>
      </c>
    </row>
    <row r="7206" spans="1:17" s="162" customFormat="1" ht="144" x14ac:dyDescent="0.25">
      <c r="A7206" s="281">
        <v>43382</v>
      </c>
      <c r="B7206" s="281">
        <v>43382</v>
      </c>
      <c r="C7206" s="282">
        <v>2018</v>
      </c>
      <c r="D7206" s="24" t="s">
        <v>141</v>
      </c>
      <c r="E7206" s="30" t="s">
        <v>142</v>
      </c>
      <c r="F7206" s="7" t="s">
        <v>53</v>
      </c>
      <c r="G7206" s="284" t="s">
        <v>10064</v>
      </c>
      <c r="H7206" s="33" t="s">
        <v>10065</v>
      </c>
      <c r="I7206" s="282">
        <v>0</v>
      </c>
      <c r="J7206" s="286">
        <v>17</v>
      </c>
      <c r="K7206" s="282">
        <v>0</v>
      </c>
      <c r="L7206" s="282">
        <v>0</v>
      </c>
      <c r="M7206" s="282">
        <v>0</v>
      </c>
      <c r="N7206" s="282">
        <v>0</v>
      </c>
      <c r="O7206" s="285">
        <v>0</v>
      </c>
      <c r="P7206" s="288">
        <v>0.94384500000000005</v>
      </c>
      <c r="Q7206" s="287" t="s">
        <v>154</v>
      </c>
    </row>
    <row r="7207" spans="1:17" s="162" customFormat="1" ht="96" x14ac:dyDescent="0.25">
      <c r="A7207" s="281">
        <v>43382</v>
      </c>
      <c r="B7207" s="281">
        <v>43382</v>
      </c>
      <c r="C7207" s="282">
        <v>2018</v>
      </c>
      <c r="D7207" s="24" t="s">
        <v>141</v>
      </c>
      <c r="E7207" s="30" t="s">
        <v>142</v>
      </c>
      <c r="F7207" s="7" t="s">
        <v>62</v>
      </c>
      <c r="G7207" s="284" t="s">
        <v>165</v>
      </c>
      <c r="H7207" s="33" t="s">
        <v>10066</v>
      </c>
      <c r="I7207" s="282">
        <v>0</v>
      </c>
      <c r="J7207" s="286">
        <v>3</v>
      </c>
      <c r="K7207" s="282">
        <v>0</v>
      </c>
      <c r="L7207" s="282">
        <v>0</v>
      </c>
      <c r="M7207" s="282">
        <v>0</v>
      </c>
      <c r="N7207" s="282">
        <v>0</v>
      </c>
      <c r="O7207" s="285">
        <v>0</v>
      </c>
      <c r="P7207" s="288">
        <v>0.29633700000000002</v>
      </c>
      <c r="Q7207" s="287" t="s">
        <v>154</v>
      </c>
    </row>
    <row r="7208" spans="1:17" s="162" customFormat="1" ht="108" x14ac:dyDescent="0.25">
      <c r="A7208" s="281">
        <v>43383</v>
      </c>
      <c r="B7208" s="281">
        <v>43383</v>
      </c>
      <c r="C7208" s="282">
        <v>2018</v>
      </c>
      <c r="D7208" s="24" t="s">
        <v>141</v>
      </c>
      <c r="E7208" s="283" t="s">
        <v>5734</v>
      </c>
      <c r="F7208" s="7" t="s">
        <v>65</v>
      </c>
      <c r="G7208" s="284" t="s">
        <v>1632</v>
      </c>
      <c r="H7208" s="33" t="s">
        <v>10067</v>
      </c>
      <c r="I7208" s="282">
        <v>0</v>
      </c>
      <c r="J7208" s="286">
        <v>500</v>
      </c>
      <c r="K7208" s="282">
        <v>0</v>
      </c>
      <c r="L7208" s="282">
        <v>0</v>
      </c>
      <c r="M7208" s="282">
        <v>0</v>
      </c>
      <c r="N7208" s="282">
        <v>0</v>
      </c>
      <c r="O7208" s="285">
        <v>0</v>
      </c>
      <c r="P7208" s="288">
        <v>0</v>
      </c>
      <c r="Q7208" s="287" t="s">
        <v>154</v>
      </c>
    </row>
    <row r="7209" spans="1:17" s="162" customFormat="1" ht="84" x14ac:dyDescent="0.25">
      <c r="A7209" s="281">
        <v>43384</v>
      </c>
      <c r="B7209" s="281">
        <v>43384</v>
      </c>
      <c r="C7209" s="282">
        <v>2018</v>
      </c>
      <c r="D7209" s="24" t="s">
        <v>141</v>
      </c>
      <c r="E7209" s="41" t="s">
        <v>1965</v>
      </c>
      <c r="F7209" s="7" t="s">
        <v>68</v>
      </c>
      <c r="G7209" s="284" t="s">
        <v>5096</v>
      </c>
      <c r="H7209" s="33" t="s">
        <v>10068</v>
      </c>
      <c r="I7209" s="282">
        <v>8</v>
      </c>
      <c r="J7209" s="286">
        <v>23</v>
      </c>
      <c r="K7209" s="282">
        <v>0</v>
      </c>
      <c r="L7209" s="282">
        <v>0</v>
      </c>
      <c r="M7209" s="282">
        <v>0</v>
      </c>
      <c r="N7209" s="282">
        <v>0</v>
      </c>
      <c r="O7209" s="285">
        <v>0</v>
      </c>
      <c r="P7209" s="288">
        <v>1.35E-2</v>
      </c>
      <c r="Q7209" s="287" t="s">
        <v>154</v>
      </c>
    </row>
    <row r="7210" spans="1:17" s="162" customFormat="1" ht="144" x14ac:dyDescent="0.25">
      <c r="A7210" s="281">
        <v>43387</v>
      </c>
      <c r="B7210" s="281">
        <v>43387</v>
      </c>
      <c r="C7210" s="282">
        <v>2018</v>
      </c>
      <c r="D7210" s="24" t="s">
        <v>141</v>
      </c>
      <c r="E7210" s="30" t="s">
        <v>142</v>
      </c>
      <c r="F7210" s="7" t="s">
        <v>75</v>
      </c>
      <c r="G7210" s="284" t="s">
        <v>5046</v>
      </c>
      <c r="H7210" s="33" t="s">
        <v>10069</v>
      </c>
      <c r="I7210" s="282">
        <v>1</v>
      </c>
      <c r="J7210" s="286">
        <v>16</v>
      </c>
      <c r="K7210" s="282">
        <v>0</v>
      </c>
      <c r="L7210" s="282">
        <v>0</v>
      </c>
      <c r="M7210" s="282">
        <v>0</v>
      </c>
      <c r="N7210" s="282">
        <v>0</v>
      </c>
      <c r="O7210" s="285">
        <v>0</v>
      </c>
      <c r="P7210" s="288">
        <v>0.77066609100000005</v>
      </c>
      <c r="Q7210" s="287" t="s">
        <v>154</v>
      </c>
    </row>
    <row r="7211" spans="1:17" s="162" customFormat="1" ht="96" x14ac:dyDescent="0.25">
      <c r="A7211" s="281">
        <v>43388</v>
      </c>
      <c r="B7211" s="281">
        <v>43388</v>
      </c>
      <c r="C7211" s="282">
        <v>2018</v>
      </c>
      <c r="D7211" s="24" t="s">
        <v>141</v>
      </c>
      <c r="E7211" s="30" t="s">
        <v>142</v>
      </c>
      <c r="F7211" s="7" t="s">
        <v>53</v>
      </c>
      <c r="G7211" s="284" t="s">
        <v>9794</v>
      </c>
      <c r="H7211" s="33" t="s">
        <v>10070</v>
      </c>
      <c r="I7211" s="282">
        <v>0</v>
      </c>
      <c r="J7211" s="286">
        <v>12</v>
      </c>
      <c r="K7211" s="282">
        <v>0</v>
      </c>
      <c r="L7211" s="282">
        <v>0</v>
      </c>
      <c r="M7211" s="282">
        <v>0</v>
      </c>
      <c r="N7211" s="282">
        <v>0</v>
      </c>
      <c r="O7211" s="285">
        <v>0</v>
      </c>
      <c r="P7211" s="288">
        <v>0.76509303488372093</v>
      </c>
      <c r="Q7211" s="287" t="s">
        <v>154</v>
      </c>
    </row>
    <row r="7212" spans="1:17" s="162" customFormat="1" ht="120" x14ac:dyDescent="0.25">
      <c r="A7212" s="281">
        <v>43388</v>
      </c>
      <c r="B7212" s="281">
        <v>43388</v>
      </c>
      <c r="C7212" s="282">
        <v>2018</v>
      </c>
      <c r="D7212" s="24" t="s">
        <v>141</v>
      </c>
      <c r="E7212" s="30" t="s">
        <v>142</v>
      </c>
      <c r="F7212" s="28" t="s">
        <v>210</v>
      </c>
      <c r="G7212" s="284" t="s">
        <v>7518</v>
      </c>
      <c r="H7212" s="33" t="s">
        <v>10071</v>
      </c>
      <c r="I7212" s="282">
        <v>6</v>
      </c>
      <c r="J7212" s="286">
        <v>15</v>
      </c>
      <c r="K7212" s="282">
        <v>0</v>
      </c>
      <c r="L7212" s="282">
        <v>0</v>
      </c>
      <c r="M7212" s="282">
        <v>0</v>
      </c>
      <c r="N7212" s="282">
        <v>0</v>
      </c>
      <c r="O7212" s="285">
        <v>0</v>
      </c>
      <c r="P7212" s="288">
        <v>0.66209399999999996</v>
      </c>
      <c r="Q7212" s="287" t="s">
        <v>154</v>
      </c>
    </row>
    <row r="7213" spans="1:17" s="162" customFormat="1" ht="264" x14ac:dyDescent="0.25">
      <c r="A7213" s="281">
        <v>43388</v>
      </c>
      <c r="B7213" s="281">
        <v>43388</v>
      </c>
      <c r="C7213" s="282">
        <v>2018</v>
      </c>
      <c r="D7213" s="24" t="s">
        <v>141</v>
      </c>
      <c r="E7213" s="30" t="s">
        <v>142</v>
      </c>
      <c r="F7213" s="7" t="s">
        <v>58</v>
      </c>
      <c r="G7213" s="284" t="s">
        <v>5825</v>
      </c>
      <c r="H7213" s="33" t="s">
        <v>10072</v>
      </c>
      <c r="I7213" s="282">
        <v>6</v>
      </c>
      <c r="J7213" s="286">
        <v>8</v>
      </c>
      <c r="K7213" s="282">
        <v>0</v>
      </c>
      <c r="L7213" s="282">
        <v>0</v>
      </c>
      <c r="M7213" s="282">
        <v>0</v>
      </c>
      <c r="N7213" s="282">
        <v>0</v>
      </c>
      <c r="O7213" s="285">
        <v>0</v>
      </c>
      <c r="P7213" s="288">
        <v>0.10641</v>
      </c>
      <c r="Q7213" s="287" t="s">
        <v>154</v>
      </c>
    </row>
    <row r="7214" spans="1:17" s="162" customFormat="1" ht="96" x14ac:dyDescent="0.25">
      <c r="A7214" s="281">
        <v>43389</v>
      </c>
      <c r="B7214" s="281">
        <v>43389</v>
      </c>
      <c r="C7214" s="282">
        <v>2018</v>
      </c>
      <c r="D7214" s="24" t="s">
        <v>141</v>
      </c>
      <c r="E7214" s="30" t="s">
        <v>142</v>
      </c>
      <c r="F7214" s="7" t="s">
        <v>33</v>
      </c>
      <c r="G7214" s="284" t="s">
        <v>247</v>
      </c>
      <c r="H7214" s="33" t="s">
        <v>10073</v>
      </c>
      <c r="I7214" s="282">
        <v>1</v>
      </c>
      <c r="J7214" s="286">
        <v>2</v>
      </c>
      <c r="K7214" s="282">
        <v>0</v>
      </c>
      <c r="L7214" s="282">
        <v>0</v>
      </c>
      <c r="M7214" s="282">
        <v>0</v>
      </c>
      <c r="N7214" s="282">
        <v>0</v>
      </c>
      <c r="O7214" s="285">
        <v>0</v>
      </c>
      <c r="P7214" s="288">
        <v>4.4899779160159357</v>
      </c>
      <c r="Q7214" s="287" t="s">
        <v>154</v>
      </c>
    </row>
    <row r="7215" spans="1:17" s="162" customFormat="1" ht="84" x14ac:dyDescent="0.25">
      <c r="A7215" s="281">
        <v>43390</v>
      </c>
      <c r="B7215" s="281">
        <v>43390</v>
      </c>
      <c r="C7215" s="282">
        <v>2018</v>
      </c>
      <c r="D7215" s="35" t="s">
        <v>28</v>
      </c>
      <c r="E7215" s="283" t="s">
        <v>149</v>
      </c>
      <c r="F7215" s="7" t="s">
        <v>30</v>
      </c>
      <c r="G7215" s="284" t="s">
        <v>9672</v>
      </c>
      <c r="H7215" s="33" t="s">
        <v>10074</v>
      </c>
      <c r="I7215" s="282">
        <v>0</v>
      </c>
      <c r="J7215" s="286">
        <v>32</v>
      </c>
      <c r="K7215" s="282">
        <v>10</v>
      </c>
      <c r="L7215" s="282">
        <v>0</v>
      </c>
      <c r="M7215" s="282">
        <v>0</v>
      </c>
      <c r="N7215" s="282">
        <v>0</v>
      </c>
      <c r="O7215" s="285">
        <v>0</v>
      </c>
      <c r="P7215" s="288">
        <v>5.5E-2</v>
      </c>
      <c r="Q7215" s="287" t="s">
        <v>154</v>
      </c>
    </row>
    <row r="7216" spans="1:17" s="162" customFormat="1" ht="132" x14ac:dyDescent="0.25">
      <c r="A7216" s="281">
        <v>43391</v>
      </c>
      <c r="B7216" s="281">
        <v>43391</v>
      </c>
      <c r="C7216" s="282">
        <v>2018</v>
      </c>
      <c r="D7216" s="24" t="s">
        <v>141</v>
      </c>
      <c r="E7216" s="30" t="s">
        <v>142</v>
      </c>
      <c r="F7216" s="7" t="s">
        <v>62</v>
      </c>
      <c r="G7216" s="284" t="s">
        <v>10075</v>
      </c>
      <c r="H7216" s="33" t="s">
        <v>10076</v>
      </c>
      <c r="I7216" s="282">
        <v>12</v>
      </c>
      <c r="J7216" s="286">
        <v>24</v>
      </c>
      <c r="K7216" s="282">
        <v>0</v>
      </c>
      <c r="L7216" s="282">
        <v>0</v>
      </c>
      <c r="M7216" s="282">
        <v>0</v>
      </c>
      <c r="N7216" s="282">
        <v>0</v>
      </c>
      <c r="O7216" s="285">
        <v>0</v>
      </c>
      <c r="P7216" s="288">
        <v>0.65459999999999996</v>
      </c>
      <c r="Q7216" s="287" t="s">
        <v>154</v>
      </c>
    </row>
    <row r="7217" spans="1:17" s="162" customFormat="1" ht="132" x14ac:dyDescent="0.25">
      <c r="A7217" s="281">
        <v>43393</v>
      </c>
      <c r="B7217" s="281">
        <v>43393</v>
      </c>
      <c r="C7217" s="282">
        <v>2018</v>
      </c>
      <c r="D7217" s="24" t="s">
        <v>141</v>
      </c>
      <c r="E7217" s="30" t="s">
        <v>142</v>
      </c>
      <c r="F7217" s="7" t="s">
        <v>30</v>
      </c>
      <c r="G7217" s="284" t="s">
        <v>901</v>
      </c>
      <c r="H7217" s="33" t="s">
        <v>10077</v>
      </c>
      <c r="I7217" s="282">
        <v>0</v>
      </c>
      <c r="J7217" s="286">
        <v>3</v>
      </c>
      <c r="K7217" s="282">
        <v>0</v>
      </c>
      <c r="L7217" s="282">
        <v>0</v>
      </c>
      <c r="M7217" s="282">
        <v>0</v>
      </c>
      <c r="N7217" s="282">
        <v>0</v>
      </c>
      <c r="O7217" s="285">
        <v>0</v>
      </c>
      <c r="P7217" s="288">
        <v>0.45169779160159362</v>
      </c>
      <c r="Q7217" s="287" t="s">
        <v>154</v>
      </c>
    </row>
    <row r="7218" spans="1:17" s="162" customFormat="1" ht="108" x14ac:dyDescent="0.25">
      <c r="A7218" s="281">
        <v>43396</v>
      </c>
      <c r="B7218" s="281">
        <v>43396</v>
      </c>
      <c r="C7218" s="282">
        <v>2018</v>
      </c>
      <c r="D7218" s="24" t="s">
        <v>141</v>
      </c>
      <c r="E7218" s="30" t="s">
        <v>142</v>
      </c>
      <c r="F7218" s="7" t="s">
        <v>53</v>
      </c>
      <c r="G7218" s="284" t="s">
        <v>5966</v>
      </c>
      <c r="H7218" s="33" t="s">
        <v>10078</v>
      </c>
      <c r="I7218" s="282">
        <v>0</v>
      </c>
      <c r="J7218" s="286">
        <v>33</v>
      </c>
      <c r="K7218" s="282">
        <v>0</v>
      </c>
      <c r="L7218" s="282">
        <v>0</v>
      </c>
      <c r="M7218" s="282">
        <v>0</v>
      </c>
      <c r="N7218" s="282">
        <v>0</v>
      </c>
      <c r="O7218" s="285">
        <v>0</v>
      </c>
      <c r="P7218" s="288">
        <v>0.6744</v>
      </c>
      <c r="Q7218" s="287" t="s">
        <v>154</v>
      </c>
    </row>
    <row r="7219" spans="1:17" s="162" customFormat="1" ht="144" x14ac:dyDescent="0.25">
      <c r="A7219" s="281">
        <v>43397</v>
      </c>
      <c r="B7219" s="281">
        <v>43397</v>
      </c>
      <c r="C7219" s="282">
        <v>2018</v>
      </c>
      <c r="D7219" s="24" t="s">
        <v>141</v>
      </c>
      <c r="E7219" s="30" t="s">
        <v>142</v>
      </c>
      <c r="F7219" s="7" t="s">
        <v>67</v>
      </c>
      <c r="G7219" s="284" t="s">
        <v>8606</v>
      </c>
      <c r="H7219" s="33" t="s">
        <v>10079</v>
      </c>
      <c r="I7219" s="282">
        <v>8</v>
      </c>
      <c r="J7219" s="286">
        <v>34</v>
      </c>
      <c r="K7219" s="282">
        <v>0</v>
      </c>
      <c r="L7219" s="282">
        <v>0</v>
      </c>
      <c r="M7219" s="282">
        <v>0</v>
      </c>
      <c r="N7219" s="282">
        <v>0</v>
      </c>
      <c r="O7219" s="285">
        <v>0</v>
      </c>
      <c r="P7219" s="288">
        <v>0.20738999999999999</v>
      </c>
      <c r="Q7219" s="287" t="s">
        <v>154</v>
      </c>
    </row>
    <row r="7220" spans="1:17" s="162" customFormat="1" ht="120" x14ac:dyDescent="0.25">
      <c r="A7220" s="281">
        <v>43397</v>
      </c>
      <c r="B7220" s="281">
        <v>43397</v>
      </c>
      <c r="C7220" s="282">
        <v>2018</v>
      </c>
      <c r="D7220" s="24" t="s">
        <v>141</v>
      </c>
      <c r="E7220" s="30" t="s">
        <v>142</v>
      </c>
      <c r="F7220" s="7" t="s">
        <v>60</v>
      </c>
      <c r="G7220" s="284" t="s">
        <v>908</v>
      </c>
      <c r="H7220" s="33" t="s">
        <v>10080</v>
      </c>
      <c r="I7220" s="282">
        <v>0</v>
      </c>
      <c r="J7220" s="286">
        <v>15</v>
      </c>
      <c r="K7220" s="282">
        <v>0</v>
      </c>
      <c r="L7220" s="282">
        <v>0</v>
      </c>
      <c r="M7220" s="282">
        <v>0</v>
      </c>
      <c r="N7220" s="282">
        <v>0</v>
      </c>
      <c r="O7220" s="285">
        <v>0</v>
      </c>
      <c r="P7220" s="288">
        <v>0.12984000000000001</v>
      </c>
      <c r="Q7220" s="287" t="s">
        <v>154</v>
      </c>
    </row>
    <row r="7221" spans="1:17" s="162" customFormat="1" ht="96" x14ac:dyDescent="0.25">
      <c r="A7221" s="281">
        <v>43399</v>
      </c>
      <c r="B7221" s="281">
        <v>43399</v>
      </c>
      <c r="C7221" s="282">
        <v>2018</v>
      </c>
      <c r="D7221" s="24" t="s">
        <v>141</v>
      </c>
      <c r="E7221" s="30" t="s">
        <v>142</v>
      </c>
      <c r="F7221" s="7" t="s">
        <v>45</v>
      </c>
      <c r="G7221" s="284" t="s">
        <v>259</v>
      </c>
      <c r="H7221" s="33" t="s">
        <v>10025</v>
      </c>
      <c r="I7221" s="282">
        <v>0</v>
      </c>
      <c r="J7221" s="286">
        <v>3</v>
      </c>
      <c r="K7221" s="282">
        <v>0</v>
      </c>
      <c r="L7221" s="282">
        <v>0</v>
      </c>
      <c r="M7221" s="282">
        <v>0</v>
      </c>
      <c r="N7221" s="282">
        <v>0</v>
      </c>
      <c r="O7221" s="285">
        <v>0</v>
      </c>
      <c r="P7221" s="288">
        <v>0.828237</v>
      </c>
      <c r="Q7221" s="287" t="s">
        <v>154</v>
      </c>
    </row>
    <row r="7222" spans="1:17" s="162" customFormat="1" ht="144" x14ac:dyDescent="0.25">
      <c r="A7222" s="281">
        <v>43399</v>
      </c>
      <c r="B7222" s="281">
        <v>43399</v>
      </c>
      <c r="C7222" s="282">
        <v>2018</v>
      </c>
      <c r="D7222" s="24" t="s">
        <v>141</v>
      </c>
      <c r="E7222" s="30" t="s">
        <v>142</v>
      </c>
      <c r="F7222" s="7" t="s">
        <v>80</v>
      </c>
      <c r="G7222" s="284" t="s">
        <v>1089</v>
      </c>
      <c r="H7222" s="33" t="s">
        <v>10081</v>
      </c>
      <c r="I7222" s="282">
        <v>0</v>
      </c>
      <c r="J7222" s="286">
        <v>17</v>
      </c>
      <c r="K7222" s="282">
        <v>0</v>
      </c>
      <c r="L7222" s="282">
        <v>0</v>
      </c>
      <c r="M7222" s="282">
        <v>0</v>
      </c>
      <c r="N7222" s="282">
        <v>0</v>
      </c>
      <c r="O7222" s="285">
        <v>0</v>
      </c>
      <c r="P7222" s="288">
        <v>0.52499399999999996</v>
      </c>
      <c r="Q7222" s="287" t="s">
        <v>154</v>
      </c>
    </row>
    <row r="7223" spans="1:17" s="162" customFormat="1" ht="132" x14ac:dyDescent="0.25">
      <c r="A7223" s="281">
        <v>43400</v>
      </c>
      <c r="B7223" s="281">
        <v>43400</v>
      </c>
      <c r="C7223" s="282">
        <v>2018</v>
      </c>
      <c r="D7223" s="24" t="s">
        <v>141</v>
      </c>
      <c r="E7223" s="30" t="s">
        <v>142</v>
      </c>
      <c r="F7223" s="7" t="s">
        <v>53</v>
      </c>
      <c r="G7223" s="284" t="s">
        <v>10082</v>
      </c>
      <c r="H7223" s="33" t="s">
        <v>10083</v>
      </c>
      <c r="I7223" s="282">
        <v>1</v>
      </c>
      <c r="J7223" s="286">
        <v>8</v>
      </c>
      <c r="K7223" s="282">
        <v>0</v>
      </c>
      <c r="L7223" s="282">
        <v>0</v>
      </c>
      <c r="M7223" s="282">
        <v>0</v>
      </c>
      <c r="N7223" s="282">
        <v>0</v>
      </c>
      <c r="O7223" s="285">
        <v>0</v>
      </c>
      <c r="P7223" s="288">
        <v>1.8945000000000001</v>
      </c>
      <c r="Q7223" s="287" t="s">
        <v>154</v>
      </c>
    </row>
    <row r="7224" spans="1:17" s="162" customFormat="1" ht="204" x14ac:dyDescent="0.25">
      <c r="A7224" s="281">
        <v>43402</v>
      </c>
      <c r="B7224" s="281">
        <v>43402</v>
      </c>
      <c r="C7224" s="282">
        <v>2018</v>
      </c>
      <c r="D7224" s="24" t="s">
        <v>141</v>
      </c>
      <c r="E7224" s="30" t="s">
        <v>142</v>
      </c>
      <c r="F7224" s="7" t="s">
        <v>45</v>
      </c>
      <c r="G7224" s="284" t="s">
        <v>2890</v>
      </c>
      <c r="H7224" s="33" t="s">
        <v>10084</v>
      </c>
      <c r="I7224" s="282">
        <v>3</v>
      </c>
      <c r="J7224" s="286">
        <v>7</v>
      </c>
      <c r="K7224" s="282">
        <v>0</v>
      </c>
      <c r="L7224" s="282">
        <v>0</v>
      </c>
      <c r="M7224" s="282">
        <v>0</v>
      </c>
      <c r="N7224" s="282">
        <v>0</v>
      </c>
      <c r="O7224" s="285">
        <v>0</v>
      </c>
      <c r="P7224" s="288">
        <v>0.10821</v>
      </c>
      <c r="Q7224" s="287" t="s">
        <v>154</v>
      </c>
    </row>
    <row r="7225" spans="1:17" s="162" customFormat="1" ht="108" x14ac:dyDescent="0.25">
      <c r="A7225" s="281">
        <v>43403</v>
      </c>
      <c r="B7225" s="281">
        <v>43403</v>
      </c>
      <c r="C7225" s="282">
        <v>2018</v>
      </c>
      <c r="D7225" s="24" t="s">
        <v>141</v>
      </c>
      <c r="E7225" s="30" t="s">
        <v>142</v>
      </c>
      <c r="F7225" s="7" t="s">
        <v>60</v>
      </c>
      <c r="G7225" s="284" t="s">
        <v>9830</v>
      </c>
      <c r="H7225" s="33" t="s">
        <v>10085</v>
      </c>
      <c r="I7225" s="282">
        <v>0</v>
      </c>
      <c r="J7225" s="286">
        <v>2</v>
      </c>
      <c r="K7225" s="282">
        <v>0</v>
      </c>
      <c r="L7225" s="282">
        <v>0</v>
      </c>
      <c r="M7225" s="282">
        <v>0</v>
      </c>
      <c r="N7225" s="282">
        <v>0</v>
      </c>
      <c r="O7225" s="285">
        <v>0</v>
      </c>
      <c r="P7225" s="288">
        <v>3.9690000000000003E-2</v>
      </c>
      <c r="Q7225" s="287" t="s">
        <v>154</v>
      </c>
    </row>
    <row r="7226" spans="1:17" s="162" customFormat="1" ht="96" x14ac:dyDescent="0.25">
      <c r="A7226" s="281">
        <v>43405</v>
      </c>
      <c r="B7226" s="281">
        <v>43405</v>
      </c>
      <c r="C7226" s="282">
        <v>2018</v>
      </c>
      <c r="D7226" s="24" t="s">
        <v>141</v>
      </c>
      <c r="E7226" s="30" t="s">
        <v>142</v>
      </c>
      <c r="F7226" s="7" t="s">
        <v>53</v>
      </c>
      <c r="G7226" s="284" t="s">
        <v>1304</v>
      </c>
      <c r="H7226" s="33" t="s">
        <v>10086</v>
      </c>
      <c r="I7226" s="282">
        <v>0</v>
      </c>
      <c r="J7226" s="286">
        <v>7</v>
      </c>
      <c r="K7226" s="282">
        <v>0</v>
      </c>
      <c r="L7226" s="282">
        <v>0</v>
      </c>
      <c r="M7226" s="282">
        <v>0</v>
      </c>
      <c r="N7226" s="282">
        <v>0</v>
      </c>
      <c r="O7226" s="285">
        <v>0</v>
      </c>
      <c r="P7226" s="288">
        <v>7.1474700000000002E-2</v>
      </c>
      <c r="Q7226" s="287" t="s">
        <v>154</v>
      </c>
    </row>
    <row r="7227" spans="1:17" s="162" customFormat="1" ht="84" x14ac:dyDescent="0.25">
      <c r="A7227" s="281">
        <v>43407</v>
      </c>
      <c r="B7227" s="281">
        <v>43407</v>
      </c>
      <c r="C7227" s="282">
        <v>2018</v>
      </c>
      <c r="D7227" s="24" t="s">
        <v>141</v>
      </c>
      <c r="E7227" s="30" t="s">
        <v>142</v>
      </c>
      <c r="F7227" s="7" t="s">
        <v>56</v>
      </c>
      <c r="G7227" s="284" t="s">
        <v>711</v>
      </c>
      <c r="H7227" s="33" t="s">
        <v>10087</v>
      </c>
      <c r="I7227" s="282">
        <v>2</v>
      </c>
      <c r="J7227" s="286">
        <v>21</v>
      </c>
      <c r="K7227" s="282">
        <v>0</v>
      </c>
      <c r="L7227" s="282">
        <v>0</v>
      </c>
      <c r="M7227" s="282">
        <v>0</v>
      </c>
      <c r="N7227" s="282">
        <v>0</v>
      </c>
      <c r="O7227" s="285">
        <v>0</v>
      </c>
      <c r="P7227" s="288">
        <v>1.1852909100000002</v>
      </c>
      <c r="Q7227" s="287" t="s">
        <v>154</v>
      </c>
    </row>
    <row r="7228" spans="1:17" s="162" customFormat="1" ht="108" x14ac:dyDescent="0.25">
      <c r="A7228" s="281">
        <v>43407</v>
      </c>
      <c r="B7228" s="281">
        <v>43407</v>
      </c>
      <c r="C7228" s="282">
        <v>2018</v>
      </c>
      <c r="D7228" s="24" t="s">
        <v>141</v>
      </c>
      <c r="E7228" s="30" t="s">
        <v>142</v>
      </c>
      <c r="F7228" s="7" t="s">
        <v>87</v>
      </c>
      <c r="G7228" s="284" t="s">
        <v>936</v>
      </c>
      <c r="H7228" s="33" t="s">
        <v>10088</v>
      </c>
      <c r="I7228" s="282">
        <v>2</v>
      </c>
      <c r="J7228" s="286">
        <v>17</v>
      </c>
      <c r="K7228" s="282">
        <v>0</v>
      </c>
      <c r="L7228" s="282">
        <v>0</v>
      </c>
      <c r="M7228" s="282">
        <v>0</v>
      </c>
      <c r="N7228" s="282">
        <v>0</v>
      </c>
      <c r="O7228" s="285">
        <v>0</v>
      </c>
      <c r="P7228" s="288">
        <v>1.6782303488372095</v>
      </c>
      <c r="Q7228" s="287" t="s">
        <v>154</v>
      </c>
    </row>
    <row r="7229" spans="1:17" s="162" customFormat="1" ht="96" x14ac:dyDescent="0.25">
      <c r="A7229" s="281">
        <v>43409</v>
      </c>
      <c r="B7229" s="281">
        <v>43409</v>
      </c>
      <c r="C7229" s="282">
        <v>2018</v>
      </c>
      <c r="D7229" s="24" t="s">
        <v>141</v>
      </c>
      <c r="E7229" s="30" t="s">
        <v>142</v>
      </c>
      <c r="F7229" s="7" t="s">
        <v>36</v>
      </c>
      <c r="G7229" s="284" t="s">
        <v>10089</v>
      </c>
      <c r="H7229" s="33" t="s">
        <v>10090</v>
      </c>
      <c r="I7229" s="282">
        <v>0</v>
      </c>
      <c r="J7229" s="286">
        <v>2</v>
      </c>
      <c r="K7229" s="282">
        <v>0</v>
      </c>
      <c r="L7229" s="282">
        <v>0</v>
      </c>
      <c r="M7229" s="282">
        <v>0</v>
      </c>
      <c r="N7229" s="282">
        <v>0</v>
      </c>
      <c r="O7229" s="285">
        <v>0</v>
      </c>
      <c r="P7229" s="288">
        <v>4.4917779160159359</v>
      </c>
      <c r="Q7229" s="287" t="s">
        <v>154</v>
      </c>
    </row>
    <row r="7230" spans="1:17" s="162" customFormat="1" ht="132" x14ac:dyDescent="0.25">
      <c r="A7230" s="281">
        <v>43409</v>
      </c>
      <c r="B7230" s="281">
        <v>43409</v>
      </c>
      <c r="C7230" s="282">
        <v>2018</v>
      </c>
      <c r="D7230" s="24" t="s">
        <v>141</v>
      </c>
      <c r="E7230" s="30" t="s">
        <v>142</v>
      </c>
      <c r="F7230" s="7" t="s">
        <v>60</v>
      </c>
      <c r="G7230" s="284" t="s">
        <v>2545</v>
      </c>
      <c r="H7230" s="33" t="s">
        <v>10091</v>
      </c>
      <c r="I7230" s="282">
        <v>0</v>
      </c>
      <c r="J7230" s="286">
        <v>17</v>
      </c>
      <c r="K7230" s="282">
        <v>0</v>
      </c>
      <c r="L7230" s="282">
        <v>0</v>
      </c>
      <c r="M7230" s="282">
        <v>0</v>
      </c>
      <c r="N7230" s="282">
        <v>0</v>
      </c>
      <c r="O7230" s="285">
        <v>0</v>
      </c>
      <c r="P7230" s="288">
        <v>0.11852909100000002</v>
      </c>
      <c r="Q7230" s="287" t="s">
        <v>154</v>
      </c>
    </row>
    <row r="7231" spans="1:17" s="162" customFormat="1" ht="144" x14ac:dyDescent="0.25">
      <c r="A7231" s="281">
        <v>43409</v>
      </c>
      <c r="B7231" s="281">
        <v>43409</v>
      </c>
      <c r="C7231" s="282">
        <v>2018</v>
      </c>
      <c r="D7231" s="24" t="s">
        <v>141</v>
      </c>
      <c r="E7231" s="30" t="s">
        <v>142</v>
      </c>
      <c r="F7231" s="7" t="s">
        <v>60</v>
      </c>
      <c r="G7231" s="284" t="s">
        <v>1256</v>
      </c>
      <c r="H7231" s="33" t="s">
        <v>10092</v>
      </c>
      <c r="I7231" s="282">
        <v>0</v>
      </c>
      <c r="J7231" s="286">
        <v>50</v>
      </c>
      <c r="K7231" s="282">
        <v>1</v>
      </c>
      <c r="L7231" s="282">
        <v>0</v>
      </c>
      <c r="M7231" s="282">
        <v>0</v>
      </c>
      <c r="N7231" s="282">
        <v>0</v>
      </c>
      <c r="O7231" s="285">
        <v>0</v>
      </c>
      <c r="P7231" s="288">
        <v>7.0419999999999996E-2</v>
      </c>
      <c r="Q7231" s="287" t="s">
        <v>154</v>
      </c>
    </row>
    <row r="7232" spans="1:17" s="162" customFormat="1" ht="84" x14ac:dyDescent="0.25">
      <c r="A7232" s="281">
        <v>43412</v>
      </c>
      <c r="B7232" s="281">
        <v>43412</v>
      </c>
      <c r="C7232" s="282">
        <v>2018</v>
      </c>
      <c r="D7232" s="24" t="s">
        <v>141</v>
      </c>
      <c r="E7232" s="30" t="s">
        <v>142</v>
      </c>
      <c r="F7232" s="7" t="s">
        <v>60</v>
      </c>
      <c r="G7232" s="284" t="s">
        <v>2508</v>
      </c>
      <c r="H7232" s="33" t="s">
        <v>10093</v>
      </c>
      <c r="I7232" s="282">
        <v>0</v>
      </c>
      <c r="J7232" s="286">
        <v>25</v>
      </c>
      <c r="K7232" s="282">
        <v>0</v>
      </c>
      <c r="L7232" s="282">
        <v>0</v>
      </c>
      <c r="M7232" s="282">
        <v>0</v>
      </c>
      <c r="N7232" s="282">
        <v>0</v>
      </c>
      <c r="O7232" s="285">
        <v>0</v>
      </c>
      <c r="P7232" s="288">
        <v>0.93675303488372097</v>
      </c>
      <c r="Q7232" s="287" t="s">
        <v>154</v>
      </c>
    </row>
    <row r="7233" spans="1:17" s="162" customFormat="1" ht="120" x14ac:dyDescent="0.25">
      <c r="A7233" s="281">
        <v>43413</v>
      </c>
      <c r="B7233" s="281">
        <v>43413</v>
      </c>
      <c r="C7233" s="282">
        <v>2018</v>
      </c>
      <c r="D7233" s="24" t="s">
        <v>141</v>
      </c>
      <c r="E7233" s="30" t="s">
        <v>142</v>
      </c>
      <c r="F7233" s="7" t="s">
        <v>67</v>
      </c>
      <c r="G7233" s="284" t="s">
        <v>2973</v>
      </c>
      <c r="H7233" s="33" t="s">
        <v>10094</v>
      </c>
      <c r="I7233" s="282">
        <v>0</v>
      </c>
      <c r="J7233" s="286">
        <v>25</v>
      </c>
      <c r="K7233" s="282">
        <v>0</v>
      </c>
      <c r="L7233" s="282">
        <v>0</v>
      </c>
      <c r="M7233" s="282">
        <v>0</v>
      </c>
      <c r="N7233" s="282">
        <v>0</v>
      </c>
      <c r="O7233" s="285">
        <v>0</v>
      </c>
      <c r="P7233" s="288">
        <v>1.2984</v>
      </c>
      <c r="Q7233" s="287" t="s">
        <v>154</v>
      </c>
    </row>
    <row r="7234" spans="1:17" s="162" customFormat="1" ht="96" x14ac:dyDescent="0.25">
      <c r="A7234" s="281">
        <v>43414</v>
      </c>
      <c r="B7234" s="281">
        <v>43414</v>
      </c>
      <c r="C7234" s="282">
        <v>2018</v>
      </c>
      <c r="D7234" s="24" t="s">
        <v>141</v>
      </c>
      <c r="E7234" s="30" t="s">
        <v>142</v>
      </c>
      <c r="F7234" s="7" t="s">
        <v>60</v>
      </c>
      <c r="G7234" s="284" t="s">
        <v>2797</v>
      </c>
      <c r="H7234" s="33" t="s">
        <v>10095</v>
      </c>
      <c r="I7234" s="282">
        <v>0</v>
      </c>
      <c r="J7234" s="286">
        <v>8</v>
      </c>
      <c r="K7234" s="282">
        <v>0</v>
      </c>
      <c r="L7234" s="282">
        <v>0</v>
      </c>
      <c r="M7234" s="282">
        <v>0</v>
      </c>
      <c r="N7234" s="282">
        <v>0</v>
      </c>
      <c r="O7234" s="285">
        <v>0</v>
      </c>
      <c r="P7234" s="288">
        <v>0.17367303488372091</v>
      </c>
      <c r="Q7234" s="287" t="s">
        <v>154</v>
      </c>
    </row>
    <row r="7235" spans="1:17" s="162" customFormat="1" ht="144" x14ac:dyDescent="0.25">
      <c r="A7235" s="281">
        <v>43414</v>
      </c>
      <c r="B7235" s="281">
        <v>43414</v>
      </c>
      <c r="C7235" s="282">
        <v>2018</v>
      </c>
      <c r="D7235" s="24" t="s">
        <v>141</v>
      </c>
      <c r="E7235" s="30" t="s">
        <v>142</v>
      </c>
      <c r="F7235" s="7" t="s">
        <v>53</v>
      </c>
      <c r="G7235" s="284" t="s">
        <v>2997</v>
      </c>
      <c r="H7235" s="33" t="s">
        <v>10096</v>
      </c>
      <c r="I7235" s="282">
        <v>0</v>
      </c>
      <c r="J7235" s="286">
        <v>21</v>
      </c>
      <c r="K7235" s="282">
        <v>0</v>
      </c>
      <c r="L7235" s="282">
        <v>0</v>
      </c>
      <c r="M7235" s="282">
        <v>0</v>
      </c>
      <c r="N7235" s="282">
        <v>0</v>
      </c>
      <c r="O7235" s="285">
        <v>0</v>
      </c>
      <c r="P7235" s="288">
        <v>0.6663</v>
      </c>
      <c r="Q7235" s="287" t="s">
        <v>154</v>
      </c>
    </row>
    <row r="7236" spans="1:17" s="162" customFormat="1" ht="156" x14ac:dyDescent="0.25">
      <c r="A7236" s="281">
        <v>43414</v>
      </c>
      <c r="B7236" s="281">
        <v>43414</v>
      </c>
      <c r="C7236" s="282">
        <v>2018</v>
      </c>
      <c r="D7236" s="24" t="s">
        <v>141</v>
      </c>
      <c r="E7236" s="30" t="s">
        <v>142</v>
      </c>
      <c r="F7236" s="7" t="s">
        <v>53</v>
      </c>
      <c r="G7236" s="284" t="s">
        <v>2006</v>
      </c>
      <c r="H7236" s="33" t="s">
        <v>10097</v>
      </c>
      <c r="I7236" s="282">
        <v>0</v>
      </c>
      <c r="J7236" s="286">
        <v>10</v>
      </c>
      <c r="K7236" s="282">
        <v>0</v>
      </c>
      <c r="L7236" s="282">
        <v>0</v>
      </c>
      <c r="M7236" s="282">
        <v>0</v>
      </c>
      <c r="N7236" s="282">
        <v>0</v>
      </c>
      <c r="O7236" s="285">
        <v>0</v>
      </c>
      <c r="P7236" s="288">
        <v>6.6974699999999998E-2</v>
      </c>
      <c r="Q7236" s="287" t="s">
        <v>154</v>
      </c>
    </row>
    <row r="7237" spans="1:17" s="162" customFormat="1" ht="168" x14ac:dyDescent="0.25">
      <c r="A7237" s="281">
        <v>43414</v>
      </c>
      <c r="B7237" s="281">
        <v>43414</v>
      </c>
      <c r="C7237" s="282">
        <v>2018</v>
      </c>
      <c r="D7237" s="24" t="s">
        <v>141</v>
      </c>
      <c r="E7237" s="42" t="s">
        <v>447</v>
      </c>
      <c r="F7237" s="7" t="s">
        <v>67</v>
      </c>
      <c r="G7237" s="284" t="s">
        <v>8606</v>
      </c>
      <c r="H7237" s="33" t="s">
        <v>10098</v>
      </c>
      <c r="I7237" s="282">
        <v>0</v>
      </c>
      <c r="J7237" s="286">
        <v>30</v>
      </c>
      <c r="K7237" s="282">
        <v>0</v>
      </c>
      <c r="L7237" s="282">
        <v>0</v>
      </c>
      <c r="M7237" s="282">
        <v>0</v>
      </c>
      <c r="N7237" s="282">
        <v>0</v>
      </c>
      <c r="O7237" s="285">
        <v>0</v>
      </c>
      <c r="P7237" s="288">
        <v>3.6900000000000002E-2</v>
      </c>
      <c r="Q7237" s="287" t="s">
        <v>154</v>
      </c>
    </row>
    <row r="7238" spans="1:17" s="162" customFormat="1" ht="180" x14ac:dyDescent="0.25">
      <c r="A7238" s="281">
        <v>43414</v>
      </c>
      <c r="B7238" s="281">
        <v>43414</v>
      </c>
      <c r="C7238" s="282">
        <v>2018</v>
      </c>
      <c r="D7238" s="24" t="s">
        <v>141</v>
      </c>
      <c r="E7238" s="30" t="s">
        <v>142</v>
      </c>
      <c r="F7238" s="7" t="s">
        <v>84</v>
      </c>
      <c r="G7238" s="284" t="s">
        <v>1453</v>
      </c>
      <c r="H7238" s="33" t="s">
        <v>10099</v>
      </c>
      <c r="I7238" s="282">
        <v>0</v>
      </c>
      <c r="J7238" s="286">
        <v>3</v>
      </c>
      <c r="K7238" s="282">
        <v>0</v>
      </c>
      <c r="L7238" s="282">
        <v>0</v>
      </c>
      <c r="M7238" s="282">
        <v>0</v>
      </c>
      <c r="N7238" s="282">
        <v>0</v>
      </c>
      <c r="O7238" s="285">
        <v>0</v>
      </c>
      <c r="P7238" s="288">
        <v>0.45169779160159362</v>
      </c>
      <c r="Q7238" s="287" t="s">
        <v>154</v>
      </c>
    </row>
    <row r="7239" spans="1:17" s="162" customFormat="1" ht="132" x14ac:dyDescent="0.25">
      <c r="A7239" s="281">
        <v>43414</v>
      </c>
      <c r="B7239" s="281">
        <v>43414</v>
      </c>
      <c r="C7239" s="282">
        <v>2018</v>
      </c>
      <c r="D7239" s="24" t="s">
        <v>141</v>
      </c>
      <c r="E7239" s="30" t="s">
        <v>142</v>
      </c>
      <c r="F7239" s="28" t="s">
        <v>157</v>
      </c>
      <c r="G7239" s="284" t="s">
        <v>206</v>
      </c>
      <c r="H7239" s="33" t="s">
        <v>10100</v>
      </c>
      <c r="I7239" s="282">
        <v>0</v>
      </c>
      <c r="J7239" s="286">
        <v>9</v>
      </c>
      <c r="K7239" s="282">
        <v>0</v>
      </c>
      <c r="L7239" s="282">
        <v>0</v>
      </c>
      <c r="M7239" s="282">
        <v>0</v>
      </c>
      <c r="N7239" s="282">
        <v>0</v>
      </c>
      <c r="O7239" s="285">
        <v>0</v>
      </c>
      <c r="P7239" s="288">
        <v>2.7284700000000002E-2</v>
      </c>
      <c r="Q7239" s="287" t="s">
        <v>154</v>
      </c>
    </row>
    <row r="7240" spans="1:17" s="162" customFormat="1" ht="144" x14ac:dyDescent="0.25">
      <c r="A7240" s="281">
        <v>43416</v>
      </c>
      <c r="B7240" s="281">
        <v>43416</v>
      </c>
      <c r="C7240" s="282">
        <v>2018</v>
      </c>
      <c r="D7240" s="24" t="s">
        <v>141</v>
      </c>
      <c r="E7240" s="41" t="s">
        <v>1965</v>
      </c>
      <c r="F7240" s="28" t="s">
        <v>157</v>
      </c>
      <c r="G7240" s="284" t="s">
        <v>1062</v>
      </c>
      <c r="H7240" s="33" t="s">
        <v>10101</v>
      </c>
      <c r="I7240" s="282">
        <v>0</v>
      </c>
      <c r="J7240" s="286">
        <v>3</v>
      </c>
      <c r="K7240" s="282">
        <v>0</v>
      </c>
      <c r="L7240" s="282">
        <v>0</v>
      </c>
      <c r="M7240" s="282">
        <v>0</v>
      </c>
      <c r="N7240" s="282">
        <v>0</v>
      </c>
      <c r="O7240" s="285">
        <v>0</v>
      </c>
      <c r="P7240" s="288">
        <v>1.6414000000000002E-2</v>
      </c>
      <c r="Q7240" s="287" t="s">
        <v>154</v>
      </c>
    </row>
    <row r="7241" spans="1:17" s="162" customFormat="1" ht="144" x14ac:dyDescent="0.25">
      <c r="A7241" s="281">
        <v>43416</v>
      </c>
      <c r="B7241" s="281">
        <v>43416</v>
      </c>
      <c r="C7241" s="282">
        <v>2018</v>
      </c>
      <c r="D7241" s="24" t="s">
        <v>141</v>
      </c>
      <c r="E7241" s="30" t="s">
        <v>142</v>
      </c>
      <c r="F7241" s="7" t="s">
        <v>91</v>
      </c>
      <c r="G7241" s="284" t="s">
        <v>2321</v>
      </c>
      <c r="H7241" s="33" t="s">
        <v>10102</v>
      </c>
      <c r="I7241" s="282">
        <v>2</v>
      </c>
      <c r="J7241" s="286">
        <v>2</v>
      </c>
      <c r="K7241" s="282">
        <v>0</v>
      </c>
      <c r="L7241" s="282">
        <v>0</v>
      </c>
      <c r="M7241" s="282">
        <v>0</v>
      </c>
      <c r="N7241" s="282">
        <v>0</v>
      </c>
      <c r="O7241" s="285">
        <v>0</v>
      </c>
      <c r="P7241" s="288">
        <v>0.48868779160159359</v>
      </c>
      <c r="Q7241" s="287" t="s">
        <v>154</v>
      </c>
    </row>
    <row r="7242" spans="1:17" s="162" customFormat="1" ht="96" x14ac:dyDescent="0.25">
      <c r="A7242" s="281">
        <v>43417</v>
      </c>
      <c r="B7242" s="281">
        <v>43417</v>
      </c>
      <c r="C7242" s="282">
        <v>2018</v>
      </c>
      <c r="D7242" s="24" t="s">
        <v>141</v>
      </c>
      <c r="E7242" s="30" t="s">
        <v>142</v>
      </c>
      <c r="F7242" s="7" t="s">
        <v>91</v>
      </c>
      <c r="G7242" s="284" t="s">
        <v>1220</v>
      </c>
      <c r="H7242" s="33" t="s">
        <v>10103</v>
      </c>
      <c r="I7242" s="282">
        <v>2</v>
      </c>
      <c r="J7242" s="286">
        <v>2</v>
      </c>
      <c r="K7242" s="282">
        <v>0</v>
      </c>
      <c r="L7242" s="282">
        <v>0</v>
      </c>
      <c r="M7242" s="282">
        <v>0</v>
      </c>
      <c r="N7242" s="282">
        <v>0</v>
      </c>
      <c r="O7242" s="285">
        <v>0</v>
      </c>
      <c r="P7242" s="288">
        <v>4.4899779160159357</v>
      </c>
      <c r="Q7242" s="287" t="s">
        <v>154</v>
      </c>
    </row>
    <row r="7243" spans="1:17" s="162" customFormat="1" ht="156" x14ac:dyDescent="0.25">
      <c r="A7243" s="281">
        <v>43421</v>
      </c>
      <c r="B7243" s="281">
        <v>43421</v>
      </c>
      <c r="C7243" s="282">
        <v>2018</v>
      </c>
      <c r="D7243" s="24" t="s">
        <v>141</v>
      </c>
      <c r="E7243" s="30" t="s">
        <v>142</v>
      </c>
      <c r="F7243" s="7" t="s">
        <v>80</v>
      </c>
      <c r="G7243" s="284" t="s">
        <v>5558</v>
      </c>
      <c r="H7243" s="33" t="s">
        <v>10104</v>
      </c>
      <c r="I7243" s="282">
        <v>0</v>
      </c>
      <c r="J7243" s="286">
        <v>8</v>
      </c>
      <c r="K7243" s="282">
        <v>0</v>
      </c>
      <c r="L7243" s="282">
        <v>0</v>
      </c>
      <c r="M7243" s="282">
        <v>0</v>
      </c>
      <c r="N7243" s="282">
        <v>0</v>
      </c>
      <c r="O7243" s="285">
        <v>0</v>
      </c>
      <c r="P7243" s="288">
        <v>5.8169400000000003E-2</v>
      </c>
      <c r="Q7243" s="287" t="s">
        <v>154</v>
      </c>
    </row>
    <row r="7244" spans="1:17" s="162" customFormat="1" ht="108" x14ac:dyDescent="0.25">
      <c r="A7244" s="281">
        <v>43423</v>
      </c>
      <c r="B7244" s="281">
        <v>43423</v>
      </c>
      <c r="C7244" s="282">
        <v>2018</v>
      </c>
      <c r="D7244" s="24" t="s">
        <v>141</v>
      </c>
      <c r="E7244" s="30" t="s">
        <v>142</v>
      </c>
      <c r="F7244" s="7" t="s">
        <v>68</v>
      </c>
      <c r="G7244" s="284" t="s">
        <v>7113</v>
      </c>
      <c r="H7244" s="33" t="s">
        <v>10105</v>
      </c>
      <c r="I7244" s="282">
        <v>6</v>
      </c>
      <c r="J7244" s="286">
        <v>20</v>
      </c>
      <c r="K7244" s="282">
        <v>0</v>
      </c>
      <c r="L7244" s="282">
        <v>0</v>
      </c>
      <c r="M7244" s="282">
        <v>0</v>
      </c>
      <c r="N7244" s="282">
        <v>0</v>
      </c>
      <c r="O7244" s="285">
        <v>0</v>
      </c>
      <c r="P7244" s="288">
        <v>0.66180000000000005</v>
      </c>
      <c r="Q7244" s="287" t="s">
        <v>154</v>
      </c>
    </row>
    <row r="7245" spans="1:17" s="162" customFormat="1" ht="96" x14ac:dyDescent="0.25">
      <c r="A7245" s="281">
        <v>43424</v>
      </c>
      <c r="B7245" s="281">
        <v>43424</v>
      </c>
      <c r="C7245" s="282">
        <v>2018</v>
      </c>
      <c r="D7245" s="24" t="s">
        <v>141</v>
      </c>
      <c r="E7245" s="30" t="s">
        <v>142</v>
      </c>
      <c r="F7245" s="7" t="s">
        <v>72</v>
      </c>
      <c r="G7245" s="284" t="s">
        <v>10106</v>
      </c>
      <c r="H7245" s="33" t="s">
        <v>10107</v>
      </c>
      <c r="I7245" s="282">
        <v>4</v>
      </c>
      <c r="J7245" s="286">
        <v>6</v>
      </c>
      <c r="K7245" s="282">
        <v>0</v>
      </c>
      <c r="L7245" s="282">
        <v>0</v>
      </c>
      <c r="M7245" s="282">
        <v>0</v>
      </c>
      <c r="N7245" s="282">
        <v>0</v>
      </c>
      <c r="O7245" s="285">
        <v>0</v>
      </c>
      <c r="P7245" s="288">
        <v>0.14304303488372092</v>
      </c>
      <c r="Q7245" s="287" t="s">
        <v>154</v>
      </c>
    </row>
    <row r="7246" spans="1:17" s="162" customFormat="1" ht="60" x14ac:dyDescent="0.25">
      <c r="A7246" s="281">
        <v>43432</v>
      </c>
      <c r="B7246" s="281">
        <v>43432</v>
      </c>
      <c r="C7246" s="282">
        <v>2018</v>
      </c>
      <c r="D7246" s="24" t="s">
        <v>141</v>
      </c>
      <c r="E7246" s="30" t="s">
        <v>142</v>
      </c>
      <c r="F7246" s="7" t="s">
        <v>60</v>
      </c>
      <c r="G7246" s="284" t="s">
        <v>1605</v>
      </c>
      <c r="H7246" s="33" t="s">
        <v>10108</v>
      </c>
      <c r="I7246" s="282">
        <v>0</v>
      </c>
      <c r="J7246" s="286">
        <v>8</v>
      </c>
      <c r="K7246" s="282">
        <v>0</v>
      </c>
      <c r="L7246" s="282">
        <v>0</v>
      </c>
      <c r="M7246" s="282">
        <v>0</v>
      </c>
      <c r="N7246" s="282">
        <v>0</v>
      </c>
      <c r="O7246" s="285">
        <v>0</v>
      </c>
      <c r="P7246" s="288">
        <v>7.2120000000000004E-2</v>
      </c>
      <c r="Q7246" s="287" t="s">
        <v>154</v>
      </c>
    </row>
    <row r="7247" spans="1:17" s="162" customFormat="1" ht="120" x14ac:dyDescent="0.25">
      <c r="A7247" s="281">
        <v>43432</v>
      </c>
      <c r="B7247" s="281">
        <v>43432</v>
      </c>
      <c r="C7247" s="282">
        <v>2018</v>
      </c>
      <c r="D7247" s="24" t="s">
        <v>141</v>
      </c>
      <c r="E7247" s="30" t="s">
        <v>142</v>
      </c>
      <c r="F7247" s="7" t="s">
        <v>101</v>
      </c>
      <c r="G7247" s="284" t="s">
        <v>101</v>
      </c>
      <c r="H7247" s="33" t="s">
        <v>10109</v>
      </c>
      <c r="I7247" s="282">
        <v>0</v>
      </c>
      <c r="J7247" s="286">
        <v>14</v>
      </c>
      <c r="K7247" s="282">
        <v>0</v>
      </c>
      <c r="L7247" s="282">
        <v>0</v>
      </c>
      <c r="M7247" s="282">
        <v>0</v>
      </c>
      <c r="N7247" s="282">
        <v>0</v>
      </c>
      <c r="O7247" s="285">
        <v>0</v>
      </c>
      <c r="P7247" s="288">
        <v>0.61529727300000003</v>
      </c>
      <c r="Q7247" s="287" t="s">
        <v>154</v>
      </c>
    </row>
    <row r="7248" spans="1:17" s="162" customFormat="1" ht="120" x14ac:dyDescent="0.25">
      <c r="A7248" s="281">
        <v>43435</v>
      </c>
      <c r="B7248" s="281">
        <v>43435</v>
      </c>
      <c r="C7248" s="282">
        <v>2018</v>
      </c>
      <c r="D7248" s="24" t="s">
        <v>141</v>
      </c>
      <c r="E7248" s="30" t="s">
        <v>142</v>
      </c>
      <c r="F7248" s="7" t="s">
        <v>91</v>
      </c>
      <c r="G7248" s="284" t="s">
        <v>4511</v>
      </c>
      <c r="H7248" s="33" t="s">
        <v>10110</v>
      </c>
      <c r="I7248" s="282">
        <v>3</v>
      </c>
      <c r="J7248" s="286">
        <v>8</v>
      </c>
      <c r="K7248" s="282">
        <v>0</v>
      </c>
      <c r="L7248" s="282">
        <v>0</v>
      </c>
      <c r="M7248" s="282">
        <v>0</v>
      </c>
      <c r="N7248" s="282">
        <v>0</v>
      </c>
      <c r="O7248" s="285">
        <v>0</v>
      </c>
      <c r="P7248" s="288">
        <v>0.32426700000000003</v>
      </c>
      <c r="Q7248" s="287" t="s">
        <v>154</v>
      </c>
    </row>
    <row r="7249" spans="1:17" s="162" customFormat="1" ht="153" x14ac:dyDescent="0.25">
      <c r="A7249" s="281">
        <v>43435</v>
      </c>
      <c r="B7249" s="281">
        <v>43435</v>
      </c>
      <c r="C7249" s="282">
        <v>2018</v>
      </c>
      <c r="D7249" s="35" t="s">
        <v>28</v>
      </c>
      <c r="E7249" s="283" t="s">
        <v>2933</v>
      </c>
      <c r="F7249" s="7" t="s">
        <v>60</v>
      </c>
      <c r="G7249" s="284" t="s">
        <v>1605</v>
      </c>
      <c r="H7249" s="284" t="s">
        <v>10111</v>
      </c>
      <c r="I7249" s="282">
        <v>0</v>
      </c>
      <c r="J7249" s="286">
        <v>5</v>
      </c>
      <c r="K7249" s="282">
        <v>1</v>
      </c>
      <c r="L7249" s="282">
        <v>0</v>
      </c>
      <c r="M7249" s="282">
        <v>0</v>
      </c>
      <c r="N7249" s="282">
        <v>0</v>
      </c>
      <c r="O7249" s="285">
        <v>0</v>
      </c>
      <c r="P7249" s="288">
        <v>8.7569999999999995E-2</v>
      </c>
      <c r="Q7249" s="287" t="s">
        <v>154</v>
      </c>
    </row>
    <row r="7250" spans="1:17" s="162" customFormat="1" ht="108" x14ac:dyDescent="0.25">
      <c r="A7250" s="281">
        <v>43435</v>
      </c>
      <c r="B7250" s="281">
        <v>43435</v>
      </c>
      <c r="C7250" s="282">
        <v>2018</v>
      </c>
      <c r="D7250" s="24" t="s">
        <v>141</v>
      </c>
      <c r="E7250" s="30" t="s">
        <v>142</v>
      </c>
      <c r="F7250" s="28" t="s">
        <v>157</v>
      </c>
      <c r="G7250" s="284" t="s">
        <v>4820</v>
      </c>
      <c r="H7250" s="33" t="s">
        <v>10112</v>
      </c>
      <c r="I7250" s="282">
        <v>0</v>
      </c>
      <c r="J7250" s="286">
        <v>11</v>
      </c>
      <c r="K7250" s="282">
        <v>0</v>
      </c>
      <c r="L7250" s="282">
        <v>0</v>
      </c>
      <c r="M7250" s="282">
        <v>0</v>
      </c>
      <c r="N7250" s="282">
        <v>0</v>
      </c>
      <c r="O7250" s="285">
        <v>0</v>
      </c>
      <c r="P7250" s="288">
        <v>0.12984000000000001</v>
      </c>
      <c r="Q7250" s="287" t="s">
        <v>154</v>
      </c>
    </row>
    <row r="7251" spans="1:17" s="162" customFormat="1" ht="84" x14ac:dyDescent="0.25">
      <c r="A7251" s="281">
        <v>43435</v>
      </c>
      <c r="B7251" s="281">
        <v>43435</v>
      </c>
      <c r="C7251" s="282">
        <v>2018</v>
      </c>
      <c r="D7251" s="24" t="s">
        <v>141</v>
      </c>
      <c r="E7251" s="30" t="s">
        <v>142</v>
      </c>
      <c r="F7251" s="28" t="s">
        <v>210</v>
      </c>
      <c r="G7251" s="284" t="s">
        <v>4162</v>
      </c>
      <c r="H7251" s="33" t="s">
        <v>10113</v>
      </c>
      <c r="I7251" s="282">
        <v>7</v>
      </c>
      <c r="J7251" s="286">
        <v>28</v>
      </c>
      <c r="K7251" s="282">
        <v>0</v>
      </c>
      <c r="L7251" s="282">
        <v>0</v>
      </c>
      <c r="M7251" s="282">
        <v>0</v>
      </c>
      <c r="N7251" s="282">
        <v>0</v>
      </c>
      <c r="O7251" s="285">
        <v>0</v>
      </c>
      <c r="P7251" s="288">
        <v>0.20288999999999999</v>
      </c>
      <c r="Q7251" s="287" t="s">
        <v>154</v>
      </c>
    </row>
    <row r="7252" spans="1:17" s="162" customFormat="1" ht="180" x14ac:dyDescent="0.25">
      <c r="A7252" s="281">
        <v>43436</v>
      </c>
      <c r="B7252" s="281">
        <v>43436</v>
      </c>
      <c r="C7252" s="282">
        <v>2018</v>
      </c>
      <c r="D7252" s="24" t="s">
        <v>141</v>
      </c>
      <c r="E7252" s="30" t="s">
        <v>142</v>
      </c>
      <c r="F7252" s="7" t="s">
        <v>82</v>
      </c>
      <c r="G7252" s="284" t="s">
        <v>1092</v>
      </c>
      <c r="H7252" s="33" t="s">
        <v>10114</v>
      </c>
      <c r="I7252" s="282">
        <v>0</v>
      </c>
      <c r="J7252" s="286">
        <v>60</v>
      </c>
      <c r="K7252" s="282">
        <v>0</v>
      </c>
      <c r="L7252" s="282">
        <v>0</v>
      </c>
      <c r="M7252" s="282">
        <v>0</v>
      </c>
      <c r="N7252" s="282">
        <v>0</v>
      </c>
      <c r="O7252" s="285">
        <v>0</v>
      </c>
      <c r="P7252" s="288">
        <v>0.11892</v>
      </c>
      <c r="Q7252" s="287" t="s">
        <v>154</v>
      </c>
    </row>
    <row r="7253" spans="1:17" s="162" customFormat="1" ht="96" x14ac:dyDescent="0.25">
      <c r="A7253" s="281">
        <v>43436</v>
      </c>
      <c r="B7253" s="281">
        <v>43436</v>
      </c>
      <c r="C7253" s="282">
        <v>2018</v>
      </c>
      <c r="D7253" s="24" t="s">
        <v>141</v>
      </c>
      <c r="E7253" s="30" t="s">
        <v>142</v>
      </c>
      <c r="F7253" s="7" t="s">
        <v>53</v>
      </c>
      <c r="G7253" s="284" t="s">
        <v>5554</v>
      </c>
      <c r="H7253" s="33" t="s">
        <v>10115</v>
      </c>
      <c r="I7253" s="282">
        <v>1</v>
      </c>
      <c r="J7253" s="286">
        <v>8</v>
      </c>
      <c r="K7253" s="282">
        <v>0</v>
      </c>
      <c r="L7253" s="282">
        <v>0</v>
      </c>
      <c r="M7253" s="282">
        <v>0</v>
      </c>
      <c r="N7253" s="282">
        <v>0</v>
      </c>
      <c r="O7253" s="285">
        <v>0</v>
      </c>
      <c r="P7253" s="288">
        <v>0.25484699999999999</v>
      </c>
      <c r="Q7253" s="287" t="s">
        <v>154</v>
      </c>
    </row>
    <row r="7254" spans="1:17" s="162" customFormat="1" ht="96" x14ac:dyDescent="0.25">
      <c r="A7254" s="281">
        <v>43437</v>
      </c>
      <c r="B7254" s="281">
        <v>43437</v>
      </c>
      <c r="C7254" s="282">
        <v>2018</v>
      </c>
      <c r="D7254" s="24" t="s">
        <v>141</v>
      </c>
      <c r="E7254" s="30" t="s">
        <v>142</v>
      </c>
      <c r="F7254" s="7" t="s">
        <v>56</v>
      </c>
      <c r="G7254" s="284" t="s">
        <v>646</v>
      </c>
      <c r="H7254" s="33" t="s">
        <v>10116</v>
      </c>
      <c r="I7254" s="282">
        <v>0</v>
      </c>
      <c r="J7254" s="286">
        <v>13</v>
      </c>
      <c r="K7254" s="282">
        <v>0</v>
      </c>
      <c r="L7254" s="282">
        <v>0</v>
      </c>
      <c r="M7254" s="282">
        <v>0</v>
      </c>
      <c r="N7254" s="282">
        <v>0</v>
      </c>
      <c r="O7254" s="285">
        <v>0</v>
      </c>
      <c r="P7254" s="288">
        <v>7.6619999999999994E-2</v>
      </c>
      <c r="Q7254" s="287" t="s">
        <v>154</v>
      </c>
    </row>
    <row r="7255" spans="1:17" s="162" customFormat="1" ht="120" x14ac:dyDescent="0.25">
      <c r="A7255" s="281">
        <v>43437</v>
      </c>
      <c r="B7255" s="281">
        <v>43437</v>
      </c>
      <c r="C7255" s="282">
        <v>2018</v>
      </c>
      <c r="D7255" s="24" t="s">
        <v>141</v>
      </c>
      <c r="E7255" s="30" t="s">
        <v>142</v>
      </c>
      <c r="F7255" s="7" t="s">
        <v>84</v>
      </c>
      <c r="G7255" s="284" t="s">
        <v>939</v>
      </c>
      <c r="H7255" s="33" t="s">
        <v>10117</v>
      </c>
      <c r="I7255" s="282">
        <v>4</v>
      </c>
      <c r="J7255" s="286">
        <v>7</v>
      </c>
      <c r="K7255" s="282">
        <v>1</v>
      </c>
      <c r="L7255" s="282">
        <v>0</v>
      </c>
      <c r="M7255" s="282">
        <v>0</v>
      </c>
      <c r="N7255" s="282">
        <v>0</v>
      </c>
      <c r="O7255" s="285">
        <v>0</v>
      </c>
      <c r="P7255" s="288">
        <v>4.6126779160159357</v>
      </c>
      <c r="Q7255" s="287" t="s">
        <v>154</v>
      </c>
    </row>
    <row r="7256" spans="1:17" s="162" customFormat="1" ht="108" x14ac:dyDescent="0.25">
      <c r="A7256" s="281">
        <v>43439</v>
      </c>
      <c r="B7256" s="281">
        <v>43439</v>
      </c>
      <c r="C7256" s="282">
        <v>2018</v>
      </c>
      <c r="D7256" s="35" t="s">
        <v>28</v>
      </c>
      <c r="E7256" s="283" t="s">
        <v>149</v>
      </c>
      <c r="F7256" s="28" t="s">
        <v>157</v>
      </c>
      <c r="G7256" s="284" t="s">
        <v>857</v>
      </c>
      <c r="H7256" s="33" t="s">
        <v>10118</v>
      </c>
      <c r="I7256" s="282">
        <v>0</v>
      </c>
      <c r="J7256" s="286">
        <v>30</v>
      </c>
      <c r="K7256" s="282">
        <v>0</v>
      </c>
      <c r="L7256" s="282">
        <v>0</v>
      </c>
      <c r="M7256" s="282">
        <v>0</v>
      </c>
      <c r="N7256" s="282">
        <v>1</v>
      </c>
      <c r="O7256" s="285">
        <v>0</v>
      </c>
      <c r="P7256" s="288">
        <v>0.01</v>
      </c>
      <c r="Q7256" s="287" t="s">
        <v>154</v>
      </c>
    </row>
    <row r="7257" spans="1:17" s="162" customFormat="1" ht="108" x14ac:dyDescent="0.25">
      <c r="A7257" s="281">
        <v>43439</v>
      </c>
      <c r="B7257" s="281">
        <v>43439</v>
      </c>
      <c r="C7257" s="282">
        <v>2018</v>
      </c>
      <c r="D7257" s="35" t="s">
        <v>28</v>
      </c>
      <c r="E7257" s="283" t="s">
        <v>149</v>
      </c>
      <c r="F7257" s="7" t="s">
        <v>53</v>
      </c>
      <c r="G7257" s="284" t="s">
        <v>8930</v>
      </c>
      <c r="H7257" s="33" t="s">
        <v>10119</v>
      </c>
      <c r="I7257" s="282">
        <v>0</v>
      </c>
      <c r="J7257" s="286">
        <v>1200</v>
      </c>
      <c r="K7257" s="282">
        <v>0</v>
      </c>
      <c r="L7257" s="282">
        <v>0</v>
      </c>
      <c r="M7257" s="282">
        <v>0</v>
      </c>
      <c r="N7257" s="282">
        <v>1</v>
      </c>
      <c r="O7257" s="285">
        <v>0</v>
      </c>
      <c r="P7257" s="288">
        <v>0.01</v>
      </c>
      <c r="Q7257" s="287" t="s">
        <v>154</v>
      </c>
    </row>
    <row r="7258" spans="1:17" s="162" customFormat="1" ht="108" x14ac:dyDescent="0.25">
      <c r="A7258" s="281">
        <v>43440</v>
      </c>
      <c r="B7258" s="281">
        <v>43440</v>
      </c>
      <c r="C7258" s="282">
        <v>2018</v>
      </c>
      <c r="D7258" s="35" t="s">
        <v>28</v>
      </c>
      <c r="E7258" s="283" t="s">
        <v>2933</v>
      </c>
      <c r="F7258" s="7" t="s">
        <v>77</v>
      </c>
      <c r="G7258" s="284" t="s">
        <v>961</v>
      </c>
      <c r="H7258" s="33" t="s">
        <v>10120</v>
      </c>
      <c r="I7258" s="282">
        <v>1</v>
      </c>
      <c r="J7258" s="286">
        <v>11</v>
      </c>
      <c r="K7258" s="282">
        <v>0</v>
      </c>
      <c r="L7258" s="282">
        <v>0</v>
      </c>
      <c r="M7258" s="282">
        <v>0</v>
      </c>
      <c r="N7258" s="282">
        <v>0</v>
      </c>
      <c r="O7258" s="285">
        <v>0</v>
      </c>
      <c r="P7258" s="288">
        <v>8.9999999999999993E-3</v>
      </c>
      <c r="Q7258" s="287" t="s">
        <v>154</v>
      </c>
    </row>
    <row r="7259" spans="1:17" s="162" customFormat="1" ht="120" x14ac:dyDescent="0.25">
      <c r="A7259" s="281">
        <v>43441</v>
      </c>
      <c r="B7259" s="281">
        <v>43441</v>
      </c>
      <c r="C7259" s="282">
        <v>2018</v>
      </c>
      <c r="D7259" s="24" t="s">
        <v>141</v>
      </c>
      <c r="E7259" s="30" t="s">
        <v>142</v>
      </c>
      <c r="F7259" s="25" t="s">
        <v>781</v>
      </c>
      <c r="G7259" s="284" t="s">
        <v>3061</v>
      </c>
      <c r="H7259" s="33" t="s">
        <v>10121</v>
      </c>
      <c r="I7259" s="282">
        <v>0</v>
      </c>
      <c r="J7259" s="286">
        <v>17</v>
      </c>
      <c r="K7259" s="282">
        <v>0</v>
      </c>
      <c r="L7259" s="282">
        <v>0</v>
      </c>
      <c r="M7259" s="282">
        <v>0</v>
      </c>
      <c r="N7259" s="282">
        <v>0</v>
      </c>
      <c r="O7259" s="285">
        <v>0</v>
      </c>
      <c r="P7259" s="288">
        <v>0.27014700000000003</v>
      </c>
      <c r="Q7259" s="287" t="s">
        <v>154</v>
      </c>
    </row>
    <row r="7260" spans="1:17" s="162" customFormat="1" ht="120" x14ac:dyDescent="0.25">
      <c r="A7260" s="281">
        <v>43442</v>
      </c>
      <c r="B7260" s="281">
        <v>43442</v>
      </c>
      <c r="C7260" s="282">
        <v>2018</v>
      </c>
      <c r="D7260" s="24" t="s">
        <v>141</v>
      </c>
      <c r="E7260" s="30" t="s">
        <v>142</v>
      </c>
      <c r="F7260" s="7" t="s">
        <v>82</v>
      </c>
      <c r="G7260" s="284" t="s">
        <v>2385</v>
      </c>
      <c r="H7260" s="33" t="s">
        <v>10122</v>
      </c>
      <c r="I7260" s="282">
        <v>1</v>
      </c>
      <c r="J7260" s="286">
        <v>4</v>
      </c>
      <c r="K7260" s="282">
        <v>0</v>
      </c>
      <c r="L7260" s="282">
        <v>0</v>
      </c>
      <c r="M7260" s="282">
        <v>0</v>
      </c>
      <c r="N7260" s="282">
        <v>0</v>
      </c>
      <c r="O7260" s="285">
        <v>0</v>
      </c>
      <c r="P7260" s="288">
        <v>6.6974699999999998E-2</v>
      </c>
      <c r="Q7260" s="287" t="s">
        <v>154</v>
      </c>
    </row>
    <row r="7261" spans="1:17" s="162" customFormat="1" ht="96" x14ac:dyDescent="0.25">
      <c r="A7261" s="281">
        <v>43442</v>
      </c>
      <c r="B7261" s="281">
        <v>43442</v>
      </c>
      <c r="C7261" s="282">
        <v>2018</v>
      </c>
      <c r="D7261" s="35" t="s">
        <v>28</v>
      </c>
      <c r="E7261" s="283" t="s">
        <v>149</v>
      </c>
      <c r="F7261" s="28" t="s">
        <v>157</v>
      </c>
      <c r="G7261" s="284" t="s">
        <v>857</v>
      </c>
      <c r="H7261" s="33" t="s">
        <v>10123</v>
      </c>
      <c r="I7261" s="282">
        <v>0</v>
      </c>
      <c r="J7261" s="286">
        <v>9</v>
      </c>
      <c r="K7261" s="282">
        <v>1</v>
      </c>
      <c r="L7261" s="282">
        <v>0</v>
      </c>
      <c r="M7261" s="282">
        <v>0</v>
      </c>
      <c r="N7261" s="282">
        <v>0</v>
      </c>
      <c r="O7261" s="285">
        <v>0</v>
      </c>
      <c r="P7261" s="288">
        <v>1.6066</v>
      </c>
      <c r="Q7261" s="287" t="s">
        <v>154</v>
      </c>
    </row>
    <row r="7262" spans="1:17" s="162" customFormat="1" ht="84" x14ac:dyDescent="0.25">
      <c r="A7262" s="281">
        <v>43443</v>
      </c>
      <c r="B7262" s="281">
        <v>43443</v>
      </c>
      <c r="C7262" s="282">
        <v>2018</v>
      </c>
      <c r="D7262" s="35" t="s">
        <v>28</v>
      </c>
      <c r="E7262" s="283" t="s">
        <v>2933</v>
      </c>
      <c r="F7262" s="28" t="s">
        <v>157</v>
      </c>
      <c r="G7262" s="284" t="s">
        <v>526</v>
      </c>
      <c r="H7262" s="33" t="s">
        <v>10124</v>
      </c>
      <c r="I7262" s="282">
        <v>1</v>
      </c>
      <c r="J7262" s="286">
        <v>3</v>
      </c>
      <c r="K7262" s="282">
        <v>1</v>
      </c>
      <c r="L7262" s="282">
        <v>0</v>
      </c>
      <c r="M7262" s="282">
        <v>0</v>
      </c>
      <c r="N7262" s="282">
        <v>0</v>
      </c>
      <c r="O7262" s="285">
        <v>0</v>
      </c>
      <c r="P7262" s="288">
        <v>2.98E-2</v>
      </c>
      <c r="Q7262" s="287" t="s">
        <v>154</v>
      </c>
    </row>
    <row r="7263" spans="1:17" s="162" customFormat="1" ht="108" x14ac:dyDescent="0.25">
      <c r="A7263" s="281">
        <v>43444</v>
      </c>
      <c r="B7263" s="281">
        <v>43444</v>
      </c>
      <c r="C7263" s="282">
        <v>2018</v>
      </c>
      <c r="D7263" s="24" t="s">
        <v>141</v>
      </c>
      <c r="E7263" s="30" t="s">
        <v>142</v>
      </c>
      <c r="F7263" s="28" t="s">
        <v>157</v>
      </c>
      <c r="G7263" s="284" t="s">
        <v>158</v>
      </c>
      <c r="H7263" s="33" t="s">
        <v>10125</v>
      </c>
      <c r="I7263" s="282">
        <v>0</v>
      </c>
      <c r="J7263" s="286">
        <v>15</v>
      </c>
      <c r="K7263" s="282">
        <v>0</v>
      </c>
      <c r="L7263" s="282">
        <v>0</v>
      </c>
      <c r="M7263" s="282">
        <v>0</v>
      </c>
      <c r="N7263" s="282">
        <v>0</v>
      </c>
      <c r="O7263" s="285">
        <v>0</v>
      </c>
      <c r="P7263" s="288">
        <v>0.33326699999999998</v>
      </c>
      <c r="Q7263" s="287" t="s">
        <v>154</v>
      </c>
    </row>
    <row r="7264" spans="1:17" s="162" customFormat="1" ht="336" x14ac:dyDescent="0.25">
      <c r="A7264" s="281">
        <v>43451</v>
      </c>
      <c r="B7264" s="281">
        <v>43451</v>
      </c>
      <c r="C7264" s="282">
        <v>2018</v>
      </c>
      <c r="D7264" s="35" t="s">
        <v>28</v>
      </c>
      <c r="E7264" s="283" t="s">
        <v>149</v>
      </c>
      <c r="F7264" s="7" t="s">
        <v>53</v>
      </c>
      <c r="G7264" s="284" t="s">
        <v>1236</v>
      </c>
      <c r="H7264" s="33" t="s">
        <v>10126</v>
      </c>
      <c r="I7264" s="282">
        <v>0</v>
      </c>
      <c r="J7264" s="286">
        <v>2103</v>
      </c>
      <c r="K7264" s="282">
        <v>0</v>
      </c>
      <c r="L7264" s="282">
        <v>0</v>
      </c>
      <c r="M7264" s="282">
        <v>0</v>
      </c>
      <c r="N7264" s="282">
        <v>1</v>
      </c>
      <c r="O7264" s="285">
        <v>0</v>
      </c>
      <c r="P7264" s="288">
        <v>1.18E-2</v>
      </c>
      <c r="Q7264" s="287" t="s">
        <v>154</v>
      </c>
    </row>
    <row r="7265" spans="1:17" s="162" customFormat="1" ht="84" x14ac:dyDescent="0.25">
      <c r="A7265" s="281">
        <v>43451</v>
      </c>
      <c r="B7265" s="281">
        <v>43451</v>
      </c>
      <c r="C7265" s="282">
        <v>2018</v>
      </c>
      <c r="D7265" s="24" t="s">
        <v>141</v>
      </c>
      <c r="E7265" s="30" t="s">
        <v>142</v>
      </c>
      <c r="F7265" s="7" t="s">
        <v>53</v>
      </c>
      <c r="G7265" s="284" t="s">
        <v>4464</v>
      </c>
      <c r="H7265" s="33" t="s">
        <v>10127</v>
      </c>
      <c r="I7265" s="282">
        <v>3</v>
      </c>
      <c r="J7265" s="286">
        <v>12</v>
      </c>
      <c r="K7265" s="282">
        <v>0</v>
      </c>
      <c r="L7265" s="282">
        <v>0</v>
      </c>
      <c r="M7265" s="282">
        <v>0</v>
      </c>
      <c r="N7265" s="282">
        <v>1</v>
      </c>
      <c r="O7265" s="285">
        <v>0</v>
      </c>
      <c r="P7265" s="288">
        <v>0.272947</v>
      </c>
      <c r="Q7265" s="287" t="s">
        <v>154</v>
      </c>
    </row>
    <row r="7266" spans="1:17" s="162" customFormat="1" ht="120" x14ac:dyDescent="0.25">
      <c r="A7266" s="281">
        <v>43446</v>
      </c>
      <c r="B7266" s="281">
        <v>43446</v>
      </c>
      <c r="C7266" s="282">
        <v>2018</v>
      </c>
      <c r="D7266" s="24" t="s">
        <v>141</v>
      </c>
      <c r="E7266" s="30" t="s">
        <v>142</v>
      </c>
      <c r="F7266" s="7" t="s">
        <v>40</v>
      </c>
      <c r="G7266" s="284" t="s">
        <v>40</v>
      </c>
      <c r="H7266" s="33" t="s">
        <v>10128</v>
      </c>
      <c r="I7266" s="282">
        <v>1</v>
      </c>
      <c r="J7266" s="286">
        <v>9</v>
      </c>
      <c r="K7266" s="282">
        <v>0</v>
      </c>
      <c r="L7266" s="282">
        <v>0</v>
      </c>
      <c r="M7266" s="282">
        <v>0</v>
      </c>
      <c r="N7266" s="282">
        <v>0</v>
      </c>
      <c r="O7266" s="285">
        <v>0</v>
      </c>
      <c r="P7266" s="288">
        <v>0.702809091</v>
      </c>
      <c r="Q7266" s="287" t="s">
        <v>154</v>
      </c>
    </row>
    <row r="7267" spans="1:17" s="162" customFormat="1" ht="120" x14ac:dyDescent="0.25">
      <c r="A7267" s="281">
        <v>43453</v>
      </c>
      <c r="B7267" s="281">
        <v>43453</v>
      </c>
      <c r="C7267" s="282">
        <v>2018</v>
      </c>
      <c r="D7267" s="24" t="s">
        <v>141</v>
      </c>
      <c r="E7267" s="30" t="s">
        <v>142</v>
      </c>
      <c r="F7267" s="7" t="s">
        <v>53</v>
      </c>
      <c r="G7267" s="284" t="s">
        <v>1304</v>
      </c>
      <c r="H7267" s="33" t="s">
        <v>10129</v>
      </c>
      <c r="I7267" s="282">
        <v>0</v>
      </c>
      <c r="J7267" s="286">
        <v>8</v>
      </c>
      <c r="K7267" s="282">
        <v>0</v>
      </c>
      <c r="L7267" s="282">
        <v>0</v>
      </c>
      <c r="M7267" s="282">
        <v>0</v>
      </c>
      <c r="N7267" s="282">
        <v>0</v>
      </c>
      <c r="O7267" s="285">
        <v>0</v>
      </c>
      <c r="P7267" s="288">
        <v>0.36360003488372089</v>
      </c>
      <c r="Q7267" s="287" t="s">
        <v>154</v>
      </c>
    </row>
    <row r="7268" spans="1:17" s="162" customFormat="1" ht="108" x14ac:dyDescent="0.25">
      <c r="A7268" s="281">
        <v>43453</v>
      </c>
      <c r="B7268" s="281">
        <v>43453</v>
      </c>
      <c r="C7268" s="282">
        <v>2018</v>
      </c>
      <c r="D7268" s="24" t="s">
        <v>141</v>
      </c>
      <c r="E7268" s="30" t="s">
        <v>142</v>
      </c>
      <c r="F7268" s="28" t="s">
        <v>157</v>
      </c>
      <c r="G7268" s="284" t="s">
        <v>857</v>
      </c>
      <c r="H7268" s="33" t="s">
        <v>10130</v>
      </c>
      <c r="I7268" s="282">
        <v>0</v>
      </c>
      <c r="J7268" s="286">
        <v>7</v>
      </c>
      <c r="K7268" s="282">
        <v>0</v>
      </c>
      <c r="L7268" s="282">
        <v>0</v>
      </c>
      <c r="M7268" s="282">
        <v>0</v>
      </c>
      <c r="N7268" s="282">
        <v>0</v>
      </c>
      <c r="O7268" s="285">
        <v>0</v>
      </c>
      <c r="P7268" s="288">
        <v>0.15060000000000001</v>
      </c>
      <c r="Q7268" s="287" t="s">
        <v>154</v>
      </c>
    </row>
    <row r="7269" spans="1:17" s="162" customFormat="1" ht="96" x14ac:dyDescent="0.25">
      <c r="A7269" s="281">
        <v>43454</v>
      </c>
      <c r="B7269" s="281">
        <v>43454</v>
      </c>
      <c r="C7269" s="282">
        <v>2018</v>
      </c>
      <c r="D7269" s="24" t="s">
        <v>141</v>
      </c>
      <c r="E7269" s="30" t="s">
        <v>142</v>
      </c>
      <c r="F7269" s="28" t="s">
        <v>210</v>
      </c>
      <c r="G7269" s="284" t="s">
        <v>8959</v>
      </c>
      <c r="H7269" s="33" t="s">
        <v>10131</v>
      </c>
      <c r="I7269" s="282">
        <v>0</v>
      </c>
      <c r="J7269" s="286">
        <v>13</v>
      </c>
      <c r="K7269" s="282">
        <v>0</v>
      </c>
      <c r="L7269" s="282">
        <v>0</v>
      </c>
      <c r="M7269" s="282">
        <v>0</v>
      </c>
      <c r="N7269" s="282">
        <v>0</v>
      </c>
      <c r="O7269" s="285">
        <v>0</v>
      </c>
      <c r="P7269" s="288">
        <v>0.17817303488372091</v>
      </c>
      <c r="Q7269" s="287" t="s">
        <v>154</v>
      </c>
    </row>
    <row r="7270" spans="1:17" s="162" customFormat="1" ht="96" x14ac:dyDescent="0.25">
      <c r="A7270" s="281">
        <v>43454</v>
      </c>
      <c r="B7270" s="281">
        <v>43454</v>
      </c>
      <c r="C7270" s="282">
        <v>2018</v>
      </c>
      <c r="D7270" s="24" t="s">
        <v>141</v>
      </c>
      <c r="E7270" s="30" t="s">
        <v>142</v>
      </c>
      <c r="F7270" s="7" t="s">
        <v>53</v>
      </c>
      <c r="G7270" s="284" t="s">
        <v>460</v>
      </c>
      <c r="H7270" s="33" t="s">
        <v>10132</v>
      </c>
      <c r="I7270" s="282">
        <v>0</v>
      </c>
      <c r="J7270" s="286">
        <v>4</v>
      </c>
      <c r="K7270" s="282">
        <v>0</v>
      </c>
      <c r="L7270" s="282">
        <v>0</v>
      </c>
      <c r="M7270" s="282">
        <v>0</v>
      </c>
      <c r="N7270" s="282">
        <v>0</v>
      </c>
      <c r="O7270" s="285">
        <v>0</v>
      </c>
      <c r="P7270" s="288">
        <v>0.17007303488372091</v>
      </c>
      <c r="Q7270" s="287" t="s">
        <v>154</v>
      </c>
    </row>
    <row r="7271" spans="1:17" s="162" customFormat="1" ht="84" x14ac:dyDescent="0.25">
      <c r="A7271" s="281">
        <v>43454</v>
      </c>
      <c r="B7271" s="281">
        <v>43454</v>
      </c>
      <c r="C7271" s="282">
        <v>2018</v>
      </c>
      <c r="D7271" s="24" t="s">
        <v>141</v>
      </c>
      <c r="E7271" s="30" t="s">
        <v>142</v>
      </c>
      <c r="F7271" s="7" t="s">
        <v>80</v>
      </c>
      <c r="G7271" s="284" t="s">
        <v>5558</v>
      </c>
      <c r="H7271" s="33" t="s">
        <v>10133</v>
      </c>
      <c r="I7271" s="282">
        <v>0</v>
      </c>
      <c r="J7271" s="286">
        <v>2</v>
      </c>
      <c r="K7271" s="282">
        <v>0</v>
      </c>
      <c r="L7271" s="282">
        <v>0</v>
      </c>
      <c r="M7271" s="282">
        <v>0</v>
      </c>
      <c r="N7271" s="282">
        <v>0</v>
      </c>
      <c r="O7271" s="285">
        <v>0</v>
      </c>
      <c r="P7271" s="288">
        <v>0.45079779160159361</v>
      </c>
      <c r="Q7271" s="287" t="s">
        <v>154</v>
      </c>
    </row>
    <row r="7272" spans="1:17" s="162" customFormat="1" ht="120" x14ac:dyDescent="0.25">
      <c r="A7272" s="281">
        <v>43455</v>
      </c>
      <c r="B7272" s="281">
        <v>43455</v>
      </c>
      <c r="C7272" s="282">
        <v>2018</v>
      </c>
      <c r="D7272" s="24" t="s">
        <v>141</v>
      </c>
      <c r="E7272" s="30" t="s">
        <v>142</v>
      </c>
      <c r="F7272" s="7" t="s">
        <v>58</v>
      </c>
      <c r="G7272" s="284" t="s">
        <v>724</v>
      </c>
      <c r="H7272" s="33" t="s">
        <v>10134</v>
      </c>
      <c r="I7272" s="282">
        <v>0</v>
      </c>
      <c r="J7272" s="286">
        <v>2</v>
      </c>
      <c r="K7272" s="282">
        <v>0</v>
      </c>
      <c r="L7272" s="282">
        <v>0</v>
      </c>
      <c r="M7272" s="282">
        <v>0</v>
      </c>
      <c r="N7272" s="282">
        <v>0</v>
      </c>
      <c r="O7272" s="285">
        <v>0</v>
      </c>
      <c r="P7272" s="288">
        <v>6.6720000000000002E-2</v>
      </c>
      <c r="Q7272" s="287" t="s">
        <v>154</v>
      </c>
    </row>
    <row r="7273" spans="1:17" s="162" customFormat="1" ht="168" x14ac:dyDescent="0.25">
      <c r="A7273" s="281">
        <v>43458</v>
      </c>
      <c r="B7273" s="281">
        <v>43458</v>
      </c>
      <c r="C7273" s="282">
        <v>2018</v>
      </c>
      <c r="D7273" s="35" t="s">
        <v>28</v>
      </c>
      <c r="E7273" s="283" t="s">
        <v>149</v>
      </c>
      <c r="F7273" s="7" t="s">
        <v>58</v>
      </c>
      <c r="G7273" s="284" t="s">
        <v>2718</v>
      </c>
      <c r="H7273" s="33" t="s">
        <v>10135</v>
      </c>
      <c r="I7273" s="282">
        <v>0</v>
      </c>
      <c r="J7273" s="286">
        <v>350</v>
      </c>
      <c r="K7273" s="282">
        <v>150</v>
      </c>
      <c r="L7273" s="282">
        <v>0</v>
      </c>
      <c r="M7273" s="282">
        <v>0</v>
      </c>
      <c r="N7273" s="282">
        <v>0</v>
      </c>
      <c r="O7273" s="285">
        <v>0</v>
      </c>
      <c r="P7273" s="288">
        <v>0.21</v>
      </c>
      <c r="Q7273" s="287" t="s">
        <v>154</v>
      </c>
    </row>
    <row r="7274" spans="1:17" s="162" customFormat="1" ht="156" x14ac:dyDescent="0.25">
      <c r="A7274" s="281">
        <v>43458</v>
      </c>
      <c r="B7274" s="281">
        <v>43458</v>
      </c>
      <c r="C7274" s="282">
        <v>2018</v>
      </c>
      <c r="D7274" s="24" t="s">
        <v>141</v>
      </c>
      <c r="E7274" s="30" t="s">
        <v>142</v>
      </c>
      <c r="F7274" s="7" t="s">
        <v>75</v>
      </c>
      <c r="G7274" s="284" t="s">
        <v>10136</v>
      </c>
      <c r="H7274" s="33" t="s">
        <v>10137</v>
      </c>
      <c r="I7274" s="282">
        <v>5</v>
      </c>
      <c r="J7274" s="286">
        <v>5</v>
      </c>
      <c r="K7274" s="282">
        <v>0</v>
      </c>
      <c r="L7274" s="282">
        <v>0</v>
      </c>
      <c r="M7274" s="282">
        <v>0</v>
      </c>
      <c r="N7274" s="282">
        <v>0</v>
      </c>
      <c r="O7274" s="285">
        <v>0</v>
      </c>
      <c r="P7274" s="288">
        <v>0.44899779160159359</v>
      </c>
      <c r="Q7274" s="287" t="s">
        <v>154</v>
      </c>
    </row>
    <row r="7275" spans="1:17" s="162" customFormat="1" ht="132" x14ac:dyDescent="0.25">
      <c r="A7275" s="281">
        <v>43460</v>
      </c>
      <c r="B7275" s="281">
        <v>43460</v>
      </c>
      <c r="C7275" s="282">
        <v>2018</v>
      </c>
      <c r="D7275" s="24" t="s">
        <v>141</v>
      </c>
      <c r="E7275" s="30" t="s">
        <v>142</v>
      </c>
      <c r="F7275" s="7" t="s">
        <v>53</v>
      </c>
      <c r="G7275" s="284" t="s">
        <v>6691</v>
      </c>
      <c r="H7275" s="33" t="s">
        <v>10138</v>
      </c>
      <c r="I7275" s="282">
        <v>0</v>
      </c>
      <c r="J7275" s="286">
        <v>9</v>
      </c>
      <c r="K7275" s="282">
        <v>0</v>
      </c>
      <c r="L7275" s="282">
        <v>0</v>
      </c>
      <c r="M7275" s="282">
        <v>0</v>
      </c>
      <c r="N7275" s="282">
        <v>0</v>
      </c>
      <c r="O7275" s="285">
        <v>0</v>
      </c>
      <c r="P7275" s="288">
        <v>3.3584699999999995E-2</v>
      </c>
      <c r="Q7275" s="287" t="s">
        <v>154</v>
      </c>
    </row>
    <row r="7276" spans="1:17" s="162" customFormat="1" ht="84" x14ac:dyDescent="0.25">
      <c r="A7276" s="281">
        <v>43460</v>
      </c>
      <c r="B7276" s="281">
        <v>43460</v>
      </c>
      <c r="C7276" s="282">
        <v>2018</v>
      </c>
      <c r="D7276" s="24" t="s">
        <v>141</v>
      </c>
      <c r="E7276" s="30" t="s">
        <v>142</v>
      </c>
      <c r="F7276" s="28" t="s">
        <v>157</v>
      </c>
      <c r="G7276" s="284" t="s">
        <v>1190</v>
      </c>
      <c r="H7276" s="33" t="s">
        <v>10139</v>
      </c>
      <c r="I7276" s="282">
        <v>0</v>
      </c>
      <c r="J7276" s="286">
        <v>8</v>
      </c>
      <c r="K7276" s="282">
        <v>0</v>
      </c>
      <c r="L7276" s="282">
        <v>0</v>
      </c>
      <c r="M7276" s="282">
        <v>0</v>
      </c>
      <c r="N7276" s="282">
        <v>0</v>
      </c>
      <c r="O7276" s="285">
        <v>0</v>
      </c>
      <c r="P7276" s="288">
        <v>0.10460999999999999</v>
      </c>
      <c r="Q7276" s="287" t="s">
        <v>154</v>
      </c>
    </row>
    <row r="7277" spans="1:17" s="162" customFormat="1" ht="168" x14ac:dyDescent="0.25">
      <c r="A7277" s="281">
        <v>43460</v>
      </c>
      <c r="B7277" s="281">
        <v>43460</v>
      </c>
      <c r="C7277" s="282">
        <v>2018</v>
      </c>
      <c r="D7277" s="24" t="s">
        <v>141</v>
      </c>
      <c r="E7277" s="30" t="s">
        <v>142</v>
      </c>
      <c r="F7277" s="7" t="s">
        <v>56</v>
      </c>
      <c r="G7277" s="284" t="s">
        <v>5765</v>
      </c>
      <c r="H7277" s="33" t="s">
        <v>10140</v>
      </c>
      <c r="I7277" s="282">
        <v>0</v>
      </c>
      <c r="J7277" s="286">
        <v>1</v>
      </c>
      <c r="K7277" s="282">
        <v>0</v>
      </c>
      <c r="L7277" s="282">
        <v>0</v>
      </c>
      <c r="M7277" s="282">
        <v>0</v>
      </c>
      <c r="N7277" s="282">
        <v>0</v>
      </c>
      <c r="O7277" s="285">
        <v>0</v>
      </c>
      <c r="P7277" s="288">
        <v>0.2183424348837209</v>
      </c>
      <c r="Q7277" s="287" t="s">
        <v>154</v>
      </c>
    </row>
    <row r="7278" spans="1:17" s="162" customFormat="1" ht="156" x14ac:dyDescent="0.25">
      <c r="A7278" s="281">
        <v>43461</v>
      </c>
      <c r="B7278" s="281">
        <v>43461</v>
      </c>
      <c r="C7278" s="282">
        <v>2018</v>
      </c>
      <c r="D7278" s="24" t="s">
        <v>141</v>
      </c>
      <c r="E7278" s="30" t="s">
        <v>142</v>
      </c>
      <c r="F7278" s="7" t="s">
        <v>58</v>
      </c>
      <c r="G7278" s="284" t="s">
        <v>10141</v>
      </c>
      <c r="H7278" s="33" t="s">
        <v>10142</v>
      </c>
      <c r="I7278" s="282">
        <v>2</v>
      </c>
      <c r="J7278" s="286">
        <v>22</v>
      </c>
      <c r="K7278" s="282">
        <v>0</v>
      </c>
      <c r="L7278" s="282">
        <v>0</v>
      </c>
      <c r="M7278" s="282">
        <v>0</v>
      </c>
      <c r="N7278" s="282">
        <v>0</v>
      </c>
      <c r="O7278" s="285">
        <v>0</v>
      </c>
      <c r="P7278" s="288">
        <v>0.66449999999999998</v>
      </c>
      <c r="Q7278" s="287" t="s">
        <v>154</v>
      </c>
    </row>
    <row r="7279" spans="1:17" s="162" customFormat="1" ht="180" x14ac:dyDescent="0.25">
      <c r="A7279" s="281">
        <v>43461</v>
      </c>
      <c r="B7279" s="281">
        <v>43461</v>
      </c>
      <c r="C7279" s="282">
        <v>2018</v>
      </c>
      <c r="D7279" s="24" t="s">
        <v>141</v>
      </c>
      <c r="E7279" s="30" t="s">
        <v>142</v>
      </c>
      <c r="F7279" s="7" t="s">
        <v>82</v>
      </c>
      <c r="G7279" s="284" t="s">
        <v>1092</v>
      </c>
      <c r="H7279" s="33" t="s">
        <v>10143</v>
      </c>
      <c r="I7279" s="282">
        <v>8</v>
      </c>
      <c r="J7279" s="286">
        <v>32</v>
      </c>
      <c r="K7279" s="282">
        <v>0</v>
      </c>
      <c r="L7279" s="282">
        <v>0</v>
      </c>
      <c r="M7279" s="282">
        <v>0</v>
      </c>
      <c r="N7279" s="282">
        <v>0</v>
      </c>
      <c r="O7279" s="285">
        <v>0</v>
      </c>
      <c r="P7279" s="288">
        <v>0.67079999999999995</v>
      </c>
      <c r="Q7279" s="287" t="s">
        <v>154</v>
      </c>
    </row>
    <row r="7280" spans="1:17" s="162" customFormat="1" ht="180" x14ac:dyDescent="0.25">
      <c r="A7280" s="281">
        <v>43462</v>
      </c>
      <c r="B7280" s="281">
        <v>43462</v>
      </c>
      <c r="C7280" s="282">
        <v>2018</v>
      </c>
      <c r="D7280" s="35" t="s">
        <v>28</v>
      </c>
      <c r="E7280" s="283" t="s">
        <v>149</v>
      </c>
      <c r="F7280" s="28" t="s">
        <v>157</v>
      </c>
      <c r="G7280" s="284" t="s">
        <v>206</v>
      </c>
      <c r="H7280" s="33" t="s">
        <v>10144</v>
      </c>
      <c r="I7280" s="282">
        <v>7</v>
      </c>
      <c r="J7280" s="286">
        <v>27</v>
      </c>
      <c r="K7280" s="282">
        <v>1</v>
      </c>
      <c r="L7280" s="282">
        <v>0</v>
      </c>
      <c r="M7280" s="282">
        <v>0</v>
      </c>
      <c r="N7280" s="282">
        <v>0</v>
      </c>
      <c r="O7280" s="285">
        <v>0</v>
      </c>
      <c r="P7280" s="288">
        <v>0.12</v>
      </c>
      <c r="Q7280" s="287" t="s">
        <v>154</v>
      </c>
    </row>
    <row r="7281" spans="1:17" s="162" customFormat="1" ht="108" x14ac:dyDescent="0.25">
      <c r="A7281" s="281">
        <v>43462</v>
      </c>
      <c r="B7281" s="281">
        <v>43462</v>
      </c>
      <c r="C7281" s="282">
        <v>2018</v>
      </c>
      <c r="D7281" s="24" t="s">
        <v>141</v>
      </c>
      <c r="E7281" s="30" t="s">
        <v>142</v>
      </c>
      <c r="F7281" s="28" t="s">
        <v>210</v>
      </c>
      <c r="G7281" s="284" t="s">
        <v>6707</v>
      </c>
      <c r="H7281" s="33" t="s">
        <v>10145</v>
      </c>
      <c r="I7281" s="282">
        <v>0</v>
      </c>
      <c r="J7281" s="286">
        <v>4</v>
      </c>
      <c r="K7281" s="282">
        <v>0</v>
      </c>
      <c r="L7281" s="282">
        <v>0</v>
      </c>
      <c r="M7281" s="282">
        <v>0</v>
      </c>
      <c r="N7281" s="282">
        <v>0</v>
      </c>
      <c r="O7281" s="285">
        <v>0</v>
      </c>
      <c r="P7281" s="288">
        <v>4.3290000000000002E-2</v>
      </c>
      <c r="Q7281" s="287" t="s">
        <v>154</v>
      </c>
    </row>
    <row r="7282" spans="1:17" s="162" customFormat="1" ht="156" x14ac:dyDescent="0.25">
      <c r="A7282" s="281">
        <v>43463</v>
      </c>
      <c r="B7282" s="281">
        <v>43463</v>
      </c>
      <c r="C7282" s="282">
        <v>2018</v>
      </c>
      <c r="D7282" s="35" t="s">
        <v>28</v>
      </c>
      <c r="E7282" s="283" t="s">
        <v>149</v>
      </c>
      <c r="F7282" s="7" t="s">
        <v>60</v>
      </c>
      <c r="G7282" s="284" t="s">
        <v>1605</v>
      </c>
      <c r="H7282" s="33" t="s">
        <v>10146</v>
      </c>
      <c r="I7282" s="282">
        <v>0</v>
      </c>
      <c r="J7282" s="286">
        <v>4</v>
      </c>
      <c r="K7282" s="282">
        <v>1</v>
      </c>
      <c r="L7282" s="282">
        <v>0</v>
      </c>
      <c r="M7282" s="282">
        <v>0</v>
      </c>
      <c r="N7282" s="282">
        <v>0</v>
      </c>
      <c r="O7282" s="285">
        <v>0</v>
      </c>
      <c r="P7282" s="288">
        <v>9.1000000000000004E-3</v>
      </c>
      <c r="Q7282" s="287" t="s">
        <v>154</v>
      </c>
    </row>
    <row r="7283" spans="1:17" s="162" customFormat="1" ht="114.75" x14ac:dyDescent="0.25">
      <c r="A7283" s="281">
        <v>43463</v>
      </c>
      <c r="B7283" s="281">
        <v>43463</v>
      </c>
      <c r="C7283" s="282">
        <v>2018</v>
      </c>
      <c r="D7283" s="35" t="s">
        <v>28</v>
      </c>
      <c r="E7283" s="283" t="s">
        <v>2933</v>
      </c>
      <c r="F7283" s="7" t="s">
        <v>60</v>
      </c>
      <c r="G7283" s="284" t="s">
        <v>1605</v>
      </c>
      <c r="H7283" s="284" t="s">
        <v>10147</v>
      </c>
      <c r="I7283" s="282">
        <v>5</v>
      </c>
      <c r="J7283" s="286">
        <v>5</v>
      </c>
      <c r="K7283" s="282">
        <v>1</v>
      </c>
      <c r="L7283" s="282">
        <v>0</v>
      </c>
      <c r="M7283" s="282">
        <v>0</v>
      </c>
      <c r="N7283" s="282">
        <v>0</v>
      </c>
      <c r="O7283" s="285">
        <v>0</v>
      </c>
      <c r="P7283" s="288">
        <v>2.8000000000000001E-2</v>
      </c>
      <c r="Q7283" s="287" t="s">
        <v>154</v>
      </c>
    </row>
    <row r="7284" spans="1:17" s="162" customFormat="1" ht="144" x14ac:dyDescent="0.25">
      <c r="A7284" s="281">
        <v>43463</v>
      </c>
      <c r="B7284" s="281">
        <v>43463</v>
      </c>
      <c r="C7284" s="282">
        <v>2018</v>
      </c>
      <c r="D7284" s="24" t="s">
        <v>141</v>
      </c>
      <c r="E7284" s="30" t="s">
        <v>142</v>
      </c>
      <c r="F7284" s="7" t="s">
        <v>56</v>
      </c>
      <c r="G7284" s="284" t="s">
        <v>358</v>
      </c>
      <c r="H7284" s="33" t="s">
        <v>10148</v>
      </c>
      <c r="I7284" s="282">
        <v>9</v>
      </c>
      <c r="J7284" s="286">
        <v>53</v>
      </c>
      <c r="K7284" s="282">
        <v>0</v>
      </c>
      <c r="L7284" s="282">
        <v>0</v>
      </c>
      <c r="M7284" s="282">
        <v>0</v>
      </c>
      <c r="N7284" s="282">
        <v>0</v>
      </c>
      <c r="O7284" s="285">
        <v>0</v>
      </c>
      <c r="P7284" s="288">
        <v>0.68879999999999997</v>
      </c>
      <c r="Q7284" s="287" t="s">
        <v>154</v>
      </c>
    </row>
    <row r="7285" spans="1:17" s="162" customFormat="1" ht="132" x14ac:dyDescent="0.25">
      <c r="A7285" s="281">
        <v>43465</v>
      </c>
      <c r="B7285" s="281">
        <v>43465</v>
      </c>
      <c r="C7285" s="282">
        <v>2018</v>
      </c>
      <c r="D7285" s="24" t="s">
        <v>141</v>
      </c>
      <c r="E7285" s="30" t="s">
        <v>142</v>
      </c>
      <c r="F7285" s="25" t="s">
        <v>781</v>
      </c>
      <c r="G7285" s="284" t="s">
        <v>2337</v>
      </c>
      <c r="H7285" s="33" t="s">
        <v>10149</v>
      </c>
      <c r="I7285" s="282">
        <v>1</v>
      </c>
      <c r="J7285" s="286">
        <v>2</v>
      </c>
      <c r="K7285" s="282">
        <v>0</v>
      </c>
      <c r="L7285" s="282">
        <v>0</v>
      </c>
      <c r="M7285" s="282">
        <v>0</v>
      </c>
      <c r="N7285" s="282">
        <v>0</v>
      </c>
      <c r="O7285" s="285">
        <v>0</v>
      </c>
      <c r="P7285" s="288">
        <v>0.255747</v>
      </c>
      <c r="Q7285" s="287" t="s">
        <v>154</v>
      </c>
    </row>
    <row r="7286" spans="1:17" s="162" customFormat="1" ht="144" x14ac:dyDescent="0.25">
      <c r="A7286" s="281">
        <v>43465</v>
      </c>
      <c r="B7286" s="281">
        <v>43465</v>
      </c>
      <c r="C7286" s="282">
        <v>2018</v>
      </c>
      <c r="D7286" s="24" t="s">
        <v>141</v>
      </c>
      <c r="E7286" s="30" t="s">
        <v>142</v>
      </c>
      <c r="F7286" s="7" t="s">
        <v>56</v>
      </c>
      <c r="G7286" s="284" t="s">
        <v>2731</v>
      </c>
      <c r="H7286" s="33" t="s">
        <v>10150</v>
      </c>
      <c r="I7286" s="282">
        <v>0</v>
      </c>
      <c r="J7286" s="286">
        <v>8</v>
      </c>
      <c r="K7286" s="282">
        <v>0</v>
      </c>
      <c r="L7286" s="282">
        <v>0</v>
      </c>
      <c r="M7286" s="282">
        <v>0</v>
      </c>
      <c r="N7286" s="282">
        <v>0</v>
      </c>
      <c r="O7286" s="285">
        <v>0</v>
      </c>
      <c r="P7286" s="288">
        <v>7.2120000000000004E-2</v>
      </c>
      <c r="Q7286" s="287" t="s">
        <v>154</v>
      </c>
    </row>
    <row r="7287" spans="1:17" s="162" customFormat="1" ht="108" x14ac:dyDescent="0.25">
      <c r="A7287" s="281">
        <v>43104</v>
      </c>
      <c r="B7287" s="281">
        <v>43104</v>
      </c>
      <c r="C7287" s="282">
        <v>2018</v>
      </c>
      <c r="D7287" s="24" t="s">
        <v>141</v>
      </c>
      <c r="E7287" s="30" t="s">
        <v>142</v>
      </c>
      <c r="F7287" s="28" t="s">
        <v>210</v>
      </c>
      <c r="G7287" s="284" t="s">
        <v>4404</v>
      </c>
      <c r="H7287" s="33" t="s">
        <v>10151</v>
      </c>
      <c r="I7287" s="282">
        <v>0</v>
      </c>
      <c r="J7287" s="286">
        <v>10</v>
      </c>
      <c r="K7287" s="282">
        <v>0</v>
      </c>
      <c r="L7287" s="282">
        <v>0</v>
      </c>
      <c r="M7287" s="282">
        <v>0</v>
      </c>
      <c r="N7287" s="282">
        <v>0</v>
      </c>
      <c r="O7287" s="285">
        <v>0</v>
      </c>
      <c r="P7287" s="288">
        <v>0.13883999999999999</v>
      </c>
      <c r="Q7287" s="287" t="s">
        <v>154</v>
      </c>
    </row>
    <row r="7288" spans="1:17" s="162" customFormat="1" ht="180" x14ac:dyDescent="0.25">
      <c r="A7288" s="281">
        <v>43258</v>
      </c>
      <c r="B7288" s="281">
        <v>43258</v>
      </c>
      <c r="C7288" s="282">
        <v>2018</v>
      </c>
      <c r="D7288" s="24" t="s">
        <v>141</v>
      </c>
      <c r="E7288" s="30" t="s">
        <v>142</v>
      </c>
      <c r="F7288" s="28" t="s">
        <v>157</v>
      </c>
      <c r="G7288" s="284" t="s">
        <v>1062</v>
      </c>
      <c r="H7288" s="33" t="s">
        <v>10152</v>
      </c>
      <c r="I7288" s="282">
        <v>0</v>
      </c>
      <c r="J7288" s="286">
        <v>140</v>
      </c>
      <c r="K7288" s="282">
        <v>0</v>
      </c>
      <c r="L7288" s="282">
        <v>0</v>
      </c>
      <c r="M7288" s="282">
        <v>0</v>
      </c>
      <c r="N7288" s="282">
        <v>0</v>
      </c>
      <c r="O7288" s="285">
        <v>0</v>
      </c>
      <c r="P7288" s="288">
        <v>0.75885303488372091</v>
      </c>
      <c r="Q7288" s="287" t="s">
        <v>154</v>
      </c>
    </row>
    <row r="7289" spans="1:17" s="162" customFormat="1" x14ac:dyDescent="0.25">
      <c r="A7289" s="136">
        <v>43374</v>
      </c>
      <c r="B7289" s="136">
        <v>43374</v>
      </c>
      <c r="C7289" s="282">
        <v>2018</v>
      </c>
      <c r="D7289" s="351" t="s">
        <v>23</v>
      </c>
      <c r="E7289" s="145" t="s">
        <v>10153</v>
      </c>
      <c r="F7289" s="7" t="s">
        <v>30</v>
      </c>
      <c r="G7289" s="291">
        <v>2</v>
      </c>
      <c r="H7289" s="44" t="s">
        <v>10154</v>
      </c>
      <c r="I7289" s="154">
        <v>0</v>
      </c>
      <c r="J7289" s="353">
        <v>20000</v>
      </c>
      <c r="K7289" s="154">
        <v>0</v>
      </c>
      <c r="L7289" s="154">
        <v>0</v>
      </c>
      <c r="M7289" s="154">
        <v>0</v>
      </c>
      <c r="N7289" s="154">
        <v>0</v>
      </c>
      <c r="O7289" s="285">
        <v>0</v>
      </c>
      <c r="P7289" s="76">
        <v>35.418285500000003</v>
      </c>
      <c r="Q7289" s="287" t="s">
        <v>186</v>
      </c>
    </row>
    <row r="7290" spans="1:17" s="162" customFormat="1" ht="24" x14ac:dyDescent="0.25">
      <c r="A7290" s="136">
        <v>43387</v>
      </c>
      <c r="B7290" s="136">
        <v>43388</v>
      </c>
      <c r="C7290" s="282">
        <v>2018</v>
      </c>
      <c r="D7290" s="351" t="s">
        <v>23</v>
      </c>
      <c r="E7290" s="292" t="s">
        <v>2689</v>
      </c>
      <c r="F7290" s="7" t="s">
        <v>30</v>
      </c>
      <c r="G7290" s="293">
        <v>1</v>
      </c>
      <c r="H7290" s="294" t="s">
        <v>10155</v>
      </c>
      <c r="I7290" s="154">
        <v>0</v>
      </c>
      <c r="J7290" s="354">
        <v>0</v>
      </c>
      <c r="K7290" s="154">
        <v>0</v>
      </c>
      <c r="L7290" s="154">
        <v>0</v>
      </c>
      <c r="M7290" s="154">
        <v>0</v>
      </c>
      <c r="N7290" s="154">
        <v>0</v>
      </c>
      <c r="O7290" s="285">
        <v>0</v>
      </c>
      <c r="P7290" s="76">
        <v>8.1002264999999998</v>
      </c>
      <c r="Q7290" s="295" t="s">
        <v>186</v>
      </c>
    </row>
    <row r="7291" spans="1:17" s="162" customFormat="1" x14ac:dyDescent="0.25">
      <c r="A7291" s="136">
        <v>43304</v>
      </c>
      <c r="B7291" s="136">
        <v>43307</v>
      </c>
      <c r="C7291" s="282">
        <v>2018</v>
      </c>
      <c r="D7291" s="351" t="s">
        <v>23</v>
      </c>
      <c r="E7291" s="30" t="s">
        <v>327</v>
      </c>
      <c r="F7291" s="7" t="s">
        <v>30</v>
      </c>
      <c r="G7291" s="293">
        <v>5</v>
      </c>
      <c r="H7291" s="294" t="s">
        <v>10156</v>
      </c>
      <c r="I7291" s="154">
        <v>0</v>
      </c>
      <c r="J7291" s="354">
        <v>0</v>
      </c>
      <c r="K7291" s="154">
        <v>0</v>
      </c>
      <c r="L7291" s="154">
        <v>0</v>
      </c>
      <c r="M7291" s="154">
        <v>0</v>
      </c>
      <c r="N7291" s="154">
        <v>0</v>
      </c>
      <c r="O7291" s="285">
        <v>0</v>
      </c>
      <c r="P7291" s="76">
        <v>16.965800000000002</v>
      </c>
      <c r="Q7291" s="295" t="s">
        <v>186</v>
      </c>
    </row>
    <row r="7292" spans="1:17" s="162" customFormat="1" x14ac:dyDescent="0.25">
      <c r="A7292" s="136">
        <v>43248</v>
      </c>
      <c r="B7292" s="136">
        <v>43248</v>
      </c>
      <c r="C7292" s="282">
        <v>2018</v>
      </c>
      <c r="D7292" s="351" t="s">
        <v>23</v>
      </c>
      <c r="E7292" s="30" t="s">
        <v>327</v>
      </c>
      <c r="F7292" s="7" t="s">
        <v>30</v>
      </c>
      <c r="G7292" s="293">
        <v>5</v>
      </c>
      <c r="H7292" s="294" t="s">
        <v>10157</v>
      </c>
      <c r="I7292" s="154">
        <v>0</v>
      </c>
      <c r="J7292" s="354">
        <v>0</v>
      </c>
      <c r="K7292" s="154">
        <v>0</v>
      </c>
      <c r="L7292" s="154">
        <v>0</v>
      </c>
      <c r="M7292" s="154">
        <v>0</v>
      </c>
      <c r="N7292" s="154">
        <v>0</v>
      </c>
      <c r="O7292" s="285">
        <v>0</v>
      </c>
      <c r="P7292" s="76">
        <v>17.102200603</v>
      </c>
      <c r="Q7292" s="295" t="s">
        <v>186</v>
      </c>
    </row>
    <row r="7293" spans="1:17" s="162" customFormat="1" x14ac:dyDescent="0.25">
      <c r="A7293" s="136">
        <v>43385</v>
      </c>
      <c r="B7293" s="136">
        <v>43385</v>
      </c>
      <c r="C7293" s="282">
        <v>2018</v>
      </c>
      <c r="D7293" s="351" t="s">
        <v>23</v>
      </c>
      <c r="E7293" s="145" t="s">
        <v>10153</v>
      </c>
      <c r="F7293" s="7" t="s">
        <v>33</v>
      </c>
      <c r="G7293" s="291">
        <v>3</v>
      </c>
      <c r="H7293" s="44" t="s">
        <v>10158</v>
      </c>
      <c r="I7293" s="154">
        <v>0</v>
      </c>
      <c r="J7293" s="353">
        <v>3884</v>
      </c>
      <c r="K7293" s="154">
        <v>0</v>
      </c>
      <c r="L7293" s="154">
        <v>0</v>
      </c>
      <c r="M7293" s="154">
        <v>0</v>
      </c>
      <c r="N7293" s="154">
        <v>0</v>
      </c>
      <c r="O7293" s="285">
        <v>0</v>
      </c>
      <c r="P7293" s="76">
        <v>13.347253705</v>
      </c>
      <c r="Q7293" s="295" t="s">
        <v>186</v>
      </c>
    </row>
    <row r="7294" spans="1:17" s="162" customFormat="1" x14ac:dyDescent="0.25">
      <c r="A7294" s="136">
        <v>43362</v>
      </c>
      <c r="B7294" s="136">
        <v>43362</v>
      </c>
      <c r="C7294" s="282">
        <v>2018</v>
      </c>
      <c r="D7294" s="351" t="s">
        <v>23</v>
      </c>
      <c r="E7294" s="22" t="s">
        <v>86</v>
      </c>
      <c r="F7294" s="7" t="s">
        <v>33</v>
      </c>
      <c r="G7294" s="293">
        <v>1</v>
      </c>
      <c r="H7294" s="33" t="s">
        <v>10159</v>
      </c>
      <c r="I7294" s="154">
        <v>0</v>
      </c>
      <c r="J7294" s="354">
        <v>0</v>
      </c>
      <c r="K7294" s="154">
        <v>0</v>
      </c>
      <c r="L7294" s="154">
        <v>0</v>
      </c>
      <c r="M7294" s="154">
        <v>0</v>
      </c>
      <c r="N7294" s="154">
        <v>0</v>
      </c>
      <c r="O7294" s="285">
        <v>0</v>
      </c>
      <c r="P7294" s="76">
        <v>3.4504937100000004</v>
      </c>
      <c r="Q7294" s="295" t="s">
        <v>186</v>
      </c>
    </row>
    <row r="7295" spans="1:17" s="162" customFormat="1" x14ac:dyDescent="0.25">
      <c r="A7295" s="136">
        <v>43248</v>
      </c>
      <c r="B7295" s="136">
        <v>43248</v>
      </c>
      <c r="C7295" s="282">
        <v>2018</v>
      </c>
      <c r="D7295" s="351" t="s">
        <v>23</v>
      </c>
      <c r="E7295" s="30" t="s">
        <v>327</v>
      </c>
      <c r="F7295" s="7" t="s">
        <v>33</v>
      </c>
      <c r="G7295" s="293">
        <v>5</v>
      </c>
      <c r="H7295" s="33" t="s">
        <v>10160</v>
      </c>
      <c r="I7295" s="154">
        <v>0</v>
      </c>
      <c r="J7295" s="354">
        <v>0</v>
      </c>
      <c r="K7295" s="154">
        <v>0</v>
      </c>
      <c r="L7295" s="154">
        <v>0</v>
      </c>
      <c r="M7295" s="154">
        <v>0</v>
      </c>
      <c r="N7295" s="154">
        <v>0</v>
      </c>
      <c r="O7295" s="285">
        <v>0</v>
      </c>
      <c r="P7295" s="76">
        <v>3.2506649959999998</v>
      </c>
      <c r="Q7295" s="295" t="s">
        <v>186</v>
      </c>
    </row>
    <row r="7296" spans="1:17" s="162" customFormat="1" x14ac:dyDescent="0.25">
      <c r="A7296" s="136">
        <v>43304</v>
      </c>
      <c r="B7296" s="136">
        <v>43307</v>
      </c>
      <c r="C7296" s="282">
        <v>2018</v>
      </c>
      <c r="D7296" s="351" t="s">
        <v>23</v>
      </c>
      <c r="E7296" s="30" t="s">
        <v>327</v>
      </c>
      <c r="F7296" s="7" t="s">
        <v>33</v>
      </c>
      <c r="G7296" s="293">
        <v>5</v>
      </c>
      <c r="H7296" s="33" t="s">
        <v>10156</v>
      </c>
      <c r="I7296" s="154">
        <v>0</v>
      </c>
      <c r="J7296" s="354">
        <v>0</v>
      </c>
      <c r="K7296" s="154">
        <v>0</v>
      </c>
      <c r="L7296" s="154">
        <v>0</v>
      </c>
      <c r="M7296" s="154">
        <v>0</v>
      </c>
      <c r="N7296" s="154">
        <v>0</v>
      </c>
      <c r="O7296" s="285">
        <v>0</v>
      </c>
      <c r="P7296" s="76">
        <v>1.6253324979999999</v>
      </c>
      <c r="Q7296" s="295" t="s">
        <v>186</v>
      </c>
    </row>
    <row r="7297" spans="1:17" s="162" customFormat="1" ht="24" x14ac:dyDescent="0.25">
      <c r="A7297" s="136">
        <v>43351</v>
      </c>
      <c r="B7297" s="136">
        <v>43352</v>
      </c>
      <c r="C7297" s="282">
        <v>2018</v>
      </c>
      <c r="D7297" s="351" t="s">
        <v>23</v>
      </c>
      <c r="E7297" s="283" t="s">
        <v>2223</v>
      </c>
      <c r="F7297" s="7" t="s">
        <v>33</v>
      </c>
      <c r="G7297" s="293">
        <v>1</v>
      </c>
      <c r="H7297" s="33" t="s">
        <v>10161</v>
      </c>
      <c r="I7297" s="154">
        <v>0</v>
      </c>
      <c r="J7297" s="354">
        <v>0</v>
      </c>
      <c r="K7297" s="154">
        <v>0</v>
      </c>
      <c r="L7297" s="154">
        <v>0</v>
      </c>
      <c r="M7297" s="154">
        <v>0</v>
      </c>
      <c r="N7297" s="154">
        <v>0</v>
      </c>
      <c r="O7297" s="285">
        <v>0</v>
      </c>
      <c r="P7297" s="76">
        <v>11.149834276666665</v>
      </c>
      <c r="Q7297" s="295" t="s">
        <v>186</v>
      </c>
    </row>
    <row r="7298" spans="1:17" s="162" customFormat="1" x14ac:dyDescent="0.25">
      <c r="A7298" s="136">
        <v>43304</v>
      </c>
      <c r="B7298" s="136">
        <v>43307</v>
      </c>
      <c r="C7298" s="282">
        <v>2018</v>
      </c>
      <c r="D7298" s="351" t="s">
        <v>23</v>
      </c>
      <c r="E7298" s="30" t="s">
        <v>327</v>
      </c>
      <c r="F7298" s="28" t="s">
        <v>151</v>
      </c>
      <c r="G7298" s="293">
        <v>9</v>
      </c>
      <c r="H7298" s="44" t="s">
        <v>10156</v>
      </c>
      <c r="I7298" s="154">
        <v>0</v>
      </c>
      <c r="J7298" s="354">
        <v>0</v>
      </c>
      <c r="K7298" s="154">
        <v>0</v>
      </c>
      <c r="L7298" s="154">
        <v>0</v>
      </c>
      <c r="M7298" s="154">
        <v>0</v>
      </c>
      <c r="N7298" s="154">
        <v>0</v>
      </c>
      <c r="O7298" s="285">
        <v>0</v>
      </c>
      <c r="P7298" s="76">
        <v>2.8044423110000003</v>
      </c>
      <c r="Q7298" s="295" t="s">
        <v>186</v>
      </c>
    </row>
    <row r="7299" spans="1:17" s="162" customFormat="1" x14ac:dyDescent="0.25">
      <c r="A7299" s="136">
        <v>43248</v>
      </c>
      <c r="B7299" s="136">
        <v>43248</v>
      </c>
      <c r="C7299" s="282">
        <v>2018</v>
      </c>
      <c r="D7299" s="351" t="s">
        <v>23</v>
      </c>
      <c r="E7299" s="30" t="s">
        <v>327</v>
      </c>
      <c r="F7299" s="28" t="s">
        <v>151</v>
      </c>
      <c r="G7299" s="293">
        <v>9</v>
      </c>
      <c r="H7299" s="44" t="s">
        <v>10160</v>
      </c>
      <c r="I7299" s="154">
        <v>0</v>
      </c>
      <c r="J7299" s="354">
        <v>0</v>
      </c>
      <c r="K7299" s="154">
        <v>0</v>
      </c>
      <c r="L7299" s="154">
        <v>0</v>
      </c>
      <c r="M7299" s="154">
        <v>0</v>
      </c>
      <c r="N7299" s="154">
        <v>0</v>
      </c>
      <c r="O7299" s="285">
        <v>0</v>
      </c>
      <c r="P7299" s="76">
        <v>5.6088846220000006</v>
      </c>
      <c r="Q7299" s="295" t="s">
        <v>186</v>
      </c>
    </row>
    <row r="7300" spans="1:17" s="162" customFormat="1" ht="24" x14ac:dyDescent="0.25">
      <c r="A7300" s="136">
        <v>43128</v>
      </c>
      <c r="B7300" s="136">
        <v>43128</v>
      </c>
      <c r="C7300" s="282">
        <v>2018</v>
      </c>
      <c r="D7300" s="351" t="s">
        <v>23</v>
      </c>
      <c r="E7300" s="22" t="s">
        <v>86</v>
      </c>
      <c r="F7300" s="7" t="s">
        <v>36</v>
      </c>
      <c r="G7300" s="291">
        <v>10</v>
      </c>
      <c r="H7300" s="44" t="s">
        <v>10162</v>
      </c>
      <c r="I7300" s="154">
        <v>0</v>
      </c>
      <c r="J7300" s="354">
        <v>0</v>
      </c>
      <c r="K7300" s="154">
        <v>0</v>
      </c>
      <c r="L7300" s="154">
        <v>0</v>
      </c>
      <c r="M7300" s="154">
        <v>0</v>
      </c>
      <c r="N7300" s="154">
        <v>0</v>
      </c>
      <c r="O7300" s="285">
        <v>0</v>
      </c>
      <c r="P7300" s="76">
        <v>996.75376720978568</v>
      </c>
      <c r="Q7300" s="295" t="s">
        <v>186</v>
      </c>
    </row>
    <row r="7301" spans="1:17" s="162" customFormat="1" x14ac:dyDescent="0.25">
      <c r="A7301" s="136">
        <v>43392</v>
      </c>
      <c r="B7301" s="136">
        <v>43392</v>
      </c>
      <c r="C7301" s="282">
        <v>2018</v>
      </c>
      <c r="D7301" s="351" t="s">
        <v>23</v>
      </c>
      <c r="E7301" s="22" t="s">
        <v>86</v>
      </c>
      <c r="F7301" s="7" t="s">
        <v>36</v>
      </c>
      <c r="G7301" s="284">
        <v>1</v>
      </c>
      <c r="H7301" s="44" t="s">
        <v>10163</v>
      </c>
      <c r="I7301" s="154">
        <v>0</v>
      </c>
      <c r="J7301" s="354">
        <v>0</v>
      </c>
      <c r="K7301" s="154">
        <v>0</v>
      </c>
      <c r="L7301" s="154">
        <v>0</v>
      </c>
      <c r="M7301" s="154">
        <v>0</v>
      </c>
      <c r="N7301" s="154">
        <v>0</v>
      </c>
      <c r="O7301" s="285">
        <v>0</v>
      </c>
      <c r="P7301" s="76">
        <v>3.0794161561428575</v>
      </c>
      <c r="Q7301" s="287" t="s">
        <v>186</v>
      </c>
    </row>
    <row r="7302" spans="1:17" s="162" customFormat="1" x14ac:dyDescent="0.25">
      <c r="A7302" s="136">
        <v>43392</v>
      </c>
      <c r="B7302" s="136">
        <v>43393</v>
      </c>
      <c r="C7302" s="282">
        <v>2018</v>
      </c>
      <c r="D7302" s="351" t="s">
        <v>23</v>
      </c>
      <c r="E7302" s="283" t="s">
        <v>2223</v>
      </c>
      <c r="F7302" s="7" t="s">
        <v>36</v>
      </c>
      <c r="G7302" s="284">
        <v>1</v>
      </c>
      <c r="H7302" s="44" t="s">
        <v>10164</v>
      </c>
      <c r="I7302" s="154">
        <v>0</v>
      </c>
      <c r="J7302" s="354">
        <v>0</v>
      </c>
      <c r="K7302" s="154">
        <v>0</v>
      </c>
      <c r="L7302" s="154">
        <v>0</v>
      </c>
      <c r="M7302" s="154">
        <v>0</v>
      </c>
      <c r="N7302" s="154">
        <v>0</v>
      </c>
      <c r="O7302" s="285">
        <v>0</v>
      </c>
      <c r="P7302" s="76">
        <v>29.660990642142856</v>
      </c>
      <c r="Q7302" s="287" t="s">
        <v>186</v>
      </c>
    </row>
    <row r="7303" spans="1:17" s="162" customFormat="1" x14ac:dyDescent="0.25">
      <c r="A7303" s="136">
        <v>43391</v>
      </c>
      <c r="B7303" s="136">
        <v>43392</v>
      </c>
      <c r="C7303" s="282">
        <v>2018</v>
      </c>
      <c r="D7303" s="351" t="s">
        <v>23</v>
      </c>
      <c r="E7303" s="283" t="s">
        <v>2223</v>
      </c>
      <c r="F7303" s="7" t="s">
        <v>36</v>
      </c>
      <c r="G7303" s="284">
        <v>2</v>
      </c>
      <c r="H7303" s="44" t="s">
        <v>10165</v>
      </c>
      <c r="I7303" s="154">
        <v>0</v>
      </c>
      <c r="J7303" s="354">
        <v>0</v>
      </c>
      <c r="K7303" s="154">
        <v>0</v>
      </c>
      <c r="L7303" s="154">
        <v>0</v>
      </c>
      <c r="M7303" s="154">
        <v>0</v>
      </c>
      <c r="N7303" s="154">
        <v>0</v>
      </c>
      <c r="O7303" s="285">
        <v>0</v>
      </c>
      <c r="P7303" s="76">
        <v>1.2932445810892859</v>
      </c>
      <c r="Q7303" s="287" t="s">
        <v>186</v>
      </c>
    </row>
    <row r="7304" spans="1:17" s="162" customFormat="1" x14ac:dyDescent="0.25">
      <c r="A7304" s="136">
        <v>43248</v>
      </c>
      <c r="B7304" s="136">
        <v>43248</v>
      </c>
      <c r="C7304" s="282">
        <v>2018</v>
      </c>
      <c r="D7304" s="351" t="s">
        <v>23</v>
      </c>
      <c r="E7304" s="30" t="s">
        <v>327</v>
      </c>
      <c r="F7304" s="7" t="s">
        <v>36</v>
      </c>
      <c r="G7304" s="293">
        <v>72</v>
      </c>
      <c r="H7304" s="44" t="s">
        <v>10160</v>
      </c>
      <c r="I7304" s="154">
        <v>0</v>
      </c>
      <c r="J7304" s="354">
        <v>0</v>
      </c>
      <c r="K7304" s="154">
        <v>0</v>
      </c>
      <c r="L7304" s="154">
        <v>0</v>
      </c>
      <c r="M7304" s="154">
        <v>0</v>
      </c>
      <c r="N7304" s="154">
        <v>0</v>
      </c>
      <c r="O7304" s="285">
        <v>0</v>
      </c>
      <c r="P7304" s="76">
        <v>10.558835288000001</v>
      </c>
      <c r="Q7304" s="295" t="s">
        <v>186</v>
      </c>
    </row>
    <row r="7305" spans="1:17" s="162" customFormat="1" x14ac:dyDescent="0.25">
      <c r="A7305" s="136">
        <v>43248</v>
      </c>
      <c r="B7305" s="136">
        <v>43248</v>
      </c>
      <c r="C7305" s="282">
        <v>2018</v>
      </c>
      <c r="D7305" s="351" t="s">
        <v>23</v>
      </c>
      <c r="E7305" s="30" t="s">
        <v>327</v>
      </c>
      <c r="F7305" s="7" t="s">
        <v>36</v>
      </c>
      <c r="G7305" s="293">
        <v>72</v>
      </c>
      <c r="H7305" s="44" t="s">
        <v>10160</v>
      </c>
      <c r="I7305" s="154">
        <v>0</v>
      </c>
      <c r="J7305" s="354">
        <v>0</v>
      </c>
      <c r="K7305" s="154">
        <v>0</v>
      </c>
      <c r="L7305" s="154">
        <v>0</v>
      </c>
      <c r="M7305" s="154">
        <v>0</v>
      </c>
      <c r="N7305" s="154">
        <v>0</v>
      </c>
      <c r="O7305" s="285">
        <v>0</v>
      </c>
      <c r="P7305" s="76">
        <v>21.117670576000002</v>
      </c>
      <c r="Q7305" s="295" t="s">
        <v>186</v>
      </c>
    </row>
    <row r="7306" spans="1:17" s="162" customFormat="1" x14ac:dyDescent="0.25">
      <c r="A7306" s="136">
        <v>43248</v>
      </c>
      <c r="B7306" s="136">
        <v>43248</v>
      </c>
      <c r="C7306" s="282">
        <v>2018</v>
      </c>
      <c r="D7306" s="351" t="s">
        <v>23</v>
      </c>
      <c r="E7306" s="30" t="s">
        <v>327</v>
      </c>
      <c r="F7306" s="7" t="s">
        <v>40</v>
      </c>
      <c r="G7306" s="293">
        <v>67</v>
      </c>
      <c r="H7306" s="44" t="s">
        <v>10160</v>
      </c>
      <c r="I7306" s="154">
        <v>0</v>
      </c>
      <c r="J7306" s="354">
        <v>0</v>
      </c>
      <c r="K7306" s="154">
        <v>0</v>
      </c>
      <c r="L7306" s="154">
        <v>0</v>
      </c>
      <c r="M7306" s="154">
        <v>0</v>
      </c>
      <c r="N7306" s="154">
        <v>0</v>
      </c>
      <c r="O7306" s="285">
        <v>0</v>
      </c>
      <c r="P7306" s="76">
        <v>27.829323339999998</v>
      </c>
      <c r="Q7306" s="295" t="s">
        <v>186</v>
      </c>
    </row>
    <row r="7307" spans="1:17" s="162" customFormat="1" x14ac:dyDescent="0.25">
      <c r="A7307" s="136">
        <v>43304</v>
      </c>
      <c r="B7307" s="136">
        <v>43307</v>
      </c>
      <c r="C7307" s="282">
        <v>2018</v>
      </c>
      <c r="D7307" s="351" t="s">
        <v>23</v>
      </c>
      <c r="E7307" s="30" t="s">
        <v>327</v>
      </c>
      <c r="F7307" s="7" t="s">
        <v>40</v>
      </c>
      <c r="G7307" s="293">
        <v>67</v>
      </c>
      <c r="H7307" s="44" t="s">
        <v>10156</v>
      </c>
      <c r="I7307" s="154">
        <v>0</v>
      </c>
      <c r="J7307" s="354">
        <v>0</v>
      </c>
      <c r="K7307" s="154">
        <v>0</v>
      </c>
      <c r="L7307" s="154">
        <v>0</v>
      </c>
      <c r="M7307" s="154">
        <v>0</v>
      </c>
      <c r="N7307" s="154">
        <v>0</v>
      </c>
      <c r="O7307" s="285">
        <v>0</v>
      </c>
      <c r="P7307" s="76">
        <v>20.871992505000001</v>
      </c>
      <c r="Q7307" s="295" t="s">
        <v>186</v>
      </c>
    </row>
    <row r="7308" spans="1:17" s="162" customFormat="1" x14ac:dyDescent="0.25">
      <c r="A7308" s="136">
        <v>43347</v>
      </c>
      <c r="B7308" s="136">
        <v>43347</v>
      </c>
      <c r="C7308" s="282">
        <v>2018</v>
      </c>
      <c r="D7308" s="351" t="s">
        <v>23</v>
      </c>
      <c r="E7308" s="22" t="s">
        <v>86</v>
      </c>
      <c r="F7308" s="7" t="s">
        <v>45</v>
      </c>
      <c r="G7308" s="291">
        <v>2</v>
      </c>
      <c r="H7308" s="44" t="s">
        <v>10166</v>
      </c>
      <c r="I7308" s="154">
        <v>0</v>
      </c>
      <c r="J7308" s="354">
        <v>0</v>
      </c>
      <c r="K7308" s="154">
        <v>0</v>
      </c>
      <c r="L7308" s="154">
        <v>0</v>
      </c>
      <c r="M7308" s="154">
        <v>0</v>
      </c>
      <c r="N7308" s="154">
        <v>0</v>
      </c>
      <c r="O7308" s="285">
        <v>0</v>
      </c>
      <c r="P7308" s="76">
        <v>137.744820025</v>
      </c>
      <c r="Q7308" s="295" t="s">
        <v>186</v>
      </c>
    </row>
    <row r="7309" spans="1:17" s="162" customFormat="1" x14ac:dyDescent="0.25">
      <c r="A7309" s="136">
        <v>43116</v>
      </c>
      <c r="B7309" s="136">
        <v>43118</v>
      </c>
      <c r="C7309" s="282">
        <v>2018</v>
      </c>
      <c r="D7309" s="351" t="s">
        <v>23</v>
      </c>
      <c r="E7309" s="292" t="s">
        <v>2689</v>
      </c>
      <c r="F7309" s="7" t="s">
        <v>45</v>
      </c>
      <c r="G7309" s="293">
        <v>3</v>
      </c>
      <c r="H7309" s="44" t="s">
        <v>10167</v>
      </c>
      <c r="I7309" s="154">
        <v>0</v>
      </c>
      <c r="J7309" s="354">
        <v>0</v>
      </c>
      <c r="K7309" s="154">
        <v>0</v>
      </c>
      <c r="L7309" s="154">
        <v>0</v>
      </c>
      <c r="M7309" s="154">
        <v>0</v>
      </c>
      <c r="N7309" s="154">
        <v>0</v>
      </c>
      <c r="O7309" s="285">
        <v>0</v>
      </c>
      <c r="P7309" s="76">
        <v>1.9495954</v>
      </c>
      <c r="Q7309" s="295" t="s">
        <v>186</v>
      </c>
    </row>
    <row r="7310" spans="1:17" s="162" customFormat="1" x14ac:dyDescent="0.25">
      <c r="A7310" s="136">
        <v>43248</v>
      </c>
      <c r="B7310" s="136">
        <v>43248</v>
      </c>
      <c r="C7310" s="282">
        <v>2018</v>
      </c>
      <c r="D7310" s="351" t="s">
        <v>23</v>
      </c>
      <c r="E7310" s="30" t="s">
        <v>327</v>
      </c>
      <c r="F7310" s="7" t="s">
        <v>45</v>
      </c>
      <c r="G7310" s="293">
        <v>20</v>
      </c>
      <c r="H7310" s="33" t="s">
        <v>10160</v>
      </c>
      <c r="I7310" s="154">
        <v>0</v>
      </c>
      <c r="J7310" s="354">
        <v>0</v>
      </c>
      <c r="K7310" s="154">
        <v>0</v>
      </c>
      <c r="L7310" s="154">
        <v>0</v>
      </c>
      <c r="M7310" s="154">
        <v>0</v>
      </c>
      <c r="N7310" s="154">
        <v>0</v>
      </c>
      <c r="O7310" s="285">
        <v>0</v>
      </c>
      <c r="P7310" s="76">
        <v>3.8207070180000007</v>
      </c>
      <c r="Q7310" s="295" t="s">
        <v>186</v>
      </c>
    </row>
    <row r="7311" spans="1:17" s="162" customFormat="1" x14ac:dyDescent="0.25">
      <c r="A7311" s="136">
        <v>43248</v>
      </c>
      <c r="B7311" s="136">
        <v>43258</v>
      </c>
      <c r="C7311" s="282">
        <v>2018</v>
      </c>
      <c r="D7311" s="351" t="s">
        <v>23</v>
      </c>
      <c r="E7311" s="30" t="s">
        <v>327</v>
      </c>
      <c r="F7311" s="7" t="s">
        <v>45</v>
      </c>
      <c r="G7311" s="293">
        <v>18</v>
      </c>
      <c r="H7311" s="33" t="s">
        <v>10168</v>
      </c>
      <c r="I7311" s="154">
        <v>0</v>
      </c>
      <c r="J7311" s="354">
        <v>0</v>
      </c>
      <c r="K7311" s="154">
        <v>0</v>
      </c>
      <c r="L7311" s="154">
        <v>0</v>
      </c>
      <c r="M7311" s="154">
        <v>0</v>
      </c>
      <c r="N7311" s="154">
        <v>0</v>
      </c>
      <c r="O7311" s="285">
        <v>0</v>
      </c>
      <c r="P7311" s="76">
        <v>2.0499276000000002</v>
      </c>
      <c r="Q7311" s="295" t="s">
        <v>186</v>
      </c>
    </row>
    <row r="7312" spans="1:17" s="162" customFormat="1" x14ac:dyDescent="0.25">
      <c r="A7312" s="136">
        <v>43201</v>
      </c>
      <c r="B7312" s="136">
        <v>43201</v>
      </c>
      <c r="C7312" s="282">
        <v>2018</v>
      </c>
      <c r="D7312" s="351" t="s">
        <v>23</v>
      </c>
      <c r="E7312" s="283" t="s">
        <v>2070</v>
      </c>
      <c r="F7312" s="7" t="s">
        <v>45</v>
      </c>
      <c r="G7312" s="293">
        <v>3</v>
      </c>
      <c r="H7312" s="33" t="s">
        <v>10169</v>
      </c>
      <c r="I7312" s="154">
        <v>0</v>
      </c>
      <c r="J7312" s="354">
        <v>0</v>
      </c>
      <c r="K7312" s="154">
        <v>0</v>
      </c>
      <c r="L7312" s="154">
        <v>0</v>
      </c>
      <c r="M7312" s="154">
        <v>0</v>
      </c>
      <c r="N7312" s="154">
        <v>0</v>
      </c>
      <c r="O7312" s="285">
        <v>0</v>
      </c>
      <c r="P7312" s="76">
        <v>2.4837060000000002</v>
      </c>
      <c r="Q7312" s="295" t="s">
        <v>186</v>
      </c>
    </row>
    <row r="7313" spans="1:17" s="162" customFormat="1" ht="24" x14ac:dyDescent="0.25">
      <c r="A7313" s="136">
        <v>43347</v>
      </c>
      <c r="B7313" s="136">
        <v>43347</v>
      </c>
      <c r="C7313" s="282">
        <v>2018</v>
      </c>
      <c r="D7313" s="351" t="s">
        <v>23</v>
      </c>
      <c r="E7313" s="22" t="s">
        <v>86</v>
      </c>
      <c r="F7313" s="7" t="s">
        <v>45</v>
      </c>
      <c r="G7313" s="293">
        <v>1</v>
      </c>
      <c r="H7313" s="33" t="s">
        <v>10170</v>
      </c>
      <c r="I7313" s="154">
        <v>0</v>
      </c>
      <c r="J7313" s="354">
        <v>0</v>
      </c>
      <c r="K7313" s="154">
        <v>0</v>
      </c>
      <c r="L7313" s="154">
        <v>0</v>
      </c>
      <c r="M7313" s="154">
        <v>0</v>
      </c>
      <c r="N7313" s="154">
        <v>0</v>
      </c>
      <c r="O7313" s="285">
        <v>0</v>
      </c>
      <c r="P7313" s="76">
        <v>3.8634116499999998</v>
      </c>
      <c r="Q7313" s="295" t="s">
        <v>186</v>
      </c>
    </row>
    <row r="7314" spans="1:17" s="162" customFormat="1" x14ac:dyDescent="0.25">
      <c r="A7314" s="136">
        <v>43304</v>
      </c>
      <c r="B7314" s="136">
        <v>43307</v>
      </c>
      <c r="C7314" s="282">
        <v>2018</v>
      </c>
      <c r="D7314" s="351" t="s">
        <v>23</v>
      </c>
      <c r="E7314" s="30" t="s">
        <v>327</v>
      </c>
      <c r="F7314" s="7" t="s">
        <v>45</v>
      </c>
      <c r="G7314" s="293">
        <v>20</v>
      </c>
      <c r="H7314" s="33" t="s">
        <v>10156</v>
      </c>
      <c r="I7314" s="154">
        <v>0</v>
      </c>
      <c r="J7314" s="354">
        <v>0</v>
      </c>
      <c r="K7314" s="154">
        <v>0</v>
      </c>
      <c r="L7314" s="154">
        <v>0</v>
      </c>
      <c r="M7314" s="154">
        <v>0</v>
      </c>
      <c r="N7314" s="154">
        <v>0</v>
      </c>
      <c r="O7314" s="285">
        <v>0</v>
      </c>
      <c r="P7314" s="76">
        <v>1.9103535090000003</v>
      </c>
      <c r="Q7314" s="295" t="s">
        <v>186</v>
      </c>
    </row>
    <row r="7315" spans="1:17" s="162" customFormat="1" x14ac:dyDescent="0.25">
      <c r="A7315" s="136">
        <v>43304</v>
      </c>
      <c r="B7315" s="136">
        <v>43307</v>
      </c>
      <c r="C7315" s="282">
        <v>2018</v>
      </c>
      <c r="D7315" s="351" t="s">
        <v>23</v>
      </c>
      <c r="E7315" s="30" t="s">
        <v>327</v>
      </c>
      <c r="F7315" s="7" t="s">
        <v>47</v>
      </c>
      <c r="G7315" s="293">
        <v>10</v>
      </c>
      <c r="H7315" s="33" t="s">
        <v>10156</v>
      </c>
      <c r="I7315" s="154">
        <v>0</v>
      </c>
      <c r="J7315" s="354">
        <v>0</v>
      </c>
      <c r="K7315" s="154">
        <v>0</v>
      </c>
      <c r="L7315" s="154">
        <v>0</v>
      </c>
      <c r="M7315" s="154">
        <v>0</v>
      </c>
      <c r="N7315" s="154">
        <v>0</v>
      </c>
      <c r="O7315" s="285">
        <v>0</v>
      </c>
      <c r="P7315" s="76">
        <v>1.640936605</v>
      </c>
      <c r="Q7315" s="295" t="s">
        <v>186</v>
      </c>
    </row>
    <row r="7316" spans="1:17" s="162" customFormat="1" x14ac:dyDescent="0.25">
      <c r="A7316" s="136">
        <v>43248</v>
      </c>
      <c r="B7316" s="136">
        <v>43248</v>
      </c>
      <c r="C7316" s="282">
        <v>2018</v>
      </c>
      <c r="D7316" s="351" t="s">
        <v>23</v>
      </c>
      <c r="E7316" s="30" t="s">
        <v>327</v>
      </c>
      <c r="F7316" s="7" t="s">
        <v>47</v>
      </c>
      <c r="G7316" s="293">
        <v>10</v>
      </c>
      <c r="H7316" s="33" t="s">
        <v>10160</v>
      </c>
      <c r="I7316" s="154">
        <v>0</v>
      </c>
      <c r="J7316" s="354">
        <v>0</v>
      </c>
      <c r="K7316" s="154">
        <v>0</v>
      </c>
      <c r="L7316" s="154">
        <v>0</v>
      </c>
      <c r="M7316" s="154">
        <v>0</v>
      </c>
      <c r="N7316" s="154">
        <v>0</v>
      </c>
      <c r="O7316" s="285">
        <v>0</v>
      </c>
      <c r="P7316" s="76">
        <v>1.640936605</v>
      </c>
      <c r="Q7316" s="295" t="s">
        <v>186</v>
      </c>
    </row>
    <row r="7317" spans="1:17" s="162" customFormat="1" x14ac:dyDescent="0.25">
      <c r="A7317" s="136">
        <v>43396</v>
      </c>
      <c r="B7317" s="136">
        <v>43396</v>
      </c>
      <c r="C7317" s="282">
        <v>2018</v>
      </c>
      <c r="D7317" s="351" t="s">
        <v>23</v>
      </c>
      <c r="E7317" s="22" t="s">
        <v>86</v>
      </c>
      <c r="F7317" s="7" t="s">
        <v>49</v>
      </c>
      <c r="G7317" s="291">
        <v>3</v>
      </c>
      <c r="H7317" s="44" t="s">
        <v>10171</v>
      </c>
      <c r="I7317" s="154">
        <v>0</v>
      </c>
      <c r="J7317" s="354">
        <v>0</v>
      </c>
      <c r="K7317" s="154">
        <v>0</v>
      </c>
      <c r="L7317" s="154">
        <v>0</v>
      </c>
      <c r="M7317" s="154">
        <v>0</v>
      </c>
      <c r="N7317" s="154">
        <v>0</v>
      </c>
      <c r="O7317" s="285">
        <v>0</v>
      </c>
      <c r="P7317" s="76">
        <v>8.7095318766666665</v>
      </c>
      <c r="Q7317" s="295" t="s">
        <v>186</v>
      </c>
    </row>
    <row r="7318" spans="1:17" s="162" customFormat="1" x14ac:dyDescent="0.25">
      <c r="A7318" s="136">
        <v>43361</v>
      </c>
      <c r="B7318" s="136">
        <v>43361</v>
      </c>
      <c r="C7318" s="282">
        <v>2018</v>
      </c>
      <c r="D7318" s="351" t="s">
        <v>23</v>
      </c>
      <c r="E7318" s="22" t="s">
        <v>86</v>
      </c>
      <c r="F7318" s="7" t="s">
        <v>49</v>
      </c>
      <c r="G7318" s="293">
        <v>2</v>
      </c>
      <c r="H7318" s="33" t="s">
        <v>10172</v>
      </c>
      <c r="I7318" s="154">
        <v>0</v>
      </c>
      <c r="J7318" s="354">
        <v>0</v>
      </c>
      <c r="K7318" s="154">
        <v>0</v>
      </c>
      <c r="L7318" s="154">
        <v>0</v>
      </c>
      <c r="M7318" s="154">
        <v>0</v>
      </c>
      <c r="N7318" s="154">
        <v>0</v>
      </c>
      <c r="O7318" s="285">
        <v>0</v>
      </c>
      <c r="P7318" s="76">
        <v>1.5648693500000002</v>
      </c>
      <c r="Q7318" s="295" t="s">
        <v>186</v>
      </c>
    </row>
    <row r="7319" spans="1:17" s="162" customFormat="1" ht="24" x14ac:dyDescent="0.25">
      <c r="A7319" s="136">
        <v>43350</v>
      </c>
      <c r="B7319" s="136">
        <v>43350</v>
      </c>
      <c r="C7319" s="282">
        <v>2018</v>
      </c>
      <c r="D7319" s="351" t="s">
        <v>23</v>
      </c>
      <c r="E7319" s="22" t="s">
        <v>86</v>
      </c>
      <c r="F7319" s="7" t="s">
        <v>49</v>
      </c>
      <c r="G7319" s="293">
        <v>4</v>
      </c>
      <c r="H7319" s="33" t="s">
        <v>10173</v>
      </c>
      <c r="I7319" s="154">
        <v>0</v>
      </c>
      <c r="J7319" s="354">
        <v>0</v>
      </c>
      <c r="K7319" s="154">
        <v>0</v>
      </c>
      <c r="L7319" s="154">
        <v>0</v>
      </c>
      <c r="M7319" s="154">
        <v>0</v>
      </c>
      <c r="N7319" s="154">
        <v>0</v>
      </c>
      <c r="O7319" s="285">
        <v>0</v>
      </c>
      <c r="P7319" s="76">
        <v>6.3322531699999995</v>
      </c>
      <c r="Q7319" s="295" t="s">
        <v>186</v>
      </c>
    </row>
    <row r="7320" spans="1:17" s="162" customFormat="1" x14ac:dyDescent="0.25">
      <c r="A7320" s="136">
        <v>43304</v>
      </c>
      <c r="B7320" s="136">
        <v>43307</v>
      </c>
      <c r="C7320" s="282">
        <v>2018</v>
      </c>
      <c r="D7320" s="351" t="s">
        <v>23</v>
      </c>
      <c r="E7320" s="30" t="s">
        <v>327</v>
      </c>
      <c r="F7320" s="7" t="s">
        <v>49</v>
      </c>
      <c r="G7320" s="293">
        <v>21</v>
      </c>
      <c r="H7320" s="33" t="s">
        <v>10156</v>
      </c>
      <c r="I7320" s="154">
        <v>0</v>
      </c>
      <c r="J7320" s="354">
        <v>0</v>
      </c>
      <c r="K7320" s="154">
        <v>0</v>
      </c>
      <c r="L7320" s="154">
        <v>0</v>
      </c>
      <c r="M7320" s="154">
        <v>0</v>
      </c>
      <c r="N7320" s="154">
        <v>0</v>
      </c>
      <c r="O7320" s="285">
        <v>0</v>
      </c>
      <c r="P7320" s="76">
        <v>2.6704080619999999</v>
      </c>
      <c r="Q7320" s="295" t="s">
        <v>186</v>
      </c>
    </row>
    <row r="7321" spans="1:17" s="162" customFormat="1" x14ac:dyDescent="0.25">
      <c r="A7321" s="136">
        <v>43242</v>
      </c>
      <c r="B7321" s="136">
        <v>43251</v>
      </c>
      <c r="C7321" s="282">
        <v>2018</v>
      </c>
      <c r="D7321" s="351" t="s">
        <v>23</v>
      </c>
      <c r="E7321" s="30" t="s">
        <v>327</v>
      </c>
      <c r="F7321" s="7" t="s">
        <v>49</v>
      </c>
      <c r="G7321" s="293">
        <v>37</v>
      </c>
      <c r="H7321" s="33" t="s">
        <v>10174</v>
      </c>
      <c r="I7321" s="154">
        <v>0</v>
      </c>
      <c r="J7321" s="354">
        <v>0</v>
      </c>
      <c r="K7321" s="154">
        <v>0</v>
      </c>
      <c r="L7321" s="154">
        <v>0</v>
      </c>
      <c r="M7321" s="154">
        <v>0</v>
      </c>
      <c r="N7321" s="154">
        <v>0</v>
      </c>
      <c r="O7321" s="285">
        <v>0</v>
      </c>
      <c r="P7321" s="76">
        <v>2.1016597999999997</v>
      </c>
      <c r="Q7321" s="295" t="s">
        <v>186</v>
      </c>
    </row>
    <row r="7322" spans="1:17" s="162" customFormat="1" x14ac:dyDescent="0.25">
      <c r="A7322" s="136">
        <v>43248</v>
      </c>
      <c r="B7322" s="136">
        <v>43248</v>
      </c>
      <c r="C7322" s="282">
        <v>2018</v>
      </c>
      <c r="D7322" s="351" t="s">
        <v>23</v>
      </c>
      <c r="E7322" s="30" t="s">
        <v>327</v>
      </c>
      <c r="F7322" s="7" t="s">
        <v>49</v>
      </c>
      <c r="G7322" s="293">
        <v>2</v>
      </c>
      <c r="H7322" s="33" t="s">
        <v>10157</v>
      </c>
      <c r="I7322" s="154">
        <v>0</v>
      </c>
      <c r="J7322" s="354">
        <v>0</v>
      </c>
      <c r="K7322" s="154">
        <v>0</v>
      </c>
      <c r="L7322" s="154">
        <v>0</v>
      </c>
      <c r="M7322" s="154">
        <v>0</v>
      </c>
      <c r="N7322" s="154">
        <v>0</v>
      </c>
      <c r="O7322" s="285">
        <v>0</v>
      </c>
      <c r="P7322" s="76">
        <v>0.38547183400000001</v>
      </c>
      <c r="Q7322" s="295" t="s">
        <v>186</v>
      </c>
    </row>
    <row r="7323" spans="1:17" s="162" customFormat="1" x14ac:dyDescent="0.25">
      <c r="A7323" s="136">
        <v>43324</v>
      </c>
      <c r="B7323" s="136">
        <v>43324</v>
      </c>
      <c r="C7323" s="282">
        <v>2018</v>
      </c>
      <c r="D7323" s="351" t="s">
        <v>23</v>
      </c>
      <c r="E7323" s="22" t="s">
        <v>86</v>
      </c>
      <c r="F7323" s="7" t="s">
        <v>49</v>
      </c>
      <c r="G7323" s="293">
        <v>2</v>
      </c>
      <c r="H7323" s="33" t="s">
        <v>10175</v>
      </c>
      <c r="I7323" s="154">
        <v>0</v>
      </c>
      <c r="J7323" s="354">
        <v>0</v>
      </c>
      <c r="K7323" s="154">
        <v>0</v>
      </c>
      <c r="L7323" s="154">
        <v>0</v>
      </c>
      <c r="M7323" s="154">
        <v>0</v>
      </c>
      <c r="N7323" s="154">
        <v>0</v>
      </c>
      <c r="O7323" s="285">
        <v>0</v>
      </c>
      <c r="P7323" s="76">
        <v>15.43328414</v>
      </c>
      <c r="Q7323" s="295" t="s">
        <v>186</v>
      </c>
    </row>
    <row r="7324" spans="1:17" s="162" customFormat="1" ht="36" x14ac:dyDescent="0.25">
      <c r="A7324" s="136">
        <v>43279</v>
      </c>
      <c r="B7324" s="136">
        <v>43279</v>
      </c>
      <c r="C7324" s="282">
        <v>2018</v>
      </c>
      <c r="D7324" s="351" t="s">
        <v>23</v>
      </c>
      <c r="E7324" s="22" t="s">
        <v>86</v>
      </c>
      <c r="F7324" s="7" t="s">
        <v>56</v>
      </c>
      <c r="G7324" s="291">
        <v>4</v>
      </c>
      <c r="H7324" s="44" t="s">
        <v>10176</v>
      </c>
      <c r="I7324" s="154">
        <v>0</v>
      </c>
      <c r="J7324" s="354">
        <v>0</v>
      </c>
      <c r="K7324" s="154">
        <v>0</v>
      </c>
      <c r="L7324" s="154">
        <v>0</v>
      </c>
      <c r="M7324" s="154">
        <v>0</v>
      </c>
      <c r="N7324" s="154">
        <v>0</v>
      </c>
      <c r="O7324" s="285">
        <v>0</v>
      </c>
      <c r="P7324" s="76">
        <v>24.948996399999999</v>
      </c>
      <c r="Q7324" s="295" t="s">
        <v>186</v>
      </c>
    </row>
    <row r="7325" spans="1:17" s="162" customFormat="1" x14ac:dyDescent="0.25">
      <c r="A7325" s="136">
        <v>43248</v>
      </c>
      <c r="B7325" s="136">
        <v>43248</v>
      </c>
      <c r="C7325" s="282">
        <v>2018</v>
      </c>
      <c r="D7325" s="351" t="s">
        <v>23</v>
      </c>
      <c r="E7325" s="30" t="s">
        <v>327</v>
      </c>
      <c r="F7325" s="7" t="s">
        <v>58</v>
      </c>
      <c r="G7325" s="293">
        <v>18</v>
      </c>
      <c r="H7325" s="33" t="s">
        <v>10160</v>
      </c>
      <c r="I7325" s="154">
        <v>0</v>
      </c>
      <c r="J7325" s="354">
        <v>0</v>
      </c>
      <c r="K7325" s="154">
        <v>0</v>
      </c>
      <c r="L7325" s="154">
        <v>0</v>
      </c>
      <c r="M7325" s="154">
        <v>0</v>
      </c>
      <c r="N7325" s="154">
        <v>0</v>
      </c>
      <c r="O7325" s="285">
        <v>0</v>
      </c>
      <c r="P7325" s="76">
        <v>12.123086476999999</v>
      </c>
      <c r="Q7325" s="295" t="s">
        <v>186</v>
      </c>
    </row>
    <row r="7326" spans="1:17" s="162" customFormat="1" x14ac:dyDescent="0.25">
      <c r="A7326" s="136">
        <v>43304</v>
      </c>
      <c r="B7326" s="136">
        <v>43307</v>
      </c>
      <c r="C7326" s="282">
        <v>2018</v>
      </c>
      <c r="D7326" s="351" t="s">
        <v>23</v>
      </c>
      <c r="E7326" s="30" t="s">
        <v>327</v>
      </c>
      <c r="F7326" s="7" t="s">
        <v>58</v>
      </c>
      <c r="G7326" s="293">
        <v>18</v>
      </c>
      <c r="H7326" s="33" t="s">
        <v>10177</v>
      </c>
      <c r="I7326" s="154">
        <v>0</v>
      </c>
      <c r="J7326" s="354">
        <v>0</v>
      </c>
      <c r="K7326" s="154">
        <v>0</v>
      </c>
      <c r="L7326" s="154">
        <v>0</v>
      </c>
      <c r="M7326" s="154">
        <v>0</v>
      </c>
      <c r="N7326" s="154">
        <v>0</v>
      </c>
      <c r="O7326" s="285">
        <v>0</v>
      </c>
      <c r="P7326" s="76">
        <v>8.6038784770000003</v>
      </c>
      <c r="Q7326" s="295" t="s">
        <v>186</v>
      </c>
    </row>
    <row r="7327" spans="1:17" s="162" customFormat="1" ht="24" x14ac:dyDescent="0.25">
      <c r="A7327" s="136">
        <v>43147</v>
      </c>
      <c r="B7327" s="136">
        <v>43147</v>
      </c>
      <c r="C7327" s="282">
        <v>2018</v>
      </c>
      <c r="D7327" s="35" t="s">
        <v>17</v>
      </c>
      <c r="E7327" s="292" t="s">
        <v>122</v>
      </c>
      <c r="F7327" s="7" t="s">
        <v>58</v>
      </c>
      <c r="G7327" s="293">
        <v>11</v>
      </c>
      <c r="H7327" s="33" t="s">
        <v>10178</v>
      </c>
      <c r="I7327" s="154">
        <v>0</v>
      </c>
      <c r="J7327" s="354">
        <v>0</v>
      </c>
      <c r="K7327" s="154">
        <v>0</v>
      </c>
      <c r="L7327" s="154">
        <v>0</v>
      </c>
      <c r="M7327" s="154">
        <v>0</v>
      </c>
      <c r="N7327" s="154">
        <v>0</v>
      </c>
      <c r="O7327" s="285">
        <v>0</v>
      </c>
      <c r="P7327" s="76">
        <v>36.245917159999998</v>
      </c>
      <c r="Q7327" s="295" t="s">
        <v>186</v>
      </c>
    </row>
    <row r="7328" spans="1:17" s="162" customFormat="1" x14ac:dyDescent="0.25">
      <c r="A7328" s="136">
        <v>43304</v>
      </c>
      <c r="B7328" s="136">
        <v>43307</v>
      </c>
      <c r="C7328" s="282">
        <v>2018</v>
      </c>
      <c r="D7328" s="351" t="s">
        <v>23</v>
      </c>
      <c r="E7328" s="30" t="s">
        <v>327</v>
      </c>
      <c r="F7328" s="28" t="s">
        <v>160</v>
      </c>
      <c r="G7328" s="293">
        <v>20</v>
      </c>
      <c r="H7328" s="33" t="s">
        <v>10156</v>
      </c>
      <c r="I7328" s="154">
        <v>0</v>
      </c>
      <c r="J7328" s="354">
        <v>0</v>
      </c>
      <c r="K7328" s="154">
        <v>0</v>
      </c>
      <c r="L7328" s="154">
        <v>0</v>
      </c>
      <c r="M7328" s="154">
        <v>0</v>
      </c>
      <c r="N7328" s="154">
        <v>0</v>
      </c>
      <c r="O7328" s="285">
        <v>0</v>
      </c>
      <c r="P7328" s="76">
        <v>4.8824046370000005</v>
      </c>
      <c r="Q7328" s="295" t="s">
        <v>186</v>
      </c>
    </row>
    <row r="7329" spans="1:17" s="162" customFormat="1" ht="24" x14ac:dyDescent="0.25">
      <c r="A7329" s="136">
        <v>43341</v>
      </c>
      <c r="B7329" s="136">
        <v>43341</v>
      </c>
      <c r="C7329" s="282">
        <v>2018</v>
      </c>
      <c r="D7329" s="351" t="s">
        <v>23</v>
      </c>
      <c r="E7329" s="22" t="s">
        <v>86</v>
      </c>
      <c r="F7329" s="7" t="s">
        <v>53</v>
      </c>
      <c r="G7329" s="291">
        <v>8</v>
      </c>
      <c r="H7329" s="44" t="s">
        <v>10179</v>
      </c>
      <c r="I7329" s="154">
        <v>0</v>
      </c>
      <c r="J7329" s="354">
        <v>0</v>
      </c>
      <c r="K7329" s="154">
        <v>0</v>
      </c>
      <c r="L7329" s="154">
        <v>0</v>
      </c>
      <c r="M7329" s="154">
        <v>0</v>
      </c>
      <c r="N7329" s="154">
        <v>0</v>
      </c>
      <c r="O7329" s="285">
        <v>0</v>
      </c>
      <c r="P7329" s="76">
        <v>193.26432399999999</v>
      </c>
      <c r="Q7329" s="295" t="s">
        <v>186</v>
      </c>
    </row>
    <row r="7330" spans="1:17" s="162" customFormat="1" x14ac:dyDescent="0.25">
      <c r="A7330" s="136">
        <v>43248</v>
      </c>
      <c r="B7330" s="136">
        <v>43248</v>
      </c>
      <c r="C7330" s="282">
        <v>2018</v>
      </c>
      <c r="D7330" s="351" t="s">
        <v>23</v>
      </c>
      <c r="E7330" s="30" t="s">
        <v>327</v>
      </c>
      <c r="F7330" s="7" t="s">
        <v>62</v>
      </c>
      <c r="G7330" s="293">
        <v>34</v>
      </c>
      <c r="H7330" s="33" t="s">
        <v>10180</v>
      </c>
      <c r="I7330" s="154">
        <v>0</v>
      </c>
      <c r="J7330" s="354">
        <v>0</v>
      </c>
      <c r="K7330" s="154">
        <v>0</v>
      </c>
      <c r="L7330" s="154">
        <v>0</v>
      </c>
      <c r="M7330" s="154">
        <v>0</v>
      </c>
      <c r="N7330" s="154">
        <v>0</v>
      </c>
      <c r="O7330" s="285">
        <v>0</v>
      </c>
      <c r="P7330" s="76">
        <v>7.6614159640000006</v>
      </c>
      <c r="Q7330" s="295" t="s">
        <v>186</v>
      </c>
    </row>
    <row r="7331" spans="1:17" s="162" customFormat="1" x14ac:dyDescent="0.25">
      <c r="A7331" s="136">
        <v>43394</v>
      </c>
      <c r="B7331" s="136">
        <v>43394</v>
      </c>
      <c r="C7331" s="282">
        <v>2018</v>
      </c>
      <c r="D7331" s="351" t="s">
        <v>23</v>
      </c>
      <c r="E7331" s="22" t="s">
        <v>86</v>
      </c>
      <c r="F7331" s="7" t="s">
        <v>62</v>
      </c>
      <c r="G7331" s="293" t="s">
        <v>165</v>
      </c>
      <c r="H7331" s="33" t="s">
        <v>10181</v>
      </c>
      <c r="I7331" s="154">
        <v>0</v>
      </c>
      <c r="J7331" s="354">
        <v>0</v>
      </c>
      <c r="K7331" s="154">
        <v>0</v>
      </c>
      <c r="L7331" s="154">
        <v>0</v>
      </c>
      <c r="M7331" s="154">
        <v>0</v>
      </c>
      <c r="N7331" s="154">
        <v>0</v>
      </c>
      <c r="O7331" s="285">
        <v>0</v>
      </c>
      <c r="P7331" s="76">
        <v>7.2069109526360542</v>
      </c>
      <c r="Q7331" s="295" t="s">
        <v>186</v>
      </c>
    </row>
    <row r="7332" spans="1:17" s="162" customFormat="1" x14ac:dyDescent="0.25">
      <c r="A7332" s="136">
        <v>43304</v>
      </c>
      <c r="B7332" s="136">
        <v>43307</v>
      </c>
      <c r="C7332" s="282">
        <v>2018</v>
      </c>
      <c r="D7332" s="351" t="s">
        <v>23</v>
      </c>
      <c r="E7332" s="30" t="s">
        <v>327</v>
      </c>
      <c r="F7332" s="7" t="s">
        <v>62</v>
      </c>
      <c r="G7332" s="293">
        <v>34</v>
      </c>
      <c r="H7332" s="33" t="s">
        <v>10156</v>
      </c>
      <c r="I7332" s="154">
        <v>0</v>
      </c>
      <c r="J7332" s="354">
        <v>0</v>
      </c>
      <c r="K7332" s="154">
        <v>0</v>
      </c>
      <c r="L7332" s="154">
        <v>0</v>
      </c>
      <c r="M7332" s="154">
        <v>0</v>
      </c>
      <c r="N7332" s="154">
        <v>0</v>
      </c>
      <c r="O7332" s="285">
        <v>0</v>
      </c>
      <c r="P7332" s="76">
        <v>7.6614159640000006</v>
      </c>
      <c r="Q7332" s="295" t="s">
        <v>186</v>
      </c>
    </row>
    <row r="7333" spans="1:17" s="162" customFormat="1" ht="24" x14ac:dyDescent="0.25">
      <c r="A7333" s="136">
        <v>43248</v>
      </c>
      <c r="B7333" s="136">
        <v>43248</v>
      </c>
      <c r="C7333" s="282">
        <v>2018</v>
      </c>
      <c r="D7333" s="351" t="s">
        <v>23</v>
      </c>
      <c r="E7333" s="30" t="s">
        <v>327</v>
      </c>
      <c r="F7333" s="7" t="s">
        <v>67</v>
      </c>
      <c r="G7333" s="293">
        <v>6</v>
      </c>
      <c r="H7333" s="33" t="s">
        <v>10182</v>
      </c>
      <c r="I7333" s="154">
        <v>0</v>
      </c>
      <c r="J7333" s="354">
        <v>0</v>
      </c>
      <c r="K7333" s="154">
        <v>0</v>
      </c>
      <c r="L7333" s="154">
        <v>0</v>
      </c>
      <c r="M7333" s="154">
        <v>0</v>
      </c>
      <c r="N7333" s="154">
        <v>0</v>
      </c>
      <c r="O7333" s="285">
        <v>0</v>
      </c>
      <c r="P7333" s="76">
        <v>1.316550509</v>
      </c>
      <c r="Q7333" s="295" t="s">
        <v>186</v>
      </c>
    </row>
    <row r="7334" spans="1:17" s="162" customFormat="1" x14ac:dyDescent="0.25">
      <c r="A7334" s="136">
        <v>43304</v>
      </c>
      <c r="B7334" s="136">
        <v>43307</v>
      </c>
      <c r="C7334" s="282">
        <v>2018</v>
      </c>
      <c r="D7334" s="351" t="s">
        <v>23</v>
      </c>
      <c r="E7334" s="30" t="s">
        <v>327</v>
      </c>
      <c r="F7334" s="7" t="s">
        <v>67</v>
      </c>
      <c r="G7334" s="293">
        <v>14</v>
      </c>
      <c r="H7334" s="33" t="s">
        <v>10156</v>
      </c>
      <c r="I7334" s="154">
        <v>0</v>
      </c>
      <c r="J7334" s="354">
        <v>0</v>
      </c>
      <c r="K7334" s="154">
        <v>0</v>
      </c>
      <c r="L7334" s="154">
        <v>0</v>
      </c>
      <c r="M7334" s="154">
        <v>0</v>
      </c>
      <c r="N7334" s="154">
        <v>0</v>
      </c>
      <c r="O7334" s="285">
        <v>0</v>
      </c>
      <c r="P7334" s="76">
        <v>1.8580988450000002</v>
      </c>
      <c r="Q7334" s="295" t="s">
        <v>186</v>
      </c>
    </row>
    <row r="7335" spans="1:17" s="162" customFormat="1" x14ac:dyDescent="0.25">
      <c r="A7335" s="136">
        <v>43304</v>
      </c>
      <c r="B7335" s="136">
        <v>43307</v>
      </c>
      <c r="C7335" s="282">
        <v>2018</v>
      </c>
      <c r="D7335" s="351" t="s">
        <v>23</v>
      </c>
      <c r="E7335" s="30" t="s">
        <v>327</v>
      </c>
      <c r="F7335" s="7" t="s">
        <v>68</v>
      </c>
      <c r="G7335" s="293">
        <v>3</v>
      </c>
      <c r="H7335" s="33" t="s">
        <v>10156</v>
      </c>
      <c r="I7335" s="154">
        <v>0</v>
      </c>
      <c r="J7335" s="354">
        <v>0</v>
      </c>
      <c r="K7335" s="154">
        <v>0</v>
      </c>
      <c r="L7335" s="154">
        <v>0</v>
      </c>
      <c r="M7335" s="154">
        <v>0</v>
      </c>
      <c r="N7335" s="154">
        <v>0</v>
      </c>
      <c r="O7335" s="285">
        <v>0</v>
      </c>
      <c r="P7335" s="76">
        <v>5.9728474000000011E-2</v>
      </c>
      <c r="Q7335" s="295" t="s">
        <v>186</v>
      </c>
    </row>
    <row r="7336" spans="1:17" s="162" customFormat="1" x14ac:dyDescent="0.25">
      <c r="A7336" s="136">
        <v>43248</v>
      </c>
      <c r="B7336" s="136">
        <v>43248</v>
      </c>
      <c r="C7336" s="282">
        <v>2018</v>
      </c>
      <c r="D7336" s="351" t="s">
        <v>23</v>
      </c>
      <c r="E7336" s="30" t="s">
        <v>327</v>
      </c>
      <c r="F7336" s="7" t="s">
        <v>68</v>
      </c>
      <c r="G7336" s="293">
        <v>3</v>
      </c>
      <c r="H7336" s="33" t="s">
        <v>10160</v>
      </c>
      <c r="I7336" s="154">
        <v>0</v>
      </c>
      <c r="J7336" s="354">
        <v>0</v>
      </c>
      <c r="K7336" s="154">
        <v>0</v>
      </c>
      <c r="L7336" s="154">
        <v>0</v>
      </c>
      <c r="M7336" s="154">
        <v>0</v>
      </c>
      <c r="N7336" s="154">
        <v>0</v>
      </c>
      <c r="O7336" s="285">
        <v>0</v>
      </c>
      <c r="P7336" s="76">
        <v>5.9728474000000011E-2</v>
      </c>
      <c r="Q7336" s="295" t="s">
        <v>186</v>
      </c>
    </row>
    <row r="7337" spans="1:17" s="162" customFormat="1" x14ac:dyDescent="0.25">
      <c r="A7337" s="136">
        <v>43390</v>
      </c>
      <c r="B7337" s="136">
        <v>43390</v>
      </c>
      <c r="C7337" s="282">
        <v>2018</v>
      </c>
      <c r="D7337" s="351" t="s">
        <v>23</v>
      </c>
      <c r="E7337" s="22" t="s">
        <v>86</v>
      </c>
      <c r="F7337" s="7" t="s">
        <v>72</v>
      </c>
      <c r="G7337" s="291">
        <v>15</v>
      </c>
      <c r="H7337" s="44" t="s">
        <v>10183</v>
      </c>
      <c r="I7337" s="154">
        <v>0</v>
      </c>
      <c r="J7337" s="354">
        <v>0</v>
      </c>
      <c r="K7337" s="154">
        <v>0</v>
      </c>
      <c r="L7337" s="154">
        <v>0</v>
      </c>
      <c r="M7337" s="154">
        <v>0</v>
      </c>
      <c r="N7337" s="154">
        <v>0</v>
      </c>
      <c r="O7337" s="285">
        <v>0</v>
      </c>
      <c r="P7337" s="76">
        <v>82.828742169999998</v>
      </c>
      <c r="Q7337" s="295" t="s">
        <v>186</v>
      </c>
    </row>
    <row r="7338" spans="1:17" s="162" customFormat="1" ht="24" x14ac:dyDescent="0.25">
      <c r="A7338" s="136">
        <v>43197</v>
      </c>
      <c r="B7338" s="136">
        <v>43197</v>
      </c>
      <c r="C7338" s="282">
        <v>2018</v>
      </c>
      <c r="D7338" s="351" t="s">
        <v>23</v>
      </c>
      <c r="E7338" s="22" t="s">
        <v>86</v>
      </c>
      <c r="F7338" s="7" t="s">
        <v>72</v>
      </c>
      <c r="G7338" s="293">
        <v>2</v>
      </c>
      <c r="H7338" s="33" t="s">
        <v>10184</v>
      </c>
      <c r="I7338" s="154">
        <v>0</v>
      </c>
      <c r="J7338" s="354">
        <v>0</v>
      </c>
      <c r="K7338" s="154">
        <v>0</v>
      </c>
      <c r="L7338" s="154">
        <v>0</v>
      </c>
      <c r="M7338" s="154">
        <v>0</v>
      </c>
      <c r="N7338" s="154">
        <v>0</v>
      </c>
      <c r="O7338" s="285">
        <v>0</v>
      </c>
      <c r="P7338" s="76">
        <v>3.6145395199999997</v>
      </c>
      <c r="Q7338" s="295" t="s">
        <v>186</v>
      </c>
    </row>
    <row r="7339" spans="1:17" s="162" customFormat="1" ht="24" x14ac:dyDescent="0.25">
      <c r="A7339" s="136">
        <v>43392</v>
      </c>
      <c r="B7339" s="136">
        <v>43392</v>
      </c>
      <c r="C7339" s="282">
        <v>2018</v>
      </c>
      <c r="D7339" s="351" t="s">
        <v>23</v>
      </c>
      <c r="E7339" s="22" t="s">
        <v>86</v>
      </c>
      <c r="F7339" s="7" t="s">
        <v>72</v>
      </c>
      <c r="G7339" s="291">
        <v>71</v>
      </c>
      <c r="H7339" s="44" t="s">
        <v>10185</v>
      </c>
      <c r="I7339" s="154">
        <v>0</v>
      </c>
      <c r="J7339" s="354">
        <v>0</v>
      </c>
      <c r="K7339" s="154">
        <v>0</v>
      </c>
      <c r="L7339" s="154">
        <v>0</v>
      </c>
      <c r="M7339" s="154">
        <v>0</v>
      </c>
      <c r="N7339" s="154">
        <v>0</v>
      </c>
      <c r="O7339" s="285">
        <v>0</v>
      </c>
      <c r="P7339" s="76">
        <v>131.99866499999999</v>
      </c>
      <c r="Q7339" s="295" t="s">
        <v>186</v>
      </c>
    </row>
    <row r="7340" spans="1:17" s="162" customFormat="1" x14ac:dyDescent="0.25">
      <c r="A7340" s="136">
        <v>43304</v>
      </c>
      <c r="B7340" s="136">
        <v>43307</v>
      </c>
      <c r="C7340" s="282">
        <v>2018</v>
      </c>
      <c r="D7340" s="351" t="s">
        <v>23</v>
      </c>
      <c r="E7340" s="30" t="s">
        <v>327</v>
      </c>
      <c r="F7340" s="7" t="s">
        <v>72</v>
      </c>
      <c r="G7340" s="293">
        <v>23</v>
      </c>
      <c r="H7340" s="33" t="s">
        <v>10160</v>
      </c>
      <c r="I7340" s="154">
        <v>0</v>
      </c>
      <c r="J7340" s="354">
        <v>0</v>
      </c>
      <c r="K7340" s="154">
        <v>0</v>
      </c>
      <c r="L7340" s="154">
        <v>0</v>
      </c>
      <c r="M7340" s="154">
        <v>0</v>
      </c>
      <c r="N7340" s="154">
        <v>0</v>
      </c>
      <c r="O7340" s="285">
        <v>0</v>
      </c>
      <c r="P7340" s="76">
        <v>2.7539673470000001</v>
      </c>
      <c r="Q7340" s="295" t="s">
        <v>186</v>
      </c>
    </row>
    <row r="7341" spans="1:17" s="162" customFormat="1" ht="24" x14ac:dyDescent="0.25">
      <c r="A7341" s="136">
        <v>43322</v>
      </c>
      <c r="B7341" s="136">
        <v>43322</v>
      </c>
      <c r="C7341" s="282">
        <v>2018</v>
      </c>
      <c r="D7341" s="351" t="s">
        <v>23</v>
      </c>
      <c r="E7341" s="22" t="s">
        <v>86</v>
      </c>
      <c r="F7341" s="7" t="s">
        <v>72</v>
      </c>
      <c r="G7341" s="293">
        <v>2</v>
      </c>
      <c r="H7341" s="33" t="s">
        <v>10186</v>
      </c>
      <c r="I7341" s="154">
        <v>0</v>
      </c>
      <c r="J7341" s="354">
        <v>0</v>
      </c>
      <c r="K7341" s="154">
        <v>0</v>
      </c>
      <c r="L7341" s="154">
        <v>0</v>
      </c>
      <c r="M7341" s="154">
        <v>0</v>
      </c>
      <c r="N7341" s="154">
        <v>0</v>
      </c>
      <c r="O7341" s="285">
        <v>0</v>
      </c>
      <c r="P7341" s="76">
        <v>3.4968321339999999</v>
      </c>
      <c r="Q7341" s="295" t="s">
        <v>186</v>
      </c>
    </row>
    <row r="7342" spans="1:17" s="162" customFormat="1" x14ac:dyDescent="0.25">
      <c r="A7342" s="136">
        <v>43248</v>
      </c>
      <c r="B7342" s="136">
        <v>43248</v>
      </c>
      <c r="C7342" s="282">
        <v>2018</v>
      </c>
      <c r="D7342" s="351" t="s">
        <v>23</v>
      </c>
      <c r="E7342" s="30" t="s">
        <v>327</v>
      </c>
      <c r="F7342" s="7" t="s">
        <v>72</v>
      </c>
      <c r="G7342" s="293">
        <v>23</v>
      </c>
      <c r="H7342" s="33" t="s">
        <v>10156</v>
      </c>
      <c r="I7342" s="154">
        <v>0</v>
      </c>
      <c r="J7342" s="354">
        <v>0</v>
      </c>
      <c r="K7342" s="154">
        <v>0</v>
      </c>
      <c r="L7342" s="154">
        <v>0</v>
      </c>
      <c r="M7342" s="154">
        <v>0</v>
      </c>
      <c r="N7342" s="154">
        <v>0</v>
      </c>
      <c r="O7342" s="285">
        <v>0</v>
      </c>
      <c r="P7342" s="76">
        <v>7.7608266940000004</v>
      </c>
      <c r="Q7342" s="295" t="s">
        <v>186</v>
      </c>
    </row>
    <row r="7343" spans="1:17" s="162" customFormat="1" ht="24" x14ac:dyDescent="0.25">
      <c r="A7343" s="136">
        <v>43418</v>
      </c>
      <c r="B7343" s="136">
        <v>43419</v>
      </c>
      <c r="C7343" s="282">
        <v>2018</v>
      </c>
      <c r="D7343" s="351" t="s">
        <v>23</v>
      </c>
      <c r="E7343" s="292" t="s">
        <v>2689</v>
      </c>
      <c r="F7343" s="7" t="s">
        <v>75</v>
      </c>
      <c r="G7343" s="293">
        <v>17</v>
      </c>
      <c r="H7343" s="33" t="s">
        <v>10155</v>
      </c>
      <c r="I7343" s="154">
        <v>0</v>
      </c>
      <c r="J7343" s="354">
        <v>0</v>
      </c>
      <c r="K7343" s="154">
        <v>0</v>
      </c>
      <c r="L7343" s="154">
        <v>0</v>
      </c>
      <c r="M7343" s="154">
        <v>0</v>
      </c>
      <c r="N7343" s="154">
        <v>0</v>
      </c>
      <c r="O7343" s="285">
        <v>0</v>
      </c>
      <c r="P7343" s="76">
        <v>16.475255324999999</v>
      </c>
      <c r="Q7343" s="295" t="s">
        <v>186</v>
      </c>
    </row>
    <row r="7344" spans="1:17" s="162" customFormat="1" x14ac:dyDescent="0.25">
      <c r="A7344" s="136">
        <v>43248</v>
      </c>
      <c r="B7344" s="136">
        <v>43248</v>
      </c>
      <c r="C7344" s="282">
        <v>2018</v>
      </c>
      <c r="D7344" s="351" t="s">
        <v>23</v>
      </c>
      <c r="E7344" s="30" t="s">
        <v>327</v>
      </c>
      <c r="F7344" s="7" t="s">
        <v>75</v>
      </c>
      <c r="G7344" s="293">
        <v>17</v>
      </c>
      <c r="H7344" s="33" t="s">
        <v>10157</v>
      </c>
      <c r="I7344" s="154">
        <v>0</v>
      </c>
      <c r="J7344" s="354">
        <v>0</v>
      </c>
      <c r="K7344" s="154">
        <v>0</v>
      </c>
      <c r="L7344" s="154">
        <v>0</v>
      </c>
      <c r="M7344" s="154">
        <v>0</v>
      </c>
      <c r="N7344" s="154">
        <v>0</v>
      </c>
      <c r="O7344" s="285">
        <v>0</v>
      </c>
      <c r="P7344" s="76">
        <v>1.4726270109999999</v>
      </c>
      <c r="Q7344" s="295" t="s">
        <v>186</v>
      </c>
    </row>
    <row r="7345" spans="1:17" s="162" customFormat="1" ht="24" x14ac:dyDescent="0.25">
      <c r="A7345" s="136">
        <v>43212</v>
      </c>
      <c r="B7345" s="136">
        <v>43212</v>
      </c>
      <c r="C7345" s="282">
        <v>2018</v>
      </c>
      <c r="D7345" s="351" t="s">
        <v>23</v>
      </c>
      <c r="E7345" s="283" t="s">
        <v>2070</v>
      </c>
      <c r="F7345" s="7" t="s">
        <v>75</v>
      </c>
      <c r="G7345" s="293">
        <v>9</v>
      </c>
      <c r="H7345" s="33" t="s">
        <v>10187</v>
      </c>
      <c r="I7345" s="154">
        <v>0</v>
      </c>
      <c r="J7345" s="354">
        <v>0</v>
      </c>
      <c r="K7345" s="154">
        <v>0</v>
      </c>
      <c r="L7345" s="154">
        <v>0</v>
      </c>
      <c r="M7345" s="154">
        <v>0</v>
      </c>
      <c r="N7345" s="154">
        <v>0</v>
      </c>
      <c r="O7345" s="285">
        <v>0</v>
      </c>
      <c r="P7345" s="76">
        <v>5.0233912500000004</v>
      </c>
      <c r="Q7345" s="295" t="s">
        <v>186</v>
      </c>
    </row>
    <row r="7346" spans="1:17" s="162" customFormat="1" x14ac:dyDescent="0.25">
      <c r="A7346" s="136">
        <v>43304</v>
      </c>
      <c r="B7346" s="136">
        <v>43307</v>
      </c>
      <c r="C7346" s="282">
        <v>2018</v>
      </c>
      <c r="D7346" s="351" t="s">
        <v>23</v>
      </c>
      <c r="E7346" s="30" t="s">
        <v>327</v>
      </c>
      <c r="F7346" s="7" t="s">
        <v>75</v>
      </c>
      <c r="G7346" s="293">
        <v>17</v>
      </c>
      <c r="H7346" s="33" t="s">
        <v>10156</v>
      </c>
      <c r="I7346" s="154">
        <v>0</v>
      </c>
      <c r="J7346" s="354">
        <v>0</v>
      </c>
      <c r="K7346" s="154">
        <v>0</v>
      </c>
      <c r="L7346" s="154">
        <v>0</v>
      </c>
      <c r="M7346" s="154">
        <v>0</v>
      </c>
      <c r="N7346" s="154">
        <v>0</v>
      </c>
      <c r="O7346" s="285">
        <v>0</v>
      </c>
      <c r="P7346" s="76">
        <v>1.045137011</v>
      </c>
      <c r="Q7346" s="295" t="s">
        <v>186</v>
      </c>
    </row>
    <row r="7347" spans="1:17" s="162" customFormat="1" x14ac:dyDescent="0.25">
      <c r="A7347" s="136">
        <v>43393</v>
      </c>
      <c r="B7347" s="136">
        <v>43393</v>
      </c>
      <c r="C7347" s="282">
        <v>2018</v>
      </c>
      <c r="D7347" s="351" t="s">
        <v>23</v>
      </c>
      <c r="E7347" s="22" t="s">
        <v>86</v>
      </c>
      <c r="F7347" s="7" t="s">
        <v>75</v>
      </c>
      <c r="G7347" s="293">
        <v>15</v>
      </c>
      <c r="H7347" s="33" t="s">
        <v>10188</v>
      </c>
      <c r="I7347" s="154">
        <v>0</v>
      </c>
      <c r="J7347" s="354">
        <v>0</v>
      </c>
      <c r="K7347" s="154">
        <v>0</v>
      </c>
      <c r="L7347" s="154">
        <v>0</v>
      </c>
      <c r="M7347" s="154">
        <v>0</v>
      </c>
      <c r="N7347" s="154">
        <v>0</v>
      </c>
      <c r="O7347" s="285">
        <v>0</v>
      </c>
      <c r="P7347" s="76">
        <v>5.4097256500000004</v>
      </c>
      <c r="Q7347" s="295" t="s">
        <v>186</v>
      </c>
    </row>
    <row r="7348" spans="1:17" s="162" customFormat="1" x14ac:dyDescent="0.25">
      <c r="A7348" s="136">
        <v>43241</v>
      </c>
      <c r="B7348" s="136">
        <v>43248</v>
      </c>
      <c r="C7348" s="282">
        <v>2018</v>
      </c>
      <c r="D7348" s="351" t="s">
        <v>23</v>
      </c>
      <c r="E7348" s="283" t="s">
        <v>2223</v>
      </c>
      <c r="F7348" s="7" t="s">
        <v>80</v>
      </c>
      <c r="G7348" s="291">
        <v>10</v>
      </c>
      <c r="H7348" s="44" t="s">
        <v>10189</v>
      </c>
      <c r="I7348" s="154">
        <v>0</v>
      </c>
      <c r="J7348" s="354">
        <v>0</v>
      </c>
      <c r="K7348" s="154">
        <v>0</v>
      </c>
      <c r="L7348" s="154">
        <v>0</v>
      </c>
      <c r="M7348" s="154">
        <v>0</v>
      </c>
      <c r="N7348" s="154">
        <v>0</v>
      </c>
      <c r="O7348" s="285">
        <v>0</v>
      </c>
      <c r="P7348" s="76">
        <v>62.573044580000001</v>
      </c>
      <c r="Q7348" s="295" t="s">
        <v>186</v>
      </c>
    </row>
    <row r="7349" spans="1:17" s="162" customFormat="1" x14ac:dyDescent="0.25">
      <c r="A7349" s="136">
        <v>43265</v>
      </c>
      <c r="B7349" s="136">
        <v>43265</v>
      </c>
      <c r="C7349" s="282">
        <v>2018</v>
      </c>
      <c r="D7349" s="351" t="s">
        <v>23</v>
      </c>
      <c r="E7349" s="22" t="s">
        <v>86</v>
      </c>
      <c r="F7349" s="7" t="s">
        <v>80</v>
      </c>
      <c r="G7349" s="291">
        <v>6</v>
      </c>
      <c r="H7349" s="44" t="s">
        <v>10190</v>
      </c>
      <c r="I7349" s="154">
        <v>0</v>
      </c>
      <c r="J7349" s="354">
        <v>0</v>
      </c>
      <c r="K7349" s="154">
        <v>0</v>
      </c>
      <c r="L7349" s="154">
        <v>0</v>
      </c>
      <c r="M7349" s="154">
        <v>0</v>
      </c>
      <c r="N7349" s="154">
        <v>0</v>
      </c>
      <c r="O7349" s="285">
        <v>0</v>
      </c>
      <c r="P7349" s="76">
        <v>1245.5281237700001</v>
      </c>
      <c r="Q7349" s="295" t="s">
        <v>186</v>
      </c>
    </row>
    <row r="7350" spans="1:17" s="162" customFormat="1" x14ac:dyDescent="0.25">
      <c r="A7350" s="136">
        <v>43248</v>
      </c>
      <c r="B7350" s="136">
        <v>43248</v>
      </c>
      <c r="C7350" s="282">
        <v>2018</v>
      </c>
      <c r="D7350" s="351" t="s">
        <v>23</v>
      </c>
      <c r="E7350" s="30" t="s">
        <v>327</v>
      </c>
      <c r="F7350" s="7" t="s">
        <v>80</v>
      </c>
      <c r="G7350" s="293">
        <v>8</v>
      </c>
      <c r="H7350" s="33" t="s">
        <v>10160</v>
      </c>
      <c r="I7350" s="154">
        <v>0</v>
      </c>
      <c r="J7350" s="354">
        <v>0</v>
      </c>
      <c r="K7350" s="154">
        <v>0</v>
      </c>
      <c r="L7350" s="154">
        <v>0</v>
      </c>
      <c r="M7350" s="154">
        <v>0</v>
      </c>
      <c r="N7350" s="154">
        <v>0</v>
      </c>
      <c r="O7350" s="285">
        <v>0</v>
      </c>
      <c r="P7350" s="76">
        <v>15.513504522</v>
      </c>
      <c r="Q7350" s="295" t="s">
        <v>186</v>
      </c>
    </row>
    <row r="7351" spans="1:17" s="162" customFormat="1" x14ac:dyDescent="0.25">
      <c r="A7351" s="136">
        <v>43304</v>
      </c>
      <c r="B7351" s="136">
        <v>43307</v>
      </c>
      <c r="C7351" s="282">
        <v>2018</v>
      </c>
      <c r="D7351" s="351" t="s">
        <v>23</v>
      </c>
      <c r="E7351" s="30" t="s">
        <v>327</v>
      </c>
      <c r="F7351" s="7" t="s">
        <v>80</v>
      </c>
      <c r="G7351" s="293">
        <v>8</v>
      </c>
      <c r="H7351" s="33" t="s">
        <v>10156</v>
      </c>
      <c r="I7351" s="154">
        <v>0</v>
      </c>
      <c r="J7351" s="354">
        <v>0</v>
      </c>
      <c r="K7351" s="154">
        <v>0</v>
      </c>
      <c r="L7351" s="154">
        <v>0</v>
      </c>
      <c r="M7351" s="154">
        <v>0</v>
      </c>
      <c r="N7351" s="154">
        <v>0</v>
      </c>
      <c r="O7351" s="285">
        <v>0</v>
      </c>
      <c r="P7351" s="76">
        <v>15.513504522</v>
      </c>
      <c r="Q7351" s="295" t="s">
        <v>186</v>
      </c>
    </row>
    <row r="7352" spans="1:17" s="162" customFormat="1" x14ac:dyDescent="0.25">
      <c r="A7352" s="136">
        <v>43248</v>
      </c>
      <c r="B7352" s="136">
        <v>43248</v>
      </c>
      <c r="C7352" s="282">
        <v>2018</v>
      </c>
      <c r="D7352" s="351" t="s">
        <v>23</v>
      </c>
      <c r="E7352" s="30" t="s">
        <v>327</v>
      </c>
      <c r="F7352" s="7" t="s">
        <v>82</v>
      </c>
      <c r="G7352" s="293">
        <v>19</v>
      </c>
      <c r="H7352" s="33" t="s">
        <v>10160</v>
      </c>
      <c r="I7352" s="154">
        <v>0</v>
      </c>
      <c r="J7352" s="354">
        <v>0</v>
      </c>
      <c r="K7352" s="154">
        <v>0</v>
      </c>
      <c r="L7352" s="154">
        <v>0</v>
      </c>
      <c r="M7352" s="154">
        <v>0</v>
      </c>
      <c r="N7352" s="154">
        <v>0</v>
      </c>
      <c r="O7352" s="285">
        <v>0</v>
      </c>
      <c r="P7352" s="76">
        <v>3.8078085810000002</v>
      </c>
      <c r="Q7352" s="295" t="s">
        <v>186</v>
      </c>
    </row>
    <row r="7353" spans="1:17" s="162" customFormat="1" x14ac:dyDescent="0.25">
      <c r="A7353" s="136">
        <v>43304</v>
      </c>
      <c r="B7353" s="136">
        <v>43307</v>
      </c>
      <c r="C7353" s="282">
        <v>2018</v>
      </c>
      <c r="D7353" s="351" t="s">
        <v>23</v>
      </c>
      <c r="E7353" s="30" t="s">
        <v>327</v>
      </c>
      <c r="F7353" s="7" t="s">
        <v>82</v>
      </c>
      <c r="G7353" s="293">
        <v>19</v>
      </c>
      <c r="H7353" s="33" t="s">
        <v>10156</v>
      </c>
      <c r="I7353" s="154">
        <v>0</v>
      </c>
      <c r="J7353" s="354">
        <v>0</v>
      </c>
      <c r="K7353" s="154">
        <v>0</v>
      </c>
      <c r="L7353" s="154">
        <v>0</v>
      </c>
      <c r="M7353" s="154">
        <v>0</v>
      </c>
      <c r="N7353" s="154">
        <v>0</v>
      </c>
      <c r="O7353" s="285">
        <v>0</v>
      </c>
      <c r="P7353" s="76">
        <v>3.8078085810000002</v>
      </c>
      <c r="Q7353" s="295" t="s">
        <v>186</v>
      </c>
    </row>
    <row r="7354" spans="1:17" s="162" customFormat="1" x14ac:dyDescent="0.25">
      <c r="A7354" s="136">
        <v>43248</v>
      </c>
      <c r="B7354" s="136">
        <v>43248</v>
      </c>
      <c r="C7354" s="282">
        <v>2018</v>
      </c>
      <c r="D7354" s="351" t="s">
        <v>23</v>
      </c>
      <c r="E7354" s="30" t="s">
        <v>327</v>
      </c>
      <c r="F7354" s="7" t="s">
        <v>84</v>
      </c>
      <c r="G7354" s="293">
        <v>13</v>
      </c>
      <c r="H7354" s="33" t="s">
        <v>10160</v>
      </c>
      <c r="I7354" s="154">
        <v>0</v>
      </c>
      <c r="J7354" s="354">
        <v>0</v>
      </c>
      <c r="K7354" s="154">
        <v>0</v>
      </c>
      <c r="L7354" s="154">
        <v>0</v>
      </c>
      <c r="M7354" s="154">
        <v>0</v>
      </c>
      <c r="N7354" s="154">
        <v>0</v>
      </c>
      <c r="O7354" s="285">
        <v>0</v>
      </c>
      <c r="P7354" s="76">
        <v>4.0527858750000005</v>
      </c>
      <c r="Q7354" s="295" t="s">
        <v>186</v>
      </c>
    </row>
    <row r="7355" spans="1:17" s="162" customFormat="1" x14ac:dyDescent="0.25">
      <c r="A7355" s="136">
        <v>43304</v>
      </c>
      <c r="B7355" s="136">
        <v>43307</v>
      </c>
      <c r="C7355" s="282">
        <v>2018</v>
      </c>
      <c r="D7355" s="351" t="s">
        <v>23</v>
      </c>
      <c r="E7355" s="30" t="s">
        <v>327</v>
      </c>
      <c r="F7355" s="7" t="s">
        <v>84</v>
      </c>
      <c r="G7355" s="293">
        <v>13</v>
      </c>
      <c r="H7355" s="33" t="s">
        <v>10156</v>
      </c>
      <c r="I7355" s="154">
        <v>0</v>
      </c>
      <c r="J7355" s="354">
        <v>0</v>
      </c>
      <c r="K7355" s="154">
        <v>0</v>
      </c>
      <c r="L7355" s="154">
        <v>0</v>
      </c>
      <c r="M7355" s="154">
        <v>0</v>
      </c>
      <c r="N7355" s="154">
        <v>0</v>
      </c>
      <c r="O7355" s="285">
        <v>0</v>
      </c>
      <c r="P7355" s="76">
        <v>4.0527858750000005</v>
      </c>
      <c r="Q7355" s="295" t="s">
        <v>186</v>
      </c>
    </row>
    <row r="7356" spans="1:17" s="162" customFormat="1" ht="24" x14ac:dyDescent="0.25">
      <c r="A7356" s="136">
        <v>43372</v>
      </c>
      <c r="B7356" s="136">
        <v>43372</v>
      </c>
      <c r="C7356" s="282">
        <v>2018</v>
      </c>
      <c r="D7356" s="351" t="s">
        <v>23</v>
      </c>
      <c r="E7356" s="22" t="s">
        <v>86</v>
      </c>
      <c r="F7356" s="7" t="s">
        <v>87</v>
      </c>
      <c r="G7356" s="291">
        <v>5</v>
      </c>
      <c r="H7356" s="44" t="s">
        <v>10191</v>
      </c>
      <c r="I7356" s="154">
        <v>0</v>
      </c>
      <c r="J7356" s="354">
        <v>0</v>
      </c>
      <c r="K7356" s="154">
        <v>0</v>
      </c>
      <c r="L7356" s="154">
        <v>0</v>
      </c>
      <c r="M7356" s="154">
        <v>0</v>
      </c>
      <c r="N7356" s="154">
        <v>0</v>
      </c>
      <c r="O7356" s="285">
        <v>0</v>
      </c>
      <c r="P7356" s="76">
        <v>37.78375935333333</v>
      </c>
      <c r="Q7356" s="295" t="s">
        <v>186</v>
      </c>
    </row>
    <row r="7357" spans="1:17" s="162" customFormat="1" ht="24" x14ac:dyDescent="0.25">
      <c r="A7357" s="136">
        <v>43384</v>
      </c>
      <c r="B7357" s="136">
        <v>43384</v>
      </c>
      <c r="C7357" s="282">
        <v>2018</v>
      </c>
      <c r="D7357" s="351" t="s">
        <v>23</v>
      </c>
      <c r="E7357" s="22" t="s">
        <v>86</v>
      </c>
      <c r="F7357" s="7" t="s">
        <v>87</v>
      </c>
      <c r="G7357" s="291">
        <v>13</v>
      </c>
      <c r="H7357" s="44" t="s">
        <v>10192</v>
      </c>
      <c r="I7357" s="154">
        <v>0</v>
      </c>
      <c r="J7357" s="354">
        <v>0</v>
      </c>
      <c r="K7357" s="154">
        <v>0</v>
      </c>
      <c r="L7357" s="154">
        <v>0</v>
      </c>
      <c r="M7357" s="154">
        <v>0</v>
      </c>
      <c r="N7357" s="154">
        <v>0</v>
      </c>
      <c r="O7357" s="285">
        <v>0</v>
      </c>
      <c r="P7357" s="76">
        <v>24.360381396666668</v>
      </c>
      <c r="Q7357" s="295" t="s">
        <v>186</v>
      </c>
    </row>
    <row r="7358" spans="1:17" s="162" customFormat="1" x14ac:dyDescent="0.25">
      <c r="A7358" s="136">
        <v>43248</v>
      </c>
      <c r="B7358" s="136">
        <v>43248</v>
      </c>
      <c r="C7358" s="282">
        <v>2018</v>
      </c>
      <c r="D7358" s="351" t="s">
        <v>23</v>
      </c>
      <c r="E7358" s="30" t="s">
        <v>327</v>
      </c>
      <c r="F7358" s="7" t="s">
        <v>87</v>
      </c>
      <c r="G7358" s="293">
        <v>64</v>
      </c>
      <c r="H7358" s="33" t="s">
        <v>10160</v>
      </c>
      <c r="I7358" s="154">
        <v>0</v>
      </c>
      <c r="J7358" s="354">
        <v>0</v>
      </c>
      <c r="K7358" s="154">
        <v>0</v>
      </c>
      <c r="L7358" s="154">
        <v>0</v>
      </c>
      <c r="M7358" s="154">
        <v>0</v>
      </c>
      <c r="N7358" s="154">
        <v>0</v>
      </c>
      <c r="O7358" s="285">
        <v>0</v>
      </c>
      <c r="P7358" s="76">
        <v>7.0106123050000004</v>
      </c>
      <c r="Q7358" s="295" t="s">
        <v>186</v>
      </c>
    </row>
    <row r="7359" spans="1:17" s="162" customFormat="1" x14ac:dyDescent="0.25">
      <c r="A7359" s="136">
        <v>43324</v>
      </c>
      <c r="B7359" s="136">
        <v>43324</v>
      </c>
      <c r="C7359" s="282">
        <v>2018</v>
      </c>
      <c r="D7359" s="351" t="s">
        <v>23</v>
      </c>
      <c r="E7359" s="283" t="s">
        <v>2223</v>
      </c>
      <c r="F7359" s="7" t="s">
        <v>87</v>
      </c>
      <c r="G7359" s="293">
        <v>1</v>
      </c>
      <c r="H7359" s="33" t="s">
        <v>10193</v>
      </c>
      <c r="I7359" s="154">
        <v>0</v>
      </c>
      <c r="J7359" s="354">
        <v>0</v>
      </c>
      <c r="K7359" s="154">
        <v>0</v>
      </c>
      <c r="L7359" s="154">
        <v>0</v>
      </c>
      <c r="M7359" s="154">
        <v>0</v>
      </c>
      <c r="N7359" s="154">
        <v>0</v>
      </c>
      <c r="O7359" s="285">
        <v>0</v>
      </c>
      <c r="P7359" s="76">
        <v>14.16793511</v>
      </c>
      <c r="Q7359" s="295" t="s">
        <v>186</v>
      </c>
    </row>
    <row r="7360" spans="1:17" s="162" customFormat="1" ht="24" x14ac:dyDescent="0.25">
      <c r="A7360" s="136">
        <v>43396</v>
      </c>
      <c r="B7360" s="136">
        <v>43396</v>
      </c>
      <c r="C7360" s="282">
        <v>2018</v>
      </c>
      <c r="D7360" s="351" t="s">
        <v>23</v>
      </c>
      <c r="E7360" s="283" t="s">
        <v>2223</v>
      </c>
      <c r="F7360" s="7" t="s">
        <v>87</v>
      </c>
      <c r="G7360" s="293">
        <v>1</v>
      </c>
      <c r="H7360" s="33" t="s">
        <v>10194</v>
      </c>
      <c r="I7360" s="154">
        <v>0</v>
      </c>
      <c r="J7360" s="354">
        <v>0</v>
      </c>
      <c r="K7360" s="154">
        <v>0</v>
      </c>
      <c r="L7360" s="154">
        <v>0</v>
      </c>
      <c r="M7360" s="154">
        <v>0</v>
      </c>
      <c r="N7360" s="154">
        <v>0</v>
      </c>
      <c r="O7360" s="285">
        <v>0</v>
      </c>
      <c r="P7360" s="76">
        <v>5.7328701366666666</v>
      </c>
      <c r="Q7360" s="295" t="s">
        <v>186</v>
      </c>
    </row>
    <row r="7361" spans="1:17" s="162" customFormat="1" ht="24" x14ac:dyDescent="0.25">
      <c r="A7361" s="136">
        <v>43361</v>
      </c>
      <c r="B7361" s="136">
        <v>43363</v>
      </c>
      <c r="C7361" s="282">
        <v>2018</v>
      </c>
      <c r="D7361" s="351" t="s">
        <v>23</v>
      </c>
      <c r="E7361" s="283" t="s">
        <v>2223</v>
      </c>
      <c r="F7361" s="7" t="s">
        <v>87</v>
      </c>
      <c r="G7361" s="293">
        <v>11</v>
      </c>
      <c r="H7361" s="33" t="s">
        <v>10195</v>
      </c>
      <c r="I7361" s="154">
        <v>0</v>
      </c>
      <c r="J7361" s="354">
        <v>0</v>
      </c>
      <c r="K7361" s="154">
        <v>0</v>
      </c>
      <c r="L7361" s="154">
        <v>0</v>
      </c>
      <c r="M7361" s="154">
        <v>0</v>
      </c>
      <c r="N7361" s="154">
        <v>0</v>
      </c>
      <c r="O7361" s="285">
        <v>0</v>
      </c>
      <c r="P7361" s="76">
        <v>36.125385171666665</v>
      </c>
      <c r="Q7361" s="295" t="s">
        <v>186</v>
      </c>
    </row>
    <row r="7362" spans="1:17" s="162" customFormat="1" x14ac:dyDescent="0.25">
      <c r="A7362" s="136">
        <v>43304</v>
      </c>
      <c r="B7362" s="136">
        <v>43307</v>
      </c>
      <c r="C7362" s="282">
        <v>2018</v>
      </c>
      <c r="D7362" s="351" t="s">
        <v>23</v>
      </c>
      <c r="E7362" s="30" t="s">
        <v>327</v>
      </c>
      <c r="F7362" s="7" t="s">
        <v>87</v>
      </c>
      <c r="G7362" s="293">
        <v>64</v>
      </c>
      <c r="H7362" s="33" t="s">
        <v>10156</v>
      </c>
      <c r="I7362" s="154">
        <v>0</v>
      </c>
      <c r="J7362" s="354">
        <v>0</v>
      </c>
      <c r="K7362" s="154">
        <v>0</v>
      </c>
      <c r="L7362" s="154">
        <v>0</v>
      </c>
      <c r="M7362" s="154">
        <v>0</v>
      </c>
      <c r="N7362" s="154">
        <v>0</v>
      </c>
      <c r="O7362" s="285">
        <v>0</v>
      </c>
      <c r="P7362" s="76">
        <v>7.0106123050000004</v>
      </c>
      <c r="Q7362" s="295" t="s">
        <v>186</v>
      </c>
    </row>
    <row r="7363" spans="1:17" s="162" customFormat="1" ht="24" x14ac:dyDescent="0.25">
      <c r="A7363" s="136">
        <v>43129</v>
      </c>
      <c r="B7363" s="136">
        <v>43129</v>
      </c>
      <c r="C7363" s="282">
        <v>2018</v>
      </c>
      <c r="D7363" s="351" t="s">
        <v>23</v>
      </c>
      <c r="E7363" s="22" t="s">
        <v>86</v>
      </c>
      <c r="F7363" s="25" t="s">
        <v>781</v>
      </c>
      <c r="G7363" s="293">
        <v>3</v>
      </c>
      <c r="H7363" s="33" t="s">
        <v>10196</v>
      </c>
      <c r="I7363" s="154">
        <v>0</v>
      </c>
      <c r="J7363" s="354">
        <v>0</v>
      </c>
      <c r="K7363" s="154">
        <v>0</v>
      </c>
      <c r="L7363" s="154">
        <v>0</v>
      </c>
      <c r="M7363" s="154">
        <v>0</v>
      </c>
      <c r="N7363" s="154">
        <v>0</v>
      </c>
      <c r="O7363" s="285">
        <v>0</v>
      </c>
      <c r="P7363" s="76">
        <v>3.0890687149999998</v>
      </c>
      <c r="Q7363" s="295" t="s">
        <v>186</v>
      </c>
    </row>
    <row r="7364" spans="1:17" s="162" customFormat="1" x14ac:dyDescent="0.25">
      <c r="A7364" s="136">
        <v>43248</v>
      </c>
      <c r="B7364" s="136">
        <v>43248</v>
      </c>
      <c r="C7364" s="282">
        <v>2018</v>
      </c>
      <c r="D7364" s="351" t="s">
        <v>23</v>
      </c>
      <c r="E7364" s="30" t="s">
        <v>327</v>
      </c>
      <c r="F7364" s="25" t="s">
        <v>781</v>
      </c>
      <c r="G7364" s="293">
        <v>15</v>
      </c>
      <c r="H7364" s="33" t="s">
        <v>10160</v>
      </c>
      <c r="I7364" s="154">
        <v>0</v>
      </c>
      <c r="J7364" s="354">
        <v>0</v>
      </c>
      <c r="K7364" s="154">
        <v>0</v>
      </c>
      <c r="L7364" s="154">
        <v>0</v>
      </c>
      <c r="M7364" s="154">
        <v>0</v>
      </c>
      <c r="N7364" s="154">
        <v>0</v>
      </c>
      <c r="O7364" s="285">
        <v>0</v>
      </c>
      <c r="P7364" s="76">
        <v>5.535596795</v>
      </c>
      <c r="Q7364" s="295" t="s">
        <v>186</v>
      </c>
    </row>
    <row r="7365" spans="1:17" s="162" customFormat="1" x14ac:dyDescent="0.25">
      <c r="A7365" s="136">
        <v>43304</v>
      </c>
      <c r="B7365" s="136">
        <v>43307</v>
      </c>
      <c r="C7365" s="282">
        <v>2018</v>
      </c>
      <c r="D7365" s="351" t="s">
        <v>23</v>
      </c>
      <c r="E7365" s="30" t="s">
        <v>327</v>
      </c>
      <c r="F7365" s="25" t="s">
        <v>781</v>
      </c>
      <c r="G7365" s="293">
        <v>15</v>
      </c>
      <c r="H7365" s="33" t="s">
        <v>10156</v>
      </c>
      <c r="I7365" s="154">
        <v>0</v>
      </c>
      <c r="J7365" s="354">
        <v>0</v>
      </c>
      <c r="K7365" s="154">
        <v>0</v>
      </c>
      <c r="L7365" s="154">
        <v>0</v>
      </c>
      <c r="M7365" s="154">
        <v>0</v>
      </c>
      <c r="N7365" s="154">
        <v>0</v>
      </c>
      <c r="O7365" s="285">
        <v>0</v>
      </c>
      <c r="P7365" s="76">
        <v>5.535596795</v>
      </c>
      <c r="Q7365" s="295" t="s">
        <v>186</v>
      </c>
    </row>
    <row r="7366" spans="1:17" s="162" customFormat="1" x14ac:dyDescent="0.25">
      <c r="A7366" s="136">
        <v>43248</v>
      </c>
      <c r="B7366" s="136">
        <v>43248</v>
      </c>
      <c r="C7366" s="282">
        <v>2018</v>
      </c>
      <c r="D7366" s="351" t="s">
        <v>23</v>
      </c>
      <c r="E7366" s="30" t="s">
        <v>327</v>
      </c>
      <c r="F7366" s="7" t="s">
        <v>91</v>
      </c>
      <c r="G7366" s="293">
        <v>6</v>
      </c>
      <c r="H7366" s="33" t="s">
        <v>10160</v>
      </c>
      <c r="I7366" s="154">
        <v>0</v>
      </c>
      <c r="J7366" s="354">
        <v>0</v>
      </c>
      <c r="K7366" s="154">
        <v>0</v>
      </c>
      <c r="L7366" s="154">
        <v>0</v>
      </c>
      <c r="M7366" s="154">
        <v>0</v>
      </c>
      <c r="N7366" s="154">
        <v>0</v>
      </c>
      <c r="O7366" s="285">
        <v>0</v>
      </c>
      <c r="P7366" s="76">
        <v>0.33491375000000001</v>
      </c>
      <c r="Q7366" s="295" t="s">
        <v>186</v>
      </c>
    </row>
    <row r="7367" spans="1:17" s="162" customFormat="1" x14ac:dyDescent="0.25">
      <c r="A7367" s="136">
        <v>43304</v>
      </c>
      <c r="B7367" s="136">
        <v>43307</v>
      </c>
      <c r="C7367" s="282">
        <v>2018</v>
      </c>
      <c r="D7367" s="351" t="s">
        <v>23</v>
      </c>
      <c r="E7367" s="30" t="s">
        <v>327</v>
      </c>
      <c r="F7367" s="7" t="s">
        <v>91</v>
      </c>
      <c r="G7367" s="293">
        <v>6</v>
      </c>
      <c r="H7367" s="33" t="s">
        <v>10156</v>
      </c>
      <c r="I7367" s="154">
        <v>0</v>
      </c>
      <c r="J7367" s="354">
        <v>0</v>
      </c>
      <c r="K7367" s="154">
        <v>0</v>
      </c>
      <c r="L7367" s="154">
        <v>0</v>
      </c>
      <c r="M7367" s="154">
        <v>0</v>
      </c>
      <c r="N7367" s="154">
        <v>0</v>
      </c>
      <c r="O7367" s="285">
        <v>0</v>
      </c>
      <c r="P7367" s="76">
        <v>1.2746914229999999</v>
      </c>
      <c r="Q7367" s="295" t="s">
        <v>186</v>
      </c>
    </row>
    <row r="7368" spans="1:17" s="162" customFormat="1" x14ac:dyDescent="0.25">
      <c r="A7368" s="136">
        <v>43392</v>
      </c>
      <c r="B7368" s="136">
        <v>43399</v>
      </c>
      <c r="C7368" s="282">
        <v>2018</v>
      </c>
      <c r="D7368" s="351" t="s">
        <v>23</v>
      </c>
      <c r="E7368" s="283" t="s">
        <v>2223</v>
      </c>
      <c r="F7368" s="28" t="s">
        <v>210</v>
      </c>
      <c r="G7368" s="291">
        <v>4</v>
      </c>
      <c r="H7368" s="44" t="s">
        <v>10197</v>
      </c>
      <c r="I7368" s="154">
        <v>0</v>
      </c>
      <c r="J7368" s="354">
        <v>0</v>
      </c>
      <c r="K7368" s="154">
        <v>0</v>
      </c>
      <c r="L7368" s="154">
        <v>0</v>
      </c>
      <c r="M7368" s="154">
        <v>0</v>
      </c>
      <c r="N7368" s="154">
        <v>0</v>
      </c>
      <c r="O7368" s="285">
        <v>0</v>
      </c>
      <c r="P7368" s="76">
        <v>33.76</v>
      </c>
      <c r="Q7368" s="295" t="s">
        <v>186</v>
      </c>
    </row>
    <row r="7369" spans="1:17" s="162" customFormat="1" ht="24" x14ac:dyDescent="0.25">
      <c r="A7369" s="136">
        <v>43130</v>
      </c>
      <c r="B7369" s="136">
        <v>43131</v>
      </c>
      <c r="C7369" s="282">
        <v>2018</v>
      </c>
      <c r="D7369" s="351" t="s">
        <v>23</v>
      </c>
      <c r="E7369" s="283" t="s">
        <v>2223</v>
      </c>
      <c r="F7369" s="28" t="s">
        <v>210</v>
      </c>
      <c r="G7369" s="293">
        <v>3</v>
      </c>
      <c r="H7369" s="33" t="s">
        <v>10198</v>
      </c>
      <c r="I7369" s="154">
        <v>0</v>
      </c>
      <c r="J7369" s="354">
        <v>0</v>
      </c>
      <c r="K7369" s="154">
        <v>0</v>
      </c>
      <c r="L7369" s="154">
        <v>0</v>
      </c>
      <c r="M7369" s="154">
        <v>0</v>
      </c>
      <c r="N7369" s="154">
        <v>0</v>
      </c>
      <c r="O7369" s="285">
        <v>0</v>
      </c>
      <c r="P7369" s="76">
        <v>4.2589661560000005</v>
      </c>
      <c r="Q7369" s="295" t="s">
        <v>186</v>
      </c>
    </row>
    <row r="7370" spans="1:17" s="162" customFormat="1" ht="24" x14ac:dyDescent="0.25">
      <c r="A7370" s="136">
        <v>43210</v>
      </c>
      <c r="B7370" s="136">
        <v>43210</v>
      </c>
      <c r="C7370" s="282">
        <v>2018</v>
      </c>
      <c r="D7370" s="351" t="s">
        <v>23</v>
      </c>
      <c r="E7370" s="22" t="s">
        <v>86</v>
      </c>
      <c r="F7370" s="28" t="s">
        <v>210</v>
      </c>
      <c r="G7370" s="293">
        <v>3</v>
      </c>
      <c r="H7370" s="33" t="s">
        <v>10199</v>
      </c>
      <c r="I7370" s="154">
        <v>0</v>
      </c>
      <c r="J7370" s="354">
        <v>0</v>
      </c>
      <c r="K7370" s="154">
        <v>0</v>
      </c>
      <c r="L7370" s="154">
        <v>0</v>
      </c>
      <c r="M7370" s="154">
        <v>0</v>
      </c>
      <c r="N7370" s="154">
        <v>0</v>
      </c>
      <c r="O7370" s="285">
        <v>0</v>
      </c>
      <c r="P7370" s="76">
        <v>5.7645764549999994</v>
      </c>
      <c r="Q7370" s="295" t="s">
        <v>186</v>
      </c>
    </row>
    <row r="7371" spans="1:17" s="162" customFormat="1" x14ac:dyDescent="0.25">
      <c r="A7371" s="136">
        <v>43248</v>
      </c>
      <c r="B7371" s="136">
        <v>43248</v>
      </c>
      <c r="C7371" s="282">
        <v>2018</v>
      </c>
      <c r="D7371" s="351" t="s">
        <v>23</v>
      </c>
      <c r="E7371" s="30" t="s">
        <v>327</v>
      </c>
      <c r="F7371" s="28" t="s">
        <v>210</v>
      </c>
      <c r="G7371" s="293">
        <v>51</v>
      </c>
      <c r="H7371" s="33" t="s">
        <v>10160</v>
      </c>
      <c r="I7371" s="154">
        <v>0</v>
      </c>
      <c r="J7371" s="354">
        <v>0</v>
      </c>
      <c r="K7371" s="154">
        <v>0</v>
      </c>
      <c r="L7371" s="154">
        <v>0</v>
      </c>
      <c r="M7371" s="154">
        <v>0</v>
      </c>
      <c r="N7371" s="154">
        <v>0</v>
      </c>
      <c r="O7371" s="285">
        <v>0</v>
      </c>
      <c r="P7371" s="76">
        <v>9.1934321330000017</v>
      </c>
      <c r="Q7371" s="295" t="s">
        <v>186</v>
      </c>
    </row>
    <row r="7372" spans="1:17" s="162" customFormat="1" x14ac:dyDescent="0.25">
      <c r="A7372" s="136">
        <v>43268</v>
      </c>
      <c r="B7372" s="136">
        <v>43268</v>
      </c>
      <c r="C7372" s="282">
        <v>2018</v>
      </c>
      <c r="D7372" s="351" t="s">
        <v>23</v>
      </c>
      <c r="E7372" s="283" t="s">
        <v>2223</v>
      </c>
      <c r="F7372" s="28" t="s">
        <v>210</v>
      </c>
      <c r="G7372" s="293">
        <v>1</v>
      </c>
      <c r="H7372" s="33" t="s">
        <v>10200</v>
      </c>
      <c r="I7372" s="154">
        <v>0</v>
      </c>
      <c r="J7372" s="354">
        <v>0</v>
      </c>
      <c r="K7372" s="154">
        <v>0</v>
      </c>
      <c r="L7372" s="154">
        <v>0</v>
      </c>
      <c r="M7372" s="154">
        <v>0</v>
      </c>
      <c r="N7372" s="154">
        <v>0</v>
      </c>
      <c r="O7372" s="285">
        <v>0</v>
      </c>
      <c r="P7372" s="76">
        <v>5.753570475000001</v>
      </c>
      <c r="Q7372" s="295" t="s">
        <v>186</v>
      </c>
    </row>
    <row r="7373" spans="1:17" s="162" customFormat="1" x14ac:dyDescent="0.25">
      <c r="A7373" s="136">
        <v>43275</v>
      </c>
      <c r="B7373" s="136">
        <v>43275</v>
      </c>
      <c r="C7373" s="282">
        <v>2018</v>
      </c>
      <c r="D7373" s="351" t="s">
        <v>23</v>
      </c>
      <c r="E7373" s="283" t="s">
        <v>2223</v>
      </c>
      <c r="F7373" s="28" t="s">
        <v>210</v>
      </c>
      <c r="G7373" s="293">
        <v>2</v>
      </c>
      <c r="H7373" s="33" t="s">
        <v>10200</v>
      </c>
      <c r="I7373" s="154">
        <v>0</v>
      </c>
      <c r="J7373" s="354">
        <v>0</v>
      </c>
      <c r="K7373" s="154">
        <v>0</v>
      </c>
      <c r="L7373" s="154">
        <v>0</v>
      </c>
      <c r="M7373" s="154">
        <v>0</v>
      </c>
      <c r="N7373" s="154">
        <v>0</v>
      </c>
      <c r="O7373" s="285">
        <v>0</v>
      </c>
      <c r="P7373" s="76">
        <v>3.0193254559999998</v>
      </c>
      <c r="Q7373" s="295" t="s">
        <v>186</v>
      </c>
    </row>
    <row r="7374" spans="1:17" s="162" customFormat="1" x14ac:dyDescent="0.25">
      <c r="A7374" s="136">
        <v>43304</v>
      </c>
      <c r="B7374" s="136">
        <v>43307</v>
      </c>
      <c r="C7374" s="282">
        <v>2018</v>
      </c>
      <c r="D7374" s="351" t="s">
        <v>23</v>
      </c>
      <c r="E7374" s="30" t="s">
        <v>327</v>
      </c>
      <c r="F7374" s="28" t="s">
        <v>210</v>
      </c>
      <c r="G7374" s="293">
        <v>51</v>
      </c>
      <c r="H7374" s="33" t="s">
        <v>10156</v>
      </c>
      <c r="I7374" s="154">
        <v>0</v>
      </c>
      <c r="J7374" s="354">
        <v>0</v>
      </c>
      <c r="K7374" s="154">
        <v>0</v>
      </c>
      <c r="L7374" s="154">
        <v>0</v>
      </c>
      <c r="M7374" s="154">
        <v>0</v>
      </c>
      <c r="N7374" s="154">
        <v>0</v>
      </c>
      <c r="O7374" s="285">
        <v>0</v>
      </c>
      <c r="P7374" s="76">
        <v>9.1934321330000017</v>
      </c>
      <c r="Q7374" s="295" t="s">
        <v>186</v>
      </c>
    </row>
    <row r="7375" spans="1:17" s="162" customFormat="1" ht="24" x14ac:dyDescent="0.25">
      <c r="A7375" s="136">
        <v>43389</v>
      </c>
      <c r="B7375" s="136">
        <v>43389</v>
      </c>
      <c r="C7375" s="282">
        <v>2018</v>
      </c>
      <c r="D7375" s="351" t="s">
        <v>23</v>
      </c>
      <c r="E7375" s="22" t="s">
        <v>86</v>
      </c>
      <c r="F7375" s="28" t="s">
        <v>210</v>
      </c>
      <c r="G7375" s="293">
        <v>13</v>
      </c>
      <c r="H7375" s="33" t="s">
        <v>10201</v>
      </c>
      <c r="I7375" s="154">
        <v>0</v>
      </c>
      <c r="J7375" s="354">
        <v>0</v>
      </c>
      <c r="K7375" s="154">
        <v>0</v>
      </c>
      <c r="L7375" s="154">
        <v>0</v>
      </c>
      <c r="M7375" s="154">
        <v>0</v>
      </c>
      <c r="N7375" s="154">
        <v>0</v>
      </c>
      <c r="O7375" s="285">
        <v>0</v>
      </c>
      <c r="P7375" s="76">
        <v>23.448937218775509</v>
      </c>
      <c r="Q7375" s="295" t="s">
        <v>186</v>
      </c>
    </row>
    <row r="7376" spans="1:17" s="162" customFormat="1" ht="24" x14ac:dyDescent="0.25">
      <c r="A7376" s="136">
        <v>43389</v>
      </c>
      <c r="B7376" s="136">
        <v>43389</v>
      </c>
      <c r="C7376" s="282">
        <v>2018</v>
      </c>
      <c r="D7376" s="351" t="s">
        <v>23</v>
      </c>
      <c r="E7376" s="22" t="s">
        <v>86</v>
      </c>
      <c r="F7376" s="28" t="s">
        <v>210</v>
      </c>
      <c r="G7376" s="293">
        <v>8</v>
      </c>
      <c r="H7376" s="33" t="s">
        <v>10202</v>
      </c>
      <c r="I7376" s="154">
        <v>0</v>
      </c>
      <c r="J7376" s="354">
        <v>0</v>
      </c>
      <c r="K7376" s="154">
        <v>0</v>
      </c>
      <c r="L7376" s="154">
        <v>0</v>
      </c>
      <c r="M7376" s="154">
        <v>0</v>
      </c>
      <c r="N7376" s="154">
        <v>0</v>
      </c>
      <c r="O7376" s="285">
        <v>0</v>
      </c>
      <c r="P7376" s="76">
        <v>7.9261018916734693</v>
      </c>
      <c r="Q7376" s="295" t="s">
        <v>186</v>
      </c>
    </row>
    <row r="7377" spans="1:17" s="162" customFormat="1" ht="24" x14ac:dyDescent="0.25">
      <c r="A7377" s="136">
        <v>43389</v>
      </c>
      <c r="B7377" s="136">
        <v>43389</v>
      </c>
      <c r="C7377" s="282">
        <v>2018</v>
      </c>
      <c r="D7377" s="351" t="s">
        <v>23</v>
      </c>
      <c r="E7377" s="22" t="s">
        <v>86</v>
      </c>
      <c r="F7377" s="28" t="s">
        <v>210</v>
      </c>
      <c r="G7377" s="293">
        <v>6</v>
      </c>
      <c r="H7377" s="33" t="s">
        <v>10203</v>
      </c>
      <c r="I7377" s="154">
        <v>0</v>
      </c>
      <c r="J7377" s="354">
        <v>0</v>
      </c>
      <c r="K7377" s="154">
        <v>0</v>
      </c>
      <c r="L7377" s="154">
        <v>0</v>
      </c>
      <c r="M7377" s="154">
        <v>0</v>
      </c>
      <c r="N7377" s="154">
        <v>0</v>
      </c>
      <c r="O7377" s="285">
        <v>0</v>
      </c>
      <c r="P7377" s="76">
        <v>9.1102300901122462</v>
      </c>
      <c r="Q7377" s="295" t="s">
        <v>186</v>
      </c>
    </row>
    <row r="7378" spans="1:17" s="162" customFormat="1" ht="24" x14ac:dyDescent="0.25">
      <c r="A7378" s="136">
        <v>43390</v>
      </c>
      <c r="B7378" s="136">
        <v>43390</v>
      </c>
      <c r="C7378" s="282">
        <v>2018</v>
      </c>
      <c r="D7378" s="351" t="s">
        <v>23</v>
      </c>
      <c r="E7378" s="22" t="s">
        <v>86</v>
      </c>
      <c r="F7378" s="28" t="s">
        <v>210</v>
      </c>
      <c r="G7378" s="293">
        <v>5</v>
      </c>
      <c r="H7378" s="33" t="s">
        <v>10204</v>
      </c>
      <c r="I7378" s="154">
        <v>0</v>
      </c>
      <c r="J7378" s="354">
        <v>0</v>
      </c>
      <c r="K7378" s="154">
        <v>0</v>
      </c>
      <c r="L7378" s="154">
        <v>0</v>
      </c>
      <c r="M7378" s="154">
        <v>0</v>
      </c>
      <c r="N7378" s="154">
        <v>0</v>
      </c>
      <c r="O7378" s="285">
        <v>0</v>
      </c>
      <c r="P7378" s="76">
        <v>7.5848080588979592</v>
      </c>
      <c r="Q7378" s="295" t="s">
        <v>186</v>
      </c>
    </row>
    <row r="7379" spans="1:17" s="162" customFormat="1" ht="24" x14ac:dyDescent="0.25">
      <c r="A7379" s="136">
        <v>43391</v>
      </c>
      <c r="B7379" s="136">
        <v>43391</v>
      </c>
      <c r="C7379" s="282">
        <v>2018</v>
      </c>
      <c r="D7379" s="351" t="s">
        <v>23</v>
      </c>
      <c r="E7379" s="22" t="s">
        <v>86</v>
      </c>
      <c r="F7379" s="28" t="s">
        <v>210</v>
      </c>
      <c r="G7379" s="293">
        <v>6</v>
      </c>
      <c r="H7379" s="33" t="s">
        <v>10205</v>
      </c>
      <c r="I7379" s="154">
        <v>0</v>
      </c>
      <c r="J7379" s="354">
        <v>0</v>
      </c>
      <c r="K7379" s="154">
        <v>0</v>
      </c>
      <c r="L7379" s="154">
        <v>0</v>
      </c>
      <c r="M7379" s="154">
        <v>0</v>
      </c>
      <c r="N7379" s="154">
        <v>0</v>
      </c>
      <c r="O7379" s="285">
        <v>0</v>
      </c>
      <c r="P7379" s="76">
        <v>4.4167165203571432</v>
      </c>
      <c r="Q7379" s="295" t="s">
        <v>186</v>
      </c>
    </row>
    <row r="7380" spans="1:17" s="162" customFormat="1" ht="24" x14ac:dyDescent="0.25">
      <c r="A7380" s="136">
        <v>43392</v>
      </c>
      <c r="B7380" s="136">
        <v>43392</v>
      </c>
      <c r="C7380" s="282">
        <v>2018</v>
      </c>
      <c r="D7380" s="351" t="s">
        <v>23</v>
      </c>
      <c r="E7380" s="22" t="s">
        <v>86</v>
      </c>
      <c r="F7380" s="28" t="s">
        <v>210</v>
      </c>
      <c r="G7380" s="293">
        <v>4</v>
      </c>
      <c r="H7380" s="33" t="s">
        <v>10206</v>
      </c>
      <c r="I7380" s="154">
        <v>0</v>
      </c>
      <c r="J7380" s="354">
        <v>0</v>
      </c>
      <c r="K7380" s="154">
        <v>0</v>
      </c>
      <c r="L7380" s="154">
        <v>0</v>
      </c>
      <c r="M7380" s="154">
        <v>0</v>
      </c>
      <c r="N7380" s="154">
        <v>0</v>
      </c>
      <c r="O7380" s="285">
        <v>0</v>
      </c>
      <c r="P7380" s="76">
        <v>5.4276527573673476</v>
      </c>
      <c r="Q7380" s="295" t="s">
        <v>186</v>
      </c>
    </row>
    <row r="7381" spans="1:17" s="162" customFormat="1" ht="24" x14ac:dyDescent="0.25">
      <c r="A7381" s="136">
        <v>43389</v>
      </c>
      <c r="B7381" s="136">
        <v>43389</v>
      </c>
      <c r="C7381" s="282">
        <v>2018</v>
      </c>
      <c r="D7381" s="351" t="s">
        <v>23</v>
      </c>
      <c r="E7381" s="22" t="s">
        <v>86</v>
      </c>
      <c r="F7381" s="28" t="s">
        <v>210</v>
      </c>
      <c r="G7381" s="293">
        <v>5</v>
      </c>
      <c r="H7381" s="33" t="s">
        <v>10207</v>
      </c>
      <c r="I7381" s="154">
        <v>0</v>
      </c>
      <c r="J7381" s="354">
        <v>0</v>
      </c>
      <c r="K7381" s="154">
        <v>0</v>
      </c>
      <c r="L7381" s="154">
        <v>0</v>
      </c>
      <c r="M7381" s="154">
        <v>0</v>
      </c>
      <c r="N7381" s="154">
        <v>0</v>
      </c>
      <c r="O7381" s="285">
        <v>0</v>
      </c>
      <c r="P7381" s="76">
        <v>4.8311812997857135</v>
      </c>
      <c r="Q7381" s="295" t="s">
        <v>186</v>
      </c>
    </row>
    <row r="7382" spans="1:17" s="162" customFormat="1" x14ac:dyDescent="0.25">
      <c r="A7382" s="136">
        <v>43374</v>
      </c>
      <c r="B7382" s="136">
        <v>43374</v>
      </c>
      <c r="C7382" s="282">
        <v>2018</v>
      </c>
      <c r="D7382" s="351" t="s">
        <v>23</v>
      </c>
      <c r="E7382" s="283" t="s">
        <v>2223</v>
      </c>
      <c r="F7382" s="28" t="s">
        <v>210</v>
      </c>
      <c r="G7382" s="293">
        <v>2</v>
      </c>
      <c r="H7382" s="33" t="s">
        <v>10208</v>
      </c>
      <c r="I7382" s="154">
        <v>0</v>
      </c>
      <c r="J7382" s="354">
        <v>0</v>
      </c>
      <c r="K7382" s="154">
        <v>0</v>
      </c>
      <c r="L7382" s="154">
        <v>0</v>
      </c>
      <c r="M7382" s="154">
        <v>0</v>
      </c>
      <c r="N7382" s="154">
        <v>0</v>
      </c>
      <c r="O7382" s="285">
        <v>0</v>
      </c>
      <c r="P7382" s="76">
        <v>1.8178001499999998</v>
      </c>
      <c r="Q7382" s="295" t="s">
        <v>186</v>
      </c>
    </row>
    <row r="7383" spans="1:17" s="162" customFormat="1" ht="24" x14ac:dyDescent="0.25">
      <c r="A7383" s="136">
        <v>43376</v>
      </c>
      <c r="B7383" s="136">
        <v>43377</v>
      </c>
      <c r="C7383" s="282">
        <v>2018</v>
      </c>
      <c r="D7383" s="351" t="s">
        <v>23</v>
      </c>
      <c r="E7383" s="283" t="s">
        <v>2223</v>
      </c>
      <c r="F7383" s="28" t="s">
        <v>210</v>
      </c>
      <c r="G7383" s="293">
        <v>1</v>
      </c>
      <c r="H7383" s="33" t="s">
        <v>10209</v>
      </c>
      <c r="I7383" s="154">
        <v>0</v>
      </c>
      <c r="J7383" s="354">
        <v>0</v>
      </c>
      <c r="K7383" s="154">
        <v>0</v>
      </c>
      <c r="L7383" s="154">
        <v>0</v>
      </c>
      <c r="M7383" s="154">
        <v>0</v>
      </c>
      <c r="N7383" s="154">
        <v>0</v>
      </c>
      <c r="O7383" s="285">
        <v>0</v>
      </c>
      <c r="P7383" s="76">
        <v>1.8395237099999999</v>
      </c>
      <c r="Q7383" s="295" t="s">
        <v>186</v>
      </c>
    </row>
    <row r="7384" spans="1:17" s="162" customFormat="1" x14ac:dyDescent="0.25">
      <c r="A7384" s="136">
        <v>43304</v>
      </c>
      <c r="B7384" s="136">
        <v>43307</v>
      </c>
      <c r="C7384" s="282">
        <v>2018</v>
      </c>
      <c r="D7384" s="351" t="s">
        <v>23</v>
      </c>
      <c r="E7384" s="30" t="s">
        <v>327</v>
      </c>
      <c r="F7384" s="28" t="s">
        <v>163</v>
      </c>
      <c r="G7384" s="293">
        <v>98</v>
      </c>
      <c r="H7384" s="33" t="s">
        <v>10156</v>
      </c>
      <c r="I7384" s="154">
        <v>0</v>
      </c>
      <c r="J7384" s="354">
        <v>0</v>
      </c>
      <c r="K7384" s="154">
        <v>0</v>
      </c>
      <c r="L7384" s="154">
        <v>0</v>
      </c>
      <c r="M7384" s="154">
        <v>0</v>
      </c>
      <c r="N7384" s="154">
        <v>0</v>
      </c>
      <c r="O7384" s="285">
        <v>0</v>
      </c>
      <c r="P7384" s="76">
        <v>2.7306497540000003</v>
      </c>
      <c r="Q7384" s="295" t="s">
        <v>186</v>
      </c>
    </row>
    <row r="7385" spans="1:17" s="162" customFormat="1" x14ac:dyDescent="0.25">
      <c r="A7385" s="136">
        <v>43248</v>
      </c>
      <c r="B7385" s="136">
        <v>43248</v>
      </c>
      <c r="C7385" s="282">
        <v>2018</v>
      </c>
      <c r="D7385" s="351" t="s">
        <v>23</v>
      </c>
      <c r="E7385" s="30" t="s">
        <v>327</v>
      </c>
      <c r="F7385" s="28" t="s">
        <v>163</v>
      </c>
      <c r="G7385" s="293">
        <v>98</v>
      </c>
      <c r="H7385" s="33" t="s">
        <v>10160</v>
      </c>
      <c r="I7385" s="154">
        <v>0</v>
      </c>
      <c r="J7385" s="354">
        <v>0</v>
      </c>
      <c r="K7385" s="154">
        <v>0</v>
      </c>
      <c r="L7385" s="154">
        <v>0</v>
      </c>
      <c r="M7385" s="154">
        <v>0</v>
      </c>
      <c r="N7385" s="154">
        <v>0</v>
      </c>
      <c r="O7385" s="285">
        <v>0</v>
      </c>
      <c r="P7385" s="76">
        <v>5.6292568689999998</v>
      </c>
      <c r="Q7385" s="295" t="s">
        <v>186</v>
      </c>
    </row>
    <row r="7386" spans="1:17" s="162" customFormat="1" ht="24" x14ac:dyDescent="0.25">
      <c r="A7386" s="136">
        <v>43246</v>
      </c>
      <c r="B7386" s="136">
        <v>43252</v>
      </c>
      <c r="C7386" s="282">
        <v>2018</v>
      </c>
      <c r="D7386" s="351" t="s">
        <v>23</v>
      </c>
      <c r="E7386" s="30" t="s">
        <v>327</v>
      </c>
      <c r="F7386" s="7" t="s">
        <v>101</v>
      </c>
      <c r="G7386" s="293">
        <v>41</v>
      </c>
      <c r="H7386" s="33" t="s">
        <v>10210</v>
      </c>
      <c r="I7386" s="154">
        <v>0</v>
      </c>
      <c r="J7386" s="354">
        <v>0</v>
      </c>
      <c r="K7386" s="154">
        <v>0</v>
      </c>
      <c r="L7386" s="154">
        <v>0</v>
      </c>
      <c r="M7386" s="154">
        <v>0</v>
      </c>
      <c r="N7386" s="154">
        <v>0</v>
      </c>
      <c r="O7386" s="285">
        <v>0</v>
      </c>
      <c r="P7386" s="76">
        <v>1.6955244</v>
      </c>
      <c r="Q7386" s="295" t="s">
        <v>186</v>
      </c>
    </row>
    <row r="7387" spans="1:17" s="162" customFormat="1" ht="24" x14ac:dyDescent="0.25">
      <c r="A7387" s="136">
        <v>43418</v>
      </c>
      <c r="B7387" s="136">
        <v>43419</v>
      </c>
      <c r="C7387" s="282">
        <v>2018</v>
      </c>
      <c r="D7387" s="351" t="s">
        <v>23</v>
      </c>
      <c r="E7387" s="292" t="s">
        <v>2689</v>
      </c>
      <c r="F7387" s="7" t="s">
        <v>101</v>
      </c>
      <c r="G7387" s="293">
        <v>21</v>
      </c>
      <c r="H7387" s="33" t="s">
        <v>10155</v>
      </c>
      <c r="I7387" s="154">
        <v>0</v>
      </c>
      <c r="J7387" s="354">
        <v>0</v>
      </c>
      <c r="K7387" s="154">
        <v>0</v>
      </c>
      <c r="L7387" s="154">
        <v>0</v>
      </c>
      <c r="M7387" s="154">
        <v>0</v>
      </c>
      <c r="N7387" s="154">
        <v>0</v>
      </c>
      <c r="O7387" s="285">
        <v>0</v>
      </c>
      <c r="P7387" s="76">
        <v>3.3304761000000003</v>
      </c>
      <c r="Q7387" s="295" t="s">
        <v>186</v>
      </c>
    </row>
    <row r="7388" spans="1:17" s="162" customFormat="1" ht="51" x14ac:dyDescent="0.25">
      <c r="A7388" s="296">
        <v>43101</v>
      </c>
      <c r="B7388" s="296">
        <v>43465</v>
      </c>
      <c r="C7388" s="282">
        <v>2018</v>
      </c>
      <c r="D7388" s="35" t="s">
        <v>28</v>
      </c>
      <c r="E7388" s="283" t="s">
        <v>9829</v>
      </c>
      <c r="F7388" s="7" t="s">
        <v>25</v>
      </c>
      <c r="G7388" s="297" t="s">
        <v>2109</v>
      </c>
      <c r="H7388" s="297" t="s">
        <v>10211</v>
      </c>
      <c r="I7388" s="298">
        <v>0</v>
      </c>
      <c r="J7388" s="289">
        <v>0</v>
      </c>
      <c r="K7388" s="298">
        <v>0</v>
      </c>
      <c r="L7388" s="298">
        <v>0</v>
      </c>
      <c r="M7388" s="298">
        <v>0</v>
      </c>
      <c r="N7388" s="298">
        <v>0</v>
      </c>
      <c r="O7388" s="285">
        <v>0</v>
      </c>
      <c r="P7388" s="299">
        <v>1.2344045312</v>
      </c>
      <c r="Q7388" s="295" t="s">
        <v>3556</v>
      </c>
    </row>
    <row r="7389" spans="1:17" s="162" customFormat="1" ht="48" x14ac:dyDescent="0.25">
      <c r="A7389" s="296">
        <v>43101</v>
      </c>
      <c r="B7389" s="296">
        <v>43465</v>
      </c>
      <c r="C7389" s="282">
        <v>2018</v>
      </c>
      <c r="D7389" s="35" t="s">
        <v>28</v>
      </c>
      <c r="E7389" s="283" t="s">
        <v>9829</v>
      </c>
      <c r="F7389" s="7" t="s">
        <v>30</v>
      </c>
      <c r="G7389" s="297" t="s">
        <v>2109</v>
      </c>
      <c r="H7389" s="201" t="s">
        <v>10212</v>
      </c>
      <c r="I7389" s="298">
        <v>0</v>
      </c>
      <c r="J7389" s="289">
        <v>0</v>
      </c>
      <c r="K7389" s="298">
        <v>0</v>
      </c>
      <c r="L7389" s="298">
        <v>0</v>
      </c>
      <c r="M7389" s="298">
        <v>0</v>
      </c>
      <c r="N7389" s="298">
        <v>0</v>
      </c>
      <c r="O7389" s="285">
        <v>0</v>
      </c>
      <c r="P7389" s="299">
        <v>25.0003295872</v>
      </c>
      <c r="Q7389" s="295" t="s">
        <v>3556</v>
      </c>
    </row>
    <row r="7390" spans="1:17" s="162" customFormat="1" ht="36" x14ac:dyDescent="0.25">
      <c r="A7390" s="296">
        <v>43101</v>
      </c>
      <c r="B7390" s="296">
        <v>43465</v>
      </c>
      <c r="C7390" s="282">
        <v>2018</v>
      </c>
      <c r="D7390" s="35" t="s">
        <v>28</v>
      </c>
      <c r="E7390" s="283" t="s">
        <v>9829</v>
      </c>
      <c r="F7390" s="7" t="s">
        <v>33</v>
      </c>
      <c r="G7390" s="297" t="s">
        <v>2109</v>
      </c>
      <c r="H7390" s="201" t="s">
        <v>10213</v>
      </c>
      <c r="I7390" s="298">
        <v>0</v>
      </c>
      <c r="J7390" s="289">
        <v>0</v>
      </c>
      <c r="K7390" s="298">
        <v>0</v>
      </c>
      <c r="L7390" s="298">
        <v>0</v>
      </c>
      <c r="M7390" s="298">
        <v>0</v>
      </c>
      <c r="N7390" s="298">
        <v>0</v>
      </c>
      <c r="O7390" s="285">
        <v>0</v>
      </c>
      <c r="P7390" s="299">
        <v>1.57383296E-2</v>
      </c>
      <c r="Q7390" s="295" t="s">
        <v>3556</v>
      </c>
    </row>
    <row r="7391" spans="1:17" s="162" customFormat="1" ht="36" x14ac:dyDescent="0.25">
      <c r="A7391" s="296">
        <v>43101</v>
      </c>
      <c r="B7391" s="296">
        <v>43465</v>
      </c>
      <c r="C7391" s="282">
        <v>2018</v>
      </c>
      <c r="D7391" s="35" t="s">
        <v>28</v>
      </c>
      <c r="E7391" s="283" t="s">
        <v>9829</v>
      </c>
      <c r="F7391" s="28" t="s">
        <v>151</v>
      </c>
      <c r="G7391" s="297" t="s">
        <v>2109</v>
      </c>
      <c r="H7391" s="201" t="s">
        <v>10214</v>
      </c>
      <c r="I7391" s="298">
        <v>0</v>
      </c>
      <c r="J7391" s="289">
        <v>0</v>
      </c>
      <c r="K7391" s="298">
        <v>0</v>
      </c>
      <c r="L7391" s="298">
        <v>0</v>
      </c>
      <c r="M7391" s="298">
        <v>0</v>
      </c>
      <c r="N7391" s="298">
        <v>0</v>
      </c>
      <c r="O7391" s="285">
        <v>0</v>
      </c>
      <c r="P7391" s="299">
        <v>4.3989120000000002</v>
      </c>
      <c r="Q7391" s="295" t="s">
        <v>3556</v>
      </c>
    </row>
    <row r="7392" spans="1:17" s="162" customFormat="1" ht="48" x14ac:dyDescent="0.25">
      <c r="A7392" s="296">
        <v>43101</v>
      </c>
      <c r="B7392" s="296">
        <v>43465</v>
      </c>
      <c r="C7392" s="282">
        <v>2018</v>
      </c>
      <c r="D7392" s="35" t="s">
        <v>28</v>
      </c>
      <c r="E7392" s="283" t="s">
        <v>9829</v>
      </c>
      <c r="F7392" s="7" t="s">
        <v>36</v>
      </c>
      <c r="G7392" s="297" t="s">
        <v>2109</v>
      </c>
      <c r="H7392" s="201" t="s">
        <v>10215</v>
      </c>
      <c r="I7392" s="298">
        <v>0</v>
      </c>
      <c r="J7392" s="289">
        <v>0</v>
      </c>
      <c r="K7392" s="298">
        <v>0</v>
      </c>
      <c r="L7392" s="298">
        <v>0</v>
      </c>
      <c r="M7392" s="298">
        <v>0</v>
      </c>
      <c r="N7392" s="298">
        <v>0</v>
      </c>
      <c r="O7392" s="285">
        <v>0</v>
      </c>
      <c r="P7392" s="299">
        <v>16.218858367999999</v>
      </c>
      <c r="Q7392" s="295" t="s">
        <v>3556</v>
      </c>
    </row>
    <row r="7393" spans="1:17" s="162" customFormat="1" ht="48" x14ac:dyDescent="0.25">
      <c r="A7393" s="296">
        <v>43101</v>
      </c>
      <c r="B7393" s="296">
        <v>43465</v>
      </c>
      <c r="C7393" s="282">
        <v>2018</v>
      </c>
      <c r="D7393" s="35" t="s">
        <v>28</v>
      </c>
      <c r="E7393" s="283" t="s">
        <v>9829</v>
      </c>
      <c r="F7393" s="7" t="s">
        <v>40</v>
      </c>
      <c r="G7393" s="297" t="s">
        <v>2109</v>
      </c>
      <c r="H7393" s="201" t="s">
        <v>10216</v>
      </c>
      <c r="I7393" s="298">
        <v>0</v>
      </c>
      <c r="J7393" s="289">
        <v>0</v>
      </c>
      <c r="K7393" s="298">
        <v>0</v>
      </c>
      <c r="L7393" s="298">
        <v>0</v>
      </c>
      <c r="M7393" s="298">
        <v>0</v>
      </c>
      <c r="N7393" s="298">
        <v>0</v>
      </c>
      <c r="O7393" s="285">
        <v>0</v>
      </c>
      <c r="P7393" s="299">
        <v>224.73151850240001</v>
      </c>
      <c r="Q7393" s="295" t="s">
        <v>3556</v>
      </c>
    </row>
    <row r="7394" spans="1:17" s="162" customFormat="1" ht="48" x14ac:dyDescent="0.25">
      <c r="A7394" s="296">
        <v>43101</v>
      </c>
      <c r="B7394" s="296">
        <v>43465</v>
      </c>
      <c r="C7394" s="282">
        <v>2018</v>
      </c>
      <c r="D7394" s="35" t="s">
        <v>28</v>
      </c>
      <c r="E7394" s="283" t="s">
        <v>9829</v>
      </c>
      <c r="F7394" s="7" t="s">
        <v>45</v>
      </c>
      <c r="G7394" s="297" t="s">
        <v>2109</v>
      </c>
      <c r="H7394" s="201" t="s">
        <v>10217</v>
      </c>
      <c r="I7394" s="298">
        <v>0</v>
      </c>
      <c r="J7394" s="289">
        <v>0</v>
      </c>
      <c r="K7394" s="298">
        <v>0</v>
      </c>
      <c r="L7394" s="298">
        <v>0</v>
      </c>
      <c r="M7394" s="298">
        <v>0</v>
      </c>
      <c r="N7394" s="298">
        <v>0</v>
      </c>
      <c r="O7394" s="285">
        <v>0</v>
      </c>
      <c r="P7394" s="299">
        <v>19.725447577600001</v>
      </c>
      <c r="Q7394" s="295" t="s">
        <v>3556</v>
      </c>
    </row>
    <row r="7395" spans="1:17" s="162" customFormat="1" ht="36" x14ac:dyDescent="0.25">
      <c r="A7395" s="296">
        <v>43101</v>
      </c>
      <c r="B7395" s="296">
        <v>43465</v>
      </c>
      <c r="C7395" s="282">
        <v>2018</v>
      </c>
      <c r="D7395" s="35" t="s">
        <v>28</v>
      </c>
      <c r="E7395" s="283" t="s">
        <v>9829</v>
      </c>
      <c r="F7395" s="7" t="s">
        <v>47</v>
      </c>
      <c r="G7395" s="297" t="s">
        <v>2109</v>
      </c>
      <c r="H7395" s="201" t="s">
        <v>10218</v>
      </c>
      <c r="I7395" s="298">
        <v>0</v>
      </c>
      <c r="J7395" s="289">
        <v>0</v>
      </c>
      <c r="K7395" s="298">
        <v>0</v>
      </c>
      <c r="L7395" s="298">
        <v>0</v>
      </c>
      <c r="M7395" s="298">
        <v>0</v>
      </c>
      <c r="N7395" s="298">
        <v>0</v>
      </c>
      <c r="O7395" s="285">
        <v>0</v>
      </c>
      <c r="P7395" s="299">
        <v>1.786377216</v>
      </c>
      <c r="Q7395" s="295" t="s">
        <v>3556</v>
      </c>
    </row>
    <row r="7396" spans="1:17" s="162" customFormat="1" ht="48" x14ac:dyDescent="0.25">
      <c r="A7396" s="296">
        <v>43101</v>
      </c>
      <c r="B7396" s="296">
        <v>43465</v>
      </c>
      <c r="C7396" s="282">
        <v>2018</v>
      </c>
      <c r="D7396" s="35" t="s">
        <v>28</v>
      </c>
      <c r="E7396" s="283" t="s">
        <v>9829</v>
      </c>
      <c r="F7396" s="28" t="s">
        <v>157</v>
      </c>
      <c r="G7396" s="297" t="s">
        <v>2109</v>
      </c>
      <c r="H7396" s="201" t="s">
        <v>10219</v>
      </c>
      <c r="I7396" s="298">
        <v>0</v>
      </c>
      <c r="J7396" s="289">
        <v>0</v>
      </c>
      <c r="K7396" s="298">
        <v>0</v>
      </c>
      <c r="L7396" s="298">
        <v>0</v>
      </c>
      <c r="M7396" s="298">
        <v>0</v>
      </c>
      <c r="N7396" s="298">
        <v>0</v>
      </c>
      <c r="O7396" s="285">
        <v>0</v>
      </c>
      <c r="P7396" s="299">
        <v>3.1759306752000001</v>
      </c>
      <c r="Q7396" s="295" t="s">
        <v>3556</v>
      </c>
    </row>
    <row r="7397" spans="1:17" s="162" customFormat="1" ht="48" x14ac:dyDescent="0.25">
      <c r="A7397" s="296">
        <v>43101</v>
      </c>
      <c r="B7397" s="296">
        <v>43465</v>
      </c>
      <c r="C7397" s="282">
        <v>2018</v>
      </c>
      <c r="D7397" s="35" t="s">
        <v>28</v>
      </c>
      <c r="E7397" s="283" t="s">
        <v>9829</v>
      </c>
      <c r="F7397" s="7" t="s">
        <v>49</v>
      </c>
      <c r="G7397" s="297" t="s">
        <v>2109</v>
      </c>
      <c r="H7397" s="201" t="s">
        <v>10220</v>
      </c>
      <c r="I7397" s="298">
        <v>0</v>
      </c>
      <c r="J7397" s="289">
        <v>0</v>
      </c>
      <c r="K7397" s="298">
        <v>0</v>
      </c>
      <c r="L7397" s="298">
        <v>0</v>
      </c>
      <c r="M7397" s="298">
        <v>0</v>
      </c>
      <c r="N7397" s="298">
        <v>0</v>
      </c>
      <c r="O7397" s="285">
        <v>0</v>
      </c>
      <c r="P7397" s="299">
        <v>53.475618112000006</v>
      </c>
      <c r="Q7397" s="295" t="s">
        <v>3556</v>
      </c>
    </row>
    <row r="7398" spans="1:17" s="162" customFormat="1" ht="48" x14ac:dyDescent="0.25">
      <c r="A7398" s="296">
        <v>43101</v>
      </c>
      <c r="B7398" s="296">
        <v>43465</v>
      </c>
      <c r="C7398" s="282">
        <v>2018</v>
      </c>
      <c r="D7398" s="35" t="s">
        <v>28</v>
      </c>
      <c r="E7398" s="283" t="s">
        <v>9829</v>
      </c>
      <c r="F7398" s="7" t="s">
        <v>56</v>
      </c>
      <c r="G7398" s="297" t="s">
        <v>2109</v>
      </c>
      <c r="H7398" s="201" t="s">
        <v>10221</v>
      </c>
      <c r="I7398" s="298">
        <v>0</v>
      </c>
      <c r="J7398" s="289">
        <v>0</v>
      </c>
      <c r="K7398" s="298">
        <v>0</v>
      </c>
      <c r="L7398" s="298">
        <v>0</v>
      </c>
      <c r="M7398" s="298">
        <v>0</v>
      </c>
      <c r="N7398" s="298">
        <v>0</v>
      </c>
      <c r="O7398" s="285">
        <v>0</v>
      </c>
      <c r="P7398" s="299">
        <v>5.2324429824000003</v>
      </c>
      <c r="Q7398" s="295" t="s">
        <v>3556</v>
      </c>
    </row>
    <row r="7399" spans="1:17" s="162" customFormat="1" ht="48" x14ac:dyDescent="0.25">
      <c r="A7399" s="296">
        <v>43101</v>
      </c>
      <c r="B7399" s="296">
        <v>43465</v>
      </c>
      <c r="C7399" s="282">
        <v>2018</v>
      </c>
      <c r="D7399" s="35" t="s">
        <v>28</v>
      </c>
      <c r="E7399" s="283" t="s">
        <v>9829</v>
      </c>
      <c r="F7399" s="7" t="s">
        <v>58</v>
      </c>
      <c r="G7399" s="297" t="s">
        <v>2109</v>
      </c>
      <c r="H7399" s="201" t="s">
        <v>10222</v>
      </c>
      <c r="I7399" s="298">
        <v>0</v>
      </c>
      <c r="J7399" s="289">
        <v>0</v>
      </c>
      <c r="K7399" s="298">
        <v>0</v>
      </c>
      <c r="L7399" s="298">
        <v>0</v>
      </c>
      <c r="M7399" s="298">
        <v>0</v>
      </c>
      <c r="N7399" s="298">
        <v>0</v>
      </c>
      <c r="O7399" s="285">
        <v>0</v>
      </c>
      <c r="P7399" s="299">
        <v>30.721372992000003</v>
      </c>
      <c r="Q7399" s="295" t="s">
        <v>3556</v>
      </c>
    </row>
    <row r="7400" spans="1:17" s="162" customFormat="1" ht="48" x14ac:dyDescent="0.25">
      <c r="A7400" s="296">
        <v>43101</v>
      </c>
      <c r="B7400" s="296">
        <v>43465</v>
      </c>
      <c r="C7400" s="282">
        <v>2018</v>
      </c>
      <c r="D7400" s="35" t="s">
        <v>28</v>
      </c>
      <c r="E7400" s="283" t="s">
        <v>9829</v>
      </c>
      <c r="F7400" s="28" t="s">
        <v>160</v>
      </c>
      <c r="G7400" s="297" t="s">
        <v>2109</v>
      </c>
      <c r="H7400" s="201" t="s">
        <v>10223</v>
      </c>
      <c r="I7400" s="298">
        <v>0</v>
      </c>
      <c r="J7400" s="289">
        <v>0</v>
      </c>
      <c r="K7400" s="298">
        <v>0</v>
      </c>
      <c r="L7400" s="298">
        <v>0</v>
      </c>
      <c r="M7400" s="298">
        <v>0</v>
      </c>
      <c r="N7400" s="298">
        <v>0</v>
      </c>
      <c r="O7400" s="285">
        <v>0</v>
      </c>
      <c r="P7400" s="299">
        <v>2.0507169151999998</v>
      </c>
      <c r="Q7400" s="295" t="s">
        <v>3556</v>
      </c>
    </row>
    <row r="7401" spans="1:17" s="162" customFormat="1" ht="48" x14ac:dyDescent="0.25">
      <c r="A7401" s="296">
        <v>43101</v>
      </c>
      <c r="B7401" s="296">
        <v>43465</v>
      </c>
      <c r="C7401" s="282">
        <v>2018</v>
      </c>
      <c r="D7401" s="35" t="s">
        <v>28</v>
      </c>
      <c r="E7401" s="283" t="s">
        <v>9829</v>
      </c>
      <c r="F7401" s="7" t="s">
        <v>60</v>
      </c>
      <c r="G7401" s="297" t="s">
        <v>2109</v>
      </c>
      <c r="H7401" s="201" t="s">
        <v>10224</v>
      </c>
      <c r="I7401" s="298">
        <v>0</v>
      </c>
      <c r="J7401" s="289">
        <v>0</v>
      </c>
      <c r="K7401" s="298">
        <v>0</v>
      </c>
      <c r="L7401" s="298">
        <v>0</v>
      </c>
      <c r="M7401" s="298">
        <v>0</v>
      </c>
      <c r="N7401" s="298">
        <v>0</v>
      </c>
      <c r="O7401" s="285">
        <v>0</v>
      </c>
      <c r="P7401" s="299">
        <v>62.106325350400006</v>
      </c>
      <c r="Q7401" s="295" t="s">
        <v>3556</v>
      </c>
    </row>
    <row r="7402" spans="1:17" s="162" customFormat="1" ht="48" x14ac:dyDescent="0.25">
      <c r="A7402" s="296">
        <v>43101</v>
      </c>
      <c r="B7402" s="296">
        <v>43465</v>
      </c>
      <c r="C7402" s="282">
        <v>2018</v>
      </c>
      <c r="D7402" s="35" t="s">
        <v>28</v>
      </c>
      <c r="E7402" s="283" t="s">
        <v>9829</v>
      </c>
      <c r="F7402" s="7" t="s">
        <v>53</v>
      </c>
      <c r="G7402" s="297" t="s">
        <v>2109</v>
      </c>
      <c r="H7402" s="201" t="s">
        <v>10225</v>
      </c>
      <c r="I7402" s="298">
        <v>0</v>
      </c>
      <c r="J7402" s="289">
        <v>0</v>
      </c>
      <c r="K7402" s="298">
        <v>0</v>
      </c>
      <c r="L7402" s="298">
        <v>0</v>
      </c>
      <c r="M7402" s="298">
        <v>0</v>
      </c>
      <c r="N7402" s="298">
        <v>0</v>
      </c>
      <c r="O7402" s="285">
        <v>0</v>
      </c>
      <c r="P7402" s="299">
        <v>10.909092288</v>
      </c>
      <c r="Q7402" s="295" t="s">
        <v>3556</v>
      </c>
    </row>
    <row r="7403" spans="1:17" s="162" customFormat="1" ht="48" x14ac:dyDescent="0.25">
      <c r="A7403" s="296">
        <v>43101</v>
      </c>
      <c r="B7403" s="296">
        <v>43465</v>
      </c>
      <c r="C7403" s="282">
        <v>2018</v>
      </c>
      <c r="D7403" s="35" t="s">
        <v>28</v>
      </c>
      <c r="E7403" s="283" t="s">
        <v>9829</v>
      </c>
      <c r="F7403" s="7" t="s">
        <v>62</v>
      </c>
      <c r="G7403" s="297" t="s">
        <v>2109</v>
      </c>
      <c r="H7403" s="201" t="s">
        <v>10226</v>
      </c>
      <c r="I7403" s="298">
        <v>0</v>
      </c>
      <c r="J7403" s="289">
        <v>0</v>
      </c>
      <c r="K7403" s="298">
        <v>0</v>
      </c>
      <c r="L7403" s="298">
        <v>0</v>
      </c>
      <c r="M7403" s="298">
        <v>0</v>
      </c>
      <c r="N7403" s="298">
        <v>0</v>
      </c>
      <c r="O7403" s="285">
        <v>0</v>
      </c>
      <c r="P7403" s="299">
        <v>17.701501184000001</v>
      </c>
      <c r="Q7403" s="295" t="s">
        <v>3556</v>
      </c>
    </row>
    <row r="7404" spans="1:17" s="162" customFormat="1" ht="48" x14ac:dyDescent="0.25">
      <c r="A7404" s="296">
        <v>43101</v>
      </c>
      <c r="B7404" s="296">
        <v>43465</v>
      </c>
      <c r="C7404" s="282">
        <v>2018</v>
      </c>
      <c r="D7404" s="35" t="s">
        <v>28</v>
      </c>
      <c r="E7404" s="283" t="s">
        <v>9829</v>
      </c>
      <c r="F7404" s="7" t="s">
        <v>65</v>
      </c>
      <c r="G7404" s="297" t="s">
        <v>2109</v>
      </c>
      <c r="H7404" s="201" t="s">
        <v>10227</v>
      </c>
      <c r="I7404" s="298">
        <v>0</v>
      </c>
      <c r="J7404" s="289">
        <v>0</v>
      </c>
      <c r="K7404" s="298">
        <v>0</v>
      </c>
      <c r="L7404" s="298">
        <v>0</v>
      </c>
      <c r="M7404" s="298">
        <v>0</v>
      </c>
      <c r="N7404" s="298">
        <v>0</v>
      </c>
      <c r="O7404" s="285">
        <v>0</v>
      </c>
      <c r="P7404" s="299">
        <v>2.2380686720000003</v>
      </c>
      <c r="Q7404" s="295" t="s">
        <v>3556</v>
      </c>
    </row>
    <row r="7405" spans="1:17" s="162" customFormat="1" ht="48" x14ac:dyDescent="0.25">
      <c r="A7405" s="296">
        <v>43101</v>
      </c>
      <c r="B7405" s="296">
        <v>43465</v>
      </c>
      <c r="C7405" s="282">
        <v>2018</v>
      </c>
      <c r="D7405" s="35" t="s">
        <v>28</v>
      </c>
      <c r="E7405" s="283" t="s">
        <v>9829</v>
      </c>
      <c r="F7405" s="7" t="s">
        <v>67</v>
      </c>
      <c r="G7405" s="297" t="s">
        <v>2109</v>
      </c>
      <c r="H7405" s="201" t="s">
        <v>10228</v>
      </c>
      <c r="I7405" s="298">
        <v>0</v>
      </c>
      <c r="J7405" s="289">
        <v>0</v>
      </c>
      <c r="K7405" s="298">
        <v>0</v>
      </c>
      <c r="L7405" s="298">
        <v>0</v>
      </c>
      <c r="M7405" s="298">
        <v>0</v>
      </c>
      <c r="N7405" s="298">
        <v>0</v>
      </c>
      <c r="O7405" s="285">
        <v>0</v>
      </c>
      <c r="P7405" s="299">
        <v>25.131333376000001</v>
      </c>
      <c r="Q7405" s="295" t="s">
        <v>3556</v>
      </c>
    </row>
    <row r="7406" spans="1:17" s="162" customFormat="1" ht="48" x14ac:dyDescent="0.25">
      <c r="A7406" s="296">
        <v>43101</v>
      </c>
      <c r="B7406" s="296">
        <v>43465</v>
      </c>
      <c r="C7406" s="282">
        <v>2018</v>
      </c>
      <c r="D7406" s="35" t="s">
        <v>28</v>
      </c>
      <c r="E7406" s="283" t="s">
        <v>9829</v>
      </c>
      <c r="F7406" s="7" t="s">
        <v>68</v>
      </c>
      <c r="G7406" s="297" t="s">
        <v>2109</v>
      </c>
      <c r="H7406" s="201" t="s">
        <v>10229</v>
      </c>
      <c r="I7406" s="298">
        <v>0</v>
      </c>
      <c r="J7406" s="289">
        <v>0</v>
      </c>
      <c r="K7406" s="298">
        <v>0</v>
      </c>
      <c r="L7406" s="298">
        <v>0</v>
      </c>
      <c r="M7406" s="298">
        <v>0</v>
      </c>
      <c r="N7406" s="298">
        <v>0</v>
      </c>
      <c r="O7406" s="285">
        <v>0</v>
      </c>
      <c r="P7406" s="299">
        <v>4.8669702016</v>
      </c>
      <c r="Q7406" s="295" t="s">
        <v>3556</v>
      </c>
    </row>
    <row r="7407" spans="1:17" s="162" customFormat="1" ht="48" x14ac:dyDescent="0.25">
      <c r="A7407" s="296">
        <v>43101</v>
      </c>
      <c r="B7407" s="296">
        <v>43465</v>
      </c>
      <c r="C7407" s="282">
        <v>2018</v>
      </c>
      <c r="D7407" s="35" t="s">
        <v>28</v>
      </c>
      <c r="E7407" s="283" t="s">
        <v>9829</v>
      </c>
      <c r="F7407" s="7" t="s">
        <v>72</v>
      </c>
      <c r="G7407" s="297" t="s">
        <v>2109</v>
      </c>
      <c r="H7407" s="201" t="s">
        <v>10230</v>
      </c>
      <c r="I7407" s="298">
        <v>0</v>
      </c>
      <c r="J7407" s="289">
        <v>0</v>
      </c>
      <c r="K7407" s="298">
        <v>0</v>
      </c>
      <c r="L7407" s="298">
        <v>0</v>
      </c>
      <c r="M7407" s="298">
        <v>0</v>
      </c>
      <c r="N7407" s="298">
        <v>0</v>
      </c>
      <c r="O7407" s="285">
        <v>0</v>
      </c>
      <c r="P7407" s="299">
        <v>27.255826329600001</v>
      </c>
      <c r="Q7407" s="295" t="s">
        <v>3556</v>
      </c>
    </row>
    <row r="7408" spans="1:17" s="162" customFormat="1" ht="48" x14ac:dyDescent="0.25">
      <c r="A7408" s="296">
        <v>43101</v>
      </c>
      <c r="B7408" s="296">
        <v>43465</v>
      </c>
      <c r="C7408" s="282">
        <v>2018</v>
      </c>
      <c r="D7408" s="35" t="s">
        <v>28</v>
      </c>
      <c r="E7408" s="283" t="s">
        <v>9829</v>
      </c>
      <c r="F7408" s="7" t="s">
        <v>75</v>
      </c>
      <c r="G7408" s="297" t="s">
        <v>2109</v>
      </c>
      <c r="H7408" s="201" t="s">
        <v>10231</v>
      </c>
      <c r="I7408" s="298">
        <v>0</v>
      </c>
      <c r="J7408" s="289">
        <v>0</v>
      </c>
      <c r="K7408" s="298">
        <v>0</v>
      </c>
      <c r="L7408" s="298">
        <v>0</v>
      </c>
      <c r="M7408" s="298">
        <v>0</v>
      </c>
      <c r="N7408" s="298">
        <v>0</v>
      </c>
      <c r="O7408" s="285">
        <v>0</v>
      </c>
      <c r="P7408" s="299">
        <v>7.3241884800000001</v>
      </c>
      <c r="Q7408" s="295" t="s">
        <v>3556</v>
      </c>
    </row>
    <row r="7409" spans="1:17" s="162" customFormat="1" ht="48" x14ac:dyDescent="0.25">
      <c r="A7409" s="296">
        <v>43101</v>
      </c>
      <c r="B7409" s="296">
        <v>43465</v>
      </c>
      <c r="C7409" s="282">
        <v>2018</v>
      </c>
      <c r="D7409" s="35" t="s">
        <v>28</v>
      </c>
      <c r="E7409" s="283" t="s">
        <v>9829</v>
      </c>
      <c r="F7409" s="7" t="s">
        <v>77</v>
      </c>
      <c r="G7409" s="297" t="s">
        <v>2109</v>
      </c>
      <c r="H7409" s="201" t="s">
        <v>10232</v>
      </c>
      <c r="I7409" s="298">
        <v>0</v>
      </c>
      <c r="J7409" s="289">
        <v>0</v>
      </c>
      <c r="K7409" s="298">
        <v>0</v>
      </c>
      <c r="L7409" s="298">
        <v>0</v>
      </c>
      <c r="M7409" s="298">
        <v>0</v>
      </c>
      <c r="N7409" s="298">
        <v>0</v>
      </c>
      <c r="O7409" s="285">
        <v>0</v>
      </c>
      <c r="P7409" s="299">
        <v>0.31835554560000001</v>
      </c>
      <c r="Q7409" s="295" t="s">
        <v>3556</v>
      </c>
    </row>
    <row r="7410" spans="1:17" s="162" customFormat="1" ht="48" x14ac:dyDescent="0.25">
      <c r="A7410" s="296">
        <v>43101</v>
      </c>
      <c r="B7410" s="296">
        <v>43465</v>
      </c>
      <c r="C7410" s="282">
        <v>2018</v>
      </c>
      <c r="D7410" s="35" t="s">
        <v>28</v>
      </c>
      <c r="E7410" s="283" t="s">
        <v>9829</v>
      </c>
      <c r="F7410" s="7" t="s">
        <v>80</v>
      </c>
      <c r="G7410" s="297" t="s">
        <v>2109</v>
      </c>
      <c r="H7410" s="201" t="s">
        <v>10233</v>
      </c>
      <c r="I7410" s="298">
        <v>0</v>
      </c>
      <c r="J7410" s="289">
        <v>0</v>
      </c>
      <c r="K7410" s="298">
        <v>0</v>
      </c>
      <c r="L7410" s="298">
        <v>0</v>
      </c>
      <c r="M7410" s="298">
        <v>0</v>
      </c>
      <c r="N7410" s="298">
        <v>0</v>
      </c>
      <c r="O7410" s="285">
        <v>0</v>
      </c>
      <c r="P7410" s="299">
        <v>9.5729821184000006</v>
      </c>
      <c r="Q7410" s="295" t="s">
        <v>3556</v>
      </c>
    </row>
    <row r="7411" spans="1:17" s="162" customFormat="1" ht="48" x14ac:dyDescent="0.25">
      <c r="A7411" s="296">
        <v>43101</v>
      </c>
      <c r="B7411" s="296">
        <v>43465</v>
      </c>
      <c r="C7411" s="282">
        <v>2018</v>
      </c>
      <c r="D7411" s="35" t="s">
        <v>28</v>
      </c>
      <c r="E7411" s="283" t="s">
        <v>9829</v>
      </c>
      <c r="F7411" s="7" t="s">
        <v>82</v>
      </c>
      <c r="G7411" s="297" t="s">
        <v>2109</v>
      </c>
      <c r="H7411" s="201" t="s">
        <v>10234</v>
      </c>
      <c r="I7411" s="298">
        <v>0</v>
      </c>
      <c r="J7411" s="289">
        <v>0</v>
      </c>
      <c r="K7411" s="298">
        <v>0</v>
      </c>
      <c r="L7411" s="298">
        <v>0</v>
      </c>
      <c r="M7411" s="298">
        <v>0</v>
      </c>
      <c r="N7411" s="298">
        <v>0</v>
      </c>
      <c r="O7411" s="285">
        <v>0</v>
      </c>
      <c r="P7411" s="299">
        <v>3.0605534976</v>
      </c>
      <c r="Q7411" s="295" t="s">
        <v>3556</v>
      </c>
    </row>
    <row r="7412" spans="1:17" s="162" customFormat="1" ht="48" x14ac:dyDescent="0.25">
      <c r="A7412" s="296">
        <v>43101</v>
      </c>
      <c r="B7412" s="296">
        <v>43465</v>
      </c>
      <c r="C7412" s="282">
        <v>2018</v>
      </c>
      <c r="D7412" s="35" t="s">
        <v>28</v>
      </c>
      <c r="E7412" s="283" t="s">
        <v>9829</v>
      </c>
      <c r="F7412" s="7" t="s">
        <v>84</v>
      </c>
      <c r="G7412" s="297" t="s">
        <v>2109</v>
      </c>
      <c r="H7412" s="201" t="s">
        <v>10235</v>
      </c>
      <c r="I7412" s="298">
        <v>0</v>
      </c>
      <c r="J7412" s="289">
        <v>0</v>
      </c>
      <c r="K7412" s="298">
        <v>0</v>
      </c>
      <c r="L7412" s="298">
        <v>0</v>
      </c>
      <c r="M7412" s="298">
        <v>0</v>
      </c>
      <c r="N7412" s="298">
        <v>0</v>
      </c>
      <c r="O7412" s="285">
        <v>0</v>
      </c>
      <c r="P7412" s="299">
        <v>14.13377408</v>
      </c>
      <c r="Q7412" s="295" t="s">
        <v>3556</v>
      </c>
    </row>
    <row r="7413" spans="1:17" s="162" customFormat="1" ht="48" x14ac:dyDescent="0.25">
      <c r="A7413" s="296">
        <v>43101</v>
      </c>
      <c r="B7413" s="296">
        <v>43465</v>
      </c>
      <c r="C7413" s="282">
        <v>2018</v>
      </c>
      <c r="D7413" s="35" t="s">
        <v>28</v>
      </c>
      <c r="E7413" s="283" t="s">
        <v>9829</v>
      </c>
      <c r="F7413" s="7" t="s">
        <v>87</v>
      </c>
      <c r="G7413" s="297" t="s">
        <v>2109</v>
      </c>
      <c r="H7413" s="201" t="s">
        <v>10236</v>
      </c>
      <c r="I7413" s="298">
        <v>0</v>
      </c>
      <c r="J7413" s="289">
        <v>0</v>
      </c>
      <c r="K7413" s="298">
        <v>0</v>
      </c>
      <c r="L7413" s="298">
        <v>0</v>
      </c>
      <c r="M7413" s="298">
        <v>0</v>
      </c>
      <c r="N7413" s="298">
        <v>0</v>
      </c>
      <c r="O7413" s="285">
        <v>0</v>
      </c>
      <c r="P7413" s="299">
        <v>72.44193916159999</v>
      </c>
      <c r="Q7413" s="295" t="s">
        <v>3556</v>
      </c>
    </row>
    <row r="7414" spans="1:17" s="162" customFormat="1" ht="48" x14ac:dyDescent="0.25">
      <c r="A7414" s="296">
        <v>43101</v>
      </c>
      <c r="B7414" s="296">
        <v>43465</v>
      </c>
      <c r="C7414" s="282">
        <v>2018</v>
      </c>
      <c r="D7414" s="35" t="s">
        <v>28</v>
      </c>
      <c r="E7414" s="283" t="s">
        <v>9829</v>
      </c>
      <c r="F7414" s="25" t="s">
        <v>781</v>
      </c>
      <c r="G7414" s="297" t="s">
        <v>2109</v>
      </c>
      <c r="H7414" s="201" t="s">
        <v>10237</v>
      </c>
      <c r="I7414" s="298">
        <v>0</v>
      </c>
      <c r="J7414" s="289">
        <v>0</v>
      </c>
      <c r="K7414" s="298">
        <v>0</v>
      </c>
      <c r="L7414" s="298">
        <v>0</v>
      </c>
      <c r="M7414" s="298">
        <v>0</v>
      </c>
      <c r="N7414" s="298">
        <v>0</v>
      </c>
      <c r="O7414" s="285">
        <v>0</v>
      </c>
      <c r="P7414" s="299">
        <v>6.0768665088000011</v>
      </c>
      <c r="Q7414" s="295" t="s">
        <v>3556</v>
      </c>
    </row>
    <row r="7415" spans="1:17" s="162" customFormat="1" ht="48" x14ac:dyDescent="0.25">
      <c r="A7415" s="296">
        <v>43101</v>
      </c>
      <c r="B7415" s="296">
        <v>43465</v>
      </c>
      <c r="C7415" s="282">
        <v>2018</v>
      </c>
      <c r="D7415" s="35" t="s">
        <v>28</v>
      </c>
      <c r="E7415" s="283" t="s">
        <v>9829</v>
      </c>
      <c r="F7415" s="7" t="s">
        <v>91</v>
      </c>
      <c r="G7415" s="297" t="s">
        <v>2109</v>
      </c>
      <c r="H7415" s="201" t="s">
        <v>10237</v>
      </c>
      <c r="I7415" s="298">
        <v>0</v>
      </c>
      <c r="J7415" s="289">
        <v>0</v>
      </c>
      <c r="K7415" s="298">
        <v>0</v>
      </c>
      <c r="L7415" s="298">
        <v>0</v>
      </c>
      <c r="M7415" s="298">
        <v>0</v>
      </c>
      <c r="N7415" s="298">
        <v>0</v>
      </c>
      <c r="O7415" s="285">
        <v>0</v>
      </c>
      <c r="P7415" s="299">
        <v>6.0593267199999996</v>
      </c>
      <c r="Q7415" s="295" t="s">
        <v>3556</v>
      </c>
    </row>
    <row r="7416" spans="1:17" s="162" customFormat="1" ht="48" x14ac:dyDescent="0.25">
      <c r="A7416" s="296">
        <v>43101</v>
      </c>
      <c r="B7416" s="296">
        <v>43465</v>
      </c>
      <c r="C7416" s="282">
        <v>2018</v>
      </c>
      <c r="D7416" s="35" t="s">
        <v>28</v>
      </c>
      <c r="E7416" s="283" t="s">
        <v>9829</v>
      </c>
      <c r="F7416" s="7" t="s">
        <v>97</v>
      </c>
      <c r="G7416" s="297" t="s">
        <v>2109</v>
      </c>
      <c r="H7416" s="201" t="s">
        <v>10238</v>
      </c>
      <c r="I7416" s="298">
        <v>0</v>
      </c>
      <c r="J7416" s="289">
        <v>0</v>
      </c>
      <c r="K7416" s="298">
        <v>0</v>
      </c>
      <c r="L7416" s="298">
        <v>0</v>
      </c>
      <c r="M7416" s="298">
        <v>0</v>
      </c>
      <c r="N7416" s="298">
        <v>0</v>
      </c>
      <c r="O7416" s="285">
        <v>0</v>
      </c>
      <c r="P7416" s="299">
        <v>2.4673008640000003</v>
      </c>
      <c r="Q7416" s="295" t="s">
        <v>3556</v>
      </c>
    </row>
    <row r="7417" spans="1:17" s="162" customFormat="1" ht="48" x14ac:dyDescent="0.25">
      <c r="A7417" s="296">
        <v>43101</v>
      </c>
      <c r="B7417" s="296">
        <v>43465</v>
      </c>
      <c r="C7417" s="282">
        <v>2018</v>
      </c>
      <c r="D7417" s="35" t="s">
        <v>28</v>
      </c>
      <c r="E7417" s="283" t="s">
        <v>9829</v>
      </c>
      <c r="F7417" s="28" t="s">
        <v>210</v>
      </c>
      <c r="G7417" s="297" t="s">
        <v>2109</v>
      </c>
      <c r="H7417" s="201" t="s">
        <v>10239</v>
      </c>
      <c r="I7417" s="298">
        <v>0</v>
      </c>
      <c r="J7417" s="289">
        <v>0</v>
      </c>
      <c r="K7417" s="298">
        <v>0</v>
      </c>
      <c r="L7417" s="298">
        <v>0</v>
      </c>
      <c r="M7417" s="298">
        <v>0</v>
      </c>
      <c r="N7417" s="298">
        <v>0</v>
      </c>
      <c r="O7417" s="285">
        <v>0</v>
      </c>
      <c r="P7417" s="299">
        <v>1.6474972800000001</v>
      </c>
      <c r="Q7417" s="295" t="s">
        <v>3556</v>
      </c>
    </row>
    <row r="7418" spans="1:17" s="162" customFormat="1" ht="48" x14ac:dyDescent="0.25">
      <c r="A7418" s="296">
        <v>43101</v>
      </c>
      <c r="B7418" s="296">
        <v>43465</v>
      </c>
      <c r="C7418" s="282">
        <v>2018</v>
      </c>
      <c r="D7418" s="35" t="s">
        <v>28</v>
      </c>
      <c r="E7418" s="283" t="s">
        <v>9829</v>
      </c>
      <c r="F7418" s="28" t="s">
        <v>163</v>
      </c>
      <c r="G7418" s="297" t="s">
        <v>2109</v>
      </c>
      <c r="H7418" s="201" t="s">
        <v>10240</v>
      </c>
      <c r="I7418" s="298">
        <v>0</v>
      </c>
      <c r="J7418" s="289">
        <v>0</v>
      </c>
      <c r="K7418" s="298">
        <v>0</v>
      </c>
      <c r="L7418" s="298">
        <v>0</v>
      </c>
      <c r="M7418" s="298">
        <v>0</v>
      </c>
      <c r="N7418" s="298">
        <v>0</v>
      </c>
      <c r="O7418" s="285">
        <v>0</v>
      </c>
      <c r="P7418" s="299">
        <v>2.5847448320000002</v>
      </c>
      <c r="Q7418" s="295" t="s">
        <v>3556</v>
      </c>
    </row>
    <row r="7419" spans="1:17" s="162" customFormat="1" ht="36" x14ac:dyDescent="0.25">
      <c r="A7419" s="296">
        <v>43101</v>
      </c>
      <c r="B7419" s="296">
        <v>43465</v>
      </c>
      <c r="C7419" s="282">
        <v>2018</v>
      </c>
      <c r="D7419" s="35" t="s">
        <v>28</v>
      </c>
      <c r="E7419" s="283" t="s">
        <v>9829</v>
      </c>
      <c r="F7419" s="7" t="s">
        <v>101</v>
      </c>
      <c r="G7419" s="297" t="s">
        <v>2109</v>
      </c>
      <c r="H7419" s="201" t="s">
        <v>10241</v>
      </c>
      <c r="I7419" s="298">
        <v>0</v>
      </c>
      <c r="J7419" s="289">
        <v>0</v>
      </c>
      <c r="K7419" s="298">
        <v>0</v>
      </c>
      <c r="L7419" s="298">
        <v>0</v>
      </c>
      <c r="M7419" s="298">
        <v>0</v>
      </c>
      <c r="N7419" s="298">
        <v>0</v>
      </c>
      <c r="O7419" s="285">
        <v>0</v>
      </c>
      <c r="P7419" s="299">
        <v>17.1497240064</v>
      </c>
      <c r="Q7419" s="295" t="s">
        <v>3556</v>
      </c>
    </row>
    <row r="7420" spans="1:17" s="162" customFormat="1" ht="38.25" x14ac:dyDescent="0.25">
      <c r="A7420" s="296">
        <v>43101</v>
      </c>
      <c r="B7420" s="296">
        <v>43465</v>
      </c>
      <c r="C7420" s="282">
        <v>2018</v>
      </c>
      <c r="D7420" s="351" t="s">
        <v>23</v>
      </c>
      <c r="E7420" s="283" t="s">
        <v>42</v>
      </c>
      <c r="F7420" s="7" t="s">
        <v>25</v>
      </c>
      <c r="G7420" s="284" t="s">
        <v>26</v>
      </c>
      <c r="H7420" s="284" t="s">
        <v>10242</v>
      </c>
      <c r="I7420" s="287">
        <v>2</v>
      </c>
      <c r="J7420" s="286">
        <v>2</v>
      </c>
      <c r="K7420" s="287">
        <v>0</v>
      </c>
      <c r="L7420" s="295">
        <v>0</v>
      </c>
      <c r="M7420" s="295">
        <v>0</v>
      </c>
      <c r="N7420" s="295">
        <v>0</v>
      </c>
      <c r="O7420" s="285">
        <v>0</v>
      </c>
      <c r="P7420" s="300">
        <v>1.8E-3</v>
      </c>
      <c r="Q7420" s="247" t="s">
        <v>2218</v>
      </c>
    </row>
    <row r="7421" spans="1:17" s="162" customFormat="1" ht="24" x14ac:dyDescent="0.25">
      <c r="A7421" s="296">
        <v>43101</v>
      </c>
      <c r="B7421" s="296">
        <v>43465</v>
      </c>
      <c r="C7421" s="282">
        <v>2018</v>
      </c>
      <c r="D7421" s="351" t="s">
        <v>23</v>
      </c>
      <c r="E7421" s="283" t="s">
        <v>42</v>
      </c>
      <c r="F7421" s="7" t="s">
        <v>30</v>
      </c>
      <c r="G7421" s="284" t="s">
        <v>26</v>
      </c>
      <c r="H7421" s="206" t="s">
        <v>10243</v>
      </c>
      <c r="I7421" s="287">
        <v>0</v>
      </c>
      <c r="J7421" s="286">
        <v>1</v>
      </c>
      <c r="K7421" s="287">
        <v>0</v>
      </c>
      <c r="L7421" s="295">
        <v>0</v>
      </c>
      <c r="M7421" s="295">
        <v>0</v>
      </c>
      <c r="N7421" s="295">
        <v>0</v>
      </c>
      <c r="O7421" s="285">
        <v>0</v>
      </c>
      <c r="P7421" s="300">
        <v>8.6569999999999998E-3</v>
      </c>
      <c r="Q7421" s="247" t="s">
        <v>2218</v>
      </c>
    </row>
    <row r="7422" spans="1:17" s="162" customFormat="1" ht="48" x14ac:dyDescent="0.25">
      <c r="A7422" s="296">
        <v>43101</v>
      </c>
      <c r="B7422" s="296">
        <v>43465</v>
      </c>
      <c r="C7422" s="282">
        <v>2018</v>
      </c>
      <c r="D7422" s="351" t="s">
        <v>23</v>
      </c>
      <c r="E7422" s="283" t="s">
        <v>42</v>
      </c>
      <c r="F7422" s="7" t="s">
        <v>40</v>
      </c>
      <c r="G7422" s="284" t="s">
        <v>26</v>
      </c>
      <c r="H7422" s="206" t="s">
        <v>10244</v>
      </c>
      <c r="I7422" s="287">
        <v>6</v>
      </c>
      <c r="J7422" s="286">
        <v>111</v>
      </c>
      <c r="K7422" s="287">
        <v>0</v>
      </c>
      <c r="L7422" s="295">
        <v>0</v>
      </c>
      <c r="M7422" s="295">
        <v>0</v>
      </c>
      <c r="N7422" s="295">
        <v>0</v>
      </c>
      <c r="O7422" s="285">
        <v>0</v>
      </c>
      <c r="P7422" s="300">
        <v>0.169713</v>
      </c>
      <c r="Q7422" s="247" t="s">
        <v>2218</v>
      </c>
    </row>
    <row r="7423" spans="1:17" s="162" customFormat="1" ht="48" x14ac:dyDescent="0.25">
      <c r="A7423" s="296">
        <v>43101</v>
      </c>
      <c r="B7423" s="296">
        <v>43465</v>
      </c>
      <c r="C7423" s="282">
        <v>2018</v>
      </c>
      <c r="D7423" s="351" t="s">
        <v>23</v>
      </c>
      <c r="E7423" s="283" t="s">
        <v>42</v>
      </c>
      <c r="F7423" s="7" t="s">
        <v>87</v>
      </c>
      <c r="G7423" s="284" t="s">
        <v>26</v>
      </c>
      <c r="H7423" s="206" t="s">
        <v>10245</v>
      </c>
      <c r="I7423" s="287">
        <v>5</v>
      </c>
      <c r="J7423" s="286">
        <v>31</v>
      </c>
      <c r="K7423" s="287">
        <v>0</v>
      </c>
      <c r="L7423" s="295">
        <v>0</v>
      </c>
      <c r="M7423" s="295">
        <v>0</v>
      </c>
      <c r="N7423" s="295">
        <v>0</v>
      </c>
      <c r="O7423" s="285">
        <v>0</v>
      </c>
      <c r="P7423" s="300">
        <v>5.1171000000000001E-2</v>
      </c>
      <c r="Q7423" s="247" t="s">
        <v>2218</v>
      </c>
    </row>
    <row r="7424" spans="1:17" s="162" customFormat="1" ht="48" x14ac:dyDescent="0.25">
      <c r="A7424" s="296">
        <v>43101</v>
      </c>
      <c r="B7424" s="296">
        <v>43465</v>
      </c>
      <c r="C7424" s="282">
        <v>2018</v>
      </c>
      <c r="D7424" s="351" t="s">
        <v>23</v>
      </c>
      <c r="E7424" s="283" t="s">
        <v>42</v>
      </c>
      <c r="F7424" s="7" t="s">
        <v>49</v>
      </c>
      <c r="G7424" s="284" t="s">
        <v>26</v>
      </c>
      <c r="H7424" s="206" t="s">
        <v>10246</v>
      </c>
      <c r="I7424" s="287">
        <v>2</v>
      </c>
      <c r="J7424" s="286">
        <v>21</v>
      </c>
      <c r="K7424" s="287">
        <v>0</v>
      </c>
      <c r="L7424" s="295">
        <v>0</v>
      </c>
      <c r="M7424" s="295">
        <v>0</v>
      </c>
      <c r="N7424" s="295">
        <v>0</v>
      </c>
      <c r="O7424" s="285">
        <v>0</v>
      </c>
      <c r="P7424" s="300">
        <v>3.4414E-2</v>
      </c>
      <c r="Q7424" s="247" t="s">
        <v>2218</v>
      </c>
    </row>
    <row r="7425" spans="1:17" s="162" customFormat="1" ht="36" x14ac:dyDescent="0.25">
      <c r="A7425" s="296">
        <v>43101</v>
      </c>
      <c r="B7425" s="296">
        <v>43465</v>
      </c>
      <c r="C7425" s="282">
        <v>2018</v>
      </c>
      <c r="D7425" s="351" t="s">
        <v>23</v>
      </c>
      <c r="E7425" s="283" t="s">
        <v>42</v>
      </c>
      <c r="F7425" s="7" t="s">
        <v>45</v>
      </c>
      <c r="G7425" s="284" t="s">
        <v>26</v>
      </c>
      <c r="H7425" s="206" t="s">
        <v>10247</v>
      </c>
      <c r="I7425" s="287">
        <v>2</v>
      </c>
      <c r="J7425" s="286">
        <v>54</v>
      </c>
      <c r="K7425" s="287">
        <v>0</v>
      </c>
      <c r="L7425" s="295">
        <v>0</v>
      </c>
      <c r="M7425" s="295">
        <v>0</v>
      </c>
      <c r="N7425" s="295">
        <v>0</v>
      </c>
      <c r="O7425" s="285">
        <v>0</v>
      </c>
      <c r="P7425" s="300">
        <v>5.6356999999999997E-2</v>
      </c>
      <c r="Q7425" s="247" t="s">
        <v>2218</v>
      </c>
    </row>
    <row r="7426" spans="1:17" s="162" customFormat="1" ht="36" x14ac:dyDescent="0.25">
      <c r="A7426" s="296">
        <v>43101</v>
      </c>
      <c r="B7426" s="296">
        <v>43465</v>
      </c>
      <c r="C7426" s="282">
        <v>2018</v>
      </c>
      <c r="D7426" s="351" t="s">
        <v>23</v>
      </c>
      <c r="E7426" s="283" t="s">
        <v>42</v>
      </c>
      <c r="F7426" s="7" t="s">
        <v>75</v>
      </c>
      <c r="G7426" s="284" t="s">
        <v>26</v>
      </c>
      <c r="H7426" s="206" t="s">
        <v>10248</v>
      </c>
      <c r="I7426" s="287">
        <v>0</v>
      </c>
      <c r="J7426" s="286">
        <v>26</v>
      </c>
      <c r="K7426" s="287">
        <v>0</v>
      </c>
      <c r="L7426" s="295">
        <v>0</v>
      </c>
      <c r="M7426" s="295">
        <v>0</v>
      </c>
      <c r="N7426" s="295">
        <v>0</v>
      </c>
      <c r="O7426" s="285">
        <v>0</v>
      </c>
      <c r="P7426" s="300">
        <v>3.1157000000000001E-2</v>
      </c>
      <c r="Q7426" s="247" t="s">
        <v>2218</v>
      </c>
    </row>
    <row r="7427" spans="1:17" s="162" customFormat="1" ht="36" x14ac:dyDescent="0.25">
      <c r="A7427" s="296">
        <v>43101</v>
      </c>
      <c r="B7427" s="296">
        <v>43465</v>
      </c>
      <c r="C7427" s="282">
        <v>2018</v>
      </c>
      <c r="D7427" s="351" t="s">
        <v>23</v>
      </c>
      <c r="E7427" s="283" t="s">
        <v>42</v>
      </c>
      <c r="F7427" s="7" t="s">
        <v>68</v>
      </c>
      <c r="G7427" s="284" t="s">
        <v>26</v>
      </c>
      <c r="H7427" s="206" t="s">
        <v>10249</v>
      </c>
      <c r="I7427" s="287">
        <v>4</v>
      </c>
      <c r="J7427" s="286">
        <v>25</v>
      </c>
      <c r="K7427" s="287">
        <v>0</v>
      </c>
      <c r="L7427" s="295">
        <v>0</v>
      </c>
      <c r="M7427" s="295">
        <v>0</v>
      </c>
      <c r="N7427" s="295">
        <v>0</v>
      </c>
      <c r="O7427" s="285">
        <v>0</v>
      </c>
      <c r="P7427" s="300">
        <v>3.0256999999999999E-2</v>
      </c>
      <c r="Q7427" s="247" t="s">
        <v>2218</v>
      </c>
    </row>
    <row r="7428" spans="1:17" s="162" customFormat="1" ht="48" x14ac:dyDescent="0.25">
      <c r="A7428" s="296">
        <v>43101</v>
      </c>
      <c r="B7428" s="296">
        <v>43465</v>
      </c>
      <c r="C7428" s="282">
        <v>2018</v>
      </c>
      <c r="D7428" s="351" t="s">
        <v>23</v>
      </c>
      <c r="E7428" s="283" t="s">
        <v>42</v>
      </c>
      <c r="F7428" s="7" t="s">
        <v>91</v>
      </c>
      <c r="G7428" s="284" t="s">
        <v>26</v>
      </c>
      <c r="H7428" s="206" t="s">
        <v>10250</v>
      </c>
      <c r="I7428" s="287">
        <v>4</v>
      </c>
      <c r="J7428" s="286">
        <v>58</v>
      </c>
      <c r="K7428" s="287">
        <v>0</v>
      </c>
      <c r="L7428" s="295">
        <v>0</v>
      </c>
      <c r="M7428" s="295">
        <v>0</v>
      </c>
      <c r="N7428" s="295">
        <v>0</v>
      </c>
      <c r="O7428" s="285">
        <v>0</v>
      </c>
      <c r="P7428" s="300">
        <v>7.5470999999999996E-2</v>
      </c>
      <c r="Q7428" s="247" t="s">
        <v>2218</v>
      </c>
    </row>
    <row r="7429" spans="1:17" s="162" customFormat="1" ht="36" x14ac:dyDescent="0.25">
      <c r="A7429" s="296">
        <v>43101</v>
      </c>
      <c r="B7429" s="296">
        <v>43465</v>
      </c>
      <c r="C7429" s="282">
        <v>2018</v>
      </c>
      <c r="D7429" s="351" t="s">
        <v>23</v>
      </c>
      <c r="E7429" s="283" t="s">
        <v>42</v>
      </c>
      <c r="F7429" s="7" t="s">
        <v>82</v>
      </c>
      <c r="G7429" s="284" t="s">
        <v>26</v>
      </c>
      <c r="H7429" s="206" t="s">
        <v>10251</v>
      </c>
      <c r="I7429" s="287">
        <v>1</v>
      </c>
      <c r="J7429" s="286">
        <v>6</v>
      </c>
      <c r="K7429" s="287">
        <v>0</v>
      </c>
      <c r="L7429" s="295">
        <v>0</v>
      </c>
      <c r="M7429" s="295">
        <v>0</v>
      </c>
      <c r="N7429" s="295">
        <v>0</v>
      </c>
      <c r="O7429" s="285">
        <v>0</v>
      </c>
      <c r="P7429" s="300">
        <v>3.6428000000000002E-2</v>
      </c>
      <c r="Q7429" s="247" t="s">
        <v>2218</v>
      </c>
    </row>
    <row r="7430" spans="1:17" s="162" customFormat="1" ht="24" x14ac:dyDescent="0.25">
      <c r="A7430" s="296">
        <v>43101</v>
      </c>
      <c r="B7430" s="296">
        <v>43465</v>
      </c>
      <c r="C7430" s="282">
        <v>2018</v>
      </c>
      <c r="D7430" s="351" t="s">
        <v>23</v>
      </c>
      <c r="E7430" s="283" t="s">
        <v>42</v>
      </c>
      <c r="F7430" s="28" t="s">
        <v>157</v>
      </c>
      <c r="G7430" s="284" t="s">
        <v>26</v>
      </c>
      <c r="H7430" s="206" t="s">
        <v>10252</v>
      </c>
      <c r="I7430" s="287">
        <v>0</v>
      </c>
      <c r="J7430" s="286">
        <v>1</v>
      </c>
      <c r="K7430" s="287">
        <v>0</v>
      </c>
      <c r="L7430" s="295">
        <v>0</v>
      </c>
      <c r="M7430" s="295">
        <v>0</v>
      </c>
      <c r="N7430" s="295">
        <v>0</v>
      </c>
      <c r="O7430" s="285">
        <v>0</v>
      </c>
      <c r="P7430" s="300">
        <v>8.6569999999999998E-3</v>
      </c>
      <c r="Q7430" s="247" t="s">
        <v>2218</v>
      </c>
    </row>
    <row r="7431" spans="1:17" s="162" customFormat="1" ht="36" x14ac:dyDescent="0.25">
      <c r="A7431" s="296">
        <v>43101</v>
      </c>
      <c r="B7431" s="296">
        <v>43465</v>
      </c>
      <c r="C7431" s="282">
        <v>2018</v>
      </c>
      <c r="D7431" s="351" t="s">
        <v>23</v>
      </c>
      <c r="E7431" s="283" t="s">
        <v>42</v>
      </c>
      <c r="F7431" s="7" t="s">
        <v>56</v>
      </c>
      <c r="G7431" s="284" t="s">
        <v>26</v>
      </c>
      <c r="H7431" s="206" t="s">
        <v>10253</v>
      </c>
      <c r="I7431" s="287">
        <v>0</v>
      </c>
      <c r="J7431" s="286">
        <v>3</v>
      </c>
      <c r="K7431" s="287">
        <v>0</v>
      </c>
      <c r="L7431" s="295">
        <v>0</v>
      </c>
      <c r="M7431" s="295">
        <v>0</v>
      </c>
      <c r="N7431" s="295">
        <v>0</v>
      </c>
      <c r="O7431" s="285">
        <v>0</v>
      </c>
      <c r="P7431" s="300">
        <v>1.0456999999999999E-2</v>
      </c>
      <c r="Q7431" s="247" t="s">
        <v>2218</v>
      </c>
    </row>
    <row r="7432" spans="1:17" s="162" customFormat="1" ht="36" x14ac:dyDescent="0.25">
      <c r="A7432" s="296">
        <v>43101</v>
      </c>
      <c r="B7432" s="296">
        <v>43465</v>
      </c>
      <c r="C7432" s="282">
        <v>2018</v>
      </c>
      <c r="D7432" s="351" t="s">
        <v>23</v>
      </c>
      <c r="E7432" s="283" t="s">
        <v>42</v>
      </c>
      <c r="F7432" s="28" t="s">
        <v>210</v>
      </c>
      <c r="G7432" s="284" t="s">
        <v>26</v>
      </c>
      <c r="H7432" s="206" t="s">
        <v>10254</v>
      </c>
      <c r="I7432" s="287">
        <v>2</v>
      </c>
      <c r="J7432" s="286">
        <v>13</v>
      </c>
      <c r="K7432" s="287">
        <v>0</v>
      </c>
      <c r="L7432" s="295">
        <v>0</v>
      </c>
      <c r="M7432" s="295">
        <v>0</v>
      </c>
      <c r="N7432" s="295">
        <v>0</v>
      </c>
      <c r="O7432" s="285">
        <v>0</v>
      </c>
      <c r="P7432" s="300">
        <v>1.17E-2</v>
      </c>
      <c r="Q7432" s="247" t="s">
        <v>2218</v>
      </c>
    </row>
    <row r="7433" spans="1:17" s="162" customFormat="1" ht="36" x14ac:dyDescent="0.25">
      <c r="A7433" s="296">
        <v>43101</v>
      </c>
      <c r="B7433" s="296">
        <v>43465</v>
      </c>
      <c r="C7433" s="282">
        <v>2018</v>
      </c>
      <c r="D7433" s="351" t="s">
        <v>23</v>
      </c>
      <c r="E7433" s="283" t="s">
        <v>42</v>
      </c>
      <c r="F7433" s="28" t="s">
        <v>160</v>
      </c>
      <c r="G7433" s="284" t="s">
        <v>26</v>
      </c>
      <c r="H7433" s="206" t="s">
        <v>10255</v>
      </c>
      <c r="I7433" s="287">
        <v>0</v>
      </c>
      <c r="J7433" s="286">
        <v>38</v>
      </c>
      <c r="K7433" s="287">
        <v>0</v>
      </c>
      <c r="L7433" s="295">
        <v>0</v>
      </c>
      <c r="M7433" s="295">
        <v>0</v>
      </c>
      <c r="N7433" s="295">
        <v>0</v>
      </c>
      <c r="O7433" s="285">
        <v>0</v>
      </c>
      <c r="P7433" s="300">
        <v>4.9714000000000001E-2</v>
      </c>
      <c r="Q7433" s="247" t="s">
        <v>2218</v>
      </c>
    </row>
    <row r="7434" spans="1:17" s="162" customFormat="1" ht="36" x14ac:dyDescent="0.25">
      <c r="A7434" s="296">
        <v>43101</v>
      </c>
      <c r="B7434" s="296">
        <v>43465</v>
      </c>
      <c r="C7434" s="282">
        <v>2018</v>
      </c>
      <c r="D7434" s="351" t="s">
        <v>23</v>
      </c>
      <c r="E7434" s="283" t="s">
        <v>42</v>
      </c>
      <c r="F7434" s="7" t="s">
        <v>36</v>
      </c>
      <c r="G7434" s="284" t="s">
        <v>26</v>
      </c>
      <c r="H7434" s="206" t="s">
        <v>10256</v>
      </c>
      <c r="I7434" s="287">
        <v>0</v>
      </c>
      <c r="J7434" s="286">
        <v>4</v>
      </c>
      <c r="K7434" s="287">
        <v>0</v>
      </c>
      <c r="L7434" s="295">
        <v>0</v>
      </c>
      <c r="M7434" s="295">
        <v>0</v>
      </c>
      <c r="N7434" s="295">
        <v>0</v>
      </c>
      <c r="O7434" s="285">
        <v>0</v>
      </c>
      <c r="P7434" s="300">
        <v>1.1357000000000001E-2</v>
      </c>
      <c r="Q7434" s="247" t="s">
        <v>2218</v>
      </c>
    </row>
    <row r="7435" spans="1:17" s="162" customFormat="1" ht="24" x14ac:dyDescent="0.25">
      <c r="A7435" s="296">
        <v>43101</v>
      </c>
      <c r="B7435" s="296">
        <v>43465</v>
      </c>
      <c r="C7435" s="282">
        <v>2018</v>
      </c>
      <c r="D7435" s="351" t="s">
        <v>23</v>
      </c>
      <c r="E7435" s="283" t="s">
        <v>42</v>
      </c>
      <c r="F7435" s="7" t="s">
        <v>97</v>
      </c>
      <c r="G7435" s="284" t="s">
        <v>26</v>
      </c>
      <c r="H7435" s="206" t="s">
        <v>10257</v>
      </c>
      <c r="I7435" s="287">
        <v>0</v>
      </c>
      <c r="J7435" s="286">
        <v>6</v>
      </c>
      <c r="K7435" s="287">
        <v>0</v>
      </c>
      <c r="L7435" s="295">
        <v>0</v>
      </c>
      <c r="M7435" s="295">
        <v>0</v>
      </c>
      <c r="N7435" s="295">
        <v>0</v>
      </c>
      <c r="O7435" s="285">
        <v>0</v>
      </c>
      <c r="P7435" s="300">
        <v>5.4000000000000003E-3</v>
      </c>
      <c r="Q7435" s="247" t="s">
        <v>2218</v>
      </c>
    </row>
    <row r="7436" spans="1:17" s="162" customFormat="1" ht="24" x14ac:dyDescent="0.25">
      <c r="A7436" s="296">
        <v>43101</v>
      </c>
      <c r="B7436" s="296">
        <v>43465</v>
      </c>
      <c r="C7436" s="282">
        <v>2018</v>
      </c>
      <c r="D7436" s="351" t="s">
        <v>23</v>
      </c>
      <c r="E7436" s="283" t="s">
        <v>42</v>
      </c>
      <c r="F7436" s="7" t="s">
        <v>101</v>
      </c>
      <c r="G7436" s="284" t="s">
        <v>26</v>
      </c>
      <c r="H7436" s="206" t="s">
        <v>10258</v>
      </c>
      <c r="I7436" s="287">
        <v>0</v>
      </c>
      <c r="J7436" s="286">
        <v>8</v>
      </c>
      <c r="K7436" s="287">
        <v>0</v>
      </c>
      <c r="L7436" s="295">
        <v>0</v>
      </c>
      <c r="M7436" s="295">
        <v>0</v>
      </c>
      <c r="N7436" s="295">
        <v>0</v>
      </c>
      <c r="O7436" s="285">
        <v>0</v>
      </c>
      <c r="P7436" s="300">
        <v>7.1999999999999998E-3</v>
      </c>
      <c r="Q7436" s="247" t="s">
        <v>2218</v>
      </c>
    </row>
    <row r="7437" spans="1:17" s="162" customFormat="1" ht="24" x14ac:dyDescent="0.25">
      <c r="A7437" s="296">
        <v>43101</v>
      </c>
      <c r="B7437" s="296">
        <v>43465</v>
      </c>
      <c r="C7437" s="282">
        <v>2018</v>
      </c>
      <c r="D7437" s="351" t="s">
        <v>23</v>
      </c>
      <c r="E7437" s="283" t="s">
        <v>42</v>
      </c>
      <c r="F7437" s="7" t="s">
        <v>72</v>
      </c>
      <c r="G7437" s="284" t="s">
        <v>26</v>
      </c>
      <c r="H7437" s="206" t="s">
        <v>10259</v>
      </c>
      <c r="I7437" s="287">
        <v>0</v>
      </c>
      <c r="J7437" s="286">
        <v>2</v>
      </c>
      <c r="K7437" s="287">
        <v>0</v>
      </c>
      <c r="L7437" s="295">
        <v>0</v>
      </c>
      <c r="M7437" s="295">
        <v>0</v>
      </c>
      <c r="N7437" s="295">
        <v>0</v>
      </c>
      <c r="O7437" s="285">
        <v>0</v>
      </c>
      <c r="P7437" s="300">
        <v>1.8E-3</v>
      </c>
      <c r="Q7437" s="247" t="s">
        <v>2218</v>
      </c>
    </row>
    <row r="7438" spans="1:17" s="162" customFormat="1" ht="36" x14ac:dyDescent="0.25">
      <c r="A7438" s="296">
        <v>43101</v>
      </c>
      <c r="B7438" s="296">
        <v>43465</v>
      </c>
      <c r="C7438" s="282">
        <v>2018</v>
      </c>
      <c r="D7438" s="351" t="s">
        <v>23</v>
      </c>
      <c r="E7438" s="283" t="s">
        <v>42</v>
      </c>
      <c r="F7438" s="7" t="s">
        <v>65</v>
      </c>
      <c r="G7438" s="284" t="s">
        <v>26</v>
      </c>
      <c r="H7438" s="206" t="s">
        <v>10260</v>
      </c>
      <c r="I7438" s="287">
        <v>0</v>
      </c>
      <c r="J7438" s="286">
        <v>3</v>
      </c>
      <c r="K7438" s="287">
        <v>0</v>
      </c>
      <c r="L7438" s="295">
        <v>0</v>
      </c>
      <c r="M7438" s="295">
        <v>0</v>
      </c>
      <c r="N7438" s="295">
        <v>0</v>
      </c>
      <c r="O7438" s="285">
        <v>0</v>
      </c>
      <c r="P7438" s="300">
        <v>1.0456999999999999E-2</v>
      </c>
      <c r="Q7438" s="247" t="s">
        <v>2218</v>
      </c>
    </row>
    <row r="7439" spans="1:17" s="162" customFormat="1" ht="24" x14ac:dyDescent="0.25">
      <c r="A7439" s="296">
        <v>43101</v>
      </c>
      <c r="B7439" s="296">
        <v>43465</v>
      </c>
      <c r="C7439" s="282">
        <v>2018</v>
      </c>
      <c r="D7439" s="351" t="s">
        <v>23</v>
      </c>
      <c r="E7439" s="283" t="s">
        <v>42</v>
      </c>
      <c r="F7439" s="7" t="s">
        <v>62</v>
      </c>
      <c r="G7439" s="284" t="s">
        <v>26</v>
      </c>
      <c r="H7439" s="206" t="s">
        <v>10261</v>
      </c>
      <c r="I7439" s="287">
        <v>0</v>
      </c>
      <c r="J7439" s="286">
        <v>1</v>
      </c>
      <c r="K7439" s="287">
        <v>0</v>
      </c>
      <c r="L7439" s="295">
        <v>0</v>
      </c>
      <c r="M7439" s="295">
        <v>0</v>
      </c>
      <c r="N7439" s="295">
        <v>0</v>
      </c>
      <c r="O7439" s="285">
        <v>0</v>
      </c>
      <c r="P7439" s="300">
        <v>8.9999999999999998E-4</v>
      </c>
      <c r="Q7439" s="247" t="s">
        <v>2218</v>
      </c>
    </row>
    <row r="7440" spans="1:17" s="162" customFormat="1" ht="24" x14ac:dyDescent="0.25">
      <c r="A7440" s="296">
        <v>43101</v>
      </c>
      <c r="B7440" s="296">
        <v>43465</v>
      </c>
      <c r="C7440" s="282">
        <v>2018</v>
      </c>
      <c r="D7440" s="351" t="s">
        <v>23</v>
      </c>
      <c r="E7440" s="283" t="s">
        <v>42</v>
      </c>
      <c r="F7440" s="7" t="s">
        <v>77</v>
      </c>
      <c r="G7440" s="284" t="s">
        <v>26</v>
      </c>
      <c r="H7440" s="206" t="s">
        <v>10252</v>
      </c>
      <c r="I7440" s="287">
        <v>0</v>
      </c>
      <c r="J7440" s="286">
        <v>1</v>
      </c>
      <c r="K7440" s="287">
        <v>0</v>
      </c>
      <c r="L7440" s="295">
        <v>0</v>
      </c>
      <c r="M7440" s="295">
        <v>0</v>
      </c>
      <c r="N7440" s="295">
        <v>0</v>
      </c>
      <c r="O7440" s="285">
        <v>0</v>
      </c>
      <c r="P7440" s="300">
        <v>8.6569999999999998E-3</v>
      </c>
      <c r="Q7440" s="247" t="s">
        <v>2218</v>
      </c>
    </row>
    <row r="7441" spans="1:17" s="162" customFormat="1" ht="48" x14ac:dyDescent="0.25">
      <c r="A7441" s="296">
        <v>43101</v>
      </c>
      <c r="B7441" s="296">
        <v>43465</v>
      </c>
      <c r="C7441" s="282">
        <v>2018</v>
      </c>
      <c r="D7441" s="351" t="s">
        <v>23</v>
      </c>
      <c r="E7441" s="30" t="s">
        <v>327</v>
      </c>
      <c r="F7441" s="7" t="s">
        <v>87</v>
      </c>
      <c r="G7441" s="284" t="s">
        <v>26</v>
      </c>
      <c r="H7441" s="206" t="s">
        <v>10262</v>
      </c>
      <c r="I7441" s="287">
        <v>11</v>
      </c>
      <c r="J7441" s="286">
        <v>211</v>
      </c>
      <c r="K7441" s="287">
        <v>0</v>
      </c>
      <c r="L7441" s="295">
        <v>0</v>
      </c>
      <c r="M7441" s="295">
        <v>0</v>
      </c>
      <c r="N7441" s="295">
        <v>0</v>
      </c>
      <c r="O7441" s="285">
        <v>0</v>
      </c>
      <c r="P7441" s="300">
        <v>0.18990000000000001</v>
      </c>
      <c r="Q7441" s="247" t="s">
        <v>2218</v>
      </c>
    </row>
    <row r="7442" spans="1:17" s="162" customFormat="1" ht="48" x14ac:dyDescent="0.25">
      <c r="A7442" s="296">
        <v>43101</v>
      </c>
      <c r="B7442" s="296">
        <v>43465</v>
      </c>
      <c r="C7442" s="282">
        <v>2018</v>
      </c>
      <c r="D7442" s="351" t="s">
        <v>23</v>
      </c>
      <c r="E7442" s="30" t="s">
        <v>327</v>
      </c>
      <c r="F7442" s="7" t="s">
        <v>30</v>
      </c>
      <c r="G7442" s="284" t="s">
        <v>26</v>
      </c>
      <c r="H7442" s="206" t="s">
        <v>10263</v>
      </c>
      <c r="I7442" s="287">
        <v>13</v>
      </c>
      <c r="J7442" s="286">
        <v>104</v>
      </c>
      <c r="K7442" s="287">
        <v>0</v>
      </c>
      <c r="L7442" s="295">
        <v>0</v>
      </c>
      <c r="M7442" s="295">
        <v>0</v>
      </c>
      <c r="N7442" s="295">
        <v>0</v>
      </c>
      <c r="O7442" s="285">
        <v>0</v>
      </c>
      <c r="P7442" s="300">
        <v>9.3600000000000003E-2</v>
      </c>
      <c r="Q7442" s="247" t="s">
        <v>2218</v>
      </c>
    </row>
    <row r="7443" spans="1:17" s="162" customFormat="1" ht="36" x14ac:dyDescent="0.25">
      <c r="A7443" s="296">
        <v>43101</v>
      </c>
      <c r="B7443" s="296">
        <v>43465</v>
      </c>
      <c r="C7443" s="282">
        <v>2018</v>
      </c>
      <c r="D7443" s="351" t="s">
        <v>23</v>
      </c>
      <c r="E7443" s="30" t="s">
        <v>327</v>
      </c>
      <c r="F7443" s="28" t="s">
        <v>210</v>
      </c>
      <c r="G7443" s="284" t="s">
        <v>26</v>
      </c>
      <c r="H7443" s="206" t="s">
        <v>10264</v>
      </c>
      <c r="I7443" s="287">
        <v>0</v>
      </c>
      <c r="J7443" s="286">
        <v>74</v>
      </c>
      <c r="K7443" s="287">
        <v>0</v>
      </c>
      <c r="L7443" s="295">
        <v>0</v>
      </c>
      <c r="M7443" s="295">
        <v>0</v>
      </c>
      <c r="N7443" s="295">
        <v>0</v>
      </c>
      <c r="O7443" s="285">
        <v>0</v>
      </c>
      <c r="P7443" s="300">
        <v>6.6600000000000006E-2</v>
      </c>
      <c r="Q7443" s="247" t="s">
        <v>2218</v>
      </c>
    </row>
    <row r="7444" spans="1:17" s="162" customFormat="1" ht="48" x14ac:dyDescent="0.25">
      <c r="A7444" s="296">
        <v>43101</v>
      </c>
      <c r="B7444" s="296">
        <v>43465</v>
      </c>
      <c r="C7444" s="282">
        <v>2018</v>
      </c>
      <c r="D7444" s="351" t="s">
        <v>23</v>
      </c>
      <c r="E7444" s="30" t="s">
        <v>327</v>
      </c>
      <c r="F7444" s="7" t="s">
        <v>40</v>
      </c>
      <c r="G7444" s="284" t="s">
        <v>26</v>
      </c>
      <c r="H7444" s="206" t="s">
        <v>10265</v>
      </c>
      <c r="I7444" s="287">
        <v>2</v>
      </c>
      <c r="J7444" s="286">
        <v>51</v>
      </c>
      <c r="K7444" s="287">
        <v>0</v>
      </c>
      <c r="L7444" s="295">
        <v>0</v>
      </c>
      <c r="M7444" s="295">
        <v>0</v>
      </c>
      <c r="N7444" s="295">
        <v>0</v>
      </c>
      <c r="O7444" s="285">
        <v>0</v>
      </c>
      <c r="P7444" s="300">
        <v>4.5900000000000003E-2</v>
      </c>
      <c r="Q7444" s="247" t="s">
        <v>2218</v>
      </c>
    </row>
    <row r="7445" spans="1:17" s="162" customFormat="1" ht="48" x14ac:dyDescent="0.25">
      <c r="A7445" s="296">
        <v>43101</v>
      </c>
      <c r="B7445" s="296">
        <v>43465</v>
      </c>
      <c r="C7445" s="282">
        <v>2018</v>
      </c>
      <c r="D7445" s="351" t="s">
        <v>23</v>
      </c>
      <c r="E7445" s="30" t="s">
        <v>327</v>
      </c>
      <c r="F7445" s="25" t="s">
        <v>781</v>
      </c>
      <c r="G7445" s="284" t="s">
        <v>26</v>
      </c>
      <c r="H7445" s="206" t="s">
        <v>10266</v>
      </c>
      <c r="I7445" s="287">
        <v>1</v>
      </c>
      <c r="J7445" s="286">
        <v>34</v>
      </c>
      <c r="K7445" s="287">
        <v>0</v>
      </c>
      <c r="L7445" s="295">
        <v>0</v>
      </c>
      <c r="M7445" s="295">
        <v>0</v>
      </c>
      <c r="N7445" s="295">
        <v>0</v>
      </c>
      <c r="O7445" s="285">
        <v>0</v>
      </c>
      <c r="P7445" s="300">
        <v>3.0599999999999999E-2</v>
      </c>
      <c r="Q7445" s="247" t="s">
        <v>2218</v>
      </c>
    </row>
    <row r="7446" spans="1:17" s="162" customFormat="1" ht="36" x14ac:dyDescent="0.25">
      <c r="A7446" s="296">
        <v>43101</v>
      </c>
      <c r="B7446" s="296">
        <v>43465</v>
      </c>
      <c r="C7446" s="282">
        <v>2018</v>
      </c>
      <c r="D7446" s="351" t="s">
        <v>23</v>
      </c>
      <c r="E7446" s="30" t="s">
        <v>327</v>
      </c>
      <c r="F7446" s="7" t="s">
        <v>91</v>
      </c>
      <c r="G7446" s="284" t="s">
        <v>26</v>
      </c>
      <c r="H7446" s="206" t="s">
        <v>10267</v>
      </c>
      <c r="I7446" s="287">
        <v>0</v>
      </c>
      <c r="J7446" s="286">
        <v>28</v>
      </c>
      <c r="K7446" s="287">
        <v>0</v>
      </c>
      <c r="L7446" s="295">
        <v>0</v>
      </c>
      <c r="M7446" s="295">
        <v>0</v>
      </c>
      <c r="N7446" s="295">
        <v>0</v>
      </c>
      <c r="O7446" s="285">
        <v>0</v>
      </c>
      <c r="P7446" s="300">
        <v>2.52E-2</v>
      </c>
      <c r="Q7446" s="247" t="s">
        <v>2218</v>
      </c>
    </row>
    <row r="7447" spans="1:17" s="162" customFormat="1" ht="36" x14ac:dyDescent="0.25">
      <c r="A7447" s="296">
        <v>43101</v>
      </c>
      <c r="B7447" s="296">
        <v>43465</v>
      </c>
      <c r="C7447" s="282">
        <v>2018</v>
      </c>
      <c r="D7447" s="351" t="s">
        <v>23</v>
      </c>
      <c r="E7447" s="30" t="s">
        <v>327</v>
      </c>
      <c r="F7447" s="7" t="s">
        <v>60</v>
      </c>
      <c r="G7447" s="284" t="s">
        <v>26</v>
      </c>
      <c r="H7447" s="206" t="s">
        <v>10268</v>
      </c>
      <c r="I7447" s="287">
        <v>0</v>
      </c>
      <c r="J7447" s="286">
        <v>25</v>
      </c>
      <c r="K7447" s="287">
        <v>0</v>
      </c>
      <c r="L7447" s="295">
        <v>0</v>
      </c>
      <c r="M7447" s="295">
        <v>0</v>
      </c>
      <c r="N7447" s="295">
        <v>0</v>
      </c>
      <c r="O7447" s="285">
        <v>0</v>
      </c>
      <c r="P7447" s="300">
        <v>2.2499999999999999E-2</v>
      </c>
      <c r="Q7447" s="247" t="s">
        <v>2218</v>
      </c>
    </row>
    <row r="7448" spans="1:17" s="162" customFormat="1" ht="36" x14ac:dyDescent="0.25">
      <c r="A7448" s="296">
        <v>43101</v>
      </c>
      <c r="B7448" s="296">
        <v>43465</v>
      </c>
      <c r="C7448" s="282">
        <v>2018</v>
      </c>
      <c r="D7448" s="351" t="s">
        <v>23</v>
      </c>
      <c r="E7448" s="30" t="s">
        <v>327</v>
      </c>
      <c r="F7448" s="7" t="s">
        <v>84</v>
      </c>
      <c r="G7448" s="284" t="s">
        <v>26</v>
      </c>
      <c r="H7448" s="206" t="s">
        <v>10269</v>
      </c>
      <c r="I7448" s="287">
        <v>0</v>
      </c>
      <c r="J7448" s="286">
        <v>19</v>
      </c>
      <c r="K7448" s="287">
        <v>0</v>
      </c>
      <c r="L7448" s="295">
        <v>0</v>
      </c>
      <c r="M7448" s="295">
        <v>0</v>
      </c>
      <c r="N7448" s="295">
        <v>0</v>
      </c>
      <c r="O7448" s="285">
        <v>0</v>
      </c>
      <c r="P7448" s="300">
        <v>1.7100000000000001E-2</v>
      </c>
      <c r="Q7448" s="247" t="s">
        <v>2218</v>
      </c>
    </row>
    <row r="7449" spans="1:17" s="162" customFormat="1" ht="36" x14ac:dyDescent="0.25">
      <c r="A7449" s="296">
        <v>43101</v>
      </c>
      <c r="B7449" s="296">
        <v>43465</v>
      </c>
      <c r="C7449" s="282">
        <v>2018</v>
      </c>
      <c r="D7449" s="351" t="s">
        <v>23</v>
      </c>
      <c r="E7449" s="30" t="s">
        <v>327</v>
      </c>
      <c r="F7449" s="7" t="s">
        <v>62</v>
      </c>
      <c r="G7449" s="284" t="s">
        <v>26</v>
      </c>
      <c r="H7449" s="206" t="s">
        <v>10270</v>
      </c>
      <c r="I7449" s="287">
        <v>0</v>
      </c>
      <c r="J7449" s="286">
        <v>16</v>
      </c>
      <c r="K7449" s="287">
        <v>0</v>
      </c>
      <c r="L7449" s="295">
        <v>0</v>
      </c>
      <c r="M7449" s="295">
        <v>0</v>
      </c>
      <c r="N7449" s="295">
        <v>0</v>
      </c>
      <c r="O7449" s="285">
        <v>0</v>
      </c>
      <c r="P7449" s="300">
        <v>1.44E-2</v>
      </c>
      <c r="Q7449" s="247" t="s">
        <v>2218</v>
      </c>
    </row>
    <row r="7450" spans="1:17" s="162" customFormat="1" ht="36" x14ac:dyDescent="0.25">
      <c r="A7450" s="296">
        <v>43101</v>
      </c>
      <c r="B7450" s="296">
        <v>43465</v>
      </c>
      <c r="C7450" s="282">
        <v>2018</v>
      </c>
      <c r="D7450" s="351" t="s">
        <v>23</v>
      </c>
      <c r="E7450" s="30" t="s">
        <v>327</v>
      </c>
      <c r="F7450" s="7" t="s">
        <v>80</v>
      </c>
      <c r="G7450" s="284" t="s">
        <v>26</v>
      </c>
      <c r="H7450" s="206" t="s">
        <v>10271</v>
      </c>
      <c r="I7450" s="287">
        <v>0</v>
      </c>
      <c r="J7450" s="286">
        <v>13</v>
      </c>
      <c r="K7450" s="287">
        <v>0</v>
      </c>
      <c r="L7450" s="295">
        <v>0</v>
      </c>
      <c r="M7450" s="295">
        <v>0</v>
      </c>
      <c r="N7450" s="295">
        <v>0</v>
      </c>
      <c r="O7450" s="285">
        <v>0</v>
      </c>
      <c r="P7450" s="300">
        <v>5.8500000000000002E-3</v>
      </c>
      <c r="Q7450" s="247" t="s">
        <v>2218</v>
      </c>
    </row>
    <row r="7451" spans="1:17" s="162" customFormat="1" ht="36" x14ac:dyDescent="0.25">
      <c r="A7451" s="296">
        <v>43101</v>
      </c>
      <c r="B7451" s="296">
        <v>43465</v>
      </c>
      <c r="C7451" s="282">
        <v>2018</v>
      </c>
      <c r="D7451" s="351" t="s">
        <v>23</v>
      </c>
      <c r="E7451" s="30" t="s">
        <v>327</v>
      </c>
      <c r="F7451" s="7" t="s">
        <v>45</v>
      </c>
      <c r="G7451" s="284" t="s">
        <v>26</v>
      </c>
      <c r="H7451" s="206" t="s">
        <v>10272</v>
      </c>
      <c r="I7451" s="287">
        <v>0</v>
      </c>
      <c r="J7451" s="286">
        <v>11</v>
      </c>
      <c r="K7451" s="287">
        <v>0</v>
      </c>
      <c r="L7451" s="295">
        <v>0</v>
      </c>
      <c r="M7451" s="295">
        <v>0</v>
      </c>
      <c r="N7451" s="295">
        <v>0</v>
      </c>
      <c r="O7451" s="285">
        <v>0</v>
      </c>
      <c r="P7451" s="300">
        <v>9.9000000000000008E-3</v>
      </c>
      <c r="Q7451" s="247" t="s">
        <v>2218</v>
      </c>
    </row>
    <row r="7452" spans="1:17" s="162" customFormat="1" ht="36" x14ac:dyDescent="0.25">
      <c r="A7452" s="296">
        <v>43101</v>
      </c>
      <c r="B7452" s="296">
        <v>43465</v>
      </c>
      <c r="C7452" s="282">
        <v>2018</v>
      </c>
      <c r="D7452" s="351" t="s">
        <v>23</v>
      </c>
      <c r="E7452" s="30" t="s">
        <v>327</v>
      </c>
      <c r="F7452" s="7" t="s">
        <v>82</v>
      </c>
      <c r="G7452" s="284" t="s">
        <v>26</v>
      </c>
      <c r="H7452" s="206" t="s">
        <v>10273</v>
      </c>
      <c r="I7452" s="287">
        <v>0</v>
      </c>
      <c r="J7452" s="286">
        <v>11</v>
      </c>
      <c r="K7452" s="287">
        <v>0</v>
      </c>
      <c r="L7452" s="295">
        <v>0</v>
      </c>
      <c r="M7452" s="295">
        <v>0</v>
      </c>
      <c r="N7452" s="295">
        <v>0</v>
      </c>
      <c r="O7452" s="285">
        <v>0</v>
      </c>
      <c r="P7452" s="300">
        <v>9.9000000000000008E-3</v>
      </c>
      <c r="Q7452" s="247" t="s">
        <v>2218</v>
      </c>
    </row>
    <row r="7453" spans="1:17" s="162" customFormat="1" ht="36" x14ac:dyDescent="0.25">
      <c r="A7453" s="296">
        <v>43101</v>
      </c>
      <c r="B7453" s="296">
        <v>43465</v>
      </c>
      <c r="C7453" s="282">
        <v>2018</v>
      </c>
      <c r="D7453" s="351" t="s">
        <v>23</v>
      </c>
      <c r="E7453" s="30" t="s">
        <v>327</v>
      </c>
      <c r="F7453" s="7" t="s">
        <v>33</v>
      </c>
      <c r="G7453" s="284" t="s">
        <v>26</v>
      </c>
      <c r="H7453" s="206" t="s">
        <v>10274</v>
      </c>
      <c r="I7453" s="287">
        <v>0</v>
      </c>
      <c r="J7453" s="286">
        <v>9</v>
      </c>
      <c r="K7453" s="287">
        <v>0</v>
      </c>
      <c r="L7453" s="295">
        <v>0</v>
      </c>
      <c r="M7453" s="295">
        <v>0</v>
      </c>
      <c r="N7453" s="295">
        <v>0</v>
      </c>
      <c r="O7453" s="285">
        <v>0</v>
      </c>
      <c r="P7453" s="300">
        <v>8.0999999999999996E-3</v>
      </c>
      <c r="Q7453" s="247" t="s">
        <v>2218</v>
      </c>
    </row>
    <row r="7454" spans="1:17" s="162" customFormat="1" ht="36" x14ac:dyDescent="0.25">
      <c r="A7454" s="296">
        <v>43101</v>
      </c>
      <c r="B7454" s="296">
        <v>43465</v>
      </c>
      <c r="C7454" s="282">
        <v>2018</v>
      </c>
      <c r="D7454" s="351" t="s">
        <v>23</v>
      </c>
      <c r="E7454" s="30" t="s">
        <v>327</v>
      </c>
      <c r="F7454" s="7" t="s">
        <v>67</v>
      </c>
      <c r="G7454" s="284" t="s">
        <v>26</v>
      </c>
      <c r="H7454" s="206" t="s">
        <v>10275</v>
      </c>
      <c r="I7454" s="287">
        <v>0</v>
      </c>
      <c r="J7454" s="286">
        <v>7</v>
      </c>
      <c r="K7454" s="287">
        <v>0</v>
      </c>
      <c r="L7454" s="295">
        <v>0</v>
      </c>
      <c r="M7454" s="295">
        <v>0</v>
      </c>
      <c r="N7454" s="295">
        <v>0</v>
      </c>
      <c r="O7454" s="285">
        <v>0</v>
      </c>
      <c r="P7454" s="300">
        <v>6.3E-3</v>
      </c>
      <c r="Q7454" s="247" t="s">
        <v>2218</v>
      </c>
    </row>
    <row r="7455" spans="1:17" s="162" customFormat="1" ht="36" x14ac:dyDescent="0.25">
      <c r="A7455" s="296">
        <v>43101</v>
      </c>
      <c r="B7455" s="296">
        <v>43465</v>
      </c>
      <c r="C7455" s="282">
        <v>2018</v>
      </c>
      <c r="D7455" s="351" t="s">
        <v>23</v>
      </c>
      <c r="E7455" s="30" t="s">
        <v>327</v>
      </c>
      <c r="F7455" s="7" t="s">
        <v>56</v>
      </c>
      <c r="G7455" s="284" t="s">
        <v>26</v>
      </c>
      <c r="H7455" s="206" t="s">
        <v>10276</v>
      </c>
      <c r="I7455" s="287">
        <v>0</v>
      </c>
      <c r="J7455" s="286">
        <v>4</v>
      </c>
      <c r="K7455" s="287">
        <v>0</v>
      </c>
      <c r="L7455" s="295">
        <v>0</v>
      </c>
      <c r="M7455" s="295">
        <v>0</v>
      </c>
      <c r="N7455" s="295">
        <v>0</v>
      </c>
      <c r="O7455" s="285">
        <v>0</v>
      </c>
      <c r="P7455" s="300">
        <v>3.5999999999999999E-3</v>
      </c>
      <c r="Q7455" s="247" t="s">
        <v>2218</v>
      </c>
    </row>
    <row r="7456" spans="1:17" s="162" customFormat="1" ht="36" x14ac:dyDescent="0.25">
      <c r="A7456" s="296">
        <v>43101</v>
      </c>
      <c r="B7456" s="296">
        <v>43465</v>
      </c>
      <c r="C7456" s="282">
        <v>2018</v>
      </c>
      <c r="D7456" s="351" t="s">
        <v>23</v>
      </c>
      <c r="E7456" s="30" t="s">
        <v>327</v>
      </c>
      <c r="F7456" s="7" t="s">
        <v>68</v>
      </c>
      <c r="G7456" s="284" t="s">
        <v>26</v>
      </c>
      <c r="H7456" s="206" t="s">
        <v>10277</v>
      </c>
      <c r="I7456" s="287">
        <v>0</v>
      </c>
      <c r="J7456" s="286">
        <v>4</v>
      </c>
      <c r="K7456" s="287">
        <v>0</v>
      </c>
      <c r="L7456" s="295">
        <v>0</v>
      </c>
      <c r="M7456" s="295">
        <v>0</v>
      </c>
      <c r="N7456" s="295">
        <v>0</v>
      </c>
      <c r="O7456" s="285">
        <v>0</v>
      </c>
      <c r="P7456" s="300">
        <v>3.5999999999999999E-3</v>
      </c>
      <c r="Q7456" s="247" t="s">
        <v>2218</v>
      </c>
    </row>
    <row r="7457" spans="1:18" s="162" customFormat="1" ht="24" x14ac:dyDescent="0.25">
      <c r="A7457" s="296">
        <v>43101</v>
      </c>
      <c r="B7457" s="296">
        <v>43465</v>
      </c>
      <c r="C7457" s="282">
        <v>2018</v>
      </c>
      <c r="D7457" s="351" t="s">
        <v>23</v>
      </c>
      <c r="E7457" s="30" t="s">
        <v>327</v>
      </c>
      <c r="F7457" s="7" t="s">
        <v>72</v>
      </c>
      <c r="G7457" s="284" t="s">
        <v>26</v>
      </c>
      <c r="H7457" s="206" t="s">
        <v>10278</v>
      </c>
      <c r="I7457" s="287">
        <v>0</v>
      </c>
      <c r="J7457" s="286">
        <v>3</v>
      </c>
      <c r="K7457" s="287">
        <v>0</v>
      </c>
      <c r="L7457" s="295">
        <v>0</v>
      </c>
      <c r="M7457" s="295">
        <v>0</v>
      </c>
      <c r="N7457" s="295">
        <v>0</v>
      </c>
      <c r="O7457" s="285">
        <v>0</v>
      </c>
      <c r="P7457" s="300">
        <v>2.7000000000000001E-3</v>
      </c>
      <c r="Q7457" s="247" t="s">
        <v>2218</v>
      </c>
    </row>
    <row r="7458" spans="1:18" s="162" customFormat="1" ht="24" x14ac:dyDescent="0.25">
      <c r="A7458" s="296">
        <v>43101</v>
      </c>
      <c r="B7458" s="296">
        <v>43465</v>
      </c>
      <c r="C7458" s="282">
        <v>2018</v>
      </c>
      <c r="D7458" s="351" t="s">
        <v>23</v>
      </c>
      <c r="E7458" s="30" t="s">
        <v>327</v>
      </c>
      <c r="F7458" s="7" t="s">
        <v>25</v>
      </c>
      <c r="G7458" s="284" t="s">
        <v>26</v>
      </c>
      <c r="H7458" s="206" t="s">
        <v>10279</v>
      </c>
      <c r="I7458" s="287">
        <v>0</v>
      </c>
      <c r="J7458" s="286">
        <v>2</v>
      </c>
      <c r="K7458" s="287">
        <v>0</v>
      </c>
      <c r="L7458" s="295">
        <v>0</v>
      </c>
      <c r="M7458" s="295">
        <v>0</v>
      </c>
      <c r="N7458" s="295">
        <v>0</v>
      </c>
      <c r="O7458" s="285">
        <v>0</v>
      </c>
      <c r="P7458" s="300">
        <v>1.8E-3</v>
      </c>
      <c r="Q7458" s="247" t="s">
        <v>2218</v>
      </c>
    </row>
    <row r="7459" spans="1:18" s="162" customFormat="1" ht="24" x14ac:dyDescent="0.25">
      <c r="A7459" s="296">
        <v>43101</v>
      </c>
      <c r="B7459" s="296">
        <v>43465</v>
      </c>
      <c r="C7459" s="282">
        <v>2018</v>
      </c>
      <c r="D7459" s="351" t="s">
        <v>23</v>
      </c>
      <c r="E7459" s="30" t="s">
        <v>327</v>
      </c>
      <c r="F7459" s="7" t="s">
        <v>36</v>
      </c>
      <c r="G7459" s="284" t="s">
        <v>26</v>
      </c>
      <c r="H7459" s="206" t="s">
        <v>10280</v>
      </c>
      <c r="I7459" s="287">
        <v>0</v>
      </c>
      <c r="J7459" s="286">
        <v>2</v>
      </c>
      <c r="K7459" s="287">
        <v>0</v>
      </c>
      <c r="L7459" s="295">
        <v>0</v>
      </c>
      <c r="M7459" s="295">
        <v>0</v>
      </c>
      <c r="N7459" s="295">
        <v>0</v>
      </c>
      <c r="O7459" s="285">
        <v>0</v>
      </c>
      <c r="P7459" s="300">
        <v>8.9999999999999998E-4</v>
      </c>
      <c r="Q7459" s="247" t="s">
        <v>2218</v>
      </c>
    </row>
    <row r="7460" spans="1:18" s="162" customFormat="1" ht="24" x14ac:dyDescent="0.25">
      <c r="A7460" s="296">
        <v>43101</v>
      </c>
      <c r="B7460" s="296">
        <v>43465</v>
      </c>
      <c r="C7460" s="282">
        <v>2018</v>
      </c>
      <c r="D7460" s="351" t="s">
        <v>23</v>
      </c>
      <c r="E7460" s="30" t="s">
        <v>327</v>
      </c>
      <c r="F7460" s="7" t="s">
        <v>65</v>
      </c>
      <c r="G7460" s="284" t="s">
        <v>26</v>
      </c>
      <c r="H7460" s="206" t="s">
        <v>10281</v>
      </c>
      <c r="I7460" s="287">
        <v>0</v>
      </c>
      <c r="J7460" s="286">
        <v>1</v>
      </c>
      <c r="K7460" s="287">
        <v>0</v>
      </c>
      <c r="L7460" s="295">
        <v>0</v>
      </c>
      <c r="M7460" s="295">
        <v>0</v>
      </c>
      <c r="N7460" s="295">
        <v>0</v>
      </c>
      <c r="O7460" s="285">
        <v>0</v>
      </c>
      <c r="P7460" s="300">
        <v>8.9999999999999998E-4</v>
      </c>
      <c r="Q7460" s="247" t="s">
        <v>2218</v>
      </c>
    </row>
    <row r="7461" spans="1:18" s="162" customFormat="1" ht="24" x14ac:dyDescent="0.25">
      <c r="A7461" s="296">
        <v>43101</v>
      </c>
      <c r="B7461" s="296">
        <v>43465</v>
      </c>
      <c r="C7461" s="282">
        <v>2018</v>
      </c>
      <c r="D7461" s="351" t="s">
        <v>23</v>
      </c>
      <c r="E7461" s="30" t="s">
        <v>327</v>
      </c>
      <c r="F7461" s="28" t="s">
        <v>151</v>
      </c>
      <c r="G7461" s="284" t="s">
        <v>26</v>
      </c>
      <c r="H7461" s="206" t="s">
        <v>10282</v>
      </c>
      <c r="I7461" s="287">
        <v>0</v>
      </c>
      <c r="J7461" s="286">
        <v>1</v>
      </c>
      <c r="K7461" s="287">
        <v>0</v>
      </c>
      <c r="L7461" s="295">
        <v>0</v>
      </c>
      <c r="M7461" s="295">
        <v>0</v>
      </c>
      <c r="N7461" s="295">
        <v>0</v>
      </c>
      <c r="O7461" s="285">
        <v>0</v>
      </c>
      <c r="P7461" s="300">
        <v>8.9999999999999998E-4</v>
      </c>
      <c r="Q7461" s="247" t="s">
        <v>2218</v>
      </c>
    </row>
    <row r="7462" spans="1:18" s="162" customFormat="1" ht="24" x14ac:dyDescent="0.25">
      <c r="A7462" s="296">
        <v>43101</v>
      </c>
      <c r="B7462" s="296">
        <v>43465</v>
      </c>
      <c r="C7462" s="282">
        <v>2018</v>
      </c>
      <c r="D7462" s="351" t="s">
        <v>23</v>
      </c>
      <c r="E7462" s="30" t="s">
        <v>327</v>
      </c>
      <c r="F7462" s="28" t="s">
        <v>163</v>
      </c>
      <c r="G7462" s="284" t="s">
        <v>26</v>
      </c>
      <c r="H7462" s="206" t="s">
        <v>10283</v>
      </c>
      <c r="I7462" s="287">
        <v>0</v>
      </c>
      <c r="J7462" s="286">
        <v>1</v>
      </c>
      <c r="K7462" s="287">
        <v>0</v>
      </c>
      <c r="L7462" s="295">
        <v>0</v>
      </c>
      <c r="M7462" s="295">
        <v>0</v>
      </c>
      <c r="N7462" s="295">
        <v>0</v>
      </c>
      <c r="O7462" s="285">
        <v>0</v>
      </c>
      <c r="P7462" s="300">
        <v>8.9999999999999998E-4</v>
      </c>
      <c r="Q7462" s="247" t="s">
        <v>2218</v>
      </c>
    </row>
    <row r="7463" spans="1:18" s="162" customFormat="1" x14ac:dyDescent="0.25">
      <c r="A7463" s="296">
        <v>43101</v>
      </c>
      <c r="B7463" s="296">
        <v>43465</v>
      </c>
      <c r="C7463" s="282">
        <v>2018</v>
      </c>
      <c r="D7463" s="351" t="s">
        <v>23</v>
      </c>
      <c r="E7463" s="30" t="s">
        <v>327</v>
      </c>
      <c r="F7463" s="7" t="s">
        <v>36</v>
      </c>
      <c r="G7463" s="284" t="s">
        <v>26</v>
      </c>
      <c r="H7463" s="206" t="s">
        <v>10284</v>
      </c>
      <c r="I7463" s="287">
        <v>1</v>
      </c>
      <c r="J7463" s="289">
        <v>0</v>
      </c>
      <c r="K7463" s="287">
        <v>0</v>
      </c>
      <c r="L7463" s="295">
        <v>0</v>
      </c>
      <c r="M7463" s="295">
        <v>0</v>
      </c>
      <c r="N7463" s="295">
        <v>0</v>
      </c>
      <c r="O7463" s="285">
        <v>0</v>
      </c>
      <c r="P7463" s="300">
        <v>8.9999999999999998E-4</v>
      </c>
      <c r="Q7463" s="247" t="s">
        <v>2218</v>
      </c>
    </row>
    <row r="7464" spans="1:18" s="162" customFormat="1" ht="24" x14ac:dyDescent="0.25">
      <c r="A7464" s="296">
        <v>43101</v>
      </c>
      <c r="B7464" s="296">
        <v>43465</v>
      </c>
      <c r="C7464" s="282">
        <v>2018</v>
      </c>
      <c r="D7464" s="351" t="s">
        <v>23</v>
      </c>
      <c r="E7464" s="30" t="s">
        <v>327</v>
      </c>
      <c r="F7464" s="7" t="s">
        <v>80</v>
      </c>
      <c r="G7464" s="284" t="s">
        <v>26</v>
      </c>
      <c r="H7464" s="206" t="s">
        <v>10285</v>
      </c>
      <c r="I7464" s="287">
        <v>2</v>
      </c>
      <c r="J7464" s="289">
        <v>0</v>
      </c>
      <c r="K7464" s="287">
        <v>0</v>
      </c>
      <c r="L7464" s="295">
        <v>0</v>
      </c>
      <c r="M7464" s="295">
        <v>0</v>
      </c>
      <c r="N7464" s="295">
        <v>0</v>
      </c>
      <c r="O7464" s="285">
        <v>0</v>
      </c>
      <c r="P7464" s="300">
        <v>5.8500000000000002E-3</v>
      </c>
      <c r="Q7464" s="247" t="s">
        <v>2218</v>
      </c>
    </row>
    <row r="7465" spans="1:18" s="162" customFormat="1" ht="24" x14ac:dyDescent="0.25">
      <c r="A7465" s="21">
        <v>43586</v>
      </c>
      <c r="B7465" s="21">
        <v>43585</v>
      </c>
      <c r="C7465" s="43">
        <v>2019</v>
      </c>
      <c r="D7465" s="351" t="s">
        <v>23</v>
      </c>
      <c r="E7465" s="14" t="s">
        <v>24</v>
      </c>
      <c r="F7465" s="28" t="s">
        <v>210</v>
      </c>
      <c r="G7465" s="146"/>
      <c r="H7465" s="44" t="s">
        <v>10286</v>
      </c>
      <c r="I7465" s="99">
        <v>0</v>
      </c>
      <c r="J7465" s="301">
        <v>0</v>
      </c>
      <c r="K7465" s="46">
        <v>0</v>
      </c>
      <c r="L7465" s="46">
        <v>0</v>
      </c>
      <c r="M7465" s="46">
        <v>0</v>
      </c>
      <c r="N7465" s="46">
        <v>0</v>
      </c>
      <c r="O7465" s="46">
        <v>0</v>
      </c>
      <c r="P7465" s="302">
        <v>7.58683</v>
      </c>
      <c r="Q7465" s="157" t="s">
        <v>186</v>
      </c>
      <c r="R7465" s="303"/>
    </row>
    <row r="7466" spans="1:18" s="162" customFormat="1" ht="180" x14ac:dyDescent="0.25">
      <c r="A7466" s="184">
        <v>43829</v>
      </c>
      <c r="B7466" s="184">
        <v>43467</v>
      </c>
      <c r="C7466" s="138">
        <v>2019</v>
      </c>
      <c r="D7466" s="351" t="s">
        <v>23</v>
      </c>
      <c r="E7466" s="22" t="s">
        <v>2689</v>
      </c>
      <c r="F7466" s="7" t="s">
        <v>87</v>
      </c>
      <c r="G7466" s="33" t="s">
        <v>10287</v>
      </c>
      <c r="H7466" s="33" t="s">
        <v>10288</v>
      </c>
      <c r="I7466" s="304">
        <v>0</v>
      </c>
      <c r="J7466" s="305">
        <v>18506</v>
      </c>
      <c r="K7466" s="142">
        <v>0</v>
      </c>
      <c r="L7466" s="142">
        <v>0</v>
      </c>
      <c r="M7466" s="142">
        <v>0</v>
      </c>
      <c r="N7466" s="142">
        <v>0</v>
      </c>
      <c r="O7466" s="142">
        <v>0</v>
      </c>
      <c r="P7466" s="306">
        <v>19.484035759999998</v>
      </c>
      <c r="Q7466" s="157" t="s">
        <v>186</v>
      </c>
      <c r="R7466" s="303"/>
    </row>
    <row r="7467" spans="1:18" s="162" customFormat="1" ht="108" x14ac:dyDescent="0.25">
      <c r="A7467" s="17">
        <v>43466</v>
      </c>
      <c r="B7467" s="17">
        <v>43616</v>
      </c>
      <c r="C7467" s="43">
        <v>2019</v>
      </c>
      <c r="D7467" s="351" t="s">
        <v>23</v>
      </c>
      <c r="E7467" s="14" t="s">
        <v>24</v>
      </c>
      <c r="F7467" s="7" t="s">
        <v>82</v>
      </c>
      <c r="G7467" s="146" t="s">
        <v>10289</v>
      </c>
      <c r="H7467" s="307" t="s">
        <v>10290</v>
      </c>
      <c r="I7467" s="304">
        <v>0</v>
      </c>
      <c r="J7467" s="305">
        <v>0</v>
      </c>
      <c r="K7467" s="142">
        <v>0</v>
      </c>
      <c r="L7467" s="142">
        <v>0</v>
      </c>
      <c r="M7467" s="142">
        <v>0</v>
      </c>
      <c r="N7467" s="142">
        <v>0</v>
      </c>
      <c r="O7467" s="305">
        <v>164562</v>
      </c>
      <c r="P7467" s="306">
        <v>1134.380566</v>
      </c>
      <c r="Q7467" s="99" t="s">
        <v>4663</v>
      </c>
      <c r="R7467" s="303"/>
    </row>
    <row r="7468" spans="1:18" s="162" customFormat="1" ht="96" x14ac:dyDescent="0.25">
      <c r="A7468" s="184">
        <v>43469</v>
      </c>
      <c r="B7468" s="184">
        <v>43469</v>
      </c>
      <c r="C7468" s="138">
        <v>2019</v>
      </c>
      <c r="D7468" s="24" t="s">
        <v>141</v>
      </c>
      <c r="E7468" s="30" t="s">
        <v>142</v>
      </c>
      <c r="F7468" s="28" t="s">
        <v>210</v>
      </c>
      <c r="G7468" s="33" t="s">
        <v>4404</v>
      </c>
      <c r="H7468" s="33" t="s">
        <v>10291</v>
      </c>
      <c r="I7468" s="304">
        <v>0</v>
      </c>
      <c r="J7468" s="305">
        <v>10</v>
      </c>
      <c r="K7468" s="142">
        <v>0</v>
      </c>
      <c r="L7468" s="142">
        <v>0</v>
      </c>
      <c r="M7468" s="142">
        <v>0</v>
      </c>
      <c r="N7468" s="142">
        <v>0</v>
      </c>
      <c r="O7468" s="142">
        <v>0</v>
      </c>
      <c r="P7468" s="306">
        <v>0.152724</v>
      </c>
      <c r="Q7468" s="157" t="s">
        <v>154</v>
      </c>
      <c r="R7468" s="303"/>
    </row>
    <row r="7469" spans="1:18" s="162" customFormat="1" ht="156" x14ac:dyDescent="0.25">
      <c r="A7469" s="184">
        <v>43476</v>
      </c>
      <c r="B7469" s="184">
        <v>43476</v>
      </c>
      <c r="C7469" s="43">
        <v>2019</v>
      </c>
      <c r="D7469" s="35" t="s">
        <v>28</v>
      </c>
      <c r="E7469" s="6" t="s">
        <v>369</v>
      </c>
      <c r="F7469" s="7" t="s">
        <v>77</v>
      </c>
      <c r="G7469" s="33" t="s">
        <v>77</v>
      </c>
      <c r="H7469" s="33" t="s">
        <v>10292</v>
      </c>
      <c r="I7469" s="304">
        <v>0</v>
      </c>
      <c r="J7469" s="305">
        <v>281</v>
      </c>
      <c r="K7469" s="142">
        <v>0</v>
      </c>
      <c r="L7469" s="142">
        <v>0</v>
      </c>
      <c r="M7469" s="142">
        <v>0</v>
      </c>
      <c r="N7469" s="142">
        <v>0</v>
      </c>
      <c r="O7469" s="142">
        <v>0</v>
      </c>
      <c r="P7469" s="306">
        <v>4.9181000000000009E-2</v>
      </c>
      <c r="Q7469" s="157" t="s">
        <v>154</v>
      </c>
      <c r="R7469" s="303"/>
    </row>
    <row r="7470" spans="1:18" s="162" customFormat="1" ht="72" x14ac:dyDescent="0.25">
      <c r="A7470" s="184">
        <v>43477</v>
      </c>
      <c r="B7470" s="184">
        <v>43477</v>
      </c>
      <c r="C7470" s="138">
        <v>2019</v>
      </c>
      <c r="D7470" s="24" t="s">
        <v>141</v>
      </c>
      <c r="E7470" s="30" t="s">
        <v>142</v>
      </c>
      <c r="F7470" s="7" t="s">
        <v>72</v>
      </c>
      <c r="G7470" s="33" t="s">
        <v>10293</v>
      </c>
      <c r="H7470" s="33" t="s">
        <v>10294</v>
      </c>
      <c r="I7470" s="304">
        <v>1</v>
      </c>
      <c r="J7470" s="305">
        <v>7</v>
      </c>
      <c r="K7470" s="142">
        <v>0</v>
      </c>
      <c r="L7470" s="142">
        <v>0</v>
      </c>
      <c r="M7470" s="142">
        <v>0</v>
      </c>
      <c r="N7470" s="142">
        <v>0</v>
      </c>
      <c r="O7470" s="142">
        <v>0</v>
      </c>
      <c r="P7470" s="306">
        <v>0.35633170000000003</v>
      </c>
      <c r="Q7470" s="157" t="s">
        <v>154</v>
      </c>
      <c r="R7470" s="303"/>
    </row>
    <row r="7471" spans="1:18" s="162" customFormat="1" ht="120" x14ac:dyDescent="0.25">
      <c r="A7471" s="184">
        <v>43477</v>
      </c>
      <c r="B7471" s="184">
        <v>43477</v>
      </c>
      <c r="C7471" s="43">
        <v>2019</v>
      </c>
      <c r="D7471" s="24" t="s">
        <v>141</v>
      </c>
      <c r="E7471" s="30" t="s">
        <v>142</v>
      </c>
      <c r="F7471" s="7" t="s">
        <v>75</v>
      </c>
      <c r="G7471" s="33" t="s">
        <v>10295</v>
      </c>
      <c r="H7471" s="33" t="s">
        <v>10296</v>
      </c>
      <c r="I7471" s="304">
        <v>0</v>
      </c>
      <c r="J7471" s="305">
        <v>15</v>
      </c>
      <c r="K7471" s="142">
        <v>0</v>
      </c>
      <c r="L7471" s="142">
        <v>0</v>
      </c>
      <c r="M7471" s="142">
        <v>0</v>
      </c>
      <c r="N7471" s="142">
        <v>0</v>
      </c>
      <c r="O7471" s="142">
        <v>0</v>
      </c>
      <c r="P7471" s="306">
        <v>0.84067833837209305</v>
      </c>
      <c r="Q7471" s="157" t="s">
        <v>154</v>
      </c>
      <c r="R7471" s="303"/>
    </row>
    <row r="7472" spans="1:18" s="162" customFormat="1" ht="108" x14ac:dyDescent="0.25">
      <c r="A7472" s="184">
        <v>43478</v>
      </c>
      <c r="B7472" s="184">
        <v>43478</v>
      </c>
      <c r="C7472" s="138">
        <v>2019</v>
      </c>
      <c r="D7472" s="24" t="s">
        <v>141</v>
      </c>
      <c r="E7472" s="30" t="s">
        <v>142</v>
      </c>
      <c r="F7472" s="7" t="s">
        <v>84</v>
      </c>
      <c r="G7472" s="33" t="s">
        <v>939</v>
      </c>
      <c r="H7472" s="33" t="s">
        <v>10297</v>
      </c>
      <c r="I7472" s="304">
        <v>0</v>
      </c>
      <c r="J7472" s="305">
        <v>35</v>
      </c>
      <c r="K7472" s="142">
        <v>0</v>
      </c>
      <c r="L7472" s="142">
        <v>0</v>
      </c>
      <c r="M7472" s="142">
        <v>0</v>
      </c>
      <c r="N7472" s="142">
        <v>0</v>
      </c>
      <c r="O7472" s="142">
        <v>0</v>
      </c>
      <c r="P7472" s="306">
        <v>0.74877000000000005</v>
      </c>
      <c r="Q7472" s="157" t="s">
        <v>154</v>
      </c>
      <c r="R7472" s="303"/>
    </row>
    <row r="7473" spans="1:18" s="162" customFormat="1" ht="108" x14ac:dyDescent="0.25">
      <c r="A7473" s="184">
        <v>43478</v>
      </c>
      <c r="B7473" s="184">
        <v>43478</v>
      </c>
      <c r="C7473" s="43">
        <v>2019</v>
      </c>
      <c r="D7473" s="24" t="s">
        <v>141</v>
      </c>
      <c r="E7473" s="49" t="s">
        <v>10298</v>
      </c>
      <c r="F7473" s="28" t="s">
        <v>160</v>
      </c>
      <c r="G7473" s="33" t="s">
        <v>4798</v>
      </c>
      <c r="H7473" s="33" t="s">
        <v>10299</v>
      </c>
      <c r="I7473" s="304">
        <v>1</v>
      </c>
      <c r="J7473" s="305">
        <v>6</v>
      </c>
      <c r="K7473" s="142">
        <v>0</v>
      </c>
      <c r="L7473" s="142">
        <v>0</v>
      </c>
      <c r="M7473" s="142">
        <v>0</v>
      </c>
      <c r="N7473" s="142">
        <v>0</v>
      </c>
      <c r="O7473" s="142">
        <v>0</v>
      </c>
      <c r="P7473" s="306">
        <v>0</v>
      </c>
      <c r="Q7473" s="157" t="s">
        <v>154</v>
      </c>
      <c r="R7473" s="303"/>
    </row>
    <row r="7474" spans="1:18" s="162" customFormat="1" ht="108" x14ac:dyDescent="0.25">
      <c r="A7474" s="184">
        <v>43479</v>
      </c>
      <c r="B7474" s="184">
        <v>43479</v>
      </c>
      <c r="C7474" s="138">
        <v>2019</v>
      </c>
      <c r="D7474" s="24" t="s">
        <v>141</v>
      </c>
      <c r="E7474" s="30" t="s">
        <v>142</v>
      </c>
      <c r="F7474" s="7" t="s">
        <v>62</v>
      </c>
      <c r="G7474" s="33" t="s">
        <v>857</v>
      </c>
      <c r="H7474" s="33" t="s">
        <v>10300</v>
      </c>
      <c r="I7474" s="304">
        <v>1</v>
      </c>
      <c r="J7474" s="305">
        <v>9</v>
      </c>
      <c r="K7474" s="142">
        <v>0</v>
      </c>
      <c r="L7474" s="142">
        <v>0</v>
      </c>
      <c r="M7474" s="142">
        <v>0</v>
      </c>
      <c r="N7474" s="142">
        <v>0</v>
      </c>
      <c r="O7474" s="142">
        <v>0</v>
      </c>
      <c r="P7474" s="306">
        <v>7.9332E-2</v>
      </c>
      <c r="Q7474" s="157" t="s">
        <v>154</v>
      </c>
      <c r="R7474" s="303"/>
    </row>
    <row r="7475" spans="1:18" s="162" customFormat="1" ht="120" x14ac:dyDescent="0.25">
      <c r="A7475" s="184">
        <v>43479</v>
      </c>
      <c r="B7475" s="184">
        <v>43479</v>
      </c>
      <c r="C7475" s="43">
        <v>2019</v>
      </c>
      <c r="D7475" s="24" t="s">
        <v>141</v>
      </c>
      <c r="E7475" s="30" t="s">
        <v>142</v>
      </c>
      <c r="F7475" s="7" t="s">
        <v>68</v>
      </c>
      <c r="G7475" s="33" t="s">
        <v>9960</v>
      </c>
      <c r="H7475" s="33" t="s">
        <v>10301</v>
      </c>
      <c r="I7475" s="304">
        <v>4</v>
      </c>
      <c r="J7475" s="305">
        <v>4</v>
      </c>
      <c r="K7475" s="142">
        <v>0</v>
      </c>
      <c r="L7475" s="142">
        <v>0</v>
      </c>
      <c r="M7475" s="142">
        <v>0</v>
      </c>
      <c r="N7475" s="142">
        <v>0</v>
      </c>
      <c r="O7475" s="142">
        <v>0</v>
      </c>
      <c r="P7475" s="306">
        <v>0.24840200000000001</v>
      </c>
      <c r="Q7475" s="157" t="s">
        <v>154</v>
      </c>
      <c r="R7475" s="303"/>
    </row>
    <row r="7476" spans="1:18" s="162" customFormat="1" ht="84" x14ac:dyDescent="0.25">
      <c r="A7476" s="184">
        <v>43480</v>
      </c>
      <c r="B7476" s="184">
        <v>43480</v>
      </c>
      <c r="C7476" s="138">
        <v>2019</v>
      </c>
      <c r="D7476" s="35" t="s">
        <v>28</v>
      </c>
      <c r="E7476" s="30" t="s">
        <v>133</v>
      </c>
      <c r="F7476" s="7" t="s">
        <v>53</v>
      </c>
      <c r="G7476" s="33" t="s">
        <v>247</v>
      </c>
      <c r="H7476" s="33" t="s">
        <v>10302</v>
      </c>
      <c r="I7476" s="304">
        <v>0</v>
      </c>
      <c r="J7476" s="305">
        <v>5</v>
      </c>
      <c r="K7476" s="142">
        <v>1</v>
      </c>
      <c r="L7476" s="142">
        <v>0</v>
      </c>
      <c r="M7476" s="142">
        <v>0</v>
      </c>
      <c r="N7476" s="142">
        <v>0</v>
      </c>
      <c r="O7476" s="142">
        <v>0</v>
      </c>
      <c r="P7476" s="306">
        <v>1.1000000000000001E-2</v>
      </c>
      <c r="Q7476" s="157" t="s">
        <v>154</v>
      </c>
      <c r="R7476" s="303"/>
    </row>
    <row r="7477" spans="1:18" s="162" customFormat="1" ht="120" x14ac:dyDescent="0.25">
      <c r="A7477" s="184">
        <v>43481</v>
      </c>
      <c r="B7477" s="184">
        <v>43481</v>
      </c>
      <c r="C7477" s="43">
        <v>2019</v>
      </c>
      <c r="D7477" s="24" t="s">
        <v>141</v>
      </c>
      <c r="E7477" s="30" t="s">
        <v>142</v>
      </c>
      <c r="F7477" s="7" t="s">
        <v>56</v>
      </c>
      <c r="G7477" s="33" t="s">
        <v>358</v>
      </c>
      <c r="H7477" s="33" t="s">
        <v>10303</v>
      </c>
      <c r="I7477" s="304">
        <v>0</v>
      </c>
      <c r="J7477" s="305">
        <v>14</v>
      </c>
      <c r="K7477" s="142">
        <v>0</v>
      </c>
      <c r="L7477" s="142">
        <v>0</v>
      </c>
      <c r="M7477" s="142">
        <v>0</v>
      </c>
      <c r="N7477" s="142">
        <v>0</v>
      </c>
      <c r="O7477" s="142">
        <v>0</v>
      </c>
      <c r="P7477" s="306">
        <v>7.5371999999999995E-2</v>
      </c>
      <c r="Q7477" s="157" t="s">
        <v>154</v>
      </c>
      <c r="R7477" s="303"/>
    </row>
    <row r="7478" spans="1:18" s="162" customFormat="1" ht="132" x14ac:dyDescent="0.25">
      <c r="A7478" s="184">
        <v>43481</v>
      </c>
      <c r="B7478" s="184">
        <v>43481</v>
      </c>
      <c r="C7478" s="138">
        <v>2019</v>
      </c>
      <c r="D7478" s="24" t="s">
        <v>141</v>
      </c>
      <c r="E7478" s="30" t="s">
        <v>142</v>
      </c>
      <c r="F7478" s="7" t="s">
        <v>56</v>
      </c>
      <c r="G7478" s="33" t="s">
        <v>358</v>
      </c>
      <c r="H7478" s="33" t="s">
        <v>10304</v>
      </c>
      <c r="I7478" s="304">
        <v>0</v>
      </c>
      <c r="J7478" s="305">
        <v>23</v>
      </c>
      <c r="K7478" s="142">
        <v>0</v>
      </c>
      <c r="L7478" s="142">
        <v>0</v>
      </c>
      <c r="M7478" s="142">
        <v>0</v>
      </c>
      <c r="N7478" s="142">
        <v>0</v>
      </c>
      <c r="O7478" s="142">
        <v>0</v>
      </c>
      <c r="P7478" s="306">
        <v>0.73689000000000004</v>
      </c>
      <c r="Q7478" s="157" t="s">
        <v>154</v>
      </c>
      <c r="R7478" s="303"/>
    </row>
    <row r="7479" spans="1:18" s="162" customFormat="1" ht="120" x14ac:dyDescent="0.25">
      <c r="A7479" s="184">
        <v>43481</v>
      </c>
      <c r="B7479" s="184">
        <v>43481</v>
      </c>
      <c r="C7479" s="43">
        <v>2019</v>
      </c>
      <c r="D7479" s="24" t="s">
        <v>141</v>
      </c>
      <c r="E7479" s="30" t="s">
        <v>142</v>
      </c>
      <c r="F7479" s="7" t="s">
        <v>97</v>
      </c>
      <c r="G7479" s="33" t="s">
        <v>97</v>
      </c>
      <c r="H7479" s="33" t="s">
        <v>10305</v>
      </c>
      <c r="I7479" s="304">
        <v>0</v>
      </c>
      <c r="J7479" s="305">
        <v>8</v>
      </c>
      <c r="K7479" s="142">
        <v>0</v>
      </c>
      <c r="L7479" s="142">
        <v>0</v>
      </c>
      <c r="M7479" s="142">
        <v>0</v>
      </c>
      <c r="N7479" s="142">
        <v>0</v>
      </c>
      <c r="O7479" s="142">
        <v>0</v>
      </c>
      <c r="P7479" s="306">
        <v>0.89841169999999992</v>
      </c>
      <c r="Q7479" s="157" t="s">
        <v>154</v>
      </c>
      <c r="R7479" s="303"/>
    </row>
    <row r="7480" spans="1:18" s="162" customFormat="1" ht="132" x14ac:dyDescent="0.25">
      <c r="A7480" s="184">
        <v>43482</v>
      </c>
      <c r="B7480" s="184">
        <v>43482</v>
      </c>
      <c r="C7480" s="138">
        <v>2019</v>
      </c>
      <c r="D7480" s="35" t="s">
        <v>28</v>
      </c>
      <c r="E7480" s="6" t="s">
        <v>369</v>
      </c>
      <c r="F7480" s="7" t="s">
        <v>84</v>
      </c>
      <c r="G7480" s="33" t="s">
        <v>3161</v>
      </c>
      <c r="H7480" s="33" t="s">
        <v>10306</v>
      </c>
      <c r="I7480" s="304">
        <v>0</v>
      </c>
      <c r="J7480" s="305">
        <v>258</v>
      </c>
      <c r="K7480" s="142">
        <v>0</v>
      </c>
      <c r="L7480" s="142">
        <v>0</v>
      </c>
      <c r="M7480" s="142">
        <v>0</v>
      </c>
      <c r="N7480" s="142">
        <v>0</v>
      </c>
      <c r="O7480" s="142">
        <v>0</v>
      </c>
      <c r="P7480" s="306">
        <v>5.9400000000000008E-3</v>
      </c>
      <c r="Q7480" s="157" t="s">
        <v>154</v>
      </c>
      <c r="R7480" s="303"/>
    </row>
    <row r="7481" spans="1:18" s="162" customFormat="1" ht="96" x14ac:dyDescent="0.25">
      <c r="A7481" s="184">
        <v>43482</v>
      </c>
      <c r="B7481" s="184">
        <v>43482</v>
      </c>
      <c r="C7481" s="43">
        <v>2019</v>
      </c>
      <c r="D7481" s="24" t="s">
        <v>141</v>
      </c>
      <c r="E7481" s="30" t="s">
        <v>142</v>
      </c>
      <c r="F7481" s="7" t="s">
        <v>101</v>
      </c>
      <c r="G7481" s="33" t="s">
        <v>752</v>
      </c>
      <c r="H7481" s="33" t="s">
        <v>10307</v>
      </c>
      <c r="I7481" s="304">
        <v>1</v>
      </c>
      <c r="J7481" s="305">
        <v>21</v>
      </c>
      <c r="K7481" s="142">
        <v>0</v>
      </c>
      <c r="L7481" s="142">
        <v>0</v>
      </c>
      <c r="M7481" s="142">
        <v>0</v>
      </c>
      <c r="N7481" s="142">
        <v>0</v>
      </c>
      <c r="O7481" s="142">
        <v>0</v>
      </c>
      <c r="P7481" s="306">
        <v>8.9445170000000004E-2</v>
      </c>
      <c r="Q7481" s="157" t="s">
        <v>154</v>
      </c>
      <c r="R7481" s="303"/>
    </row>
    <row r="7482" spans="1:18" s="162" customFormat="1" ht="108" x14ac:dyDescent="0.25">
      <c r="A7482" s="184">
        <v>43481</v>
      </c>
      <c r="B7482" s="184">
        <v>43481</v>
      </c>
      <c r="C7482" s="138">
        <v>2019</v>
      </c>
      <c r="D7482" s="35" t="s">
        <v>17</v>
      </c>
      <c r="E7482" s="6" t="s">
        <v>328</v>
      </c>
      <c r="F7482" s="28" t="s">
        <v>157</v>
      </c>
      <c r="G7482" s="33" t="s">
        <v>526</v>
      </c>
      <c r="H7482" s="33" t="s">
        <v>10308</v>
      </c>
      <c r="I7482" s="304">
        <v>1</v>
      </c>
      <c r="J7482" s="305">
        <v>1</v>
      </c>
      <c r="K7482" s="142">
        <v>0</v>
      </c>
      <c r="L7482" s="142">
        <v>0</v>
      </c>
      <c r="M7482" s="142">
        <v>0</v>
      </c>
      <c r="N7482" s="142">
        <v>0</v>
      </c>
      <c r="O7482" s="142">
        <v>0</v>
      </c>
      <c r="P7482" s="306">
        <v>0</v>
      </c>
      <c r="Q7482" s="157" t="s">
        <v>154</v>
      </c>
      <c r="R7482" s="303"/>
    </row>
    <row r="7483" spans="1:18" s="162" customFormat="1" ht="144" x14ac:dyDescent="0.25">
      <c r="A7483" s="184">
        <v>43483</v>
      </c>
      <c r="B7483" s="184">
        <v>43483</v>
      </c>
      <c r="C7483" s="43">
        <v>2019</v>
      </c>
      <c r="D7483" s="35" t="s">
        <v>28</v>
      </c>
      <c r="E7483" s="30" t="s">
        <v>133</v>
      </c>
      <c r="F7483" s="28" t="s">
        <v>160</v>
      </c>
      <c r="G7483" s="33" t="s">
        <v>5968</v>
      </c>
      <c r="H7483" s="33" t="s">
        <v>10309</v>
      </c>
      <c r="I7483" s="304">
        <v>137</v>
      </c>
      <c r="J7483" s="305">
        <v>147</v>
      </c>
      <c r="K7483" s="142">
        <v>0</v>
      </c>
      <c r="L7483" s="142">
        <v>0</v>
      </c>
      <c r="M7483" s="142">
        <v>0</v>
      </c>
      <c r="N7483" s="142">
        <v>0</v>
      </c>
      <c r="O7483" s="142">
        <v>0</v>
      </c>
      <c r="P7483" s="306">
        <v>85.613764000000003</v>
      </c>
      <c r="Q7483" s="157" t="s">
        <v>22</v>
      </c>
      <c r="R7483" s="303"/>
    </row>
    <row r="7484" spans="1:18" s="162" customFormat="1" ht="132" x14ac:dyDescent="0.25">
      <c r="A7484" s="184">
        <v>43485</v>
      </c>
      <c r="B7484" s="184">
        <v>43485</v>
      </c>
      <c r="C7484" s="138">
        <v>2019</v>
      </c>
      <c r="D7484" s="24" t="s">
        <v>141</v>
      </c>
      <c r="E7484" s="30" t="s">
        <v>142</v>
      </c>
      <c r="F7484" s="7" t="s">
        <v>75</v>
      </c>
      <c r="G7484" s="33" t="s">
        <v>4971</v>
      </c>
      <c r="H7484" s="33" t="s">
        <v>10310</v>
      </c>
      <c r="I7484" s="304">
        <v>2</v>
      </c>
      <c r="J7484" s="305">
        <v>17</v>
      </c>
      <c r="K7484" s="142">
        <v>0</v>
      </c>
      <c r="L7484" s="142">
        <v>0</v>
      </c>
      <c r="M7484" s="142">
        <v>0</v>
      </c>
      <c r="N7484" s="142">
        <v>0</v>
      </c>
      <c r="O7484" s="142">
        <v>0</v>
      </c>
      <c r="P7484" s="306">
        <v>0.43826199999999998</v>
      </c>
      <c r="Q7484" s="157" t="s">
        <v>154</v>
      </c>
      <c r="R7484" s="303"/>
    </row>
    <row r="7485" spans="1:18" s="162" customFormat="1" ht="60" x14ac:dyDescent="0.25">
      <c r="A7485" s="184">
        <v>43486</v>
      </c>
      <c r="B7485" s="184">
        <v>43486</v>
      </c>
      <c r="C7485" s="43">
        <v>2019</v>
      </c>
      <c r="D7485" s="24" t="s">
        <v>141</v>
      </c>
      <c r="E7485" s="41" t="s">
        <v>1965</v>
      </c>
      <c r="F7485" s="7" t="s">
        <v>75</v>
      </c>
      <c r="G7485" s="33" t="s">
        <v>5367</v>
      </c>
      <c r="H7485" s="33" t="s">
        <v>10311</v>
      </c>
      <c r="I7485" s="304">
        <v>2</v>
      </c>
      <c r="J7485" s="305">
        <v>2</v>
      </c>
      <c r="K7485" s="142">
        <v>0</v>
      </c>
      <c r="L7485" s="142">
        <v>0</v>
      </c>
      <c r="M7485" s="142">
        <v>0</v>
      </c>
      <c r="N7485" s="142">
        <v>0</v>
      </c>
      <c r="O7485" s="142">
        <v>0</v>
      </c>
      <c r="P7485" s="306">
        <v>0</v>
      </c>
      <c r="Q7485" s="157" t="s">
        <v>154</v>
      </c>
      <c r="R7485" s="303"/>
    </row>
    <row r="7486" spans="1:18" s="162" customFormat="1" x14ac:dyDescent="0.25">
      <c r="A7486" s="184">
        <v>43486</v>
      </c>
      <c r="B7486" s="184">
        <v>43487</v>
      </c>
      <c r="C7486" s="138">
        <v>2019</v>
      </c>
      <c r="D7486" s="351" t="s">
        <v>23</v>
      </c>
      <c r="E7486" s="22" t="s">
        <v>2689</v>
      </c>
      <c r="F7486" s="28" t="s">
        <v>210</v>
      </c>
      <c r="G7486" s="33" t="s">
        <v>10312</v>
      </c>
      <c r="H7486" s="33" t="s">
        <v>10313</v>
      </c>
      <c r="I7486" s="304">
        <v>0</v>
      </c>
      <c r="J7486" s="305">
        <v>5235</v>
      </c>
      <c r="K7486" s="142">
        <v>0</v>
      </c>
      <c r="L7486" s="142">
        <v>0</v>
      </c>
      <c r="M7486" s="142">
        <v>0</v>
      </c>
      <c r="N7486" s="142">
        <v>0</v>
      </c>
      <c r="O7486" s="142">
        <v>0</v>
      </c>
      <c r="P7486" s="306">
        <v>10.335975533600003</v>
      </c>
      <c r="Q7486" s="157" t="s">
        <v>186</v>
      </c>
      <c r="R7486" s="303"/>
    </row>
    <row r="7487" spans="1:18" s="162" customFormat="1" ht="84" x14ac:dyDescent="0.25">
      <c r="A7487" s="184">
        <v>43487</v>
      </c>
      <c r="B7487" s="184">
        <v>43487</v>
      </c>
      <c r="C7487" s="43">
        <v>2019</v>
      </c>
      <c r="D7487" s="24" t="s">
        <v>141</v>
      </c>
      <c r="E7487" s="30" t="s">
        <v>142</v>
      </c>
      <c r="F7487" s="28" t="s">
        <v>157</v>
      </c>
      <c r="G7487" s="33" t="s">
        <v>10314</v>
      </c>
      <c r="H7487" s="33" t="s">
        <v>10315</v>
      </c>
      <c r="I7487" s="304">
        <v>1</v>
      </c>
      <c r="J7487" s="305">
        <v>12</v>
      </c>
      <c r="K7487" s="142">
        <v>0</v>
      </c>
      <c r="L7487" s="142">
        <v>0</v>
      </c>
      <c r="M7487" s="142">
        <v>0</v>
      </c>
      <c r="N7487" s="142">
        <v>0</v>
      </c>
      <c r="O7487" s="142">
        <v>0</v>
      </c>
      <c r="P7487" s="306">
        <v>2.7459999999999998E-2</v>
      </c>
      <c r="Q7487" s="157" t="s">
        <v>154</v>
      </c>
      <c r="R7487" s="303"/>
    </row>
    <row r="7488" spans="1:18" s="162" customFormat="1" ht="120" x14ac:dyDescent="0.25">
      <c r="A7488" s="184">
        <v>43487</v>
      </c>
      <c r="B7488" s="184">
        <v>43487</v>
      </c>
      <c r="C7488" s="138">
        <v>2019</v>
      </c>
      <c r="D7488" s="35" t="s">
        <v>28</v>
      </c>
      <c r="E7488" s="30" t="s">
        <v>133</v>
      </c>
      <c r="F7488" s="7" t="s">
        <v>62</v>
      </c>
      <c r="G7488" s="33" t="s">
        <v>1011</v>
      </c>
      <c r="H7488" s="33" t="s">
        <v>10316</v>
      </c>
      <c r="I7488" s="304">
        <v>0</v>
      </c>
      <c r="J7488" s="305">
        <v>28</v>
      </c>
      <c r="K7488" s="142">
        <v>0</v>
      </c>
      <c r="L7488" s="142">
        <v>0</v>
      </c>
      <c r="M7488" s="142">
        <v>0</v>
      </c>
      <c r="N7488" s="142">
        <v>1</v>
      </c>
      <c r="O7488" s="142">
        <v>0</v>
      </c>
      <c r="P7488" s="306">
        <v>0</v>
      </c>
      <c r="Q7488" s="157" t="s">
        <v>154</v>
      </c>
      <c r="R7488" s="303"/>
    </row>
    <row r="7489" spans="1:18" s="162" customFormat="1" ht="108" x14ac:dyDescent="0.25">
      <c r="A7489" s="184">
        <v>43487</v>
      </c>
      <c r="B7489" s="184">
        <v>43487</v>
      </c>
      <c r="C7489" s="43">
        <v>2019</v>
      </c>
      <c r="D7489" s="35" t="s">
        <v>28</v>
      </c>
      <c r="E7489" s="6" t="s">
        <v>149</v>
      </c>
      <c r="F7489" s="7" t="s">
        <v>56</v>
      </c>
      <c r="G7489" s="33" t="s">
        <v>358</v>
      </c>
      <c r="H7489" s="33" t="s">
        <v>10317</v>
      </c>
      <c r="I7489" s="304">
        <v>0</v>
      </c>
      <c r="J7489" s="305">
        <v>794</v>
      </c>
      <c r="K7489" s="142">
        <v>0</v>
      </c>
      <c r="L7489" s="142">
        <v>0</v>
      </c>
      <c r="M7489" s="142">
        <v>0</v>
      </c>
      <c r="N7489" s="142">
        <v>1</v>
      </c>
      <c r="O7489" s="142">
        <v>0</v>
      </c>
      <c r="P7489" s="306">
        <v>0</v>
      </c>
      <c r="Q7489" s="157" t="s">
        <v>154</v>
      </c>
      <c r="R7489" s="303"/>
    </row>
    <row r="7490" spans="1:18" s="162" customFormat="1" ht="96" x14ac:dyDescent="0.25">
      <c r="A7490" s="184">
        <v>43487</v>
      </c>
      <c r="B7490" s="184">
        <v>43487</v>
      </c>
      <c r="C7490" s="138">
        <v>2019</v>
      </c>
      <c r="D7490" s="24" t="s">
        <v>141</v>
      </c>
      <c r="E7490" s="30" t="s">
        <v>142</v>
      </c>
      <c r="F7490" s="28" t="s">
        <v>210</v>
      </c>
      <c r="G7490" s="33" t="s">
        <v>7284</v>
      </c>
      <c r="H7490" s="33" t="s">
        <v>10318</v>
      </c>
      <c r="I7490" s="304">
        <v>0</v>
      </c>
      <c r="J7490" s="305">
        <v>5</v>
      </c>
      <c r="K7490" s="142">
        <v>0</v>
      </c>
      <c r="L7490" s="142">
        <v>0</v>
      </c>
      <c r="M7490" s="142">
        <v>0</v>
      </c>
      <c r="N7490" s="142">
        <v>0</v>
      </c>
      <c r="O7490" s="142">
        <v>0</v>
      </c>
      <c r="P7490" s="306">
        <v>0.18528170000000002</v>
      </c>
      <c r="Q7490" s="157" t="s">
        <v>154</v>
      </c>
      <c r="R7490" s="303"/>
    </row>
    <row r="7491" spans="1:18" s="162" customFormat="1" ht="108" x14ac:dyDescent="0.25">
      <c r="A7491" s="184">
        <v>43488</v>
      </c>
      <c r="B7491" s="184">
        <v>43488</v>
      </c>
      <c r="C7491" s="43">
        <v>2019</v>
      </c>
      <c r="D7491" s="24" t="s">
        <v>141</v>
      </c>
      <c r="E7491" s="30" t="s">
        <v>142</v>
      </c>
      <c r="F7491" s="7" t="s">
        <v>75</v>
      </c>
      <c r="G7491" s="33" t="s">
        <v>4986</v>
      </c>
      <c r="H7491" s="33" t="s">
        <v>10319</v>
      </c>
      <c r="I7491" s="304">
        <v>0</v>
      </c>
      <c r="J7491" s="305">
        <v>5</v>
      </c>
      <c r="K7491" s="142">
        <v>0</v>
      </c>
      <c r="L7491" s="142">
        <v>0</v>
      </c>
      <c r="M7491" s="142">
        <v>0</v>
      </c>
      <c r="N7491" s="142">
        <v>0</v>
      </c>
      <c r="O7491" s="142">
        <v>0</v>
      </c>
      <c r="P7491" s="306">
        <v>0.93453549999999996</v>
      </c>
      <c r="Q7491" s="157" t="s">
        <v>154</v>
      </c>
      <c r="R7491" s="303"/>
    </row>
    <row r="7492" spans="1:18" s="162" customFormat="1" ht="84" x14ac:dyDescent="0.25">
      <c r="A7492" s="184">
        <v>43489</v>
      </c>
      <c r="B7492" s="184">
        <v>43489</v>
      </c>
      <c r="C7492" s="138">
        <v>2019</v>
      </c>
      <c r="D7492" s="35" t="s">
        <v>17</v>
      </c>
      <c r="E7492" s="49" t="s">
        <v>2964</v>
      </c>
      <c r="F7492" s="28" t="s">
        <v>157</v>
      </c>
      <c r="G7492" s="33" t="s">
        <v>4820</v>
      </c>
      <c r="H7492" s="33" t="s">
        <v>10320</v>
      </c>
      <c r="I7492" s="304">
        <v>0</v>
      </c>
      <c r="J7492" s="305">
        <v>30</v>
      </c>
      <c r="K7492" s="142">
        <v>0</v>
      </c>
      <c r="L7492" s="142">
        <v>0</v>
      </c>
      <c r="M7492" s="142">
        <v>0</v>
      </c>
      <c r="N7492" s="142">
        <v>0</v>
      </c>
      <c r="O7492" s="142">
        <v>0</v>
      </c>
      <c r="P7492" s="306">
        <v>0</v>
      </c>
      <c r="Q7492" s="157" t="s">
        <v>154</v>
      </c>
      <c r="R7492" s="303"/>
    </row>
    <row r="7493" spans="1:18" s="162" customFormat="1" ht="96" x14ac:dyDescent="0.25">
      <c r="A7493" s="184">
        <v>43490</v>
      </c>
      <c r="B7493" s="184">
        <v>43490</v>
      </c>
      <c r="C7493" s="43">
        <v>2019</v>
      </c>
      <c r="D7493" s="35" t="s">
        <v>28</v>
      </c>
      <c r="E7493" s="30" t="s">
        <v>133</v>
      </c>
      <c r="F7493" s="7" t="s">
        <v>62</v>
      </c>
      <c r="G7493" s="33" t="s">
        <v>2163</v>
      </c>
      <c r="H7493" s="33" t="s">
        <v>10321</v>
      </c>
      <c r="I7493" s="304">
        <v>0</v>
      </c>
      <c r="J7493" s="305">
        <v>60</v>
      </c>
      <c r="K7493" s="142">
        <v>0</v>
      </c>
      <c r="L7493" s="142">
        <v>0</v>
      </c>
      <c r="M7493" s="142">
        <v>0</v>
      </c>
      <c r="N7493" s="142">
        <v>0</v>
      </c>
      <c r="O7493" s="142">
        <v>0</v>
      </c>
      <c r="P7493" s="306">
        <v>0</v>
      </c>
      <c r="Q7493" s="157" t="s">
        <v>154</v>
      </c>
      <c r="R7493" s="303"/>
    </row>
    <row r="7494" spans="1:18" s="162" customFormat="1" ht="84" x14ac:dyDescent="0.25">
      <c r="A7494" s="184">
        <v>43490</v>
      </c>
      <c r="B7494" s="184">
        <v>43490</v>
      </c>
      <c r="C7494" s="138">
        <v>2019</v>
      </c>
      <c r="D7494" s="35" t="s">
        <v>28</v>
      </c>
      <c r="E7494" s="30" t="s">
        <v>125</v>
      </c>
      <c r="F7494" s="7" t="s">
        <v>77</v>
      </c>
      <c r="G7494" s="33" t="s">
        <v>77</v>
      </c>
      <c r="H7494" s="33" t="s">
        <v>10322</v>
      </c>
      <c r="I7494" s="304">
        <v>0</v>
      </c>
      <c r="J7494" s="305">
        <v>67</v>
      </c>
      <c r="K7494" s="142">
        <v>0</v>
      </c>
      <c r="L7494" s="142">
        <v>0</v>
      </c>
      <c r="M7494" s="142">
        <v>0</v>
      </c>
      <c r="N7494" s="142">
        <v>0</v>
      </c>
      <c r="O7494" s="142">
        <v>0</v>
      </c>
      <c r="P7494" s="306">
        <v>0</v>
      </c>
      <c r="Q7494" s="157" t="s">
        <v>154</v>
      </c>
      <c r="R7494" s="303"/>
    </row>
    <row r="7495" spans="1:18" s="162" customFormat="1" ht="84" x14ac:dyDescent="0.25">
      <c r="A7495" s="184">
        <v>43490</v>
      </c>
      <c r="B7495" s="184">
        <v>43490</v>
      </c>
      <c r="C7495" s="43">
        <v>2019</v>
      </c>
      <c r="D7495" s="24" t="s">
        <v>141</v>
      </c>
      <c r="E7495" s="30" t="s">
        <v>142</v>
      </c>
      <c r="F7495" s="7" t="s">
        <v>45</v>
      </c>
      <c r="G7495" s="33" t="s">
        <v>259</v>
      </c>
      <c r="H7495" s="33" t="s">
        <v>10323</v>
      </c>
      <c r="I7495" s="304">
        <v>0</v>
      </c>
      <c r="J7495" s="305">
        <v>32</v>
      </c>
      <c r="K7495" s="142">
        <v>0</v>
      </c>
      <c r="L7495" s="142">
        <v>0</v>
      </c>
      <c r="M7495" s="142">
        <v>0</v>
      </c>
      <c r="N7495" s="142">
        <v>0</v>
      </c>
      <c r="O7495" s="142">
        <v>0</v>
      </c>
      <c r="P7495" s="306">
        <v>0.85750833837209306</v>
      </c>
      <c r="Q7495" s="157" t="s">
        <v>154</v>
      </c>
      <c r="R7495" s="303"/>
    </row>
    <row r="7496" spans="1:18" s="162" customFormat="1" ht="120" x14ac:dyDescent="0.25">
      <c r="A7496" s="184">
        <v>43490</v>
      </c>
      <c r="B7496" s="184">
        <v>43490</v>
      </c>
      <c r="C7496" s="138">
        <v>2019</v>
      </c>
      <c r="D7496" s="24" t="s">
        <v>141</v>
      </c>
      <c r="E7496" s="30" t="s">
        <v>142</v>
      </c>
      <c r="F7496" s="7" t="s">
        <v>68</v>
      </c>
      <c r="G7496" s="33" t="s">
        <v>1121</v>
      </c>
      <c r="H7496" s="33" t="s">
        <v>10324</v>
      </c>
      <c r="I7496" s="304">
        <v>0</v>
      </c>
      <c r="J7496" s="305">
        <v>8</v>
      </c>
      <c r="K7496" s="142">
        <v>0</v>
      </c>
      <c r="L7496" s="142">
        <v>0</v>
      </c>
      <c r="M7496" s="142">
        <v>0</v>
      </c>
      <c r="N7496" s="142">
        <v>0</v>
      </c>
      <c r="O7496" s="142">
        <v>0</v>
      </c>
      <c r="P7496" s="306">
        <v>9.142517E-2</v>
      </c>
      <c r="Q7496" s="157" t="s">
        <v>154</v>
      </c>
      <c r="R7496" s="303"/>
    </row>
    <row r="7497" spans="1:18" s="162" customFormat="1" ht="84" x14ac:dyDescent="0.25">
      <c r="A7497" s="184">
        <v>43491</v>
      </c>
      <c r="B7497" s="184">
        <v>43491</v>
      </c>
      <c r="C7497" s="43">
        <v>2019</v>
      </c>
      <c r="D7497" s="24" t="s">
        <v>141</v>
      </c>
      <c r="E7497" s="30" t="s">
        <v>142</v>
      </c>
      <c r="F7497" s="7" t="s">
        <v>87</v>
      </c>
      <c r="G7497" s="33" t="s">
        <v>10325</v>
      </c>
      <c r="H7497" s="33" t="s">
        <v>10326</v>
      </c>
      <c r="I7497" s="304">
        <v>2</v>
      </c>
      <c r="J7497" s="305">
        <v>2</v>
      </c>
      <c r="K7497" s="142">
        <v>0</v>
      </c>
      <c r="L7497" s="142">
        <v>0</v>
      </c>
      <c r="M7497" s="142">
        <v>0</v>
      </c>
      <c r="N7497" s="142">
        <v>0</v>
      </c>
      <c r="O7497" s="142">
        <v>0</v>
      </c>
      <c r="P7497" s="306">
        <v>4.93897570761753</v>
      </c>
      <c r="Q7497" s="157" t="s">
        <v>154</v>
      </c>
      <c r="R7497" s="303"/>
    </row>
    <row r="7498" spans="1:18" s="162" customFormat="1" ht="168" x14ac:dyDescent="0.25">
      <c r="A7498" s="184">
        <v>43492</v>
      </c>
      <c r="B7498" s="184">
        <v>43492</v>
      </c>
      <c r="C7498" s="138">
        <v>2019</v>
      </c>
      <c r="D7498" s="24" t="s">
        <v>141</v>
      </c>
      <c r="E7498" s="42" t="s">
        <v>447</v>
      </c>
      <c r="F7498" s="7" t="s">
        <v>68</v>
      </c>
      <c r="G7498" s="33" t="s">
        <v>1121</v>
      </c>
      <c r="H7498" s="33" t="s">
        <v>10327</v>
      </c>
      <c r="I7498" s="304">
        <v>0</v>
      </c>
      <c r="J7498" s="305">
        <v>2000</v>
      </c>
      <c r="K7498" s="142">
        <v>0</v>
      </c>
      <c r="L7498" s="142">
        <v>0</v>
      </c>
      <c r="M7498" s="142">
        <v>0</v>
      </c>
      <c r="N7498" s="142">
        <v>0</v>
      </c>
      <c r="O7498" s="142">
        <v>0</v>
      </c>
      <c r="P7498" s="306">
        <v>2.9700000000000004E-3</v>
      </c>
      <c r="Q7498" s="157" t="s">
        <v>154</v>
      </c>
      <c r="R7498" s="303"/>
    </row>
    <row r="7499" spans="1:18" s="162" customFormat="1" ht="84" x14ac:dyDescent="0.25">
      <c r="A7499" s="184">
        <v>43493</v>
      </c>
      <c r="B7499" s="184">
        <v>43493</v>
      </c>
      <c r="C7499" s="43">
        <v>2019</v>
      </c>
      <c r="D7499" s="35" t="s">
        <v>28</v>
      </c>
      <c r="E7499" s="6" t="s">
        <v>149</v>
      </c>
      <c r="F7499" s="7" t="s">
        <v>49</v>
      </c>
      <c r="G7499" s="33" t="s">
        <v>3825</v>
      </c>
      <c r="H7499" s="33" t="s">
        <v>10328</v>
      </c>
      <c r="I7499" s="304">
        <v>0</v>
      </c>
      <c r="J7499" s="305">
        <v>5</v>
      </c>
      <c r="K7499" s="142">
        <v>0</v>
      </c>
      <c r="L7499" s="142">
        <v>0</v>
      </c>
      <c r="M7499" s="142">
        <v>0</v>
      </c>
      <c r="N7499" s="142">
        <v>1</v>
      </c>
      <c r="O7499" s="142">
        <v>0</v>
      </c>
      <c r="P7499" s="306">
        <v>0</v>
      </c>
      <c r="Q7499" s="157" t="s">
        <v>154</v>
      </c>
      <c r="R7499" s="303"/>
    </row>
    <row r="7500" spans="1:18" s="162" customFormat="1" ht="96" x14ac:dyDescent="0.25">
      <c r="A7500" s="184">
        <v>43492</v>
      </c>
      <c r="B7500" s="184">
        <v>43492</v>
      </c>
      <c r="C7500" s="138">
        <v>2019</v>
      </c>
      <c r="D7500" s="351" t="s">
        <v>23</v>
      </c>
      <c r="E7500" s="49" t="s">
        <v>323</v>
      </c>
      <c r="F7500" s="7" t="s">
        <v>80</v>
      </c>
      <c r="G7500" s="33" t="s">
        <v>1050</v>
      </c>
      <c r="H7500" s="33" t="s">
        <v>10329</v>
      </c>
      <c r="I7500" s="304">
        <v>1</v>
      </c>
      <c r="J7500" s="305">
        <v>2</v>
      </c>
      <c r="K7500" s="142">
        <v>0</v>
      </c>
      <c r="L7500" s="142">
        <v>0</v>
      </c>
      <c r="M7500" s="142">
        <v>0</v>
      </c>
      <c r="N7500" s="142">
        <v>0</v>
      </c>
      <c r="O7500" s="142">
        <v>0</v>
      </c>
      <c r="P7500" s="306">
        <v>0</v>
      </c>
      <c r="Q7500" s="157" t="s">
        <v>154</v>
      </c>
      <c r="R7500" s="303"/>
    </row>
    <row r="7501" spans="1:18" s="162" customFormat="1" ht="120" x14ac:dyDescent="0.25">
      <c r="A7501" s="184">
        <v>43493</v>
      </c>
      <c r="B7501" s="184">
        <v>43493</v>
      </c>
      <c r="C7501" s="43">
        <v>2019</v>
      </c>
      <c r="D7501" s="24" t="s">
        <v>141</v>
      </c>
      <c r="E7501" s="30" t="s">
        <v>142</v>
      </c>
      <c r="F7501" s="28" t="s">
        <v>210</v>
      </c>
      <c r="G7501" s="33" t="s">
        <v>924</v>
      </c>
      <c r="H7501" s="33" t="s">
        <v>10330</v>
      </c>
      <c r="I7501" s="304">
        <v>0</v>
      </c>
      <c r="J7501" s="305">
        <v>5</v>
      </c>
      <c r="K7501" s="142">
        <v>0</v>
      </c>
      <c r="L7501" s="142">
        <v>0</v>
      </c>
      <c r="M7501" s="142">
        <v>0</v>
      </c>
      <c r="N7501" s="142">
        <v>0</v>
      </c>
      <c r="O7501" s="142">
        <v>0</v>
      </c>
      <c r="P7501" s="306">
        <v>0.71906999999999999</v>
      </c>
      <c r="Q7501" s="157" t="s">
        <v>154</v>
      </c>
      <c r="R7501" s="303"/>
    </row>
    <row r="7502" spans="1:18" s="162" customFormat="1" ht="108" x14ac:dyDescent="0.25">
      <c r="A7502" s="184">
        <v>43495</v>
      </c>
      <c r="B7502" s="184">
        <v>43495</v>
      </c>
      <c r="C7502" s="138">
        <v>2019</v>
      </c>
      <c r="D7502" s="24" t="s">
        <v>141</v>
      </c>
      <c r="E7502" s="30" t="s">
        <v>142</v>
      </c>
      <c r="F7502" s="7" t="s">
        <v>58</v>
      </c>
      <c r="G7502" s="33" t="s">
        <v>6893</v>
      </c>
      <c r="H7502" s="33" t="s">
        <v>10331</v>
      </c>
      <c r="I7502" s="304">
        <v>0</v>
      </c>
      <c r="J7502" s="305">
        <v>1</v>
      </c>
      <c r="K7502" s="142">
        <v>0</v>
      </c>
      <c r="L7502" s="142">
        <v>0</v>
      </c>
      <c r="M7502" s="142">
        <v>0</v>
      </c>
      <c r="N7502" s="142">
        <v>0</v>
      </c>
      <c r="O7502" s="142">
        <v>0</v>
      </c>
      <c r="P7502" s="306">
        <v>4.93897570761753</v>
      </c>
      <c r="Q7502" s="157" t="s">
        <v>154</v>
      </c>
      <c r="R7502" s="303"/>
    </row>
    <row r="7503" spans="1:18" s="162" customFormat="1" ht="120" x14ac:dyDescent="0.25">
      <c r="A7503" s="184">
        <v>43495</v>
      </c>
      <c r="B7503" s="184">
        <v>43495</v>
      </c>
      <c r="C7503" s="43">
        <v>2019</v>
      </c>
      <c r="D7503" s="24" t="s">
        <v>141</v>
      </c>
      <c r="E7503" s="30" t="s">
        <v>142</v>
      </c>
      <c r="F7503" s="7" t="s">
        <v>49</v>
      </c>
      <c r="G7503" s="33" t="s">
        <v>49</v>
      </c>
      <c r="H7503" s="33" t="s">
        <v>10332</v>
      </c>
      <c r="I7503" s="304">
        <v>1</v>
      </c>
      <c r="J7503" s="305">
        <v>2</v>
      </c>
      <c r="K7503" s="142">
        <v>0</v>
      </c>
      <c r="L7503" s="142">
        <v>0</v>
      </c>
      <c r="M7503" s="142">
        <v>0</v>
      </c>
      <c r="N7503" s="142">
        <v>0</v>
      </c>
      <c r="O7503" s="142">
        <v>0</v>
      </c>
      <c r="P7503" s="306">
        <v>4.94922440761753</v>
      </c>
      <c r="Q7503" s="157" t="s">
        <v>154</v>
      </c>
      <c r="R7503" s="303"/>
    </row>
    <row r="7504" spans="1:18" s="162" customFormat="1" ht="120" x14ac:dyDescent="0.25">
      <c r="A7504" s="184">
        <v>43495</v>
      </c>
      <c r="B7504" s="184">
        <v>43495</v>
      </c>
      <c r="C7504" s="138">
        <v>2019</v>
      </c>
      <c r="D7504" s="35" t="s">
        <v>28</v>
      </c>
      <c r="E7504" s="6" t="s">
        <v>149</v>
      </c>
      <c r="F7504" s="28" t="s">
        <v>157</v>
      </c>
      <c r="G7504" s="33" t="s">
        <v>716</v>
      </c>
      <c r="H7504" s="33" t="s">
        <v>10333</v>
      </c>
      <c r="I7504" s="304">
        <v>0</v>
      </c>
      <c r="J7504" s="305">
        <v>151</v>
      </c>
      <c r="K7504" s="142">
        <v>0</v>
      </c>
      <c r="L7504" s="142">
        <v>0</v>
      </c>
      <c r="M7504" s="142">
        <v>0</v>
      </c>
      <c r="N7504" s="142">
        <v>1</v>
      </c>
      <c r="O7504" s="142">
        <v>0</v>
      </c>
      <c r="P7504" s="306">
        <v>0</v>
      </c>
      <c r="Q7504" s="157" t="s">
        <v>154</v>
      </c>
      <c r="R7504" s="303"/>
    </row>
    <row r="7505" spans="1:18" s="162" customFormat="1" ht="409.5" x14ac:dyDescent="0.25">
      <c r="A7505" s="184">
        <v>43497</v>
      </c>
      <c r="B7505" s="184">
        <v>43497</v>
      </c>
      <c r="C7505" s="43">
        <v>2019</v>
      </c>
      <c r="D7505" s="35" t="s">
        <v>17</v>
      </c>
      <c r="E7505" s="30" t="s">
        <v>122</v>
      </c>
      <c r="F7505" s="7" t="s">
        <v>36</v>
      </c>
      <c r="G7505" s="33" t="s">
        <v>10334</v>
      </c>
      <c r="H7505" s="33" t="s">
        <v>10335</v>
      </c>
      <c r="I7505" s="304">
        <v>0</v>
      </c>
      <c r="J7505" s="305">
        <v>197</v>
      </c>
      <c r="K7505" s="142">
        <v>49</v>
      </c>
      <c r="L7505" s="142">
        <v>58</v>
      </c>
      <c r="M7505" s="142">
        <v>0</v>
      </c>
      <c r="N7505" s="142">
        <v>6</v>
      </c>
      <c r="O7505" s="142">
        <v>0</v>
      </c>
      <c r="P7505" s="306">
        <v>111.5337207</v>
      </c>
      <c r="Q7505" s="157" t="s">
        <v>7883</v>
      </c>
      <c r="R7505" s="303"/>
    </row>
    <row r="7506" spans="1:18" s="162" customFormat="1" ht="120" x14ac:dyDescent="0.25">
      <c r="A7506" s="184">
        <v>43497</v>
      </c>
      <c r="B7506" s="184">
        <v>43497</v>
      </c>
      <c r="C7506" s="138">
        <v>2019</v>
      </c>
      <c r="D7506" s="35" t="s">
        <v>28</v>
      </c>
      <c r="E7506" s="30" t="s">
        <v>133</v>
      </c>
      <c r="F7506" s="7" t="s">
        <v>75</v>
      </c>
      <c r="G7506" s="33" t="s">
        <v>768</v>
      </c>
      <c r="H7506" s="33" t="s">
        <v>10336</v>
      </c>
      <c r="I7506" s="304">
        <v>0</v>
      </c>
      <c r="J7506" s="305">
        <v>3</v>
      </c>
      <c r="K7506" s="142">
        <v>1</v>
      </c>
      <c r="L7506" s="142">
        <v>0</v>
      </c>
      <c r="M7506" s="142">
        <v>0</v>
      </c>
      <c r="N7506" s="142">
        <v>0</v>
      </c>
      <c r="O7506" s="142">
        <v>0</v>
      </c>
      <c r="P7506" s="306">
        <v>0.28604489849424208</v>
      </c>
      <c r="Q7506" s="157" t="s">
        <v>154</v>
      </c>
      <c r="R7506" s="303"/>
    </row>
    <row r="7507" spans="1:18" s="162" customFormat="1" ht="84" x14ac:dyDescent="0.25">
      <c r="A7507" s="184">
        <v>43497</v>
      </c>
      <c r="B7507" s="184">
        <v>43497</v>
      </c>
      <c r="C7507" s="43">
        <v>2019</v>
      </c>
      <c r="D7507" s="24" t="s">
        <v>141</v>
      </c>
      <c r="E7507" s="30" t="s">
        <v>142</v>
      </c>
      <c r="F7507" s="7" t="s">
        <v>62</v>
      </c>
      <c r="G7507" s="33" t="s">
        <v>622</v>
      </c>
      <c r="H7507" s="33" t="s">
        <v>10337</v>
      </c>
      <c r="I7507" s="304">
        <v>2</v>
      </c>
      <c r="J7507" s="305">
        <v>10</v>
      </c>
      <c r="K7507" s="142">
        <v>0</v>
      </c>
      <c r="L7507" s="142">
        <v>0</v>
      </c>
      <c r="M7507" s="142">
        <v>0</v>
      </c>
      <c r="N7507" s="142">
        <v>0</v>
      </c>
      <c r="O7507" s="142">
        <v>0</v>
      </c>
      <c r="P7507" s="306">
        <v>0.36425170000000001</v>
      </c>
      <c r="Q7507" s="157" t="s">
        <v>154</v>
      </c>
      <c r="R7507" s="303"/>
    </row>
    <row r="7508" spans="1:18" s="162" customFormat="1" ht="72" x14ac:dyDescent="0.25">
      <c r="A7508" s="184">
        <v>43497</v>
      </c>
      <c r="B7508" s="184">
        <v>43497</v>
      </c>
      <c r="C7508" s="138">
        <v>2019</v>
      </c>
      <c r="D7508" s="35" t="s">
        <v>28</v>
      </c>
      <c r="E7508" s="30" t="s">
        <v>125</v>
      </c>
      <c r="F7508" s="28" t="s">
        <v>157</v>
      </c>
      <c r="G7508" s="33" t="s">
        <v>526</v>
      </c>
      <c r="H7508" s="33" t="s">
        <v>10338</v>
      </c>
      <c r="I7508" s="304">
        <v>0</v>
      </c>
      <c r="J7508" s="305">
        <v>6</v>
      </c>
      <c r="K7508" s="142">
        <v>1</v>
      </c>
      <c r="L7508" s="142">
        <v>0</v>
      </c>
      <c r="M7508" s="142">
        <v>0</v>
      </c>
      <c r="N7508" s="142">
        <v>0</v>
      </c>
      <c r="O7508" s="142">
        <v>0</v>
      </c>
      <c r="P7508" s="306">
        <v>6.0500000000000007E-3</v>
      </c>
      <c r="Q7508" s="157" t="s">
        <v>154</v>
      </c>
      <c r="R7508" s="303"/>
    </row>
    <row r="7509" spans="1:18" s="162" customFormat="1" ht="60" x14ac:dyDescent="0.25">
      <c r="A7509" s="184">
        <v>43497</v>
      </c>
      <c r="B7509" s="184">
        <v>43497</v>
      </c>
      <c r="C7509" s="43">
        <v>2019</v>
      </c>
      <c r="D7509" s="24" t="s">
        <v>141</v>
      </c>
      <c r="E7509" s="30" t="s">
        <v>142</v>
      </c>
      <c r="F7509" s="7" t="s">
        <v>53</v>
      </c>
      <c r="G7509" s="33" t="s">
        <v>5966</v>
      </c>
      <c r="H7509" s="33" t="s">
        <v>10339</v>
      </c>
      <c r="I7509" s="304">
        <v>0</v>
      </c>
      <c r="J7509" s="305">
        <v>22</v>
      </c>
      <c r="K7509" s="142">
        <v>0</v>
      </c>
      <c r="L7509" s="142">
        <v>0</v>
      </c>
      <c r="M7509" s="142">
        <v>0</v>
      </c>
      <c r="N7509" s="142">
        <v>0</v>
      </c>
      <c r="O7509" s="142">
        <v>0</v>
      </c>
      <c r="P7509" s="306">
        <v>7.1412000000000003E-2</v>
      </c>
      <c r="Q7509" s="157" t="s">
        <v>154</v>
      </c>
      <c r="R7509" s="303"/>
    </row>
    <row r="7510" spans="1:18" s="162" customFormat="1" ht="120" x14ac:dyDescent="0.25">
      <c r="A7510" s="184">
        <v>43498</v>
      </c>
      <c r="B7510" s="184">
        <v>43498</v>
      </c>
      <c r="C7510" s="138">
        <v>2019</v>
      </c>
      <c r="D7510" s="35" t="s">
        <v>28</v>
      </c>
      <c r="E7510" s="30" t="s">
        <v>133</v>
      </c>
      <c r="F7510" s="28" t="s">
        <v>157</v>
      </c>
      <c r="G7510" s="33" t="s">
        <v>526</v>
      </c>
      <c r="H7510" s="33" t="s">
        <v>10340</v>
      </c>
      <c r="I7510" s="304">
        <v>0</v>
      </c>
      <c r="J7510" s="305">
        <v>7</v>
      </c>
      <c r="K7510" s="142">
        <v>0</v>
      </c>
      <c r="L7510" s="142">
        <v>0</v>
      </c>
      <c r="M7510" s="142">
        <v>0</v>
      </c>
      <c r="N7510" s="142">
        <v>0</v>
      </c>
      <c r="O7510" s="142">
        <v>0</v>
      </c>
      <c r="P7510" s="306">
        <v>0</v>
      </c>
      <c r="Q7510" s="157" t="s">
        <v>154</v>
      </c>
      <c r="R7510" s="303"/>
    </row>
    <row r="7511" spans="1:18" s="162" customFormat="1" ht="84" x14ac:dyDescent="0.25">
      <c r="A7511" s="184">
        <v>43499</v>
      </c>
      <c r="B7511" s="184">
        <v>43499</v>
      </c>
      <c r="C7511" s="43">
        <v>2019</v>
      </c>
      <c r="D7511" s="24" t="s">
        <v>141</v>
      </c>
      <c r="E7511" s="30" t="s">
        <v>142</v>
      </c>
      <c r="F7511" s="7" t="s">
        <v>68</v>
      </c>
      <c r="G7511" s="33" t="s">
        <v>1121</v>
      </c>
      <c r="H7511" s="33" t="s">
        <v>10341</v>
      </c>
      <c r="I7511" s="304">
        <v>3</v>
      </c>
      <c r="J7511" s="305">
        <v>30</v>
      </c>
      <c r="K7511" s="142">
        <v>0</v>
      </c>
      <c r="L7511" s="142">
        <v>0</v>
      </c>
      <c r="M7511" s="142">
        <v>0</v>
      </c>
      <c r="N7511" s="142">
        <v>0</v>
      </c>
      <c r="O7511" s="142">
        <v>0</v>
      </c>
      <c r="P7511" s="306">
        <v>0.89445169999999996</v>
      </c>
      <c r="Q7511" s="157" t="s">
        <v>154</v>
      </c>
      <c r="R7511" s="303"/>
    </row>
    <row r="7512" spans="1:18" s="162" customFormat="1" ht="156" x14ac:dyDescent="0.25">
      <c r="A7512" s="184">
        <v>43502</v>
      </c>
      <c r="B7512" s="184">
        <v>43502</v>
      </c>
      <c r="C7512" s="138">
        <v>2019</v>
      </c>
      <c r="D7512" s="24" t="s">
        <v>130</v>
      </c>
      <c r="E7512" s="30" t="s">
        <v>136</v>
      </c>
      <c r="F7512" s="7" t="s">
        <v>62</v>
      </c>
      <c r="G7512" s="33" t="s">
        <v>10342</v>
      </c>
      <c r="H7512" s="33" t="s">
        <v>10343</v>
      </c>
      <c r="I7512" s="304">
        <v>0</v>
      </c>
      <c r="J7512" s="305">
        <v>6</v>
      </c>
      <c r="K7512" s="142">
        <v>0</v>
      </c>
      <c r="L7512" s="142">
        <v>0</v>
      </c>
      <c r="M7512" s="142">
        <v>0</v>
      </c>
      <c r="N7512" s="142">
        <v>0</v>
      </c>
      <c r="O7512" s="142">
        <v>0</v>
      </c>
      <c r="P7512" s="306">
        <v>5.9400000000000008E-3</v>
      </c>
      <c r="Q7512" s="157" t="s">
        <v>154</v>
      </c>
      <c r="R7512" s="303"/>
    </row>
    <row r="7513" spans="1:18" s="162" customFormat="1" ht="132" x14ac:dyDescent="0.25">
      <c r="A7513" s="184">
        <v>43502</v>
      </c>
      <c r="B7513" s="184">
        <v>43502</v>
      </c>
      <c r="C7513" s="43">
        <v>2019</v>
      </c>
      <c r="D7513" s="35" t="s">
        <v>28</v>
      </c>
      <c r="E7513" s="6" t="s">
        <v>369</v>
      </c>
      <c r="F7513" s="28" t="s">
        <v>160</v>
      </c>
      <c r="G7513" s="33" t="s">
        <v>293</v>
      </c>
      <c r="H7513" s="33" t="s">
        <v>10344</v>
      </c>
      <c r="I7513" s="304">
        <v>0</v>
      </c>
      <c r="J7513" s="305">
        <v>80</v>
      </c>
      <c r="K7513" s="142">
        <v>0</v>
      </c>
      <c r="L7513" s="142">
        <v>0</v>
      </c>
      <c r="M7513" s="142">
        <v>0</v>
      </c>
      <c r="N7513" s="142">
        <v>0</v>
      </c>
      <c r="O7513" s="142">
        <v>0</v>
      </c>
      <c r="P7513" s="306">
        <v>0</v>
      </c>
      <c r="Q7513" s="157" t="s">
        <v>154</v>
      </c>
      <c r="R7513" s="303"/>
    </row>
    <row r="7514" spans="1:18" s="162" customFormat="1" ht="156" x14ac:dyDescent="0.25">
      <c r="A7514" s="184">
        <v>43502</v>
      </c>
      <c r="B7514" s="184">
        <v>43502</v>
      </c>
      <c r="C7514" s="138">
        <v>2019</v>
      </c>
      <c r="D7514" s="35" t="s">
        <v>28</v>
      </c>
      <c r="E7514" s="6" t="s">
        <v>369</v>
      </c>
      <c r="F7514" s="28" t="s">
        <v>160</v>
      </c>
      <c r="G7514" s="33" t="s">
        <v>10345</v>
      </c>
      <c r="H7514" s="33" t="s">
        <v>10346</v>
      </c>
      <c r="I7514" s="304">
        <v>0</v>
      </c>
      <c r="J7514" s="305">
        <v>118</v>
      </c>
      <c r="K7514" s="142">
        <v>0</v>
      </c>
      <c r="L7514" s="142">
        <v>0</v>
      </c>
      <c r="M7514" s="142">
        <v>0</v>
      </c>
      <c r="N7514" s="142">
        <v>0</v>
      </c>
      <c r="O7514" s="142">
        <v>0</v>
      </c>
      <c r="P7514" s="306">
        <v>0</v>
      </c>
      <c r="Q7514" s="157" t="s">
        <v>154</v>
      </c>
      <c r="R7514" s="303"/>
    </row>
    <row r="7515" spans="1:18" s="162" customFormat="1" ht="108" x14ac:dyDescent="0.25">
      <c r="A7515" s="184">
        <v>43503</v>
      </c>
      <c r="B7515" s="184">
        <v>43503</v>
      </c>
      <c r="C7515" s="43">
        <v>2019</v>
      </c>
      <c r="D7515" s="24" t="s">
        <v>141</v>
      </c>
      <c r="E7515" s="30" t="s">
        <v>142</v>
      </c>
      <c r="F7515" s="7" t="s">
        <v>72</v>
      </c>
      <c r="G7515" s="33" t="s">
        <v>10347</v>
      </c>
      <c r="H7515" s="33" t="s">
        <v>10348</v>
      </c>
      <c r="I7515" s="304">
        <v>0</v>
      </c>
      <c r="J7515" s="305">
        <v>20</v>
      </c>
      <c r="K7515" s="142">
        <v>0</v>
      </c>
      <c r="L7515" s="142">
        <v>0</v>
      </c>
      <c r="M7515" s="142">
        <v>0</v>
      </c>
      <c r="N7515" s="142">
        <v>0</v>
      </c>
      <c r="O7515" s="142">
        <v>0</v>
      </c>
      <c r="P7515" s="306">
        <v>0.71411999999999998</v>
      </c>
      <c r="Q7515" s="157" t="s">
        <v>154</v>
      </c>
      <c r="R7515" s="303"/>
    </row>
    <row r="7516" spans="1:18" s="162" customFormat="1" ht="48" x14ac:dyDescent="0.25">
      <c r="A7516" s="184">
        <v>43503</v>
      </c>
      <c r="B7516" s="184">
        <v>43503</v>
      </c>
      <c r="C7516" s="138">
        <v>2019</v>
      </c>
      <c r="D7516" s="24" t="s">
        <v>141</v>
      </c>
      <c r="E7516" s="30" t="s">
        <v>142</v>
      </c>
      <c r="F7516" s="7" t="s">
        <v>53</v>
      </c>
      <c r="G7516" s="33" t="s">
        <v>1236</v>
      </c>
      <c r="H7516" s="33" t="s">
        <v>10349</v>
      </c>
      <c r="I7516" s="304">
        <v>0</v>
      </c>
      <c r="J7516" s="305">
        <v>1</v>
      </c>
      <c r="K7516" s="142">
        <v>0</v>
      </c>
      <c r="L7516" s="142">
        <v>0</v>
      </c>
      <c r="M7516" s="142">
        <v>0</v>
      </c>
      <c r="N7516" s="142">
        <v>0</v>
      </c>
      <c r="O7516" s="142">
        <v>0</v>
      </c>
      <c r="P7516" s="306">
        <v>4.93897570761753</v>
      </c>
      <c r="Q7516" s="157" t="s">
        <v>154</v>
      </c>
      <c r="R7516" s="303"/>
    </row>
    <row r="7517" spans="1:18" s="162" customFormat="1" ht="96" x14ac:dyDescent="0.25">
      <c r="A7517" s="184">
        <v>43505</v>
      </c>
      <c r="B7517" s="184">
        <v>43505</v>
      </c>
      <c r="C7517" s="43">
        <v>2019</v>
      </c>
      <c r="D7517" s="24" t="s">
        <v>141</v>
      </c>
      <c r="E7517" s="30" t="s">
        <v>142</v>
      </c>
      <c r="F7517" s="7" t="s">
        <v>58</v>
      </c>
      <c r="G7517" s="33" t="s">
        <v>9987</v>
      </c>
      <c r="H7517" s="33" t="s">
        <v>10350</v>
      </c>
      <c r="I7517" s="304">
        <v>0</v>
      </c>
      <c r="J7517" s="305">
        <v>7</v>
      </c>
      <c r="K7517" s="142">
        <v>0</v>
      </c>
      <c r="L7517" s="142">
        <v>0</v>
      </c>
      <c r="M7517" s="142">
        <v>0</v>
      </c>
      <c r="N7517" s="142">
        <v>0</v>
      </c>
      <c r="O7517" s="142">
        <v>0</v>
      </c>
      <c r="P7517" s="306">
        <v>0.33040580000000003</v>
      </c>
      <c r="Q7517" s="157" t="s">
        <v>154</v>
      </c>
      <c r="R7517" s="303"/>
    </row>
    <row r="7518" spans="1:18" s="162" customFormat="1" ht="132" x14ac:dyDescent="0.25">
      <c r="A7518" s="184">
        <v>43505</v>
      </c>
      <c r="B7518" s="184">
        <v>43505</v>
      </c>
      <c r="C7518" s="138">
        <v>2019</v>
      </c>
      <c r="D7518" s="24" t="s">
        <v>141</v>
      </c>
      <c r="E7518" s="30" t="s">
        <v>142</v>
      </c>
      <c r="F7518" s="7" t="s">
        <v>53</v>
      </c>
      <c r="G7518" s="33" t="s">
        <v>1119</v>
      </c>
      <c r="H7518" s="33" t="s">
        <v>10351</v>
      </c>
      <c r="I7518" s="304">
        <v>0</v>
      </c>
      <c r="J7518" s="305">
        <v>2</v>
      </c>
      <c r="K7518" s="142">
        <v>1</v>
      </c>
      <c r="L7518" s="142">
        <v>0</v>
      </c>
      <c r="M7518" s="142">
        <v>0</v>
      </c>
      <c r="N7518" s="142">
        <v>0</v>
      </c>
      <c r="O7518" s="142">
        <v>0</v>
      </c>
      <c r="P7518" s="306">
        <v>4.9393607076175297</v>
      </c>
      <c r="Q7518" s="157" t="s">
        <v>154</v>
      </c>
      <c r="R7518" s="303"/>
    </row>
    <row r="7519" spans="1:18" s="162" customFormat="1" ht="120" x14ac:dyDescent="0.25">
      <c r="A7519" s="184">
        <v>43506</v>
      </c>
      <c r="B7519" s="184">
        <v>43506</v>
      </c>
      <c r="C7519" s="43">
        <v>2019</v>
      </c>
      <c r="D7519" s="35" t="s">
        <v>28</v>
      </c>
      <c r="E7519" s="6" t="s">
        <v>149</v>
      </c>
      <c r="F7519" s="28" t="s">
        <v>157</v>
      </c>
      <c r="G7519" s="33" t="s">
        <v>4237</v>
      </c>
      <c r="H7519" s="33" t="s">
        <v>10352</v>
      </c>
      <c r="I7519" s="304">
        <v>0</v>
      </c>
      <c r="J7519" s="305">
        <v>120</v>
      </c>
      <c r="K7519" s="142">
        <v>1</v>
      </c>
      <c r="L7519" s="142">
        <v>0</v>
      </c>
      <c r="M7519" s="142">
        <v>0</v>
      </c>
      <c r="N7519" s="142">
        <v>1</v>
      </c>
      <c r="O7519" s="142">
        <v>0</v>
      </c>
      <c r="P7519" s="306">
        <v>6.0500000000000007E-3</v>
      </c>
      <c r="Q7519" s="157" t="s">
        <v>154</v>
      </c>
      <c r="R7519" s="303"/>
    </row>
    <row r="7520" spans="1:18" s="162" customFormat="1" ht="96" x14ac:dyDescent="0.25">
      <c r="A7520" s="184">
        <v>43506</v>
      </c>
      <c r="B7520" s="184">
        <v>43506</v>
      </c>
      <c r="C7520" s="138">
        <v>2019</v>
      </c>
      <c r="D7520" s="24" t="s">
        <v>141</v>
      </c>
      <c r="E7520" s="30" t="s">
        <v>142</v>
      </c>
      <c r="F7520" s="7" t="s">
        <v>53</v>
      </c>
      <c r="G7520" s="33" t="s">
        <v>4464</v>
      </c>
      <c r="H7520" s="33" t="s">
        <v>10353</v>
      </c>
      <c r="I7520" s="304">
        <v>2</v>
      </c>
      <c r="J7520" s="305">
        <v>2</v>
      </c>
      <c r="K7520" s="142">
        <v>0</v>
      </c>
      <c r="L7520" s="142">
        <v>0</v>
      </c>
      <c r="M7520" s="142">
        <v>0</v>
      </c>
      <c r="N7520" s="142">
        <v>0</v>
      </c>
      <c r="O7520" s="142">
        <v>0</v>
      </c>
      <c r="P7520" s="306">
        <v>4.93897570761753</v>
      </c>
      <c r="Q7520" s="157" t="s">
        <v>154</v>
      </c>
      <c r="R7520" s="303"/>
    </row>
    <row r="7521" spans="1:18" s="162" customFormat="1" ht="96" x14ac:dyDescent="0.25">
      <c r="A7521" s="184">
        <v>43506</v>
      </c>
      <c r="B7521" s="184">
        <v>43506</v>
      </c>
      <c r="C7521" s="43">
        <v>2019</v>
      </c>
      <c r="D7521" s="35" t="s">
        <v>28</v>
      </c>
      <c r="E7521" s="30" t="s">
        <v>125</v>
      </c>
      <c r="F7521" s="28" t="s">
        <v>160</v>
      </c>
      <c r="G7521" s="33" t="s">
        <v>6249</v>
      </c>
      <c r="H7521" s="33" t="s">
        <v>10354</v>
      </c>
      <c r="I7521" s="304">
        <v>0</v>
      </c>
      <c r="J7521" s="305">
        <v>50</v>
      </c>
      <c r="K7521" s="142">
        <v>0</v>
      </c>
      <c r="L7521" s="142">
        <v>0</v>
      </c>
      <c r="M7521" s="142">
        <v>0</v>
      </c>
      <c r="N7521" s="142">
        <v>0</v>
      </c>
      <c r="O7521" s="142">
        <v>0</v>
      </c>
      <c r="P7521" s="306">
        <v>0</v>
      </c>
      <c r="Q7521" s="157" t="s">
        <v>154</v>
      </c>
      <c r="R7521" s="303"/>
    </row>
    <row r="7522" spans="1:18" s="162" customFormat="1" ht="108" x14ac:dyDescent="0.25">
      <c r="A7522" s="184">
        <v>43506</v>
      </c>
      <c r="B7522" s="184">
        <v>43506</v>
      </c>
      <c r="C7522" s="138">
        <v>2019</v>
      </c>
      <c r="D7522" s="24" t="s">
        <v>141</v>
      </c>
      <c r="E7522" s="30" t="s">
        <v>142</v>
      </c>
      <c r="F7522" s="7" t="s">
        <v>60</v>
      </c>
      <c r="G7522" s="33" t="s">
        <v>908</v>
      </c>
      <c r="H7522" s="33" t="s">
        <v>10355</v>
      </c>
      <c r="I7522" s="304">
        <v>0</v>
      </c>
      <c r="J7522" s="305">
        <v>9</v>
      </c>
      <c r="K7522" s="142">
        <v>0</v>
      </c>
      <c r="L7522" s="142">
        <v>0</v>
      </c>
      <c r="M7522" s="142">
        <v>0</v>
      </c>
      <c r="N7522" s="142">
        <v>0</v>
      </c>
      <c r="O7522" s="142">
        <v>0</v>
      </c>
      <c r="P7522" s="306">
        <v>0.48059210000000002</v>
      </c>
      <c r="Q7522" s="157" t="s">
        <v>154</v>
      </c>
      <c r="R7522" s="303"/>
    </row>
    <row r="7523" spans="1:18" s="162" customFormat="1" ht="84" x14ac:dyDescent="0.25">
      <c r="A7523" s="184">
        <v>43507</v>
      </c>
      <c r="B7523" s="184">
        <v>43507</v>
      </c>
      <c r="C7523" s="43">
        <v>2019</v>
      </c>
      <c r="D7523" s="24" t="s">
        <v>141</v>
      </c>
      <c r="E7523" s="30" t="s">
        <v>142</v>
      </c>
      <c r="F7523" s="28" t="s">
        <v>160</v>
      </c>
      <c r="G7523" s="33" t="s">
        <v>6762</v>
      </c>
      <c r="H7523" s="33" t="s">
        <v>10356</v>
      </c>
      <c r="I7523" s="304">
        <v>0</v>
      </c>
      <c r="J7523" s="305">
        <v>10</v>
      </c>
      <c r="K7523" s="142">
        <v>0</v>
      </c>
      <c r="L7523" s="142">
        <v>0</v>
      </c>
      <c r="M7523" s="142">
        <v>0</v>
      </c>
      <c r="N7523" s="142">
        <v>0</v>
      </c>
      <c r="O7523" s="142">
        <v>0</v>
      </c>
      <c r="P7523" s="306">
        <v>2.7933169999999997E-2</v>
      </c>
      <c r="Q7523" s="157" t="s">
        <v>154</v>
      </c>
      <c r="R7523" s="303"/>
    </row>
    <row r="7524" spans="1:18" s="162" customFormat="1" ht="84" x14ac:dyDescent="0.25">
      <c r="A7524" s="184">
        <v>43508</v>
      </c>
      <c r="B7524" s="184">
        <v>43508</v>
      </c>
      <c r="C7524" s="138">
        <v>2019</v>
      </c>
      <c r="D7524" s="24" t="s">
        <v>141</v>
      </c>
      <c r="E7524" s="30" t="s">
        <v>142</v>
      </c>
      <c r="F7524" s="7" t="s">
        <v>47</v>
      </c>
      <c r="G7524" s="33" t="s">
        <v>10357</v>
      </c>
      <c r="H7524" s="33" t="s">
        <v>10358</v>
      </c>
      <c r="I7524" s="304">
        <v>0</v>
      </c>
      <c r="J7524" s="305">
        <v>32</v>
      </c>
      <c r="K7524" s="142">
        <v>0</v>
      </c>
      <c r="L7524" s="142">
        <v>0</v>
      </c>
      <c r="M7524" s="142">
        <v>0</v>
      </c>
      <c r="N7524" s="142">
        <v>0</v>
      </c>
      <c r="O7524" s="142">
        <v>0</v>
      </c>
      <c r="P7524" s="306">
        <v>0.24490000000000001</v>
      </c>
      <c r="Q7524" s="157" t="s">
        <v>154</v>
      </c>
      <c r="R7524" s="303"/>
    </row>
    <row r="7525" spans="1:18" s="162" customFormat="1" ht="72" x14ac:dyDescent="0.25">
      <c r="A7525" s="184">
        <v>43508</v>
      </c>
      <c r="B7525" s="184">
        <v>43508</v>
      </c>
      <c r="C7525" s="43">
        <v>2019</v>
      </c>
      <c r="D7525" s="24" t="s">
        <v>141</v>
      </c>
      <c r="E7525" s="30" t="s">
        <v>142</v>
      </c>
      <c r="F7525" s="7" t="s">
        <v>91</v>
      </c>
      <c r="G7525" s="33" t="s">
        <v>1682</v>
      </c>
      <c r="H7525" s="33" t="s">
        <v>10359</v>
      </c>
      <c r="I7525" s="304">
        <v>1</v>
      </c>
      <c r="J7525" s="305">
        <v>4</v>
      </c>
      <c r="K7525" s="142">
        <v>0</v>
      </c>
      <c r="L7525" s="142">
        <v>0</v>
      </c>
      <c r="M7525" s="142">
        <v>0</v>
      </c>
      <c r="N7525" s="142">
        <v>0</v>
      </c>
      <c r="O7525" s="142">
        <v>0</v>
      </c>
      <c r="P7525" s="306">
        <v>2.1003169999999998E-2</v>
      </c>
      <c r="Q7525" s="157" t="s">
        <v>154</v>
      </c>
      <c r="R7525" s="303"/>
    </row>
    <row r="7526" spans="1:18" s="162" customFormat="1" ht="84" x14ac:dyDescent="0.25">
      <c r="A7526" s="184">
        <v>43509</v>
      </c>
      <c r="B7526" s="184">
        <v>43509</v>
      </c>
      <c r="C7526" s="138">
        <v>2019</v>
      </c>
      <c r="D7526" s="24" t="s">
        <v>141</v>
      </c>
      <c r="E7526" s="30" t="s">
        <v>142</v>
      </c>
      <c r="F7526" s="7" t="s">
        <v>62</v>
      </c>
      <c r="G7526" s="33" t="s">
        <v>474</v>
      </c>
      <c r="H7526" s="33" t="s">
        <v>10360</v>
      </c>
      <c r="I7526" s="304">
        <v>1</v>
      </c>
      <c r="J7526" s="305">
        <v>8</v>
      </c>
      <c r="K7526" s="142">
        <v>0</v>
      </c>
      <c r="L7526" s="142">
        <v>0</v>
      </c>
      <c r="M7526" s="142">
        <v>0</v>
      </c>
      <c r="N7526" s="142">
        <v>0</v>
      </c>
      <c r="O7526" s="142">
        <v>0</v>
      </c>
      <c r="P7526" s="306">
        <v>7.8341999999999995E-2</v>
      </c>
      <c r="Q7526" s="157" t="s">
        <v>154</v>
      </c>
      <c r="R7526" s="303"/>
    </row>
    <row r="7527" spans="1:18" s="162" customFormat="1" ht="144" x14ac:dyDescent="0.25">
      <c r="A7527" s="184">
        <v>43509</v>
      </c>
      <c r="B7527" s="184">
        <v>43509</v>
      </c>
      <c r="C7527" s="43">
        <v>2019</v>
      </c>
      <c r="D7527" s="35" t="s">
        <v>28</v>
      </c>
      <c r="E7527" s="30" t="s">
        <v>125</v>
      </c>
      <c r="F7527" s="7" t="s">
        <v>75</v>
      </c>
      <c r="G7527" s="33" t="s">
        <v>5585</v>
      </c>
      <c r="H7527" s="33" t="s">
        <v>10361</v>
      </c>
      <c r="I7527" s="304">
        <v>0</v>
      </c>
      <c r="J7527" s="305">
        <v>30</v>
      </c>
      <c r="K7527" s="142">
        <v>0</v>
      </c>
      <c r="L7527" s="142">
        <v>0</v>
      </c>
      <c r="M7527" s="142">
        <v>0</v>
      </c>
      <c r="N7527" s="142">
        <v>0</v>
      </c>
      <c r="O7527" s="142">
        <v>0</v>
      </c>
      <c r="P7527" s="306">
        <v>0</v>
      </c>
      <c r="Q7527" s="157" t="s">
        <v>154</v>
      </c>
      <c r="R7527" s="303"/>
    </row>
    <row r="7528" spans="1:18" s="162" customFormat="1" ht="84" x14ac:dyDescent="0.25">
      <c r="A7528" s="184">
        <v>43511</v>
      </c>
      <c r="B7528" s="184">
        <v>43511</v>
      </c>
      <c r="C7528" s="138">
        <v>2019</v>
      </c>
      <c r="D7528" s="24" t="s">
        <v>141</v>
      </c>
      <c r="E7528" s="49" t="s">
        <v>1600</v>
      </c>
      <c r="F7528" s="25" t="s">
        <v>781</v>
      </c>
      <c r="G7528" s="33" t="s">
        <v>3061</v>
      </c>
      <c r="H7528" s="33" t="s">
        <v>10362</v>
      </c>
      <c r="I7528" s="304">
        <v>0</v>
      </c>
      <c r="J7528" s="305">
        <v>8</v>
      </c>
      <c r="K7528" s="142">
        <v>0</v>
      </c>
      <c r="L7528" s="142">
        <v>0</v>
      </c>
      <c r="M7528" s="142">
        <v>0</v>
      </c>
      <c r="N7528" s="142">
        <v>0</v>
      </c>
      <c r="O7528" s="142">
        <v>0</v>
      </c>
      <c r="P7528" s="306">
        <v>7.9200000000000017E-3</v>
      </c>
      <c r="Q7528" s="157" t="s">
        <v>154</v>
      </c>
      <c r="R7528" s="303"/>
    </row>
    <row r="7529" spans="1:18" s="162" customFormat="1" ht="84" x14ac:dyDescent="0.25">
      <c r="A7529" s="184">
        <v>43513</v>
      </c>
      <c r="B7529" s="184">
        <v>43513</v>
      </c>
      <c r="C7529" s="43">
        <v>2019</v>
      </c>
      <c r="D7529" s="24" t="s">
        <v>141</v>
      </c>
      <c r="E7529" s="49" t="s">
        <v>1600</v>
      </c>
      <c r="F7529" s="28" t="s">
        <v>163</v>
      </c>
      <c r="G7529" s="33" t="s">
        <v>1696</v>
      </c>
      <c r="H7529" s="33" t="s">
        <v>10363</v>
      </c>
      <c r="I7529" s="304">
        <v>3</v>
      </c>
      <c r="J7529" s="305">
        <v>9</v>
      </c>
      <c r="K7529" s="142">
        <v>0</v>
      </c>
      <c r="L7529" s="142">
        <v>0</v>
      </c>
      <c r="M7529" s="142">
        <v>0</v>
      </c>
      <c r="N7529" s="142">
        <v>0</v>
      </c>
      <c r="O7529" s="142">
        <v>0</v>
      </c>
      <c r="P7529" s="306">
        <v>5.9400000000000008E-3</v>
      </c>
      <c r="Q7529" s="157" t="s">
        <v>154</v>
      </c>
      <c r="R7529" s="303"/>
    </row>
    <row r="7530" spans="1:18" s="162" customFormat="1" ht="96" x14ac:dyDescent="0.25">
      <c r="A7530" s="184">
        <v>43514</v>
      </c>
      <c r="B7530" s="184">
        <v>43514</v>
      </c>
      <c r="C7530" s="138">
        <v>2019</v>
      </c>
      <c r="D7530" s="24" t="s">
        <v>141</v>
      </c>
      <c r="E7530" s="30" t="s">
        <v>142</v>
      </c>
      <c r="F7530" s="7" t="s">
        <v>25</v>
      </c>
      <c r="G7530" s="33" t="s">
        <v>25</v>
      </c>
      <c r="H7530" s="33" t="s">
        <v>10364</v>
      </c>
      <c r="I7530" s="304">
        <v>2</v>
      </c>
      <c r="J7530" s="305">
        <v>6</v>
      </c>
      <c r="K7530" s="142">
        <v>0</v>
      </c>
      <c r="L7530" s="142">
        <v>0</v>
      </c>
      <c r="M7530" s="142">
        <v>0</v>
      </c>
      <c r="N7530" s="142">
        <v>0</v>
      </c>
      <c r="O7530" s="142">
        <v>0</v>
      </c>
      <c r="P7530" s="306">
        <v>0.96143796190150477</v>
      </c>
      <c r="Q7530" s="157" t="s">
        <v>154</v>
      </c>
      <c r="R7530" s="303"/>
    </row>
    <row r="7531" spans="1:18" s="162" customFormat="1" ht="108" x14ac:dyDescent="0.25">
      <c r="A7531" s="184">
        <v>43514</v>
      </c>
      <c r="B7531" s="184">
        <v>43514</v>
      </c>
      <c r="C7531" s="43">
        <v>2019</v>
      </c>
      <c r="D7531" s="24" t="s">
        <v>141</v>
      </c>
      <c r="E7531" s="30" t="s">
        <v>142</v>
      </c>
      <c r="F7531" s="7" t="s">
        <v>58</v>
      </c>
      <c r="G7531" s="33" t="s">
        <v>5572</v>
      </c>
      <c r="H7531" s="33" t="s">
        <v>10365</v>
      </c>
      <c r="I7531" s="304">
        <v>0</v>
      </c>
      <c r="J7531" s="305">
        <v>11</v>
      </c>
      <c r="K7531" s="142">
        <v>0</v>
      </c>
      <c r="L7531" s="142">
        <v>0</v>
      </c>
      <c r="M7531" s="142">
        <v>0</v>
      </c>
      <c r="N7531" s="142">
        <v>0</v>
      </c>
      <c r="O7531" s="142">
        <v>0</v>
      </c>
      <c r="P7531" s="306">
        <v>0.83671833837209308</v>
      </c>
      <c r="Q7531" s="157" t="s">
        <v>154</v>
      </c>
      <c r="R7531" s="303"/>
    </row>
    <row r="7532" spans="1:18" s="162" customFormat="1" ht="84" x14ac:dyDescent="0.25">
      <c r="A7532" s="184">
        <v>43514</v>
      </c>
      <c r="B7532" s="184">
        <v>43514</v>
      </c>
      <c r="C7532" s="138">
        <v>2019</v>
      </c>
      <c r="D7532" s="24" t="s">
        <v>141</v>
      </c>
      <c r="E7532" s="30" t="s">
        <v>142</v>
      </c>
      <c r="F7532" s="28" t="s">
        <v>151</v>
      </c>
      <c r="G7532" s="33" t="s">
        <v>10366</v>
      </c>
      <c r="H7532" s="33" t="s">
        <v>10367</v>
      </c>
      <c r="I7532" s="304">
        <v>5</v>
      </c>
      <c r="J7532" s="305">
        <v>35</v>
      </c>
      <c r="K7532" s="142">
        <v>0</v>
      </c>
      <c r="L7532" s="142">
        <v>0</v>
      </c>
      <c r="M7532" s="142">
        <v>0</v>
      </c>
      <c r="N7532" s="142">
        <v>0</v>
      </c>
      <c r="O7532" s="142">
        <v>0</v>
      </c>
      <c r="P7532" s="306">
        <v>0.71411999999999998</v>
      </c>
      <c r="Q7532" s="157" t="s">
        <v>154</v>
      </c>
      <c r="R7532" s="303"/>
    </row>
    <row r="7533" spans="1:18" s="162" customFormat="1" ht="144" x14ac:dyDescent="0.25">
      <c r="A7533" s="184">
        <v>43514</v>
      </c>
      <c r="B7533" s="184">
        <v>43514</v>
      </c>
      <c r="C7533" s="43">
        <v>2019</v>
      </c>
      <c r="D7533" s="35" t="s">
        <v>17</v>
      </c>
      <c r="E7533" s="6" t="s">
        <v>328</v>
      </c>
      <c r="F7533" s="7" t="s">
        <v>30</v>
      </c>
      <c r="G7533" s="33" t="s">
        <v>1078</v>
      </c>
      <c r="H7533" s="33" t="s">
        <v>10368</v>
      </c>
      <c r="I7533" s="304">
        <v>0</v>
      </c>
      <c r="J7533" s="305">
        <v>54</v>
      </c>
      <c r="K7533" s="142">
        <v>0</v>
      </c>
      <c r="L7533" s="142">
        <v>0</v>
      </c>
      <c r="M7533" s="142">
        <v>0</v>
      </c>
      <c r="N7533" s="142">
        <v>0</v>
      </c>
      <c r="O7533" s="142">
        <v>0</v>
      </c>
      <c r="P7533" s="306">
        <v>0</v>
      </c>
      <c r="Q7533" s="157" t="s">
        <v>154</v>
      </c>
      <c r="R7533" s="303"/>
    </row>
    <row r="7534" spans="1:18" s="162" customFormat="1" ht="48" x14ac:dyDescent="0.25">
      <c r="A7534" s="184">
        <v>43515</v>
      </c>
      <c r="B7534" s="184">
        <v>43515</v>
      </c>
      <c r="C7534" s="138">
        <v>2019</v>
      </c>
      <c r="D7534" s="24" t="s">
        <v>141</v>
      </c>
      <c r="E7534" s="41" t="s">
        <v>1965</v>
      </c>
      <c r="F7534" s="28" t="s">
        <v>157</v>
      </c>
      <c r="G7534" s="33" t="s">
        <v>857</v>
      </c>
      <c r="H7534" s="33" t="s">
        <v>10369</v>
      </c>
      <c r="I7534" s="304">
        <v>1</v>
      </c>
      <c r="J7534" s="305">
        <v>1</v>
      </c>
      <c r="K7534" s="142">
        <v>0</v>
      </c>
      <c r="L7534" s="142">
        <v>0</v>
      </c>
      <c r="M7534" s="142">
        <v>0</v>
      </c>
      <c r="N7534" s="142">
        <v>0</v>
      </c>
      <c r="O7534" s="142">
        <v>0</v>
      </c>
      <c r="P7534" s="306">
        <v>0</v>
      </c>
      <c r="Q7534" s="157" t="s">
        <v>154</v>
      </c>
      <c r="R7534" s="303"/>
    </row>
    <row r="7535" spans="1:18" s="162" customFormat="1" ht="144" x14ac:dyDescent="0.25">
      <c r="A7535" s="184">
        <v>43516</v>
      </c>
      <c r="B7535" s="184">
        <v>43520</v>
      </c>
      <c r="C7535" s="43">
        <v>2019</v>
      </c>
      <c r="D7535" s="351" t="s">
        <v>23</v>
      </c>
      <c r="E7535" s="22" t="s">
        <v>2689</v>
      </c>
      <c r="F7535" s="7" t="s">
        <v>87</v>
      </c>
      <c r="G7535" s="33" t="s">
        <v>10370</v>
      </c>
      <c r="H7535" s="33" t="s">
        <v>10371</v>
      </c>
      <c r="I7535" s="304">
        <v>0</v>
      </c>
      <c r="J7535" s="305">
        <v>9207</v>
      </c>
      <c r="K7535" s="142">
        <v>0</v>
      </c>
      <c r="L7535" s="142">
        <v>0</v>
      </c>
      <c r="M7535" s="142">
        <v>0</v>
      </c>
      <c r="N7535" s="142">
        <v>0</v>
      </c>
      <c r="O7535" s="142">
        <v>0</v>
      </c>
      <c r="P7535" s="306">
        <v>8.8763350448000011</v>
      </c>
      <c r="Q7535" s="157" t="s">
        <v>186</v>
      </c>
      <c r="R7535" s="303"/>
    </row>
    <row r="7536" spans="1:18" s="162" customFormat="1" ht="168" x14ac:dyDescent="0.25">
      <c r="A7536" s="184">
        <v>43517</v>
      </c>
      <c r="B7536" s="184">
        <v>43517</v>
      </c>
      <c r="C7536" s="138">
        <v>2019</v>
      </c>
      <c r="D7536" s="35" t="s">
        <v>28</v>
      </c>
      <c r="E7536" s="30" t="s">
        <v>133</v>
      </c>
      <c r="F7536" s="28" t="s">
        <v>160</v>
      </c>
      <c r="G7536" s="33" t="s">
        <v>6249</v>
      </c>
      <c r="H7536" s="33" t="s">
        <v>10372</v>
      </c>
      <c r="I7536" s="304">
        <v>0</v>
      </c>
      <c r="J7536" s="305">
        <v>2</v>
      </c>
      <c r="K7536" s="142">
        <v>0</v>
      </c>
      <c r="L7536" s="142">
        <v>0</v>
      </c>
      <c r="M7536" s="142">
        <v>0</v>
      </c>
      <c r="N7536" s="142">
        <v>0</v>
      </c>
      <c r="O7536" s="142">
        <v>0</v>
      </c>
      <c r="P7536" s="306">
        <v>2.7578100000000001E-2</v>
      </c>
      <c r="Q7536" s="157" t="s">
        <v>154</v>
      </c>
      <c r="R7536" s="303"/>
    </row>
    <row r="7537" spans="1:18" s="162" customFormat="1" ht="96" x14ac:dyDescent="0.25">
      <c r="A7537" s="184">
        <v>43519</v>
      </c>
      <c r="B7537" s="184">
        <v>43519</v>
      </c>
      <c r="C7537" s="43">
        <v>2019</v>
      </c>
      <c r="D7537" s="24" t="s">
        <v>141</v>
      </c>
      <c r="E7537" s="30" t="s">
        <v>142</v>
      </c>
      <c r="F7537" s="7" t="s">
        <v>53</v>
      </c>
      <c r="G7537" s="33" t="s">
        <v>8930</v>
      </c>
      <c r="H7537" s="33" t="s">
        <v>10373</v>
      </c>
      <c r="I7537" s="304">
        <v>0</v>
      </c>
      <c r="J7537" s="305">
        <v>10</v>
      </c>
      <c r="K7537" s="142">
        <v>0</v>
      </c>
      <c r="L7537" s="142">
        <v>0</v>
      </c>
      <c r="M7537" s="142">
        <v>0</v>
      </c>
      <c r="N7537" s="142">
        <v>0</v>
      </c>
      <c r="O7537" s="142">
        <v>0</v>
      </c>
      <c r="P7537" s="306">
        <v>0.20739170000000001</v>
      </c>
      <c r="Q7537" s="157" t="s">
        <v>154</v>
      </c>
      <c r="R7537" s="303"/>
    </row>
    <row r="7538" spans="1:18" s="162" customFormat="1" ht="120" x14ac:dyDescent="0.25">
      <c r="A7538" s="184">
        <v>43524</v>
      </c>
      <c r="B7538" s="184">
        <v>43524</v>
      </c>
      <c r="C7538" s="138">
        <v>2019</v>
      </c>
      <c r="D7538" s="24" t="s">
        <v>141</v>
      </c>
      <c r="E7538" s="30" t="s">
        <v>142</v>
      </c>
      <c r="F7538" s="7" t="s">
        <v>58</v>
      </c>
      <c r="G7538" s="33" t="s">
        <v>9987</v>
      </c>
      <c r="H7538" s="33" t="s">
        <v>10374</v>
      </c>
      <c r="I7538" s="304">
        <v>0</v>
      </c>
      <c r="J7538" s="305">
        <v>7</v>
      </c>
      <c r="K7538" s="142">
        <v>0</v>
      </c>
      <c r="L7538" s="142">
        <v>0</v>
      </c>
      <c r="M7538" s="142">
        <v>0</v>
      </c>
      <c r="N7538" s="142">
        <v>0</v>
      </c>
      <c r="O7538" s="142">
        <v>0</v>
      </c>
      <c r="P7538" s="306">
        <v>0.59823169999999992</v>
      </c>
      <c r="Q7538" s="157" t="s">
        <v>154</v>
      </c>
      <c r="R7538" s="303"/>
    </row>
    <row r="7539" spans="1:18" s="162" customFormat="1" ht="409.5" x14ac:dyDescent="0.25">
      <c r="A7539" s="184">
        <v>43510</v>
      </c>
      <c r="B7539" s="184">
        <v>43525</v>
      </c>
      <c r="C7539" s="43">
        <v>2019</v>
      </c>
      <c r="D7539" s="35" t="s">
        <v>28</v>
      </c>
      <c r="E7539" s="6" t="s">
        <v>149</v>
      </c>
      <c r="F7539" s="28" t="s">
        <v>210</v>
      </c>
      <c r="G7539" s="33" t="s">
        <v>9868</v>
      </c>
      <c r="H7539" s="33" t="s">
        <v>10375</v>
      </c>
      <c r="I7539" s="304">
        <v>0</v>
      </c>
      <c r="J7539" s="305">
        <v>0</v>
      </c>
      <c r="K7539" s="142">
        <v>0</v>
      </c>
      <c r="L7539" s="142">
        <v>0</v>
      </c>
      <c r="M7539" s="142">
        <v>0</v>
      </c>
      <c r="N7539" s="142">
        <v>0</v>
      </c>
      <c r="O7539" s="142">
        <v>0</v>
      </c>
      <c r="P7539" s="306">
        <v>0</v>
      </c>
      <c r="Q7539" s="157" t="s">
        <v>154</v>
      </c>
      <c r="R7539" s="303"/>
    </row>
    <row r="7540" spans="1:18" s="162" customFormat="1" ht="108" x14ac:dyDescent="0.25">
      <c r="A7540" s="184">
        <v>43527</v>
      </c>
      <c r="B7540" s="184">
        <v>43527</v>
      </c>
      <c r="C7540" s="138">
        <v>2019</v>
      </c>
      <c r="D7540" s="24" t="s">
        <v>141</v>
      </c>
      <c r="E7540" s="30" t="s">
        <v>142</v>
      </c>
      <c r="F7540" s="28" t="s">
        <v>157</v>
      </c>
      <c r="G7540" s="33" t="s">
        <v>526</v>
      </c>
      <c r="H7540" s="33" t="s">
        <v>10376</v>
      </c>
      <c r="I7540" s="304">
        <v>0</v>
      </c>
      <c r="J7540" s="305">
        <v>12</v>
      </c>
      <c r="K7540" s="142">
        <v>0</v>
      </c>
      <c r="L7540" s="142">
        <v>0</v>
      </c>
      <c r="M7540" s="142">
        <v>0</v>
      </c>
      <c r="N7540" s="142">
        <v>0</v>
      </c>
      <c r="O7540" s="142">
        <v>0</v>
      </c>
      <c r="P7540" s="306">
        <v>2.35E-2</v>
      </c>
      <c r="Q7540" s="157" t="s">
        <v>154</v>
      </c>
      <c r="R7540" s="303"/>
    </row>
    <row r="7541" spans="1:18" s="162" customFormat="1" ht="156" x14ac:dyDescent="0.25">
      <c r="A7541" s="184">
        <v>43527</v>
      </c>
      <c r="B7541" s="184">
        <v>43527</v>
      </c>
      <c r="C7541" s="43">
        <v>2019</v>
      </c>
      <c r="D7541" s="24" t="s">
        <v>141</v>
      </c>
      <c r="E7541" s="30" t="s">
        <v>142</v>
      </c>
      <c r="F7541" s="28" t="s">
        <v>210</v>
      </c>
      <c r="G7541" s="33" t="s">
        <v>10377</v>
      </c>
      <c r="H7541" s="33" t="s">
        <v>10378</v>
      </c>
      <c r="I7541" s="304">
        <v>0</v>
      </c>
      <c r="J7541" s="305">
        <v>7</v>
      </c>
      <c r="K7541" s="142">
        <v>0</v>
      </c>
      <c r="L7541" s="142">
        <v>0</v>
      </c>
      <c r="M7541" s="142">
        <v>0</v>
      </c>
      <c r="N7541" s="142">
        <v>0</v>
      </c>
      <c r="O7541" s="142">
        <v>0</v>
      </c>
      <c r="P7541" s="306">
        <v>0.71411999999999998</v>
      </c>
      <c r="Q7541" s="157" t="s">
        <v>154</v>
      </c>
      <c r="R7541" s="303"/>
    </row>
    <row r="7542" spans="1:18" s="162" customFormat="1" ht="84" x14ac:dyDescent="0.25">
      <c r="A7542" s="184">
        <v>43528</v>
      </c>
      <c r="B7542" s="184">
        <v>43528</v>
      </c>
      <c r="C7542" s="138">
        <v>2019</v>
      </c>
      <c r="D7542" s="24" t="s">
        <v>141</v>
      </c>
      <c r="E7542" s="30" t="s">
        <v>142</v>
      </c>
      <c r="F7542" s="7" t="s">
        <v>62</v>
      </c>
      <c r="G7542" s="33" t="s">
        <v>165</v>
      </c>
      <c r="H7542" s="33" t="s">
        <v>10379</v>
      </c>
      <c r="I7542" s="304">
        <v>1</v>
      </c>
      <c r="J7542" s="305">
        <v>23</v>
      </c>
      <c r="K7542" s="142">
        <v>0</v>
      </c>
      <c r="L7542" s="142">
        <v>0</v>
      </c>
      <c r="M7542" s="142">
        <v>0</v>
      </c>
      <c r="N7542" s="142">
        <v>0</v>
      </c>
      <c r="O7542" s="142">
        <v>0</v>
      </c>
      <c r="P7542" s="306">
        <v>0.7359</v>
      </c>
      <c r="Q7542" s="157" t="s">
        <v>154</v>
      </c>
      <c r="R7542" s="303"/>
    </row>
    <row r="7543" spans="1:18" s="162" customFormat="1" ht="72" x14ac:dyDescent="0.25">
      <c r="A7543" s="184">
        <v>43528</v>
      </c>
      <c r="B7543" s="184">
        <v>43528</v>
      </c>
      <c r="C7543" s="43">
        <v>2019</v>
      </c>
      <c r="D7543" s="24" t="s">
        <v>141</v>
      </c>
      <c r="E7543" s="30" t="s">
        <v>142</v>
      </c>
      <c r="F7543" s="7" t="s">
        <v>60</v>
      </c>
      <c r="G7543" s="33" t="s">
        <v>10380</v>
      </c>
      <c r="H7543" s="33" t="s">
        <v>10381</v>
      </c>
      <c r="I7543" s="304">
        <v>1</v>
      </c>
      <c r="J7543" s="305">
        <v>10</v>
      </c>
      <c r="K7543" s="142">
        <v>0</v>
      </c>
      <c r="L7543" s="142">
        <v>0</v>
      </c>
      <c r="M7543" s="142">
        <v>0</v>
      </c>
      <c r="N7543" s="142">
        <v>0</v>
      </c>
      <c r="O7543" s="142">
        <v>0</v>
      </c>
      <c r="P7543" s="306">
        <v>0.18924170000000001</v>
      </c>
      <c r="Q7543" s="157" t="s">
        <v>154</v>
      </c>
      <c r="R7543" s="303"/>
    </row>
    <row r="7544" spans="1:18" s="162" customFormat="1" ht="84" x14ac:dyDescent="0.25">
      <c r="A7544" s="184">
        <v>43529</v>
      </c>
      <c r="B7544" s="184">
        <v>43529</v>
      </c>
      <c r="C7544" s="138">
        <v>2019</v>
      </c>
      <c r="D7544" s="24" t="s">
        <v>141</v>
      </c>
      <c r="E7544" s="22" t="s">
        <v>420</v>
      </c>
      <c r="F7544" s="28" t="s">
        <v>157</v>
      </c>
      <c r="G7544" s="33" t="s">
        <v>1089</v>
      </c>
      <c r="H7544" s="33" t="s">
        <v>10382</v>
      </c>
      <c r="I7544" s="304">
        <v>0</v>
      </c>
      <c r="J7544" s="305">
        <v>8</v>
      </c>
      <c r="K7544" s="142">
        <v>0</v>
      </c>
      <c r="L7544" s="142">
        <v>0</v>
      </c>
      <c r="M7544" s="142">
        <v>0</v>
      </c>
      <c r="N7544" s="142">
        <v>0</v>
      </c>
      <c r="O7544" s="142">
        <v>0</v>
      </c>
      <c r="P7544" s="306">
        <v>2.9700000000000004E-3</v>
      </c>
      <c r="Q7544" s="157" t="s">
        <v>154</v>
      </c>
      <c r="R7544" s="303"/>
    </row>
    <row r="7545" spans="1:18" s="162" customFormat="1" ht="72" x14ac:dyDescent="0.25">
      <c r="A7545" s="184">
        <v>43529</v>
      </c>
      <c r="B7545" s="184">
        <v>43529</v>
      </c>
      <c r="C7545" s="43">
        <v>2019</v>
      </c>
      <c r="D7545" s="24" t="s">
        <v>130</v>
      </c>
      <c r="E7545" s="30" t="s">
        <v>136</v>
      </c>
      <c r="F7545" s="7" t="s">
        <v>58</v>
      </c>
      <c r="G7545" s="33" t="s">
        <v>10383</v>
      </c>
      <c r="H7545" s="33" t="s">
        <v>10384</v>
      </c>
      <c r="I7545" s="304">
        <v>3</v>
      </c>
      <c r="J7545" s="305">
        <v>8</v>
      </c>
      <c r="K7545" s="142">
        <v>0</v>
      </c>
      <c r="L7545" s="142">
        <v>0</v>
      </c>
      <c r="M7545" s="142">
        <v>0</v>
      </c>
      <c r="N7545" s="142">
        <v>0</v>
      </c>
      <c r="O7545" s="142">
        <v>0</v>
      </c>
      <c r="P7545" s="306">
        <v>0</v>
      </c>
      <c r="Q7545" s="157" t="s">
        <v>154</v>
      </c>
      <c r="R7545" s="303"/>
    </row>
    <row r="7546" spans="1:18" s="162" customFormat="1" ht="204" x14ac:dyDescent="0.25">
      <c r="A7546" s="184">
        <v>43529</v>
      </c>
      <c r="B7546" s="184">
        <v>43529</v>
      </c>
      <c r="C7546" s="138">
        <v>2019</v>
      </c>
      <c r="D7546" s="24" t="s">
        <v>141</v>
      </c>
      <c r="E7546" s="30" t="s">
        <v>142</v>
      </c>
      <c r="F7546" s="7" t="s">
        <v>56</v>
      </c>
      <c r="G7546" s="33" t="s">
        <v>10385</v>
      </c>
      <c r="H7546" s="33" t="s">
        <v>10386</v>
      </c>
      <c r="I7546" s="304">
        <v>0</v>
      </c>
      <c r="J7546" s="305">
        <v>5</v>
      </c>
      <c r="K7546" s="142">
        <v>0</v>
      </c>
      <c r="L7546" s="142">
        <v>0</v>
      </c>
      <c r="M7546" s="142">
        <v>0</v>
      </c>
      <c r="N7546" s="142">
        <v>0</v>
      </c>
      <c r="O7546" s="142">
        <v>0</v>
      </c>
      <c r="P7546" s="306">
        <v>0.18528170000000002</v>
      </c>
      <c r="Q7546" s="157" t="s">
        <v>154</v>
      </c>
      <c r="R7546" s="303"/>
    </row>
    <row r="7547" spans="1:18" s="162" customFormat="1" ht="144" x14ac:dyDescent="0.25">
      <c r="A7547" s="184">
        <v>43531</v>
      </c>
      <c r="B7547" s="184">
        <v>43531</v>
      </c>
      <c r="C7547" s="43">
        <v>2019</v>
      </c>
      <c r="D7547" s="24" t="s">
        <v>141</v>
      </c>
      <c r="E7547" s="30" t="s">
        <v>142</v>
      </c>
      <c r="F7547" s="7" t="s">
        <v>56</v>
      </c>
      <c r="G7547" s="33" t="s">
        <v>1160</v>
      </c>
      <c r="H7547" s="33" t="s">
        <v>10387</v>
      </c>
      <c r="I7547" s="304">
        <v>0</v>
      </c>
      <c r="J7547" s="305">
        <v>5</v>
      </c>
      <c r="K7547" s="142">
        <v>0</v>
      </c>
      <c r="L7547" s="142">
        <v>0</v>
      </c>
      <c r="M7547" s="142">
        <v>0</v>
      </c>
      <c r="N7547" s="142">
        <v>0</v>
      </c>
      <c r="O7547" s="142">
        <v>0</v>
      </c>
      <c r="P7547" s="306">
        <v>0.35694999999999999</v>
      </c>
      <c r="Q7547" s="157" t="s">
        <v>154</v>
      </c>
      <c r="R7547" s="303"/>
    </row>
    <row r="7548" spans="1:18" s="162" customFormat="1" ht="96" x14ac:dyDescent="0.25">
      <c r="A7548" s="184">
        <v>43532</v>
      </c>
      <c r="B7548" s="184">
        <v>43532</v>
      </c>
      <c r="C7548" s="138">
        <v>2019</v>
      </c>
      <c r="D7548" s="35" t="s">
        <v>28</v>
      </c>
      <c r="E7548" s="6" t="s">
        <v>149</v>
      </c>
      <c r="F7548" s="7" t="s">
        <v>75</v>
      </c>
      <c r="G7548" s="33" t="s">
        <v>75</v>
      </c>
      <c r="H7548" s="33" t="s">
        <v>10388</v>
      </c>
      <c r="I7548" s="304">
        <v>3</v>
      </c>
      <c r="J7548" s="305">
        <v>5</v>
      </c>
      <c r="K7548" s="142">
        <v>0</v>
      </c>
      <c r="L7548" s="142">
        <v>0</v>
      </c>
      <c r="M7548" s="142">
        <v>0</v>
      </c>
      <c r="N7548" s="142">
        <v>0</v>
      </c>
      <c r="O7548" s="142">
        <v>0</v>
      </c>
      <c r="P7548" s="306">
        <v>0.73316540000000008</v>
      </c>
      <c r="Q7548" s="157" t="s">
        <v>154</v>
      </c>
      <c r="R7548" s="303"/>
    </row>
    <row r="7549" spans="1:18" s="162" customFormat="1" ht="168" x14ac:dyDescent="0.25">
      <c r="A7549" s="184">
        <v>43532</v>
      </c>
      <c r="B7549" s="184">
        <v>43532</v>
      </c>
      <c r="C7549" s="43">
        <v>2019</v>
      </c>
      <c r="D7549" s="35" t="s">
        <v>28</v>
      </c>
      <c r="E7549" s="30" t="s">
        <v>133</v>
      </c>
      <c r="F7549" s="28" t="s">
        <v>210</v>
      </c>
      <c r="G7549" s="33" t="s">
        <v>210</v>
      </c>
      <c r="H7549" s="33" t="s">
        <v>10389</v>
      </c>
      <c r="I7549" s="304">
        <v>2</v>
      </c>
      <c r="J7549" s="305">
        <v>45</v>
      </c>
      <c r="K7549" s="142">
        <v>0</v>
      </c>
      <c r="L7549" s="142">
        <v>0</v>
      </c>
      <c r="M7549" s="142">
        <v>0</v>
      </c>
      <c r="N7549" s="142">
        <v>0</v>
      </c>
      <c r="O7549" s="142">
        <v>0</v>
      </c>
      <c r="P7549" s="306">
        <v>9.1080000000000015E-3</v>
      </c>
      <c r="Q7549" s="157" t="s">
        <v>154</v>
      </c>
      <c r="R7549" s="303"/>
    </row>
    <row r="7550" spans="1:18" s="162" customFormat="1" ht="72" x14ac:dyDescent="0.25">
      <c r="A7550" s="184">
        <v>43534</v>
      </c>
      <c r="B7550" s="184">
        <v>43534</v>
      </c>
      <c r="C7550" s="138">
        <v>2019</v>
      </c>
      <c r="D7550" s="24" t="s">
        <v>141</v>
      </c>
      <c r="E7550" s="30" t="s">
        <v>142</v>
      </c>
      <c r="F7550" s="7" t="s">
        <v>53</v>
      </c>
      <c r="G7550" s="33" t="s">
        <v>5966</v>
      </c>
      <c r="H7550" s="33" t="s">
        <v>10390</v>
      </c>
      <c r="I7550" s="304">
        <v>0</v>
      </c>
      <c r="J7550" s="305">
        <v>8</v>
      </c>
      <c r="K7550" s="142">
        <v>0</v>
      </c>
      <c r="L7550" s="142">
        <v>0</v>
      </c>
      <c r="M7550" s="142">
        <v>0</v>
      </c>
      <c r="N7550" s="142">
        <v>0</v>
      </c>
      <c r="O7550" s="142">
        <v>0</v>
      </c>
      <c r="P7550" s="306">
        <v>7.1412000000000003E-2</v>
      </c>
      <c r="Q7550" s="157" t="s">
        <v>154</v>
      </c>
      <c r="R7550" s="303"/>
    </row>
    <row r="7551" spans="1:18" s="162" customFormat="1" ht="60" x14ac:dyDescent="0.25">
      <c r="A7551" s="184">
        <v>43536</v>
      </c>
      <c r="B7551" s="184">
        <v>43536</v>
      </c>
      <c r="C7551" s="43">
        <v>2019</v>
      </c>
      <c r="D7551" s="35" t="s">
        <v>28</v>
      </c>
      <c r="E7551" s="30" t="s">
        <v>133</v>
      </c>
      <c r="F7551" s="7" t="s">
        <v>53</v>
      </c>
      <c r="G7551" s="33" t="s">
        <v>170</v>
      </c>
      <c r="H7551" s="33" t="s">
        <v>10391</v>
      </c>
      <c r="I7551" s="304">
        <v>1</v>
      </c>
      <c r="J7551" s="305">
        <v>1</v>
      </c>
      <c r="K7551" s="142">
        <v>0</v>
      </c>
      <c r="L7551" s="142">
        <v>0</v>
      </c>
      <c r="M7551" s="142">
        <v>0</v>
      </c>
      <c r="N7551" s="142">
        <v>0</v>
      </c>
      <c r="O7551" s="142">
        <v>0</v>
      </c>
      <c r="P7551" s="306">
        <v>0</v>
      </c>
      <c r="Q7551" s="157" t="s">
        <v>154</v>
      </c>
      <c r="R7551" s="303"/>
    </row>
    <row r="7552" spans="1:18" s="162" customFormat="1" ht="72" x14ac:dyDescent="0.25">
      <c r="A7552" s="184">
        <v>43536</v>
      </c>
      <c r="B7552" s="184">
        <v>43536</v>
      </c>
      <c r="C7552" s="138">
        <v>2019</v>
      </c>
      <c r="D7552" s="351" t="s">
        <v>23</v>
      </c>
      <c r="E7552" s="49" t="s">
        <v>323</v>
      </c>
      <c r="F7552" s="7" t="s">
        <v>40</v>
      </c>
      <c r="G7552" s="33" t="s">
        <v>10392</v>
      </c>
      <c r="H7552" s="33" t="s">
        <v>10393</v>
      </c>
      <c r="I7552" s="304">
        <v>0</v>
      </c>
      <c r="J7552" s="305">
        <v>0</v>
      </c>
      <c r="K7552" s="142">
        <v>9</v>
      </c>
      <c r="L7552" s="142">
        <v>0</v>
      </c>
      <c r="M7552" s="142">
        <v>0</v>
      </c>
      <c r="N7552" s="142">
        <v>0</v>
      </c>
      <c r="O7552" s="142">
        <v>0</v>
      </c>
      <c r="P7552" s="306">
        <v>3.4650000000000006E-3</v>
      </c>
      <c r="Q7552" s="157" t="s">
        <v>154</v>
      </c>
      <c r="R7552" s="303"/>
    </row>
    <row r="7553" spans="1:18" s="162" customFormat="1" ht="120" x14ac:dyDescent="0.25">
      <c r="A7553" s="184">
        <v>43536</v>
      </c>
      <c r="B7553" s="184">
        <v>43536</v>
      </c>
      <c r="C7553" s="43">
        <v>2019</v>
      </c>
      <c r="D7553" s="35" t="s">
        <v>28</v>
      </c>
      <c r="E7553" s="6" t="s">
        <v>149</v>
      </c>
      <c r="F7553" s="7" t="s">
        <v>60</v>
      </c>
      <c r="G7553" s="33" t="s">
        <v>908</v>
      </c>
      <c r="H7553" s="33" t="s">
        <v>10394</v>
      </c>
      <c r="I7553" s="304">
        <v>0</v>
      </c>
      <c r="J7553" s="305">
        <v>0</v>
      </c>
      <c r="K7553" s="142">
        <v>0</v>
      </c>
      <c r="L7553" s="142">
        <v>0</v>
      </c>
      <c r="M7553" s="142">
        <v>0</v>
      </c>
      <c r="N7553" s="142">
        <v>0</v>
      </c>
      <c r="O7553" s="142">
        <v>0</v>
      </c>
      <c r="P7553" s="306">
        <v>0</v>
      </c>
      <c r="Q7553" s="157" t="s">
        <v>154</v>
      </c>
      <c r="R7553" s="303"/>
    </row>
    <row r="7554" spans="1:18" s="162" customFormat="1" ht="180" x14ac:dyDescent="0.25">
      <c r="A7554" s="184">
        <v>43536</v>
      </c>
      <c r="B7554" s="184">
        <v>43536</v>
      </c>
      <c r="C7554" s="138">
        <v>2019</v>
      </c>
      <c r="D7554" s="351" t="s">
        <v>23</v>
      </c>
      <c r="E7554" s="14" t="s">
        <v>52</v>
      </c>
      <c r="F7554" s="7" t="s">
        <v>56</v>
      </c>
      <c r="G7554" s="33" t="s">
        <v>10395</v>
      </c>
      <c r="H7554" s="33" t="s">
        <v>10396</v>
      </c>
      <c r="I7554" s="304">
        <v>0</v>
      </c>
      <c r="J7554" s="305">
        <v>32</v>
      </c>
      <c r="K7554" s="142">
        <v>8</v>
      </c>
      <c r="L7554" s="142">
        <v>2</v>
      </c>
      <c r="M7554" s="142">
        <v>0</v>
      </c>
      <c r="N7554" s="142">
        <v>0</v>
      </c>
      <c r="O7554" s="142">
        <v>0</v>
      </c>
      <c r="P7554" s="306">
        <v>9.2399999999999999E-3</v>
      </c>
      <c r="Q7554" s="157" t="s">
        <v>154</v>
      </c>
      <c r="R7554" s="303"/>
    </row>
    <row r="7555" spans="1:18" s="162" customFormat="1" ht="108" x14ac:dyDescent="0.25">
      <c r="A7555" s="184">
        <v>43537</v>
      </c>
      <c r="B7555" s="184">
        <v>43537</v>
      </c>
      <c r="C7555" s="43">
        <v>2019</v>
      </c>
      <c r="D7555" s="24" t="s">
        <v>141</v>
      </c>
      <c r="E7555" s="30" t="s">
        <v>142</v>
      </c>
      <c r="F7555" s="28" t="s">
        <v>210</v>
      </c>
      <c r="G7555" s="33" t="s">
        <v>865</v>
      </c>
      <c r="H7555" s="33" t="s">
        <v>10397</v>
      </c>
      <c r="I7555" s="304">
        <v>0</v>
      </c>
      <c r="J7555" s="305">
        <v>15</v>
      </c>
      <c r="K7555" s="142">
        <v>0</v>
      </c>
      <c r="L7555" s="142">
        <v>0</v>
      </c>
      <c r="M7555" s="142">
        <v>0</v>
      </c>
      <c r="N7555" s="142">
        <v>0</v>
      </c>
      <c r="O7555" s="142">
        <v>0</v>
      </c>
      <c r="P7555" s="306">
        <v>0.19518170000000001</v>
      </c>
      <c r="Q7555" s="157" t="s">
        <v>154</v>
      </c>
      <c r="R7555" s="303"/>
    </row>
    <row r="7556" spans="1:18" s="162" customFormat="1" ht="120" x14ac:dyDescent="0.25">
      <c r="A7556" s="184">
        <v>43537</v>
      </c>
      <c r="B7556" s="184">
        <v>43537</v>
      </c>
      <c r="C7556" s="138">
        <v>2019</v>
      </c>
      <c r="D7556" s="24" t="s">
        <v>130</v>
      </c>
      <c r="E7556" s="30" t="s">
        <v>136</v>
      </c>
      <c r="F7556" s="7" t="s">
        <v>30</v>
      </c>
      <c r="G7556" s="33" t="s">
        <v>901</v>
      </c>
      <c r="H7556" s="33" t="s">
        <v>10398</v>
      </c>
      <c r="I7556" s="304">
        <v>0</v>
      </c>
      <c r="J7556" s="305">
        <v>56</v>
      </c>
      <c r="K7556" s="142">
        <v>0</v>
      </c>
      <c r="L7556" s="142">
        <v>0</v>
      </c>
      <c r="M7556" s="142">
        <v>0</v>
      </c>
      <c r="N7556" s="142">
        <v>0</v>
      </c>
      <c r="O7556" s="142">
        <v>0</v>
      </c>
      <c r="P7556" s="306">
        <v>0.34172820000000004</v>
      </c>
      <c r="Q7556" s="157" t="s">
        <v>154</v>
      </c>
      <c r="R7556" s="303"/>
    </row>
    <row r="7557" spans="1:18" s="162" customFormat="1" ht="60" x14ac:dyDescent="0.25">
      <c r="A7557" s="184">
        <v>43537</v>
      </c>
      <c r="B7557" s="184">
        <v>43537</v>
      </c>
      <c r="C7557" s="43">
        <v>2019</v>
      </c>
      <c r="D7557" s="35" t="s">
        <v>28</v>
      </c>
      <c r="E7557" s="30" t="s">
        <v>133</v>
      </c>
      <c r="F7557" s="7" t="s">
        <v>62</v>
      </c>
      <c r="G7557" s="33" t="s">
        <v>10399</v>
      </c>
      <c r="H7557" s="33" t="s">
        <v>10400</v>
      </c>
      <c r="I7557" s="304">
        <v>0</v>
      </c>
      <c r="J7557" s="305">
        <v>5</v>
      </c>
      <c r="K7557" s="142">
        <v>0</v>
      </c>
      <c r="L7557" s="142">
        <v>0</v>
      </c>
      <c r="M7557" s="142">
        <v>0</v>
      </c>
      <c r="N7557" s="142">
        <v>0</v>
      </c>
      <c r="O7557" s="142">
        <v>0</v>
      </c>
      <c r="P7557" s="306">
        <v>4.9500000000000013E-3</v>
      </c>
      <c r="Q7557" s="157" t="s">
        <v>154</v>
      </c>
      <c r="R7557" s="303"/>
    </row>
    <row r="7558" spans="1:18" s="162" customFormat="1" ht="72" x14ac:dyDescent="0.25">
      <c r="A7558" s="184">
        <v>43537</v>
      </c>
      <c r="B7558" s="184">
        <v>43537</v>
      </c>
      <c r="C7558" s="138">
        <v>2019</v>
      </c>
      <c r="D7558" s="24" t="s">
        <v>141</v>
      </c>
      <c r="E7558" s="49" t="s">
        <v>1600</v>
      </c>
      <c r="F7558" s="7" t="s">
        <v>60</v>
      </c>
      <c r="G7558" s="33" t="s">
        <v>908</v>
      </c>
      <c r="H7558" s="33" t="s">
        <v>10401</v>
      </c>
      <c r="I7558" s="304">
        <v>0</v>
      </c>
      <c r="J7558" s="305">
        <v>5</v>
      </c>
      <c r="K7558" s="142">
        <v>0</v>
      </c>
      <c r="L7558" s="142">
        <v>0</v>
      </c>
      <c r="M7558" s="142">
        <v>0</v>
      </c>
      <c r="N7558" s="142">
        <v>0</v>
      </c>
      <c r="O7558" s="142">
        <v>0</v>
      </c>
      <c r="P7558" s="306">
        <v>4.9500000000000013E-3</v>
      </c>
      <c r="Q7558" s="157" t="s">
        <v>154</v>
      </c>
      <c r="R7558" s="303"/>
    </row>
    <row r="7559" spans="1:18" s="162" customFormat="1" ht="108" x14ac:dyDescent="0.25">
      <c r="A7559" s="184">
        <v>43538</v>
      </c>
      <c r="B7559" s="184">
        <v>43538</v>
      </c>
      <c r="C7559" s="43">
        <v>2019</v>
      </c>
      <c r="D7559" s="24" t="s">
        <v>141</v>
      </c>
      <c r="E7559" s="30" t="s">
        <v>142</v>
      </c>
      <c r="F7559" s="28" t="s">
        <v>157</v>
      </c>
      <c r="G7559" s="33" t="s">
        <v>1062</v>
      </c>
      <c r="H7559" s="33" t="s">
        <v>10402</v>
      </c>
      <c r="I7559" s="304">
        <v>1</v>
      </c>
      <c r="J7559" s="305">
        <v>12</v>
      </c>
      <c r="K7559" s="142">
        <v>0</v>
      </c>
      <c r="L7559" s="142">
        <v>0</v>
      </c>
      <c r="M7559" s="142">
        <v>0</v>
      </c>
      <c r="N7559" s="142">
        <v>0</v>
      </c>
      <c r="O7559" s="142">
        <v>0</v>
      </c>
      <c r="P7559" s="306">
        <v>0.36165340000000001</v>
      </c>
      <c r="Q7559" s="157" t="s">
        <v>154</v>
      </c>
      <c r="R7559" s="303"/>
    </row>
    <row r="7560" spans="1:18" s="162" customFormat="1" ht="84" x14ac:dyDescent="0.25">
      <c r="A7560" s="184">
        <v>43538</v>
      </c>
      <c r="B7560" s="184">
        <v>43538</v>
      </c>
      <c r="C7560" s="138">
        <v>2019</v>
      </c>
      <c r="D7560" s="24" t="s">
        <v>141</v>
      </c>
      <c r="E7560" s="30" t="s">
        <v>142</v>
      </c>
      <c r="F7560" s="7" t="s">
        <v>72</v>
      </c>
      <c r="G7560" s="33" t="s">
        <v>10403</v>
      </c>
      <c r="H7560" s="33" t="s">
        <v>10404</v>
      </c>
      <c r="I7560" s="304">
        <v>0</v>
      </c>
      <c r="J7560" s="305">
        <v>9</v>
      </c>
      <c r="K7560" s="142">
        <v>0</v>
      </c>
      <c r="L7560" s="142">
        <v>0</v>
      </c>
      <c r="M7560" s="142">
        <v>0</v>
      </c>
      <c r="N7560" s="142">
        <v>0</v>
      </c>
      <c r="O7560" s="142">
        <v>0</v>
      </c>
      <c r="P7560" s="306">
        <v>1.8401133837209303</v>
      </c>
      <c r="Q7560" s="157" t="s">
        <v>154</v>
      </c>
      <c r="R7560" s="303"/>
    </row>
    <row r="7561" spans="1:18" s="162" customFormat="1" ht="156" x14ac:dyDescent="0.25">
      <c r="A7561" s="184">
        <v>43538</v>
      </c>
      <c r="B7561" s="184">
        <v>43538</v>
      </c>
      <c r="C7561" s="43">
        <v>2019</v>
      </c>
      <c r="D7561" s="24" t="s">
        <v>141</v>
      </c>
      <c r="E7561" s="30" t="s">
        <v>142</v>
      </c>
      <c r="F7561" s="7" t="s">
        <v>80</v>
      </c>
      <c r="G7561" s="33" t="s">
        <v>1089</v>
      </c>
      <c r="H7561" s="33" t="s">
        <v>10405</v>
      </c>
      <c r="I7561" s="304">
        <v>0</v>
      </c>
      <c r="J7561" s="305">
        <v>28</v>
      </c>
      <c r="K7561" s="142">
        <v>0</v>
      </c>
      <c r="L7561" s="142">
        <v>0</v>
      </c>
      <c r="M7561" s="142">
        <v>0</v>
      </c>
      <c r="N7561" s="142">
        <v>0</v>
      </c>
      <c r="O7561" s="142">
        <v>0</v>
      </c>
      <c r="P7561" s="306">
        <v>0.92217169999999993</v>
      </c>
      <c r="Q7561" s="157" t="s">
        <v>154</v>
      </c>
      <c r="R7561" s="303"/>
    </row>
    <row r="7562" spans="1:18" s="162" customFormat="1" ht="72" x14ac:dyDescent="0.25">
      <c r="A7562" s="184">
        <v>43539</v>
      </c>
      <c r="B7562" s="184">
        <v>43539</v>
      </c>
      <c r="C7562" s="138">
        <v>2019</v>
      </c>
      <c r="D7562" s="24" t="s">
        <v>141</v>
      </c>
      <c r="E7562" s="30" t="s">
        <v>142</v>
      </c>
      <c r="F7562" s="7" t="s">
        <v>62</v>
      </c>
      <c r="G7562" s="33" t="s">
        <v>10406</v>
      </c>
      <c r="H7562" s="33" t="s">
        <v>10407</v>
      </c>
      <c r="I7562" s="304">
        <v>0</v>
      </c>
      <c r="J7562" s="305">
        <v>8</v>
      </c>
      <c r="K7562" s="142">
        <v>0</v>
      </c>
      <c r="L7562" s="142">
        <v>0</v>
      </c>
      <c r="M7562" s="142">
        <v>0</v>
      </c>
      <c r="N7562" s="142">
        <v>0</v>
      </c>
      <c r="O7562" s="142">
        <v>0</v>
      </c>
      <c r="P7562" s="306">
        <v>0.18825170000000002</v>
      </c>
      <c r="Q7562" s="157" t="s">
        <v>154</v>
      </c>
      <c r="R7562" s="303"/>
    </row>
    <row r="7563" spans="1:18" s="162" customFormat="1" ht="156" x14ac:dyDescent="0.25">
      <c r="A7563" s="184">
        <v>43539</v>
      </c>
      <c r="B7563" s="184">
        <v>43539</v>
      </c>
      <c r="C7563" s="43">
        <v>2019</v>
      </c>
      <c r="D7563" s="35" t="s">
        <v>28</v>
      </c>
      <c r="E7563" s="30" t="s">
        <v>125</v>
      </c>
      <c r="F7563" s="28" t="s">
        <v>157</v>
      </c>
      <c r="G7563" s="33" t="s">
        <v>716</v>
      </c>
      <c r="H7563" s="33" t="s">
        <v>10408</v>
      </c>
      <c r="I7563" s="304">
        <v>0</v>
      </c>
      <c r="J7563" s="305">
        <v>100</v>
      </c>
      <c r="K7563" s="142">
        <v>0</v>
      </c>
      <c r="L7563" s="142">
        <v>0</v>
      </c>
      <c r="M7563" s="142">
        <v>0</v>
      </c>
      <c r="N7563" s="142">
        <v>0</v>
      </c>
      <c r="O7563" s="142">
        <v>0</v>
      </c>
      <c r="P7563" s="306">
        <v>0</v>
      </c>
      <c r="Q7563" s="157" t="s">
        <v>154</v>
      </c>
      <c r="R7563" s="303"/>
    </row>
    <row r="7564" spans="1:18" s="162" customFormat="1" ht="132" x14ac:dyDescent="0.25">
      <c r="A7564" s="184">
        <v>43539</v>
      </c>
      <c r="B7564" s="184">
        <v>43539</v>
      </c>
      <c r="C7564" s="138">
        <v>2019</v>
      </c>
      <c r="D7564" s="351" t="s">
        <v>23</v>
      </c>
      <c r="E7564" s="22" t="s">
        <v>86</v>
      </c>
      <c r="F7564" s="7" t="s">
        <v>101</v>
      </c>
      <c r="G7564" s="33" t="s">
        <v>5581</v>
      </c>
      <c r="H7564" s="33" t="s">
        <v>10409</v>
      </c>
      <c r="I7564" s="304">
        <v>0</v>
      </c>
      <c r="J7564" s="305">
        <v>120</v>
      </c>
      <c r="K7564" s="142">
        <v>30</v>
      </c>
      <c r="L7564" s="142">
        <v>0</v>
      </c>
      <c r="M7564" s="142">
        <v>0</v>
      </c>
      <c r="N7564" s="142">
        <v>0</v>
      </c>
      <c r="O7564" s="142">
        <v>0</v>
      </c>
      <c r="P7564" s="306">
        <v>0.24585000000000001</v>
      </c>
      <c r="Q7564" s="157" t="s">
        <v>154</v>
      </c>
      <c r="R7564" s="303"/>
    </row>
    <row r="7565" spans="1:18" s="162" customFormat="1" ht="108" x14ac:dyDescent="0.25">
      <c r="A7565" s="184">
        <v>43540</v>
      </c>
      <c r="B7565" s="184">
        <v>43540</v>
      </c>
      <c r="C7565" s="43">
        <v>2019</v>
      </c>
      <c r="D7565" s="24" t="s">
        <v>141</v>
      </c>
      <c r="E7565" s="30" t="s">
        <v>142</v>
      </c>
      <c r="F7565" s="7" t="s">
        <v>75</v>
      </c>
      <c r="G7565" s="33" t="s">
        <v>10410</v>
      </c>
      <c r="H7565" s="33" t="s">
        <v>10411</v>
      </c>
      <c r="I7565" s="304">
        <v>9</v>
      </c>
      <c r="J7565" s="305">
        <v>18</v>
      </c>
      <c r="K7565" s="142">
        <v>0</v>
      </c>
      <c r="L7565" s="142">
        <v>0</v>
      </c>
      <c r="M7565" s="142">
        <v>0</v>
      </c>
      <c r="N7565" s="142">
        <v>0</v>
      </c>
      <c r="O7565" s="142">
        <v>0</v>
      </c>
      <c r="P7565" s="306">
        <v>0.79982430000000004</v>
      </c>
      <c r="Q7565" s="157" t="s">
        <v>154</v>
      </c>
      <c r="R7565" s="303"/>
    </row>
    <row r="7566" spans="1:18" s="162" customFormat="1" ht="108" x14ac:dyDescent="0.25">
      <c r="A7566" s="184">
        <v>43540</v>
      </c>
      <c r="B7566" s="184">
        <v>43540</v>
      </c>
      <c r="C7566" s="138">
        <v>2019</v>
      </c>
      <c r="D7566" s="35" t="s">
        <v>28</v>
      </c>
      <c r="E7566" s="6" t="s">
        <v>149</v>
      </c>
      <c r="F7566" s="7" t="s">
        <v>60</v>
      </c>
      <c r="G7566" s="33" t="s">
        <v>908</v>
      </c>
      <c r="H7566" s="33" t="s">
        <v>10412</v>
      </c>
      <c r="I7566" s="304">
        <v>0</v>
      </c>
      <c r="J7566" s="305">
        <v>350</v>
      </c>
      <c r="K7566" s="142">
        <v>0</v>
      </c>
      <c r="L7566" s="142">
        <v>0</v>
      </c>
      <c r="M7566" s="142">
        <v>1</v>
      </c>
      <c r="N7566" s="142">
        <v>0</v>
      </c>
      <c r="O7566" s="142">
        <v>0</v>
      </c>
      <c r="P7566" s="306">
        <v>0</v>
      </c>
      <c r="Q7566" s="157" t="s">
        <v>154</v>
      </c>
      <c r="R7566" s="303"/>
    </row>
    <row r="7567" spans="1:18" s="162" customFormat="1" ht="120" x14ac:dyDescent="0.25">
      <c r="A7567" s="184">
        <v>43541</v>
      </c>
      <c r="B7567" s="184">
        <v>43541</v>
      </c>
      <c r="C7567" s="43">
        <v>2019</v>
      </c>
      <c r="D7567" s="24" t="s">
        <v>141</v>
      </c>
      <c r="E7567" s="30" t="s">
        <v>142</v>
      </c>
      <c r="F7567" s="28" t="s">
        <v>157</v>
      </c>
      <c r="G7567" s="33" t="s">
        <v>158</v>
      </c>
      <c r="H7567" s="33" t="s">
        <v>10413</v>
      </c>
      <c r="I7567" s="304">
        <v>0</v>
      </c>
      <c r="J7567" s="305">
        <v>15</v>
      </c>
      <c r="K7567" s="142">
        <v>0</v>
      </c>
      <c r="L7567" s="142">
        <v>0</v>
      </c>
      <c r="M7567" s="142">
        <v>0</v>
      </c>
      <c r="N7567" s="142">
        <v>0</v>
      </c>
      <c r="O7567" s="142">
        <v>0</v>
      </c>
      <c r="P7567" s="306">
        <v>0.11867496235294119</v>
      </c>
      <c r="Q7567" s="157" t="s">
        <v>154</v>
      </c>
      <c r="R7567" s="303"/>
    </row>
    <row r="7568" spans="1:18" s="162" customFormat="1" ht="132" x14ac:dyDescent="0.25">
      <c r="A7568" s="184">
        <v>43541</v>
      </c>
      <c r="B7568" s="184">
        <v>43541</v>
      </c>
      <c r="C7568" s="138">
        <v>2019</v>
      </c>
      <c r="D7568" s="24" t="s">
        <v>141</v>
      </c>
      <c r="E7568" s="30" t="s">
        <v>142</v>
      </c>
      <c r="F7568" s="7" t="s">
        <v>53</v>
      </c>
      <c r="G7568" s="33" t="s">
        <v>460</v>
      </c>
      <c r="H7568" s="33" t="s">
        <v>10414</v>
      </c>
      <c r="I7568" s="304">
        <v>0</v>
      </c>
      <c r="J7568" s="305">
        <v>25</v>
      </c>
      <c r="K7568" s="142">
        <v>0</v>
      </c>
      <c r="L7568" s="142">
        <v>0</v>
      </c>
      <c r="M7568" s="142">
        <v>0</v>
      </c>
      <c r="N7568" s="142">
        <v>0</v>
      </c>
      <c r="O7568" s="142">
        <v>0</v>
      </c>
      <c r="P7568" s="306">
        <v>1.0229679623529411</v>
      </c>
      <c r="Q7568" s="157" t="s">
        <v>154</v>
      </c>
      <c r="R7568" s="303"/>
    </row>
    <row r="7569" spans="1:18" s="162" customFormat="1" ht="96" x14ac:dyDescent="0.25">
      <c r="A7569" s="184">
        <v>43541</v>
      </c>
      <c r="B7569" s="184">
        <v>43541</v>
      </c>
      <c r="C7569" s="43">
        <v>2019</v>
      </c>
      <c r="D7569" s="24" t="s">
        <v>141</v>
      </c>
      <c r="E7569" s="30" t="s">
        <v>142</v>
      </c>
      <c r="F7569" s="28" t="s">
        <v>210</v>
      </c>
      <c r="G7569" s="33" t="s">
        <v>10415</v>
      </c>
      <c r="H7569" s="33" t="s">
        <v>10416</v>
      </c>
      <c r="I7569" s="304">
        <v>6</v>
      </c>
      <c r="J7569" s="305">
        <v>13</v>
      </c>
      <c r="K7569" s="142">
        <v>0</v>
      </c>
      <c r="L7569" s="142">
        <v>0</v>
      </c>
      <c r="M7569" s="142">
        <v>0</v>
      </c>
      <c r="N7569" s="142">
        <v>0</v>
      </c>
      <c r="O7569" s="142">
        <v>0</v>
      </c>
      <c r="P7569" s="306">
        <v>0.49007090000000003</v>
      </c>
      <c r="Q7569" s="157" t="s">
        <v>154</v>
      </c>
      <c r="R7569" s="303"/>
    </row>
    <row r="7570" spans="1:18" s="162" customFormat="1" ht="84" x14ac:dyDescent="0.25">
      <c r="A7570" s="184">
        <v>43541</v>
      </c>
      <c r="B7570" s="184">
        <v>43541</v>
      </c>
      <c r="C7570" s="138">
        <v>2019</v>
      </c>
      <c r="D7570" s="24" t="s">
        <v>141</v>
      </c>
      <c r="E7570" s="30" t="s">
        <v>142</v>
      </c>
      <c r="F7570" s="7" t="s">
        <v>60</v>
      </c>
      <c r="G7570" s="33" t="s">
        <v>1605</v>
      </c>
      <c r="H7570" s="33" t="s">
        <v>10417</v>
      </c>
      <c r="I7570" s="304">
        <v>0</v>
      </c>
      <c r="J7570" s="305">
        <v>26</v>
      </c>
      <c r="K7570" s="142">
        <v>0</v>
      </c>
      <c r="L7570" s="142">
        <v>0</v>
      </c>
      <c r="M7570" s="142">
        <v>0</v>
      </c>
      <c r="N7570" s="142">
        <v>0</v>
      </c>
      <c r="O7570" s="142">
        <v>0</v>
      </c>
      <c r="P7570" s="306">
        <v>0.16856399999999999</v>
      </c>
      <c r="Q7570" s="157" t="s">
        <v>154</v>
      </c>
      <c r="R7570" s="303"/>
    </row>
    <row r="7571" spans="1:18" s="162" customFormat="1" ht="84" x14ac:dyDescent="0.25">
      <c r="A7571" s="184">
        <v>43541</v>
      </c>
      <c r="B7571" s="184">
        <v>43541</v>
      </c>
      <c r="C7571" s="43">
        <v>2019</v>
      </c>
      <c r="D7571" s="35" t="s">
        <v>28</v>
      </c>
      <c r="E7571" s="30" t="s">
        <v>133</v>
      </c>
      <c r="F7571" s="7" t="s">
        <v>25</v>
      </c>
      <c r="G7571" s="33" t="s">
        <v>10418</v>
      </c>
      <c r="H7571" s="33" t="s">
        <v>10419</v>
      </c>
      <c r="I7571" s="304">
        <v>0</v>
      </c>
      <c r="J7571" s="305">
        <v>1</v>
      </c>
      <c r="K7571" s="142">
        <v>0</v>
      </c>
      <c r="L7571" s="142">
        <v>0</v>
      </c>
      <c r="M7571" s="142">
        <v>0</v>
      </c>
      <c r="N7571" s="142">
        <v>1</v>
      </c>
      <c r="O7571" s="142">
        <v>0</v>
      </c>
      <c r="P7571" s="306">
        <v>2.6588100000000003E-2</v>
      </c>
      <c r="Q7571" s="157" t="s">
        <v>154</v>
      </c>
      <c r="R7571" s="303"/>
    </row>
    <row r="7572" spans="1:18" s="162" customFormat="1" ht="144" x14ac:dyDescent="0.25">
      <c r="A7572" s="184">
        <v>43542</v>
      </c>
      <c r="B7572" s="184">
        <v>43542</v>
      </c>
      <c r="C7572" s="138">
        <v>2019</v>
      </c>
      <c r="D7572" s="24" t="s">
        <v>141</v>
      </c>
      <c r="E7572" s="30" t="s">
        <v>142</v>
      </c>
      <c r="F7572" s="7" t="s">
        <v>56</v>
      </c>
      <c r="G7572" s="33" t="s">
        <v>1426</v>
      </c>
      <c r="H7572" s="33" t="s">
        <v>10420</v>
      </c>
      <c r="I7572" s="304">
        <v>2</v>
      </c>
      <c r="J7572" s="305">
        <v>5</v>
      </c>
      <c r="K7572" s="142">
        <v>0</v>
      </c>
      <c r="L7572" s="142">
        <v>0</v>
      </c>
      <c r="M7572" s="142">
        <v>0</v>
      </c>
      <c r="N7572" s="142">
        <v>0</v>
      </c>
      <c r="O7572" s="142">
        <v>0</v>
      </c>
      <c r="P7572" s="306">
        <v>0.13335200000000003</v>
      </c>
      <c r="Q7572" s="157" t="s">
        <v>154</v>
      </c>
      <c r="R7572" s="303"/>
    </row>
    <row r="7573" spans="1:18" s="162" customFormat="1" ht="120" x14ac:dyDescent="0.25">
      <c r="A7573" s="184">
        <v>43542</v>
      </c>
      <c r="B7573" s="184">
        <v>43542</v>
      </c>
      <c r="C7573" s="43">
        <v>2019</v>
      </c>
      <c r="D7573" s="35" t="s">
        <v>28</v>
      </c>
      <c r="E7573" s="6" t="s">
        <v>149</v>
      </c>
      <c r="F7573" s="7" t="s">
        <v>56</v>
      </c>
      <c r="G7573" s="33" t="s">
        <v>56</v>
      </c>
      <c r="H7573" s="33" t="s">
        <v>10421</v>
      </c>
      <c r="I7573" s="304">
        <v>0</v>
      </c>
      <c r="J7573" s="305">
        <v>8</v>
      </c>
      <c r="K7573" s="142">
        <v>1</v>
      </c>
      <c r="L7573" s="142">
        <v>0</v>
      </c>
      <c r="M7573" s="142">
        <v>0</v>
      </c>
      <c r="N7573" s="142">
        <v>0</v>
      </c>
      <c r="O7573" s="142">
        <v>0</v>
      </c>
      <c r="P7573" s="306">
        <v>0.58258640000000006</v>
      </c>
      <c r="Q7573" s="157" t="s">
        <v>154</v>
      </c>
      <c r="R7573" s="303"/>
    </row>
    <row r="7574" spans="1:18" s="162" customFormat="1" ht="156" x14ac:dyDescent="0.25">
      <c r="A7574" s="184">
        <v>43543</v>
      </c>
      <c r="B7574" s="184">
        <v>43543</v>
      </c>
      <c r="C7574" s="138">
        <v>2019</v>
      </c>
      <c r="D7574" s="24" t="s">
        <v>141</v>
      </c>
      <c r="E7574" s="30" t="s">
        <v>142</v>
      </c>
      <c r="F7574" s="7" t="s">
        <v>60</v>
      </c>
      <c r="G7574" s="33" t="s">
        <v>10040</v>
      </c>
      <c r="H7574" s="33" t="s">
        <v>10422</v>
      </c>
      <c r="I7574" s="304">
        <v>0</v>
      </c>
      <c r="J7574" s="305">
        <v>13</v>
      </c>
      <c r="K7574" s="142">
        <v>0</v>
      </c>
      <c r="L7574" s="142">
        <v>0</v>
      </c>
      <c r="M7574" s="142">
        <v>0</v>
      </c>
      <c r="N7574" s="142">
        <v>0</v>
      </c>
      <c r="O7574" s="142">
        <v>0</v>
      </c>
      <c r="P7574" s="306">
        <v>1.866305138372093</v>
      </c>
      <c r="Q7574" s="157" t="s">
        <v>154</v>
      </c>
      <c r="R7574" s="303"/>
    </row>
    <row r="7575" spans="1:18" s="162" customFormat="1" ht="144" x14ac:dyDescent="0.25">
      <c r="A7575" s="184">
        <v>43545</v>
      </c>
      <c r="B7575" s="184">
        <v>43545</v>
      </c>
      <c r="C7575" s="43">
        <v>2019</v>
      </c>
      <c r="D7575" s="35" t="s">
        <v>28</v>
      </c>
      <c r="E7575" s="6" t="s">
        <v>149</v>
      </c>
      <c r="F7575" s="28" t="s">
        <v>157</v>
      </c>
      <c r="G7575" s="33" t="s">
        <v>5443</v>
      </c>
      <c r="H7575" s="33" t="s">
        <v>10423</v>
      </c>
      <c r="I7575" s="304">
        <v>0</v>
      </c>
      <c r="J7575" s="305">
        <v>23</v>
      </c>
      <c r="K7575" s="142">
        <v>1</v>
      </c>
      <c r="L7575" s="142">
        <v>0</v>
      </c>
      <c r="M7575" s="142">
        <v>0</v>
      </c>
      <c r="N7575" s="142">
        <v>0</v>
      </c>
      <c r="O7575" s="142">
        <v>0</v>
      </c>
      <c r="P7575" s="306">
        <v>3.0800000000000004E-2</v>
      </c>
      <c r="Q7575" s="157" t="s">
        <v>154</v>
      </c>
      <c r="R7575" s="303"/>
    </row>
    <row r="7576" spans="1:18" s="162" customFormat="1" ht="240" x14ac:dyDescent="0.25">
      <c r="A7576" s="184">
        <v>43545</v>
      </c>
      <c r="B7576" s="184">
        <v>43545</v>
      </c>
      <c r="C7576" s="138">
        <v>2019</v>
      </c>
      <c r="D7576" s="35" t="s">
        <v>28</v>
      </c>
      <c r="E7576" s="30" t="s">
        <v>133</v>
      </c>
      <c r="F7576" s="28" t="s">
        <v>157</v>
      </c>
      <c r="G7576" s="33" t="s">
        <v>1443</v>
      </c>
      <c r="H7576" s="33" t="s">
        <v>10424</v>
      </c>
      <c r="I7576" s="304">
        <v>0</v>
      </c>
      <c r="J7576" s="305">
        <v>6</v>
      </c>
      <c r="K7576" s="142">
        <v>0</v>
      </c>
      <c r="L7576" s="142">
        <v>0</v>
      </c>
      <c r="M7576" s="142">
        <v>0</v>
      </c>
      <c r="N7576" s="142">
        <v>0</v>
      </c>
      <c r="O7576" s="142">
        <v>0</v>
      </c>
      <c r="P7576" s="306">
        <v>1.8777963648759852</v>
      </c>
      <c r="Q7576" s="157" t="s">
        <v>154</v>
      </c>
      <c r="R7576" s="303"/>
    </row>
    <row r="7577" spans="1:18" s="162" customFormat="1" ht="192" x14ac:dyDescent="0.25">
      <c r="A7577" s="184">
        <v>43545</v>
      </c>
      <c r="B7577" s="184">
        <v>43545</v>
      </c>
      <c r="C7577" s="43">
        <v>2019</v>
      </c>
      <c r="D7577" s="24" t="s">
        <v>141</v>
      </c>
      <c r="E7577" s="30" t="s">
        <v>142</v>
      </c>
      <c r="F7577" s="7" t="s">
        <v>53</v>
      </c>
      <c r="G7577" s="33" t="s">
        <v>8930</v>
      </c>
      <c r="H7577" s="33" t="s">
        <v>10425</v>
      </c>
      <c r="I7577" s="304">
        <v>0</v>
      </c>
      <c r="J7577" s="305">
        <v>16</v>
      </c>
      <c r="K7577" s="142">
        <v>0</v>
      </c>
      <c r="L7577" s="142">
        <v>0</v>
      </c>
      <c r="M7577" s="142">
        <v>0</v>
      </c>
      <c r="N7577" s="142">
        <v>0</v>
      </c>
      <c r="O7577" s="142">
        <v>0</v>
      </c>
      <c r="P7577" s="306">
        <v>0.55962373837209312</v>
      </c>
      <c r="Q7577" s="157" t="s">
        <v>154</v>
      </c>
      <c r="R7577" s="303"/>
    </row>
    <row r="7578" spans="1:18" s="162" customFormat="1" ht="96" x14ac:dyDescent="0.25">
      <c r="A7578" s="184">
        <v>43545</v>
      </c>
      <c r="B7578" s="184">
        <v>43545</v>
      </c>
      <c r="C7578" s="138">
        <v>2019</v>
      </c>
      <c r="D7578" s="24" t="s">
        <v>141</v>
      </c>
      <c r="E7578" s="30" t="s">
        <v>142</v>
      </c>
      <c r="F7578" s="7" t="s">
        <v>62</v>
      </c>
      <c r="G7578" s="33" t="s">
        <v>474</v>
      </c>
      <c r="H7578" s="33" t="s">
        <v>10426</v>
      </c>
      <c r="I7578" s="304">
        <v>1</v>
      </c>
      <c r="J7578" s="305">
        <v>17</v>
      </c>
      <c r="K7578" s="142">
        <v>0</v>
      </c>
      <c r="L7578" s="142">
        <v>0</v>
      </c>
      <c r="M7578" s="142">
        <v>0</v>
      </c>
      <c r="N7578" s="142">
        <v>0</v>
      </c>
      <c r="O7578" s="142">
        <v>0</v>
      </c>
      <c r="P7578" s="306">
        <v>0.90497000000000005</v>
      </c>
      <c r="Q7578" s="157" t="s">
        <v>154</v>
      </c>
      <c r="R7578" s="303"/>
    </row>
    <row r="7579" spans="1:18" s="162" customFormat="1" ht="96" x14ac:dyDescent="0.25">
      <c r="A7579" s="184">
        <v>43546</v>
      </c>
      <c r="B7579" s="184">
        <v>43546</v>
      </c>
      <c r="C7579" s="43">
        <v>2019</v>
      </c>
      <c r="D7579" s="24" t="s">
        <v>141</v>
      </c>
      <c r="E7579" s="30" t="s">
        <v>142</v>
      </c>
      <c r="F7579" s="7" t="s">
        <v>84</v>
      </c>
      <c r="G7579" s="33" t="s">
        <v>2844</v>
      </c>
      <c r="H7579" s="33" t="s">
        <v>10427</v>
      </c>
      <c r="I7579" s="304">
        <v>1</v>
      </c>
      <c r="J7579" s="305">
        <v>1</v>
      </c>
      <c r="K7579" s="142">
        <v>0</v>
      </c>
      <c r="L7579" s="142">
        <v>0</v>
      </c>
      <c r="M7579" s="142">
        <v>0</v>
      </c>
      <c r="N7579" s="142">
        <v>0</v>
      </c>
      <c r="O7579" s="142">
        <v>0</v>
      </c>
      <c r="P7579" s="306">
        <v>1.4302296235294119</v>
      </c>
      <c r="Q7579" s="157" t="s">
        <v>154</v>
      </c>
      <c r="R7579" s="303"/>
    </row>
    <row r="7580" spans="1:18" s="162" customFormat="1" ht="228" x14ac:dyDescent="0.25">
      <c r="A7580" s="184">
        <v>43547</v>
      </c>
      <c r="B7580" s="184">
        <v>43547</v>
      </c>
      <c r="C7580" s="138">
        <v>2019</v>
      </c>
      <c r="D7580" s="35" t="s">
        <v>28</v>
      </c>
      <c r="E7580" s="6" t="s">
        <v>149</v>
      </c>
      <c r="F7580" s="28" t="s">
        <v>157</v>
      </c>
      <c r="G7580" s="33" t="s">
        <v>876</v>
      </c>
      <c r="H7580" s="33" t="s">
        <v>10428</v>
      </c>
      <c r="I7580" s="304">
        <v>0</v>
      </c>
      <c r="J7580" s="305">
        <v>58</v>
      </c>
      <c r="K7580" s="142">
        <v>0</v>
      </c>
      <c r="L7580" s="142">
        <v>0</v>
      </c>
      <c r="M7580" s="142">
        <v>0</v>
      </c>
      <c r="N7580" s="142">
        <v>1</v>
      </c>
      <c r="O7580" s="142">
        <v>0</v>
      </c>
      <c r="P7580" s="306">
        <v>0</v>
      </c>
      <c r="Q7580" s="157" t="s">
        <v>154</v>
      </c>
      <c r="R7580" s="303"/>
    </row>
    <row r="7581" spans="1:18" s="162" customFormat="1" ht="84" x14ac:dyDescent="0.25">
      <c r="A7581" s="184">
        <v>43548</v>
      </c>
      <c r="B7581" s="184">
        <v>43548</v>
      </c>
      <c r="C7581" s="43">
        <v>2019</v>
      </c>
      <c r="D7581" s="24" t="s">
        <v>141</v>
      </c>
      <c r="E7581" s="30" t="s">
        <v>142</v>
      </c>
      <c r="F7581" s="7" t="s">
        <v>56</v>
      </c>
      <c r="G7581" s="33" t="s">
        <v>2281</v>
      </c>
      <c r="H7581" s="33" t="s">
        <v>10429</v>
      </c>
      <c r="I7581" s="304">
        <v>0</v>
      </c>
      <c r="J7581" s="305">
        <v>6</v>
      </c>
      <c r="K7581" s="142">
        <v>0</v>
      </c>
      <c r="L7581" s="142">
        <v>0</v>
      </c>
      <c r="M7581" s="142">
        <v>0</v>
      </c>
      <c r="N7581" s="142">
        <v>0</v>
      </c>
      <c r="O7581" s="142">
        <v>0</v>
      </c>
      <c r="P7581" s="306">
        <v>0.72006000000000003</v>
      </c>
      <c r="Q7581" s="157" t="s">
        <v>154</v>
      </c>
      <c r="R7581" s="303"/>
    </row>
    <row r="7582" spans="1:18" s="162" customFormat="1" ht="120" x14ac:dyDescent="0.25">
      <c r="A7582" s="184">
        <v>43548</v>
      </c>
      <c r="B7582" s="184">
        <v>43548</v>
      </c>
      <c r="C7582" s="138">
        <v>2019</v>
      </c>
      <c r="D7582" s="24" t="s">
        <v>141</v>
      </c>
      <c r="E7582" s="30" t="s">
        <v>142</v>
      </c>
      <c r="F7582" s="7" t="s">
        <v>56</v>
      </c>
      <c r="G7582" s="33" t="s">
        <v>1638</v>
      </c>
      <c r="H7582" s="33" t="s">
        <v>10430</v>
      </c>
      <c r="I7582" s="304">
        <v>0</v>
      </c>
      <c r="J7582" s="305">
        <v>66</v>
      </c>
      <c r="K7582" s="142">
        <v>0</v>
      </c>
      <c r="L7582" s="142">
        <v>0</v>
      </c>
      <c r="M7582" s="142">
        <v>0</v>
      </c>
      <c r="N7582" s="142">
        <v>0</v>
      </c>
      <c r="O7582" s="142">
        <v>0</v>
      </c>
      <c r="P7582" s="306">
        <v>1.0866633999999999</v>
      </c>
      <c r="Q7582" s="157" t="s">
        <v>154</v>
      </c>
      <c r="R7582" s="303"/>
    </row>
    <row r="7583" spans="1:18" s="162" customFormat="1" ht="84" x14ac:dyDescent="0.25">
      <c r="A7583" s="184">
        <v>43550</v>
      </c>
      <c r="B7583" s="184">
        <v>43550</v>
      </c>
      <c r="C7583" s="43">
        <v>2019</v>
      </c>
      <c r="D7583" s="24" t="s">
        <v>141</v>
      </c>
      <c r="E7583" s="30" t="s">
        <v>142</v>
      </c>
      <c r="F7583" s="7" t="s">
        <v>68</v>
      </c>
      <c r="G7583" s="33" t="s">
        <v>1121</v>
      </c>
      <c r="H7583" s="33" t="s">
        <v>10431</v>
      </c>
      <c r="I7583" s="304">
        <v>0</v>
      </c>
      <c r="J7583" s="305">
        <v>7</v>
      </c>
      <c r="K7583" s="142">
        <v>0</v>
      </c>
      <c r="L7583" s="142">
        <v>0</v>
      </c>
      <c r="M7583" s="142">
        <v>0</v>
      </c>
      <c r="N7583" s="142">
        <v>0</v>
      </c>
      <c r="O7583" s="142">
        <v>0</v>
      </c>
      <c r="P7583" s="306">
        <v>8.9445170000000004E-2</v>
      </c>
      <c r="Q7583" s="157" t="s">
        <v>154</v>
      </c>
      <c r="R7583" s="303"/>
    </row>
    <row r="7584" spans="1:18" s="162" customFormat="1" ht="72" x14ac:dyDescent="0.25">
      <c r="A7584" s="184">
        <v>43550</v>
      </c>
      <c r="B7584" s="184">
        <v>43550</v>
      </c>
      <c r="C7584" s="138">
        <v>2019</v>
      </c>
      <c r="D7584" s="24" t="s">
        <v>141</v>
      </c>
      <c r="E7584" s="30" t="s">
        <v>142</v>
      </c>
      <c r="F7584" s="28" t="s">
        <v>157</v>
      </c>
      <c r="G7584" s="33" t="s">
        <v>158</v>
      </c>
      <c r="H7584" s="33" t="s">
        <v>10432</v>
      </c>
      <c r="I7584" s="304">
        <v>0</v>
      </c>
      <c r="J7584" s="305">
        <v>8</v>
      </c>
      <c r="K7584" s="142">
        <v>0</v>
      </c>
      <c r="L7584" s="142">
        <v>0</v>
      </c>
      <c r="M7584" s="142">
        <v>0</v>
      </c>
      <c r="N7584" s="142">
        <v>0</v>
      </c>
      <c r="O7584" s="142">
        <v>0</v>
      </c>
      <c r="P7584" s="306">
        <v>1.8033169999999998E-2</v>
      </c>
      <c r="Q7584" s="157" t="s">
        <v>154</v>
      </c>
      <c r="R7584" s="303"/>
    </row>
    <row r="7585" spans="1:18" s="162" customFormat="1" ht="108" x14ac:dyDescent="0.25">
      <c r="A7585" s="184">
        <v>43550</v>
      </c>
      <c r="B7585" s="184">
        <v>43550</v>
      </c>
      <c r="C7585" s="43">
        <v>2019</v>
      </c>
      <c r="D7585" s="35" t="s">
        <v>28</v>
      </c>
      <c r="E7585" s="30" t="s">
        <v>133</v>
      </c>
      <c r="F7585" s="7" t="s">
        <v>53</v>
      </c>
      <c r="G7585" s="33" t="s">
        <v>10433</v>
      </c>
      <c r="H7585" s="33" t="s">
        <v>10434</v>
      </c>
      <c r="I7585" s="304">
        <v>0</v>
      </c>
      <c r="J7585" s="305">
        <v>15</v>
      </c>
      <c r="K7585" s="142">
        <v>0</v>
      </c>
      <c r="L7585" s="142">
        <v>0</v>
      </c>
      <c r="M7585" s="142">
        <v>0</v>
      </c>
      <c r="N7585" s="142">
        <v>0</v>
      </c>
      <c r="O7585" s="142">
        <v>0</v>
      </c>
      <c r="P7585" s="306">
        <v>0</v>
      </c>
      <c r="Q7585" s="157" t="s">
        <v>154</v>
      </c>
      <c r="R7585" s="303"/>
    </row>
    <row r="7586" spans="1:18" s="162" customFormat="1" ht="60" x14ac:dyDescent="0.25">
      <c r="A7586" s="184">
        <v>43551</v>
      </c>
      <c r="B7586" s="184">
        <v>43551</v>
      </c>
      <c r="C7586" s="138">
        <v>2019</v>
      </c>
      <c r="D7586" s="24" t="s">
        <v>141</v>
      </c>
      <c r="E7586" s="30" t="s">
        <v>142</v>
      </c>
      <c r="F7586" s="7" t="s">
        <v>30</v>
      </c>
      <c r="G7586" s="33" t="s">
        <v>1078</v>
      </c>
      <c r="H7586" s="33" t="s">
        <v>10435</v>
      </c>
      <c r="I7586" s="304">
        <v>2</v>
      </c>
      <c r="J7586" s="305">
        <v>22</v>
      </c>
      <c r="K7586" s="142">
        <v>0</v>
      </c>
      <c r="L7586" s="142">
        <v>0</v>
      </c>
      <c r="M7586" s="142">
        <v>0</v>
      </c>
      <c r="N7586" s="142">
        <v>0</v>
      </c>
      <c r="O7586" s="142">
        <v>0</v>
      </c>
      <c r="P7586" s="306">
        <v>0.71411999999999998</v>
      </c>
      <c r="Q7586" s="157" t="s">
        <v>154</v>
      </c>
      <c r="R7586" s="303"/>
    </row>
    <row r="7587" spans="1:18" s="162" customFormat="1" ht="72" x14ac:dyDescent="0.25">
      <c r="A7587" s="184">
        <v>43552</v>
      </c>
      <c r="B7587" s="184">
        <v>43552</v>
      </c>
      <c r="C7587" s="43">
        <v>2019</v>
      </c>
      <c r="D7587" s="35" t="s">
        <v>28</v>
      </c>
      <c r="E7587" s="6" t="s">
        <v>149</v>
      </c>
      <c r="F7587" s="28" t="s">
        <v>157</v>
      </c>
      <c r="G7587" s="33" t="s">
        <v>716</v>
      </c>
      <c r="H7587" s="33" t="s">
        <v>10436</v>
      </c>
      <c r="I7587" s="304">
        <v>0</v>
      </c>
      <c r="J7587" s="305">
        <v>200</v>
      </c>
      <c r="K7587" s="142">
        <v>0</v>
      </c>
      <c r="L7587" s="142">
        <v>0</v>
      </c>
      <c r="M7587" s="142">
        <v>0</v>
      </c>
      <c r="N7587" s="142">
        <v>1</v>
      </c>
      <c r="O7587" s="142">
        <v>0</v>
      </c>
      <c r="P7587" s="306">
        <v>0</v>
      </c>
      <c r="Q7587" s="157" t="s">
        <v>154</v>
      </c>
      <c r="R7587" s="303"/>
    </row>
    <row r="7588" spans="1:18" s="162" customFormat="1" ht="84" x14ac:dyDescent="0.25">
      <c r="A7588" s="184">
        <v>43552</v>
      </c>
      <c r="B7588" s="184">
        <v>43552</v>
      </c>
      <c r="C7588" s="138">
        <v>2019</v>
      </c>
      <c r="D7588" s="35" t="s">
        <v>28</v>
      </c>
      <c r="E7588" s="6" t="s">
        <v>149</v>
      </c>
      <c r="F7588" s="7" t="s">
        <v>60</v>
      </c>
      <c r="G7588" s="33" t="s">
        <v>1605</v>
      </c>
      <c r="H7588" s="33" t="s">
        <v>10437</v>
      </c>
      <c r="I7588" s="304">
        <v>0</v>
      </c>
      <c r="J7588" s="305">
        <v>500</v>
      </c>
      <c r="K7588" s="142">
        <v>0</v>
      </c>
      <c r="L7588" s="142">
        <v>0</v>
      </c>
      <c r="M7588" s="142">
        <v>0</v>
      </c>
      <c r="N7588" s="142">
        <v>1</v>
      </c>
      <c r="O7588" s="142">
        <v>0</v>
      </c>
      <c r="P7588" s="306">
        <v>0</v>
      </c>
      <c r="Q7588" s="157" t="s">
        <v>154</v>
      </c>
      <c r="R7588" s="303"/>
    </row>
    <row r="7589" spans="1:18" s="162" customFormat="1" ht="192" x14ac:dyDescent="0.25">
      <c r="A7589" s="184">
        <v>43554</v>
      </c>
      <c r="B7589" s="184">
        <v>43554</v>
      </c>
      <c r="C7589" s="43">
        <v>2019</v>
      </c>
      <c r="D7589" s="24" t="s">
        <v>141</v>
      </c>
      <c r="E7589" s="30" t="s">
        <v>142</v>
      </c>
      <c r="F7589" s="28" t="s">
        <v>210</v>
      </c>
      <c r="G7589" s="33" t="s">
        <v>7197</v>
      </c>
      <c r="H7589" s="33" t="s">
        <v>10438</v>
      </c>
      <c r="I7589" s="304">
        <v>4</v>
      </c>
      <c r="J7589" s="305">
        <v>44</v>
      </c>
      <c r="K7589" s="142">
        <v>0</v>
      </c>
      <c r="L7589" s="142">
        <v>0</v>
      </c>
      <c r="M7589" s="142">
        <v>0</v>
      </c>
      <c r="N7589" s="142">
        <v>0</v>
      </c>
      <c r="O7589" s="142">
        <v>0</v>
      </c>
      <c r="P7589" s="306">
        <v>2.6655514534883724</v>
      </c>
      <c r="Q7589" s="157" t="s">
        <v>154</v>
      </c>
      <c r="R7589" s="303"/>
    </row>
    <row r="7590" spans="1:18" s="162" customFormat="1" ht="96" x14ac:dyDescent="0.25">
      <c r="A7590" s="184">
        <v>43554</v>
      </c>
      <c r="B7590" s="184">
        <v>43554</v>
      </c>
      <c r="C7590" s="138">
        <v>2019</v>
      </c>
      <c r="D7590" s="35" t="s">
        <v>28</v>
      </c>
      <c r="E7590" s="30" t="s">
        <v>133</v>
      </c>
      <c r="F7590" s="28" t="s">
        <v>157</v>
      </c>
      <c r="G7590" s="33" t="s">
        <v>716</v>
      </c>
      <c r="H7590" s="33" t="s">
        <v>10439</v>
      </c>
      <c r="I7590" s="304">
        <v>0</v>
      </c>
      <c r="J7590" s="305">
        <v>16</v>
      </c>
      <c r="K7590" s="142">
        <v>0</v>
      </c>
      <c r="L7590" s="142">
        <v>0</v>
      </c>
      <c r="M7590" s="142">
        <v>0</v>
      </c>
      <c r="N7590" s="142">
        <v>1</v>
      </c>
      <c r="O7590" s="142">
        <v>0</v>
      </c>
      <c r="P7590" s="306">
        <v>1.5840000000000003E-2</v>
      </c>
      <c r="Q7590" s="157" t="s">
        <v>154</v>
      </c>
      <c r="R7590" s="303"/>
    </row>
    <row r="7591" spans="1:18" s="162" customFormat="1" ht="156" x14ac:dyDescent="0.25">
      <c r="A7591" s="184">
        <v>43534</v>
      </c>
      <c r="B7591" s="184">
        <v>43553</v>
      </c>
      <c r="C7591" s="43">
        <v>2019</v>
      </c>
      <c r="D7591" s="35" t="s">
        <v>28</v>
      </c>
      <c r="E7591" s="6" t="s">
        <v>149</v>
      </c>
      <c r="F7591" s="28" t="s">
        <v>210</v>
      </c>
      <c r="G7591" s="33" t="s">
        <v>921</v>
      </c>
      <c r="H7591" s="33" t="s">
        <v>10440</v>
      </c>
      <c r="I7591" s="304">
        <v>0</v>
      </c>
      <c r="J7591" s="305">
        <v>21</v>
      </c>
      <c r="K7591" s="142">
        <v>0</v>
      </c>
      <c r="L7591" s="142">
        <v>0</v>
      </c>
      <c r="M7591" s="142">
        <v>0</v>
      </c>
      <c r="N7591" s="142">
        <v>0</v>
      </c>
      <c r="O7591" s="142">
        <v>0</v>
      </c>
      <c r="P7591" s="306">
        <v>0</v>
      </c>
      <c r="Q7591" s="157" t="s">
        <v>154</v>
      </c>
      <c r="R7591" s="303"/>
    </row>
    <row r="7592" spans="1:18" s="162" customFormat="1" ht="156" x14ac:dyDescent="0.25">
      <c r="A7592" s="184">
        <v>43555</v>
      </c>
      <c r="B7592" s="184">
        <v>43555</v>
      </c>
      <c r="C7592" s="138">
        <v>2019</v>
      </c>
      <c r="D7592" s="24" t="s">
        <v>141</v>
      </c>
      <c r="E7592" s="30" t="s">
        <v>142</v>
      </c>
      <c r="F7592" s="7" t="s">
        <v>30</v>
      </c>
      <c r="G7592" s="33" t="s">
        <v>395</v>
      </c>
      <c r="H7592" s="33" t="s">
        <v>10441</v>
      </c>
      <c r="I7592" s="304">
        <v>0</v>
      </c>
      <c r="J7592" s="305">
        <v>8</v>
      </c>
      <c r="K7592" s="142">
        <v>0</v>
      </c>
      <c r="L7592" s="142">
        <v>0</v>
      </c>
      <c r="M7592" s="142">
        <v>0</v>
      </c>
      <c r="N7592" s="142">
        <v>0</v>
      </c>
      <c r="O7592" s="142">
        <v>0</v>
      </c>
      <c r="P7592" s="306">
        <v>0.92491299999999999</v>
      </c>
      <c r="Q7592" s="157" t="s">
        <v>154</v>
      </c>
      <c r="R7592" s="303"/>
    </row>
    <row r="7593" spans="1:18" s="162" customFormat="1" ht="120" x14ac:dyDescent="0.25">
      <c r="A7593" s="184">
        <v>43556</v>
      </c>
      <c r="B7593" s="184">
        <v>43556</v>
      </c>
      <c r="C7593" s="43">
        <v>2019</v>
      </c>
      <c r="D7593" s="24" t="s">
        <v>141</v>
      </c>
      <c r="E7593" s="49" t="s">
        <v>1600</v>
      </c>
      <c r="F7593" s="7" t="s">
        <v>75</v>
      </c>
      <c r="G7593" s="33" t="s">
        <v>10442</v>
      </c>
      <c r="H7593" s="33" t="s">
        <v>10443</v>
      </c>
      <c r="I7593" s="304">
        <v>2</v>
      </c>
      <c r="J7593" s="305">
        <v>4</v>
      </c>
      <c r="K7593" s="142">
        <v>0</v>
      </c>
      <c r="L7593" s="142">
        <v>0</v>
      </c>
      <c r="M7593" s="142">
        <v>0</v>
      </c>
      <c r="N7593" s="142">
        <v>0</v>
      </c>
      <c r="O7593" s="142">
        <v>0</v>
      </c>
      <c r="P7593" s="306">
        <v>1.9800000000000004E-3</v>
      </c>
      <c r="Q7593" s="157" t="s">
        <v>154</v>
      </c>
      <c r="R7593" s="303"/>
    </row>
    <row r="7594" spans="1:18" s="162" customFormat="1" ht="132" x14ac:dyDescent="0.25">
      <c r="A7594" s="184">
        <v>43556</v>
      </c>
      <c r="B7594" s="184">
        <v>43556</v>
      </c>
      <c r="C7594" s="138">
        <v>2019</v>
      </c>
      <c r="D7594" s="24" t="s">
        <v>141</v>
      </c>
      <c r="E7594" s="49" t="s">
        <v>10298</v>
      </c>
      <c r="F7594" s="7" t="s">
        <v>30</v>
      </c>
      <c r="G7594" s="33" t="s">
        <v>1078</v>
      </c>
      <c r="H7594" s="33" t="s">
        <v>10444</v>
      </c>
      <c r="I7594" s="304">
        <v>0</v>
      </c>
      <c r="J7594" s="305">
        <v>59</v>
      </c>
      <c r="K7594" s="142">
        <v>0</v>
      </c>
      <c r="L7594" s="142">
        <v>0</v>
      </c>
      <c r="M7594" s="142">
        <v>0</v>
      </c>
      <c r="N7594" s="142">
        <v>0</v>
      </c>
      <c r="O7594" s="142">
        <v>0</v>
      </c>
      <c r="P7594" s="306">
        <v>0</v>
      </c>
      <c r="Q7594" s="157" t="s">
        <v>154</v>
      </c>
      <c r="R7594" s="303"/>
    </row>
    <row r="7595" spans="1:18" s="162" customFormat="1" ht="144" x14ac:dyDescent="0.25">
      <c r="A7595" s="184">
        <v>43556</v>
      </c>
      <c r="B7595" s="184">
        <v>43556</v>
      </c>
      <c r="C7595" s="43">
        <v>2019</v>
      </c>
      <c r="D7595" s="24" t="s">
        <v>141</v>
      </c>
      <c r="E7595" s="30" t="s">
        <v>142</v>
      </c>
      <c r="F7595" s="7" t="s">
        <v>60</v>
      </c>
      <c r="G7595" s="33" t="s">
        <v>1993</v>
      </c>
      <c r="H7595" s="33" t="s">
        <v>10445</v>
      </c>
      <c r="I7595" s="304">
        <v>0</v>
      </c>
      <c r="J7595" s="305">
        <v>3</v>
      </c>
      <c r="K7595" s="142">
        <v>0</v>
      </c>
      <c r="L7595" s="142">
        <v>0</v>
      </c>
      <c r="M7595" s="142">
        <v>0</v>
      </c>
      <c r="N7595" s="142">
        <v>0</v>
      </c>
      <c r="O7595" s="142">
        <v>0</v>
      </c>
      <c r="P7595" s="306">
        <v>0.46371962352941182</v>
      </c>
      <c r="Q7595" s="157" t="s">
        <v>154</v>
      </c>
      <c r="R7595" s="303"/>
    </row>
    <row r="7596" spans="1:18" s="162" customFormat="1" ht="96" x14ac:dyDescent="0.25">
      <c r="A7596" s="184">
        <v>43559</v>
      </c>
      <c r="B7596" s="184">
        <v>43559</v>
      </c>
      <c r="C7596" s="138">
        <v>2019</v>
      </c>
      <c r="D7596" s="24" t="s">
        <v>141</v>
      </c>
      <c r="E7596" s="30" t="s">
        <v>142</v>
      </c>
      <c r="F7596" s="28" t="s">
        <v>210</v>
      </c>
      <c r="G7596" s="33" t="s">
        <v>893</v>
      </c>
      <c r="H7596" s="33" t="s">
        <v>10446</v>
      </c>
      <c r="I7596" s="304">
        <v>0</v>
      </c>
      <c r="J7596" s="305">
        <v>19</v>
      </c>
      <c r="K7596" s="142">
        <v>0</v>
      </c>
      <c r="L7596" s="142">
        <v>0</v>
      </c>
      <c r="M7596" s="142">
        <v>0</v>
      </c>
      <c r="N7596" s="142">
        <v>0</v>
      </c>
      <c r="O7596" s="142">
        <v>0</v>
      </c>
      <c r="P7596" s="306">
        <v>0.78253233837209302</v>
      </c>
      <c r="Q7596" s="157" t="s">
        <v>154</v>
      </c>
      <c r="R7596" s="303"/>
    </row>
    <row r="7597" spans="1:18" s="162" customFormat="1" ht="132" x14ac:dyDescent="0.25">
      <c r="A7597" s="184">
        <v>43559</v>
      </c>
      <c r="B7597" s="184">
        <v>43559</v>
      </c>
      <c r="C7597" s="43">
        <v>2019</v>
      </c>
      <c r="D7597" s="35" t="s">
        <v>28</v>
      </c>
      <c r="E7597" s="6" t="s">
        <v>149</v>
      </c>
      <c r="F7597" s="25" t="s">
        <v>781</v>
      </c>
      <c r="G7597" s="33" t="s">
        <v>3061</v>
      </c>
      <c r="H7597" s="33" t="s">
        <v>10447</v>
      </c>
      <c r="I7597" s="304">
        <v>0</v>
      </c>
      <c r="J7597" s="305">
        <v>45</v>
      </c>
      <c r="K7597" s="142">
        <v>0</v>
      </c>
      <c r="L7597" s="142">
        <v>0</v>
      </c>
      <c r="M7597" s="142">
        <v>0</v>
      </c>
      <c r="N7597" s="142">
        <v>1</v>
      </c>
      <c r="O7597" s="142">
        <v>0</v>
      </c>
      <c r="P7597" s="306">
        <v>9.9000000000000021E-4</v>
      </c>
      <c r="Q7597" s="157" t="s">
        <v>154</v>
      </c>
      <c r="R7597" s="303"/>
    </row>
    <row r="7598" spans="1:18" s="162" customFormat="1" ht="120" x14ac:dyDescent="0.25">
      <c r="A7598" s="184">
        <v>43560</v>
      </c>
      <c r="B7598" s="184">
        <v>43560</v>
      </c>
      <c r="C7598" s="138">
        <v>2019</v>
      </c>
      <c r="D7598" s="24" t="s">
        <v>141</v>
      </c>
      <c r="E7598" s="30" t="s">
        <v>142</v>
      </c>
      <c r="F7598" s="7" t="s">
        <v>56</v>
      </c>
      <c r="G7598" s="33" t="s">
        <v>4691</v>
      </c>
      <c r="H7598" s="33" t="s">
        <v>10448</v>
      </c>
      <c r="I7598" s="304">
        <v>0</v>
      </c>
      <c r="J7598" s="305">
        <v>8</v>
      </c>
      <c r="K7598" s="142">
        <v>1</v>
      </c>
      <c r="L7598" s="142">
        <v>0</v>
      </c>
      <c r="M7598" s="142">
        <v>0</v>
      </c>
      <c r="N7598" s="142">
        <v>0</v>
      </c>
      <c r="O7598" s="142">
        <v>0</v>
      </c>
      <c r="P7598" s="306">
        <v>8.5382E-2</v>
      </c>
      <c r="Q7598" s="157" t="s">
        <v>154</v>
      </c>
      <c r="R7598" s="303"/>
    </row>
    <row r="7599" spans="1:18" s="162" customFormat="1" ht="120" x14ac:dyDescent="0.25">
      <c r="A7599" s="184">
        <v>43563</v>
      </c>
      <c r="B7599" s="184">
        <v>43563</v>
      </c>
      <c r="C7599" s="43">
        <v>2019</v>
      </c>
      <c r="D7599" s="351" t="s">
        <v>23</v>
      </c>
      <c r="E7599" s="49" t="s">
        <v>5893</v>
      </c>
      <c r="F7599" s="28" t="s">
        <v>210</v>
      </c>
      <c r="G7599" s="33" t="s">
        <v>4605</v>
      </c>
      <c r="H7599" s="33" t="s">
        <v>10449</v>
      </c>
      <c r="I7599" s="304">
        <v>0</v>
      </c>
      <c r="J7599" s="305">
        <v>32</v>
      </c>
      <c r="K7599" s="142">
        <v>8</v>
      </c>
      <c r="L7599" s="142">
        <v>0</v>
      </c>
      <c r="M7599" s="142">
        <v>0</v>
      </c>
      <c r="N7599" s="142">
        <v>0</v>
      </c>
      <c r="O7599" s="142">
        <v>0</v>
      </c>
      <c r="P7599" s="306">
        <v>3.0800000000000003E-3</v>
      </c>
      <c r="Q7599" s="157" t="s">
        <v>154</v>
      </c>
      <c r="R7599" s="303"/>
    </row>
    <row r="7600" spans="1:18" s="162" customFormat="1" ht="132" x14ac:dyDescent="0.25">
      <c r="A7600" s="184">
        <v>43564</v>
      </c>
      <c r="B7600" s="184">
        <v>43564</v>
      </c>
      <c r="C7600" s="138">
        <v>2019</v>
      </c>
      <c r="D7600" s="35" t="s">
        <v>28</v>
      </c>
      <c r="E7600" s="6" t="s">
        <v>149</v>
      </c>
      <c r="F7600" s="7" t="s">
        <v>68</v>
      </c>
      <c r="G7600" s="33" t="s">
        <v>1121</v>
      </c>
      <c r="H7600" s="33" t="s">
        <v>10450</v>
      </c>
      <c r="I7600" s="304">
        <v>0</v>
      </c>
      <c r="J7600" s="305">
        <v>20</v>
      </c>
      <c r="K7600" s="142">
        <v>0</v>
      </c>
      <c r="L7600" s="142">
        <v>0</v>
      </c>
      <c r="M7600" s="142">
        <v>0</v>
      </c>
      <c r="N7600" s="142">
        <v>0</v>
      </c>
      <c r="O7600" s="142">
        <v>0</v>
      </c>
      <c r="P7600" s="306">
        <v>0</v>
      </c>
      <c r="Q7600" s="157" t="s">
        <v>154</v>
      </c>
      <c r="R7600" s="303"/>
    </row>
    <row r="7601" spans="1:18" s="162" customFormat="1" ht="108" x14ac:dyDescent="0.25">
      <c r="A7601" s="184">
        <v>43564</v>
      </c>
      <c r="B7601" s="184">
        <v>43564</v>
      </c>
      <c r="C7601" s="43">
        <v>2019</v>
      </c>
      <c r="D7601" s="35" t="s">
        <v>28</v>
      </c>
      <c r="E7601" s="30" t="s">
        <v>125</v>
      </c>
      <c r="F7601" s="25" t="s">
        <v>781</v>
      </c>
      <c r="G7601" s="33" t="s">
        <v>3061</v>
      </c>
      <c r="H7601" s="33" t="s">
        <v>10451</v>
      </c>
      <c r="I7601" s="304">
        <v>0</v>
      </c>
      <c r="J7601" s="305">
        <v>133</v>
      </c>
      <c r="K7601" s="142">
        <v>0</v>
      </c>
      <c r="L7601" s="142">
        <v>0</v>
      </c>
      <c r="M7601" s="142">
        <v>0</v>
      </c>
      <c r="N7601" s="142">
        <v>0</v>
      </c>
      <c r="O7601" s="142">
        <v>0</v>
      </c>
      <c r="P7601" s="306">
        <v>0</v>
      </c>
      <c r="Q7601" s="157" t="s">
        <v>154</v>
      </c>
      <c r="R7601" s="303"/>
    </row>
    <row r="7602" spans="1:18" s="162" customFormat="1" ht="108" x14ac:dyDescent="0.25">
      <c r="A7602" s="184">
        <v>43564</v>
      </c>
      <c r="B7602" s="184">
        <v>43564</v>
      </c>
      <c r="C7602" s="138">
        <v>2019</v>
      </c>
      <c r="D7602" s="35" t="s">
        <v>28</v>
      </c>
      <c r="E7602" s="30" t="s">
        <v>125</v>
      </c>
      <c r="F7602" s="7" t="s">
        <v>75</v>
      </c>
      <c r="G7602" s="33" t="s">
        <v>4418</v>
      </c>
      <c r="H7602" s="33" t="s">
        <v>10452</v>
      </c>
      <c r="I7602" s="304">
        <v>0</v>
      </c>
      <c r="J7602" s="305">
        <v>12</v>
      </c>
      <c r="K7602" s="142">
        <v>0</v>
      </c>
      <c r="L7602" s="142">
        <v>0</v>
      </c>
      <c r="M7602" s="142">
        <v>0</v>
      </c>
      <c r="N7602" s="142">
        <v>0</v>
      </c>
      <c r="O7602" s="142">
        <v>0</v>
      </c>
      <c r="P7602" s="306">
        <v>0</v>
      </c>
      <c r="Q7602" s="157" t="s">
        <v>154</v>
      </c>
      <c r="R7602" s="303"/>
    </row>
    <row r="7603" spans="1:18" s="162" customFormat="1" ht="144" x14ac:dyDescent="0.25">
      <c r="A7603" s="184">
        <v>43565</v>
      </c>
      <c r="B7603" s="184">
        <v>43565</v>
      </c>
      <c r="C7603" s="43">
        <v>2019</v>
      </c>
      <c r="D7603" s="35" t="s">
        <v>28</v>
      </c>
      <c r="E7603" s="6" t="s">
        <v>149</v>
      </c>
      <c r="F7603" s="28" t="s">
        <v>157</v>
      </c>
      <c r="G7603" s="33" t="s">
        <v>1089</v>
      </c>
      <c r="H7603" s="33" t="s">
        <v>10453</v>
      </c>
      <c r="I7603" s="304">
        <v>0</v>
      </c>
      <c r="J7603" s="305">
        <v>25</v>
      </c>
      <c r="K7603" s="142">
        <v>1</v>
      </c>
      <c r="L7603" s="142">
        <v>0</v>
      </c>
      <c r="M7603" s="142">
        <v>0</v>
      </c>
      <c r="N7603" s="142">
        <v>0</v>
      </c>
      <c r="O7603" s="142">
        <v>0</v>
      </c>
      <c r="P7603" s="306">
        <v>3.0800000000000004E-2</v>
      </c>
      <c r="Q7603" s="157" t="s">
        <v>154</v>
      </c>
      <c r="R7603" s="303"/>
    </row>
    <row r="7604" spans="1:18" s="162" customFormat="1" ht="72" x14ac:dyDescent="0.25">
      <c r="A7604" s="184">
        <v>43566</v>
      </c>
      <c r="B7604" s="184">
        <v>43566</v>
      </c>
      <c r="C7604" s="138">
        <v>2019</v>
      </c>
      <c r="D7604" s="35" t="s">
        <v>28</v>
      </c>
      <c r="E7604" s="6" t="s">
        <v>369</v>
      </c>
      <c r="F7604" s="7" t="s">
        <v>75</v>
      </c>
      <c r="G7604" s="33" t="s">
        <v>10454</v>
      </c>
      <c r="H7604" s="33" t="s">
        <v>10455</v>
      </c>
      <c r="I7604" s="304">
        <v>0</v>
      </c>
      <c r="J7604" s="305">
        <v>16</v>
      </c>
      <c r="K7604" s="142">
        <v>0</v>
      </c>
      <c r="L7604" s="142">
        <v>0</v>
      </c>
      <c r="M7604" s="142">
        <v>0</v>
      </c>
      <c r="N7604" s="142">
        <v>0</v>
      </c>
      <c r="O7604" s="142">
        <v>0</v>
      </c>
      <c r="P7604" s="306">
        <v>0</v>
      </c>
      <c r="Q7604" s="157" t="s">
        <v>154</v>
      </c>
      <c r="R7604" s="303"/>
    </row>
    <row r="7605" spans="1:18" s="162" customFormat="1" ht="96" x14ac:dyDescent="0.25">
      <c r="A7605" s="184">
        <v>43566</v>
      </c>
      <c r="B7605" s="184">
        <v>43566</v>
      </c>
      <c r="C7605" s="43">
        <v>2019</v>
      </c>
      <c r="D7605" s="35" t="s">
        <v>28</v>
      </c>
      <c r="E7605" s="6" t="s">
        <v>369</v>
      </c>
      <c r="F7605" s="28" t="s">
        <v>160</v>
      </c>
      <c r="G7605" s="33" t="s">
        <v>1350</v>
      </c>
      <c r="H7605" s="33" t="s">
        <v>10456</v>
      </c>
      <c r="I7605" s="304">
        <v>0</v>
      </c>
      <c r="J7605" s="305">
        <v>400</v>
      </c>
      <c r="K7605" s="142">
        <v>0</v>
      </c>
      <c r="L7605" s="142">
        <v>0</v>
      </c>
      <c r="M7605" s="142">
        <v>0</v>
      </c>
      <c r="N7605" s="142">
        <v>0</v>
      </c>
      <c r="O7605" s="142">
        <v>0</v>
      </c>
      <c r="P7605" s="306">
        <v>0</v>
      </c>
      <c r="Q7605" s="157" t="s">
        <v>154</v>
      </c>
      <c r="R7605" s="303"/>
    </row>
    <row r="7606" spans="1:18" s="162" customFormat="1" ht="108" x14ac:dyDescent="0.25">
      <c r="A7606" s="184">
        <v>43566</v>
      </c>
      <c r="B7606" s="184">
        <v>43566</v>
      </c>
      <c r="C7606" s="138">
        <v>2019</v>
      </c>
      <c r="D7606" s="24" t="s">
        <v>141</v>
      </c>
      <c r="E7606" s="30" t="s">
        <v>142</v>
      </c>
      <c r="F7606" s="7" t="s">
        <v>30</v>
      </c>
      <c r="G7606" s="33" t="s">
        <v>10457</v>
      </c>
      <c r="H7606" s="33" t="s">
        <v>10458</v>
      </c>
      <c r="I7606" s="304">
        <v>0</v>
      </c>
      <c r="J7606" s="305">
        <v>1</v>
      </c>
      <c r="K7606" s="142">
        <v>0</v>
      </c>
      <c r="L7606" s="142">
        <v>0</v>
      </c>
      <c r="M7606" s="142">
        <v>0</v>
      </c>
      <c r="N7606" s="142">
        <v>0</v>
      </c>
      <c r="O7606" s="142">
        <v>0</v>
      </c>
      <c r="P7606" s="306">
        <v>0.54012962352941185</v>
      </c>
      <c r="Q7606" s="157" t="s">
        <v>154</v>
      </c>
      <c r="R7606" s="303"/>
    </row>
    <row r="7607" spans="1:18" s="162" customFormat="1" ht="96" x14ac:dyDescent="0.25">
      <c r="A7607" s="184">
        <v>43567</v>
      </c>
      <c r="B7607" s="184">
        <v>43567</v>
      </c>
      <c r="C7607" s="43">
        <v>2019</v>
      </c>
      <c r="D7607" s="24" t="s">
        <v>141</v>
      </c>
      <c r="E7607" s="30" t="s">
        <v>142</v>
      </c>
      <c r="F7607" s="7" t="s">
        <v>62</v>
      </c>
      <c r="G7607" s="33" t="s">
        <v>1320</v>
      </c>
      <c r="H7607" s="33" t="s">
        <v>10459</v>
      </c>
      <c r="I7607" s="304">
        <v>1</v>
      </c>
      <c r="J7607" s="305">
        <v>4</v>
      </c>
      <c r="K7607" s="142">
        <v>0</v>
      </c>
      <c r="L7607" s="142">
        <v>0</v>
      </c>
      <c r="M7607" s="142">
        <v>0</v>
      </c>
      <c r="N7607" s="142">
        <v>0</v>
      </c>
      <c r="O7607" s="142">
        <v>0</v>
      </c>
      <c r="P7607" s="306">
        <v>0.25038199999999999</v>
      </c>
      <c r="Q7607" s="157" t="s">
        <v>154</v>
      </c>
      <c r="R7607" s="303"/>
    </row>
    <row r="7608" spans="1:18" s="162" customFormat="1" ht="84" x14ac:dyDescent="0.25">
      <c r="A7608" s="184">
        <v>43567</v>
      </c>
      <c r="B7608" s="184">
        <v>43567</v>
      </c>
      <c r="C7608" s="138">
        <v>2019</v>
      </c>
      <c r="D7608" s="24" t="s">
        <v>141</v>
      </c>
      <c r="E7608" s="30" t="s">
        <v>142</v>
      </c>
      <c r="F7608" s="7" t="s">
        <v>67</v>
      </c>
      <c r="G7608" s="33" t="s">
        <v>10460</v>
      </c>
      <c r="H7608" s="33" t="s">
        <v>10461</v>
      </c>
      <c r="I7608" s="304">
        <v>0</v>
      </c>
      <c r="J7608" s="305">
        <v>14</v>
      </c>
      <c r="K7608" s="142">
        <v>0</v>
      </c>
      <c r="L7608" s="142">
        <v>0</v>
      </c>
      <c r="M7608" s="142">
        <v>0</v>
      </c>
      <c r="N7608" s="142">
        <v>0</v>
      </c>
      <c r="O7608" s="142">
        <v>0</v>
      </c>
      <c r="P7608" s="306">
        <v>0.42814647674418616</v>
      </c>
      <c r="Q7608" s="157" t="s">
        <v>154</v>
      </c>
      <c r="R7608" s="303"/>
    </row>
    <row r="7609" spans="1:18" s="162" customFormat="1" ht="108" x14ac:dyDescent="0.25">
      <c r="A7609" s="184">
        <v>43568</v>
      </c>
      <c r="B7609" s="184">
        <v>43568</v>
      </c>
      <c r="C7609" s="43">
        <v>2019</v>
      </c>
      <c r="D7609" s="24" t="s">
        <v>141</v>
      </c>
      <c r="E7609" s="30" t="s">
        <v>142</v>
      </c>
      <c r="F7609" s="7" t="s">
        <v>30</v>
      </c>
      <c r="G7609" s="33" t="s">
        <v>1078</v>
      </c>
      <c r="H7609" s="33" t="s">
        <v>10462</v>
      </c>
      <c r="I7609" s="304">
        <v>0</v>
      </c>
      <c r="J7609" s="305">
        <v>8</v>
      </c>
      <c r="K7609" s="142">
        <v>0</v>
      </c>
      <c r="L7609" s="142">
        <v>0</v>
      </c>
      <c r="M7609" s="142">
        <v>0</v>
      </c>
      <c r="N7609" s="142">
        <v>0</v>
      </c>
      <c r="O7609" s="142">
        <v>0</v>
      </c>
      <c r="P7609" s="306">
        <v>2.5953169999999998E-2</v>
      </c>
      <c r="Q7609" s="157" t="s">
        <v>154</v>
      </c>
      <c r="R7609" s="303"/>
    </row>
    <row r="7610" spans="1:18" s="162" customFormat="1" ht="108" x14ac:dyDescent="0.25">
      <c r="A7610" s="184">
        <v>43569</v>
      </c>
      <c r="B7610" s="184">
        <v>43569</v>
      </c>
      <c r="C7610" s="138">
        <v>2019</v>
      </c>
      <c r="D7610" s="35" t="s">
        <v>28</v>
      </c>
      <c r="E7610" s="6" t="s">
        <v>369</v>
      </c>
      <c r="F7610" s="7" t="s">
        <v>75</v>
      </c>
      <c r="G7610" s="33" t="s">
        <v>5046</v>
      </c>
      <c r="H7610" s="33" t="s">
        <v>10463</v>
      </c>
      <c r="I7610" s="304">
        <v>0</v>
      </c>
      <c r="J7610" s="305">
        <v>200</v>
      </c>
      <c r="K7610" s="142">
        <v>0</v>
      </c>
      <c r="L7610" s="142">
        <v>0</v>
      </c>
      <c r="M7610" s="142">
        <v>0</v>
      </c>
      <c r="N7610" s="142">
        <v>0</v>
      </c>
      <c r="O7610" s="142">
        <v>0</v>
      </c>
      <c r="P7610" s="306">
        <v>0</v>
      </c>
      <c r="Q7610" s="157" t="s">
        <v>154</v>
      </c>
      <c r="R7610" s="303"/>
    </row>
    <row r="7611" spans="1:18" s="162" customFormat="1" ht="156" x14ac:dyDescent="0.25">
      <c r="A7611" s="184">
        <v>43568</v>
      </c>
      <c r="B7611" s="184">
        <v>43568</v>
      </c>
      <c r="C7611" s="43">
        <v>2019</v>
      </c>
      <c r="D7611" s="24" t="s">
        <v>141</v>
      </c>
      <c r="E7611" s="30" t="s">
        <v>142</v>
      </c>
      <c r="F7611" s="7" t="s">
        <v>53</v>
      </c>
      <c r="G7611" s="33" t="s">
        <v>1236</v>
      </c>
      <c r="H7611" s="33" t="s">
        <v>10464</v>
      </c>
      <c r="I7611" s="304">
        <v>0</v>
      </c>
      <c r="J7611" s="305">
        <v>10</v>
      </c>
      <c r="K7611" s="142">
        <v>0</v>
      </c>
      <c r="L7611" s="142">
        <v>0</v>
      </c>
      <c r="M7611" s="142">
        <v>0</v>
      </c>
      <c r="N7611" s="142">
        <v>0</v>
      </c>
      <c r="O7611" s="142">
        <v>0</v>
      </c>
      <c r="P7611" s="306">
        <v>0.26164370000000003</v>
      </c>
      <c r="Q7611" s="157" t="s">
        <v>154</v>
      </c>
      <c r="R7611" s="303"/>
    </row>
    <row r="7612" spans="1:18" s="162" customFormat="1" ht="120" x14ac:dyDescent="0.25">
      <c r="A7612" s="184">
        <v>43570</v>
      </c>
      <c r="B7612" s="184">
        <v>43570</v>
      </c>
      <c r="C7612" s="138">
        <v>2019</v>
      </c>
      <c r="D7612" s="24" t="s">
        <v>141</v>
      </c>
      <c r="E7612" s="30" t="s">
        <v>142</v>
      </c>
      <c r="F7612" s="7" t="s">
        <v>80</v>
      </c>
      <c r="G7612" s="33" t="s">
        <v>5558</v>
      </c>
      <c r="H7612" s="33" t="s">
        <v>10465</v>
      </c>
      <c r="I7612" s="304">
        <v>0</v>
      </c>
      <c r="J7612" s="305">
        <v>16</v>
      </c>
      <c r="K7612" s="142">
        <v>0</v>
      </c>
      <c r="L7612" s="142">
        <v>0</v>
      </c>
      <c r="M7612" s="142">
        <v>0</v>
      </c>
      <c r="N7612" s="142">
        <v>0</v>
      </c>
      <c r="O7612" s="142">
        <v>0</v>
      </c>
      <c r="P7612" s="306">
        <v>0.146784</v>
      </c>
      <c r="Q7612" s="157" t="s">
        <v>154</v>
      </c>
      <c r="R7612" s="303"/>
    </row>
    <row r="7613" spans="1:18" s="162" customFormat="1" ht="324" x14ac:dyDescent="0.25">
      <c r="A7613" s="184">
        <v>43570</v>
      </c>
      <c r="B7613" s="184">
        <v>43570</v>
      </c>
      <c r="C7613" s="43">
        <v>2019</v>
      </c>
      <c r="D7613" s="35" t="s">
        <v>28</v>
      </c>
      <c r="E7613" s="30" t="s">
        <v>125</v>
      </c>
      <c r="F7613" s="7" t="s">
        <v>53</v>
      </c>
      <c r="G7613" s="33" t="s">
        <v>7583</v>
      </c>
      <c r="H7613" s="33" t="s">
        <v>10466</v>
      </c>
      <c r="I7613" s="304">
        <v>0</v>
      </c>
      <c r="J7613" s="305">
        <v>50</v>
      </c>
      <c r="K7613" s="142">
        <v>0</v>
      </c>
      <c r="L7613" s="142">
        <v>0</v>
      </c>
      <c r="M7613" s="142">
        <v>0</v>
      </c>
      <c r="N7613" s="142">
        <v>0</v>
      </c>
      <c r="O7613" s="142">
        <v>0</v>
      </c>
      <c r="P7613" s="306">
        <v>0</v>
      </c>
      <c r="Q7613" s="157" t="s">
        <v>154</v>
      </c>
      <c r="R7613" s="303"/>
    </row>
    <row r="7614" spans="1:18" s="162" customFormat="1" ht="132" x14ac:dyDescent="0.25">
      <c r="A7614" s="184">
        <v>43571</v>
      </c>
      <c r="B7614" s="184">
        <v>43571</v>
      </c>
      <c r="C7614" s="138">
        <v>2019</v>
      </c>
      <c r="D7614" s="35" t="s">
        <v>28</v>
      </c>
      <c r="E7614" s="30" t="s">
        <v>125</v>
      </c>
      <c r="F7614" s="28" t="s">
        <v>157</v>
      </c>
      <c r="G7614" s="33" t="s">
        <v>8886</v>
      </c>
      <c r="H7614" s="33" t="s">
        <v>10467</v>
      </c>
      <c r="I7614" s="304">
        <v>0</v>
      </c>
      <c r="J7614" s="305">
        <v>50</v>
      </c>
      <c r="K7614" s="142">
        <v>0</v>
      </c>
      <c r="L7614" s="142">
        <v>0</v>
      </c>
      <c r="M7614" s="142">
        <v>0</v>
      </c>
      <c r="N7614" s="142">
        <v>0</v>
      </c>
      <c r="O7614" s="142">
        <v>0</v>
      </c>
      <c r="P7614" s="306">
        <v>0</v>
      </c>
      <c r="Q7614" s="157" t="s">
        <v>154</v>
      </c>
      <c r="R7614" s="303"/>
    </row>
    <row r="7615" spans="1:18" s="162" customFormat="1" ht="96" x14ac:dyDescent="0.25">
      <c r="A7615" s="184">
        <v>43571</v>
      </c>
      <c r="B7615" s="184">
        <v>43571</v>
      </c>
      <c r="C7615" s="43">
        <v>2019</v>
      </c>
      <c r="D7615" s="24" t="s">
        <v>141</v>
      </c>
      <c r="E7615" s="30" t="s">
        <v>142</v>
      </c>
      <c r="F7615" s="7" t="s">
        <v>60</v>
      </c>
      <c r="G7615" s="33" t="s">
        <v>1256</v>
      </c>
      <c r="H7615" s="33" t="s">
        <v>10468</v>
      </c>
      <c r="I7615" s="304">
        <v>0</v>
      </c>
      <c r="J7615" s="305">
        <v>14</v>
      </c>
      <c r="K7615" s="142">
        <v>0</v>
      </c>
      <c r="L7615" s="142">
        <v>0</v>
      </c>
      <c r="M7615" s="142">
        <v>0</v>
      </c>
      <c r="N7615" s="142">
        <v>0</v>
      </c>
      <c r="O7615" s="142">
        <v>0</v>
      </c>
      <c r="P7615" s="306">
        <v>0.15470400000000001</v>
      </c>
      <c r="Q7615" s="157" t="s">
        <v>154</v>
      </c>
      <c r="R7615" s="303"/>
    </row>
    <row r="7616" spans="1:18" s="162" customFormat="1" ht="216" x14ac:dyDescent="0.25">
      <c r="A7616" s="184">
        <v>43571</v>
      </c>
      <c r="B7616" s="184">
        <v>43571</v>
      </c>
      <c r="C7616" s="138">
        <v>2019</v>
      </c>
      <c r="D7616" s="35" t="s">
        <v>28</v>
      </c>
      <c r="E7616" s="6" t="s">
        <v>149</v>
      </c>
      <c r="F7616" s="7" t="s">
        <v>56</v>
      </c>
      <c r="G7616" s="33" t="s">
        <v>10469</v>
      </c>
      <c r="H7616" s="33" t="s">
        <v>10470</v>
      </c>
      <c r="I7616" s="304">
        <v>0</v>
      </c>
      <c r="J7616" s="305">
        <v>1202</v>
      </c>
      <c r="K7616" s="142">
        <v>0</v>
      </c>
      <c r="L7616" s="142">
        <v>0</v>
      </c>
      <c r="M7616" s="142">
        <v>0</v>
      </c>
      <c r="N7616" s="142">
        <v>0</v>
      </c>
      <c r="O7616" s="142">
        <v>0</v>
      </c>
      <c r="P7616" s="306">
        <v>1.9800000000000004E-3</v>
      </c>
      <c r="Q7616" s="157" t="s">
        <v>154</v>
      </c>
      <c r="R7616" s="303"/>
    </row>
    <row r="7617" spans="1:18" s="162" customFormat="1" ht="156" x14ac:dyDescent="0.25">
      <c r="A7617" s="184">
        <v>43572</v>
      </c>
      <c r="B7617" s="184">
        <v>43572</v>
      </c>
      <c r="C7617" s="43">
        <v>2019</v>
      </c>
      <c r="D7617" s="35" t="s">
        <v>28</v>
      </c>
      <c r="E7617" s="6" t="s">
        <v>149</v>
      </c>
      <c r="F7617" s="7" t="s">
        <v>60</v>
      </c>
      <c r="G7617" s="33" t="s">
        <v>2797</v>
      </c>
      <c r="H7617" s="33" t="s">
        <v>10471</v>
      </c>
      <c r="I7617" s="304">
        <v>0</v>
      </c>
      <c r="J7617" s="305">
        <v>0</v>
      </c>
      <c r="K7617" s="142">
        <v>0</v>
      </c>
      <c r="L7617" s="142">
        <v>0</v>
      </c>
      <c r="M7617" s="142">
        <v>0</v>
      </c>
      <c r="N7617" s="142">
        <v>3</v>
      </c>
      <c r="O7617" s="142">
        <v>0</v>
      </c>
      <c r="P7617" s="306">
        <v>0</v>
      </c>
      <c r="Q7617" s="157" t="s">
        <v>154</v>
      </c>
      <c r="R7617" s="303"/>
    </row>
    <row r="7618" spans="1:18" s="162" customFormat="1" ht="24" x14ac:dyDescent="0.25">
      <c r="A7618" s="184">
        <v>43572</v>
      </c>
      <c r="B7618" s="184">
        <v>43572</v>
      </c>
      <c r="C7618" s="138">
        <v>2019</v>
      </c>
      <c r="D7618" s="351" t="s">
        <v>23</v>
      </c>
      <c r="E7618" s="49" t="s">
        <v>5893</v>
      </c>
      <c r="F7618" s="7" t="s">
        <v>45</v>
      </c>
      <c r="G7618" s="33" t="s">
        <v>10472</v>
      </c>
      <c r="H7618" s="33" t="s">
        <v>10473</v>
      </c>
      <c r="I7618" s="304">
        <v>0</v>
      </c>
      <c r="J7618" s="305">
        <v>1124</v>
      </c>
      <c r="K7618" s="142">
        <v>0</v>
      </c>
      <c r="L7618" s="142">
        <v>0</v>
      </c>
      <c r="M7618" s="142">
        <v>0</v>
      </c>
      <c r="N7618" s="142">
        <v>0</v>
      </c>
      <c r="O7618" s="142">
        <v>0</v>
      </c>
      <c r="P7618" s="306">
        <v>1.1730449299999999</v>
      </c>
      <c r="Q7618" s="157" t="s">
        <v>186</v>
      </c>
      <c r="R7618" s="303"/>
    </row>
    <row r="7619" spans="1:18" s="162" customFormat="1" ht="108" x14ac:dyDescent="0.25">
      <c r="A7619" s="184">
        <v>43573</v>
      </c>
      <c r="B7619" s="184">
        <v>43573</v>
      </c>
      <c r="C7619" s="43">
        <v>2019</v>
      </c>
      <c r="D7619" s="35" t="s">
        <v>28</v>
      </c>
      <c r="E7619" s="6" t="s">
        <v>149</v>
      </c>
      <c r="F7619" s="7" t="s">
        <v>77</v>
      </c>
      <c r="G7619" s="33" t="s">
        <v>77</v>
      </c>
      <c r="H7619" s="33" t="s">
        <v>10474</v>
      </c>
      <c r="I7619" s="304">
        <v>0</v>
      </c>
      <c r="J7619" s="305">
        <v>60</v>
      </c>
      <c r="K7619" s="142">
        <v>0</v>
      </c>
      <c r="L7619" s="142">
        <v>0</v>
      </c>
      <c r="M7619" s="142">
        <v>0</v>
      </c>
      <c r="N7619" s="142">
        <v>1</v>
      </c>
      <c r="O7619" s="142">
        <v>0</v>
      </c>
      <c r="P7619" s="306">
        <v>0</v>
      </c>
      <c r="Q7619" s="157" t="s">
        <v>154</v>
      </c>
      <c r="R7619" s="303"/>
    </row>
    <row r="7620" spans="1:18" s="162" customFormat="1" ht="96" x14ac:dyDescent="0.25">
      <c r="A7620" s="184">
        <v>43574</v>
      </c>
      <c r="B7620" s="184">
        <v>43574</v>
      </c>
      <c r="C7620" s="138">
        <v>2019</v>
      </c>
      <c r="D7620" s="24" t="s">
        <v>141</v>
      </c>
      <c r="E7620" s="30" t="s">
        <v>142</v>
      </c>
      <c r="F7620" s="7" t="s">
        <v>60</v>
      </c>
      <c r="G7620" s="33" t="s">
        <v>10475</v>
      </c>
      <c r="H7620" s="33" t="s">
        <v>10476</v>
      </c>
      <c r="I7620" s="304">
        <v>0</v>
      </c>
      <c r="J7620" s="305">
        <v>17</v>
      </c>
      <c r="K7620" s="142">
        <v>0</v>
      </c>
      <c r="L7620" s="142">
        <v>0</v>
      </c>
      <c r="M7620" s="142">
        <v>0</v>
      </c>
      <c r="N7620" s="142">
        <v>0</v>
      </c>
      <c r="O7620" s="142">
        <v>0</v>
      </c>
      <c r="P7620" s="306">
        <v>1.6830000000000005E-2</v>
      </c>
      <c r="Q7620" s="157" t="s">
        <v>154</v>
      </c>
      <c r="R7620" s="303"/>
    </row>
    <row r="7621" spans="1:18" s="162" customFormat="1" ht="168" x14ac:dyDescent="0.25">
      <c r="A7621" s="184">
        <v>43574</v>
      </c>
      <c r="B7621" s="184">
        <v>43574</v>
      </c>
      <c r="C7621" s="43">
        <v>2019</v>
      </c>
      <c r="D7621" s="24" t="s">
        <v>130</v>
      </c>
      <c r="E7621" s="49" t="s">
        <v>139</v>
      </c>
      <c r="F7621" s="25" t="s">
        <v>781</v>
      </c>
      <c r="G7621" s="33" t="s">
        <v>3061</v>
      </c>
      <c r="H7621" s="33" t="s">
        <v>10477</v>
      </c>
      <c r="I7621" s="304">
        <v>0</v>
      </c>
      <c r="J7621" s="305">
        <v>27</v>
      </c>
      <c r="K7621" s="142">
        <v>0</v>
      </c>
      <c r="L7621" s="142">
        <v>0</v>
      </c>
      <c r="M7621" s="142">
        <v>0</v>
      </c>
      <c r="N7621" s="142">
        <v>0</v>
      </c>
      <c r="O7621" s="142">
        <v>0</v>
      </c>
      <c r="P7621" s="306">
        <v>0.28826820000000003</v>
      </c>
      <c r="Q7621" s="157" t="s">
        <v>154</v>
      </c>
      <c r="R7621" s="303"/>
    </row>
    <row r="7622" spans="1:18" s="162" customFormat="1" ht="120" x14ac:dyDescent="0.25">
      <c r="A7622" s="184">
        <v>43575</v>
      </c>
      <c r="B7622" s="184">
        <v>43575</v>
      </c>
      <c r="C7622" s="138">
        <v>2019</v>
      </c>
      <c r="D7622" s="24" t="s">
        <v>141</v>
      </c>
      <c r="E7622" s="30" t="s">
        <v>142</v>
      </c>
      <c r="F7622" s="28" t="s">
        <v>157</v>
      </c>
      <c r="G7622" s="33" t="s">
        <v>876</v>
      </c>
      <c r="H7622" s="33" t="s">
        <v>10478</v>
      </c>
      <c r="I7622" s="304">
        <v>0</v>
      </c>
      <c r="J7622" s="305">
        <v>25</v>
      </c>
      <c r="K7622" s="142">
        <v>0</v>
      </c>
      <c r="L7622" s="142">
        <v>0</v>
      </c>
      <c r="M7622" s="142">
        <v>0</v>
      </c>
      <c r="N7622" s="142">
        <v>0</v>
      </c>
      <c r="O7622" s="142">
        <v>0</v>
      </c>
      <c r="P7622" s="306">
        <v>9.9000000000000021E-4</v>
      </c>
      <c r="Q7622" s="157" t="s">
        <v>154</v>
      </c>
      <c r="R7622" s="303"/>
    </row>
    <row r="7623" spans="1:18" s="162" customFormat="1" ht="120" x14ac:dyDescent="0.25">
      <c r="A7623" s="184">
        <v>43575</v>
      </c>
      <c r="B7623" s="184">
        <v>43575</v>
      </c>
      <c r="C7623" s="43">
        <v>2019</v>
      </c>
      <c r="D7623" s="35" t="s">
        <v>28</v>
      </c>
      <c r="E7623" s="6" t="s">
        <v>149</v>
      </c>
      <c r="F7623" s="7" t="s">
        <v>53</v>
      </c>
      <c r="G7623" s="33" t="s">
        <v>1236</v>
      </c>
      <c r="H7623" s="33" t="s">
        <v>10479</v>
      </c>
      <c r="I7623" s="304">
        <v>0</v>
      </c>
      <c r="J7623" s="305">
        <v>150</v>
      </c>
      <c r="K7623" s="142">
        <v>0</v>
      </c>
      <c r="L7623" s="142">
        <v>0</v>
      </c>
      <c r="M7623" s="142">
        <v>0</v>
      </c>
      <c r="N7623" s="142">
        <v>1</v>
      </c>
      <c r="O7623" s="142">
        <v>0</v>
      </c>
      <c r="P7623" s="306">
        <v>0</v>
      </c>
      <c r="Q7623" s="157" t="s">
        <v>154</v>
      </c>
      <c r="R7623" s="303"/>
    </row>
    <row r="7624" spans="1:18" s="162" customFormat="1" ht="168" x14ac:dyDescent="0.25">
      <c r="A7624" s="184">
        <v>43575</v>
      </c>
      <c r="B7624" s="184">
        <v>43575</v>
      </c>
      <c r="C7624" s="138">
        <v>2019</v>
      </c>
      <c r="D7624" s="24" t="s">
        <v>141</v>
      </c>
      <c r="E7624" s="30" t="s">
        <v>142</v>
      </c>
      <c r="F7624" s="7" t="s">
        <v>91</v>
      </c>
      <c r="G7624" s="33" t="s">
        <v>3386</v>
      </c>
      <c r="H7624" s="33" t="s">
        <v>10480</v>
      </c>
      <c r="I7624" s="304">
        <v>0</v>
      </c>
      <c r="J7624" s="305">
        <v>25</v>
      </c>
      <c r="K7624" s="142">
        <v>0</v>
      </c>
      <c r="L7624" s="142">
        <v>0</v>
      </c>
      <c r="M7624" s="142">
        <v>0</v>
      </c>
      <c r="N7624" s="142">
        <v>0</v>
      </c>
      <c r="O7624" s="142">
        <v>0</v>
      </c>
      <c r="P7624" s="306">
        <v>0.41099999999999998</v>
      </c>
      <c r="Q7624" s="157" t="s">
        <v>154</v>
      </c>
      <c r="R7624" s="303"/>
    </row>
    <row r="7625" spans="1:18" s="162" customFormat="1" ht="120" x14ac:dyDescent="0.25">
      <c r="A7625" s="184">
        <v>43577</v>
      </c>
      <c r="B7625" s="184">
        <v>43577</v>
      </c>
      <c r="C7625" s="43">
        <v>2019</v>
      </c>
      <c r="D7625" s="24" t="s">
        <v>141</v>
      </c>
      <c r="E7625" s="30" t="s">
        <v>142</v>
      </c>
      <c r="F7625" s="7" t="s">
        <v>58</v>
      </c>
      <c r="G7625" s="33" t="s">
        <v>8214</v>
      </c>
      <c r="H7625" s="33" t="s">
        <v>10481</v>
      </c>
      <c r="I7625" s="304">
        <v>0</v>
      </c>
      <c r="J7625" s="305">
        <v>38</v>
      </c>
      <c r="K7625" s="142">
        <v>0</v>
      </c>
      <c r="L7625" s="142">
        <v>0</v>
      </c>
      <c r="M7625" s="142">
        <v>0</v>
      </c>
      <c r="N7625" s="142">
        <v>0</v>
      </c>
      <c r="O7625" s="142">
        <v>0</v>
      </c>
      <c r="P7625" s="306">
        <v>1.9800000000000004E-3</v>
      </c>
      <c r="Q7625" s="157" t="s">
        <v>154</v>
      </c>
      <c r="R7625" s="303"/>
    </row>
    <row r="7626" spans="1:18" s="162" customFormat="1" ht="108" x14ac:dyDescent="0.25">
      <c r="A7626" s="184">
        <v>43577</v>
      </c>
      <c r="B7626" s="184">
        <v>43577</v>
      </c>
      <c r="C7626" s="138">
        <v>2019</v>
      </c>
      <c r="D7626" s="24" t="s">
        <v>141</v>
      </c>
      <c r="E7626" s="30" t="s">
        <v>142</v>
      </c>
      <c r="F7626" s="7" t="s">
        <v>56</v>
      </c>
      <c r="G7626" s="33" t="s">
        <v>646</v>
      </c>
      <c r="H7626" s="33" t="s">
        <v>10482</v>
      </c>
      <c r="I7626" s="304">
        <v>0</v>
      </c>
      <c r="J7626" s="305">
        <v>9</v>
      </c>
      <c r="K7626" s="142">
        <v>0</v>
      </c>
      <c r="L7626" s="142">
        <v>0</v>
      </c>
      <c r="M7626" s="142">
        <v>0</v>
      </c>
      <c r="N7626" s="142">
        <v>0</v>
      </c>
      <c r="O7626" s="142">
        <v>0</v>
      </c>
      <c r="P7626" s="306">
        <v>8.9100000000000013E-3</v>
      </c>
      <c r="Q7626" s="157" t="s">
        <v>154</v>
      </c>
      <c r="R7626" s="303"/>
    </row>
    <row r="7627" spans="1:18" s="162" customFormat="1" ht="72" x14ac:dyDescent="0.25">
      <c r="A7627" s="184">
        <v>43577</v>
      </c>
      <c r="B7627" s="184">
        <v>43577</v>
      </c>
      <c r="C7627" s="43">
        <v>2019</v>
      </c>
      <c r="D7627" s="35" t="s">
        <v>28</v>
      </c>
      <c r="E7627" s="14" t="s">
        <v>29</v>
      </c>
      <c r="F7627" s="7" t="s">
        <v>58</v>
      </c>
      <c r="G7627" s="33" t="s">
        <v>6893</v>
      </c>
      <c r="H7627" s="33" t="s">
        <v>10483</v>
      </c>
      <c r="I7627" s="304">
        <v>2</v>
      </c>
      <c r="J7627" s="305">
        <v>241712</v>
      </c>
      <c r="K7627" s="142">
        <v>0</v>
      </c>
      <c r="L7627" s="142">
        <v>0</v>
      </c>
      <c r="M7627" s="142">
        <v>0</v>
      </c>
      <c r="N7627" s="142">
        <v>0</v>
      </c>
      <c r="O7627" s="305">
        <v>43633</v>
      </c>
      <c r="P7627" s="306">
        <v>90.540829840000001</v>
      </c>
      <c r="Q7627" s="157" t="s">
        <v>7883</v>
      </c>
      <c r="R7627" s="303"/>
    </row>
    <row r="7628" spans="1:18" s="162" customFormat="1" ht="108" x14ac:dyDescent="0.25">
      <c r="A7628" s="184">
        <v>43578</v>
      </c>
      <c r="B7628" s="184">
        <v>43578</v>
      </c>
      <c r="C7628" s="138">
        <v>2019</v>
      </c>
      <c r="D7628" s="24" t="s">
        <v>141</v>
      </c>
      <c r="E7628" s="30" t="s">
        <v>142</v>
      </c>
      <c r="F7628" s="7" t="s">
        <v>60</v>
      </c>
      <c r="G7628" s="33" t="s">
        <v>10484</v>
      </c>
      <c r="H7628" s="33" t="s">
        <v>10485</v>
      </c>
      <c r="I7628" s="304">
        <v>0</v>
      </c>
      <c r="J7628" s="305">
        <v>6</v>
      </c>
      <c r="K7628" s="142">
        <v>0</v>
      </c>
      <c r="L7628" s="142">
        <v>0</v>
      </c>
      <c r="M7628" s="142">
        <v>0</v>
      </c>
      <c r="N7628" s="142">
        <v>0</v>
      </c>
      <c r="O7628" s="142">
        <v>0</v>
      </c>
      <c r="P7628" s="306">
        <v>0.89110999999999996</v>
      </c>
      <c r="Q7628" s="157" t="s">
        <v>154</v>
      </c>
      <c r="R7628" s="303"/>
    </row>
    <row r="7629" spans="1:18" s="162" customFormat="1" ht="168" x14ac:dyDescent="0.25">
      <c r="A7629" s="184">
        <v>43579</v>
      </c>
      <c r="B7629" s="184">
        <v>43579</v>
      </c>
      <c r="C7629" s="43">
        <v>2019</v>
      </c>
      <c r="D7629" s="35" t="s">
        <v>28</v>
      </c>
      <c r="E7629" s="30" t="s">
        <v>125</v>
      </c>
      <c r="F7629" s="7" t="s">
        <v>77</v>
      </c>
      <c r="G7629" s="33" t="s">
        <v>77</v>
      </c>
      <c r="H7629" s="33" t="s">
        <v>10486</v>
      </c>
      <c r="I7629" s="304">
        <v>0</v>
      </c>
      <c r="J7629" s="305">
        <v>90</v>
      </c>
      <c r="K7629" s="142">
        <v>0</v>
      </c>
      <c r="L7629" s="142">
        <v>0</v>
      </c>
      <c r="M7629" s="142">
        <v>0</v>
      </c>
      <c r="N7629" s="142">
        <v>0</v>
      </c>
      <c r="O7629" s="142">
        <v>0</v>
      </c>
      <c r="P7629" s="306">
        <v>0.11008</v>
      </c>
      <c r="Q7629" s="157" t="s">
        <v>154</v>
      </c>
      <c r="R7629" s="303"/>
    </row>
    <row r="7630" spans="1:18" s="162" customFormat="1" ht="108" x14ac:dyDescent="0.25">
      <c r="A7630" s="184">
        <v>43579</v>
      </c>
      <c r="B7630" s="184">
        <v>43579</v>
      </c>
      <c r="C7630" s="138">
        <v>2019</v>
      </c>
      <c r="D7630" s="24" t="s">
        <v>141</v>
      </c>
      <c r="E7630" s="30" t="s">
        <v>142</v>
      </c>
      <c r="F7630" s="7" t="s">
        <v>97</v>
      </c>
      <c r="G7630" s="33" t="s">
        <v>489</v>
      </c>
      <c r="H7630" s="33" t="s">
        <v>10487</v>
      </c>
      <c r="I7630" s="304">
        <v>2</v>
      </c>
      <c r="J7630" s="305">
        <v>3</v>
      </c>
      <c r="K7630" s="142">
        <v>0</v>
      </c>
      <c r="L7630" s="142">
        <v>0</v>
      </c>
      <c r="M7630" s="142">
        <v>0</v>
      </c>
      <c r="N7630" s="142">
        <v>0</v>
      </c>
      <c r="O7630" s="142">
        <v>0</v>
      </c>
      <c r="P7630" s="306">
        <v>9.5227000000000003E-3</v>
      </c>
      <c r="Q7630" s="157" t="s">
        <v>154</v>
      </c>
      <c r="R7630" s="303"/>
    </row>
    <row r="7631" spans="1:18" s="162" customFormat="1" ht="120" x14ac:dyDescent="0.25">
      <c r="A7631" s="184">
        <v>43579</v>
      </c>
      <c r="B7631" s="184">
        <v>43579</v>
      </c>
      <c r="C7631" s="43">
        <v>2019</v>
      </c>
      <c r="D7631" s="35" t="s">
        <v>28</v>
      </c>
      <c r="E7631" s="14" t="s">
        <v>29</v>
      </c>
      <c r="F7631" s="28" t="s">
        <v>210</v>
      </c>
      <c r="G7631" s="33" t="s">
        <v>3003</v>
      </c>
      <c r="H7631" s="33" t="s">
        <v>10488</v>
      </c>
      <c r="I7631" s="304">
        <v>0</v>
      </c>
      <c r="J7631" s="305">
        <v>30</v>
      </c>
      <c r="K7631" s="142">
        <v>0</v>
      </c>
      <c r="L7631" s="142">
        <v>0</v>
      </c>
      <c r="M7631" s="142">
        <v>0</v>
      </c>
      <c r="N7631" s="142">
        <v>0</v>
      </c>
      <c r="O7631" s="305">
        <v>11841</v>
      </c>
      <c r="P7631" s="306">
        <v>16.53571968</v>
      </c>
      <c r="Q7631" s="157" t="s">
        <v>154</v>
      </c>
      <c r="R7631" s="303"/>
    </row>
    <row r="7632" spans="1:18" s="162" customFormat="1" ht="24" x14ac:dyDescent="0.25">
      <c r="A7632" s="21">
        <v>43586</v>
      </c>
      <c r="B7632" s="21">
        <v>43799</v>
      </c>
      <c r="C7632" s="138">
        <v>2019</v>
      </c>
      <c r="D7632" s="351" t="s">
        <v>23</v>
      </c>
      <c r="E7632" s="14" t="s">
        <v>24</v>
      </c>
      <c r="F7632" s="28" t="s">
        <v>210</v>
      </c>
      <c r="G7632" s="44"/>
      <c r="H7632" s="44" t="s">
        <v>10489</v>
      </c>
      <c r="I7632" s="99">
        <v>0</v>
      </c>
      <c r="J7632" s="301">
        <v>0</v>
      </c>
      <c r="K7632" s="46">
        <v>0</v>
      </c>
      <c r="L7632" s="46">
        <v>0</v>
      </c>
      <c r="M7632" s="46">
        <v>0</v>
      </c>
      <c r="N7632" s="46">
        <v>0</v>
      </c>
      <c r="O7632" s="46">
        <v>0</v>
      </c>
      <c r="P7632" s="306">
        <v>21.923293000000001</v>
      </c>
      <c r="Q7632" s="157" t="s">
        <v>186</v>
      </c>
      <c r="R7632" s="303"/>
    </row>
    <row r="7633" spans="1:18" s="162" customFormat="1" ht="120" x14ac:dyDescent="0.25">
      <c r="A7633" s="184">
        <v>43588</v>
      </c>
      <c r="B7633" s="184">
        <v>43588</v>
      </c>
      <c r="C7633" s="43">
        <v>2019</v>
      </c>
      <c r="D7633" s="24" t="s">
        <v>141</v>
      </c>
      <c r="E7633" s="30" t="s">
        <v>142</v>
      </c>
      <c r="F7633" s="7" t="s">
        <v>53</v>
      </c>
      <c r="G7633" s="33" t="s">
        <v>4464</v>
      </c>
      <c r="H7633" s="33" t="s">
        <v>10490</v>
      </c>
      <c r="I7633" s="304">
        <v>1</v>
      </c>
      <c r="J7633" s="305">
        <v>1</v>
      </c>
      <c r="K7633" s="142">
        <v>0</v>
      </c>
      <c r="L7633" s="142">
        <v>0</v>
      </c>
      <c r="M7633" s="142">
        <v>0</v>
      </c>
      <c r="N7633" s="142">
        <v>0</v>
      </c>
      <c r="O7633" s="142">
        <v>0</v>
      </c>
      <c r="P7633" s="306">
        <v>4.93897570761753</v>
      </c>
      <c r="Q7633" s="157" t="s">
        <v>154</v>
      </c>
      <c r="R7633" s="303"/>
    </row>
    <row r="7634" spans="1:18" s="162" customFormat="1" ht="168" x14ac:dyDescent="0.25">
      <c r="A7634" s="184">
        <v>43588</v>
      </c>
      <c r="B7634" s="184">
        <v>43588</v>
      </c>
      <c r="C7634" s="138">
        <v>2019</v>
      </c>
      <c r="D7634" s="24" t="s">
        <v>141</v>
      </c>
      <c r="E7634" s="30" t="s">
        <v>142</v>
      </c>
      <c r="F7634" s="7" t="s">
        <v>91</v>
      </c>
      <c r="G7634" s="33" t="s">
        <v>803</v>
      </c>
      <c r="H7634" s="33" t="s">
        <v>10491</v>
      </c>
      <c r="I7634" s="304">
        <v>0</v>
      </c>
      <c r="J7634" s="305">
        <v>6</v>
      </c>
      <c r="K7634" s="142">
        <v>0</v>
      </c>
      <c r="L7634" s="142">
        <v>0</v>
      </c>
      <c r="M7634" s="142">
        <v>0</v>
      </c>
      <c r="N7634" s="142">
        <v>0</v>
      </c>
      <c r="O7634" s="142">
        <v>0</v>
      </c>
      <c r="P7634" s="306">
        <v>0.2537237</v>
      </c>
      <c r="Q7634" s="157" t="s">
        <v>154</v>
      </c>
      <c r="R7634" s="303"/>
    </row>
    <row r="7635" spans="1:18" s="162" customFormat="1" ht="72" x14ac:dyDescent="0.25">
      <c r="A7635" s="184">
        <v>43590</v>
      </c>
      <c r="B7635" s="184">
        <v>43590</v>
      </c>
      <c r="C7635" s="43">
        <v>2019</v>
      </c>
      <c r="D7635" s="24" t="s">
        <v>141</v>
      </c>
      <c r="E7635" s="30" t="s">
        <v>142</v>
      </c>
      <c r="F7635" s="7" t="s">
        <v>60</v>
      </c>
      <c r="G7635" s="33" t="s">
        <v>1256</v>
      </c>
      <c r="H7635" s="33" t="s">
        <v>10492</v>
      </c>
      <c r="I7635" s="304">
        <v>0</v>
      </c>
      <c r="J7635" s="305">
        <v>9</v>
      </c>
      <c r="K7635" s="142">
        <v>0</v>
      </c>
      <c r="L7635" s="142">
        <v>0</v>
      </c>
      <c r="M7635" s="142">
        <v>0</v>
      </c>
      <c r="N7635" s="142">
        <v>0</v>
      </c>
      <c r="O7635" s="142">
        <v>0</v>
      </c>
      <c r="P7635" s="306">
        <v>0.72302999999999995</v>
      </c>
      <c r="Q7635" s="157" t="s">
        <v>154</v>
      </c>
      <c r="R7635" s="303"/>
    </row>
    <row r="7636" spans="1:18" s="162" customFormat="1" ht="156" x14ac:dyDescent="0.25">
      <c r="A7636" s="184">
        <v>43591</v>
      </c>
      <c r="B7636" s="184">
        <v>43591</v>
      </c>
      <c r="C7636" s="138">
        <v>2019</v>
      </c>
      <c r="D7636" s="351" t="s">
        <v>23</v>
      </c>
      <c r="E7636" s="22" t="s">
        <v>86</v>
      </c>
      <c r="F7636" s="7" t="s">
        <v>75</v>
      </c>
      <c r="G7636" s="33" t="s">
        <v>8682</v>
      </c>
      <c r="H7636" s="33" t="s">
        <v>10493</v>
      </c>
      <c r="I7636" s="304">
        <v>0</v>
      </c>
      <c r="J7636" s="305">
        <v>92</v>
      </c>
      <c r="K7636" s="142">
        <v>23</v>
      </c>
      <c r="L7636" s="142">
        <v>0</v>
      </c>
      <c r="M7636" s="142">
        <v>0</v>
      </c>
      <c r="N7636" s="142">
        <v>0</v>
      </c>
      <c r="O7636" s="142">
        <v>0</v>
      </c>
      <c r="P7636" s="306">
        <v>2.6564999999999998E-2</v>
      </c>
      <c r="Q7636" s="157" t="s">
        <v>154</v>
      </c>
      <c r="R7636" s="303"/>
    </row>
    <row r="7637" spans="1:18" s="162" customFormat="1" ht="144" x14ac:dyDescent="0.25">
      <c r="A7637" s="184">
        <v>43590</v>
      </c>
      <c r="B7637" s="184">
        <v>43591</v>
      </c>
      <c r="C7637" s="43">
        <v>2019</v>
      </c>
      <c r="D7637" s="24" t="s">
        <v>141</v>
      </c>
      <c r="E7637" s="30" t="s">
        <v>142</v>
      </c>
      <c r="F7637" s="7" t="s">
        <v>45</v>
      </c>
      <c r="G7637" s="33" t="s">
        <v>10494</v>
      </c>
      <c r="H7637" s="33" t="s">
        <v>10495</v>
      </c>
      <c r="I7637" s="304">
        <v>13</v>
      </c>
      <c r="J7637" s="305">
        <v>13</v>
      </c>
      <c r="K7637" s="142">
        <v>0</v>
      </c>
      <c r="L7637" s="142">
        <v>0</v>
      </c>
      <c r="M7637" s="142">
        <v>0</v>
      </c>
      <c r="N7637" s="142">
        <v>0</v>
      </c>
      <c r="O7637" s="142">
        <v>0</v>
      </c>
      <c r="P7637" s="306">
        <v>4.93897570761753</v>
      </c>
      <c r="Q7637" s="157" t="s">
        <v>154</v>
      </c>
      <c r="R7637" s="303"/>
    </row>
    <row r="7638" spans="1:18" s="162" customFormat="1" ht="144" x14ac:dyDescent="0.25">
      <c r="A7638" s="184">
        <v>43593</v>
      </c>
      <c r="B7638" s="184">
        <v>43593</v>
      </c>
      <c r="C7638" s="138">
        <v>2019</v>
      </c>
      <c r="D7638" s="24" t="s">
        <v>141</v>
      </c>
      <c r="E7638" s="30" t="s">
        <v>142</v>
      </c>
      <c r="F7638" s="7" t="s">
        <v>53</v>
      </c>
      <c r="G7638" s="33" t="s">
        <v>2460</v>
      </c>
      <c r="H7638" s="33" t="s">
        <v>10496</v>
      </c>
      <c r="I7638" s="304">
        <v>3</v>
      </c>
      <c r="J7638" s="305">
        <v>12</v>
      </c>
      <c r="K7638" s="142">
        <v>0</v>
      </c>
      <c r="L7638" s="142">
        <v>0</v>
      </c>
      <c r="M7638" s="142">
        <v>0</v>
      </c>
      <c r="N7638" s="142">
        <v>0</v>
      </c>
      <c r="O7638" s="142">
        <v>0</v>
      </c>
      <c r="P7638" s="306">
        <v>0.33311629999999998</v>
      </c>
      <c r="Q7638" s="157" t="s">
        <v>154</v>
      </c>
      <c r="R7638" s="303"/>
    </row>
    <row r="7639" spans="1:18" s="162" customFormat="1" ht="84" x14ac:dyDescent="0.25">
      <c r="A7639" s="184">
        <v>43593</v>
      </c>
      <c r="B7639" s="184">
        <v>43593</v>
      </c>
      <c r="C7639" s="43">
        <v>2019</v>
      </c>
      <c r="D7639" s="35" t="s">
        <v>28</v>
      </c>
      <c r="E7639" s="6" t="s">
        <v>149</v>
      </c>
      <c r="F7639" s="7" t="s">
        <v>77</v>
      </c>
      <c r="G7639" s="33" t="s">
        <v>961</v>
      </c>
      <c r="H7639" s="33" t="s">
        <v>10497</v>
      </c>
      <c r="I7639" s="304">
        <v>0</v>
      </c>
      <c r="J7639" s="305">
        <v>13</v>
      </c>
      <c r="K7639" s="142">
        <v>0</v>
      </c>
      <c r="L7639" s="142">
        <v>0</v>
      </c>
      <c r="M7639" s="142">
        <v>0</v>
      </c>
      <c r="N7639" s="142">
        <v>1</v>
      </c>
      <c r="O7639" s="142">
        <v>0</v>
      </c>
      <c r="P7639" s="306">
        <v>0</v>
      </c>
      <c r="Q7639" s="157" t="s">
        <v>154</v>
      </c>
      <c r="R7639" s="303"/>
    </row>
    <row r="7640" spans="1:18" s="162" customFormat="1" ht="84" x14ac:dyDescent="0.25">
      <c r="A7640" s="184">
        <v>43594</v>
      </c>
      <c r="B7640" s="184">
        <v>43594</v>
      </c>
      <c r="C7640" s="138">
        <v>2019</v>
      </c>
      <c r="D7640" s="35" t="s">
        <v>28</v>
      </c>
      <c r="E7640" s="6" t="s">
        <v>149</v>
      </c>
      <c r="F7640" s="7" t="s">
        <v>60</v>
      </c>
      <c r="G7640" s="33" t="s">
        <v>908</v>
      </c>
      <c r="H7640" s="33" t="s">
        <v>10498</v>
      </c>
      <c r="I7640" s="304">
        <v>1</v>
      </c>
      <c r="J7640" s="305">
        <v>7</v>
      </c>
      <c r="K7640" s="142">
        <v>1</v>
      </c>
      <c r="L7640" s="142">
        <v>0</v>
      </c>
      <c r="M7640" s="142">
        <v>0</v>
      </c>
      <c r="N7640" s="142">
        <v>0</v>
      </c>
      <c r="O7640" s="142">
        <v>0</v>
      </c>
      <c r="P7640" s="306">
        <v>5.9368100000000007E-2</v>
      </c>
      <c r="Q7640" s="157" t="s">
        <v>154</v>
      </c>
      <c r="R7640" s="303"/>
    </row>
    <row r="7641" spans="1:18" s="162" customFormat="1" ht="108" x14ac:dyDescent="0.25">
      <c r="A7641" s="184">
        <v>43596</v>
      </c>
      <c r="B7641" s="184">
        <v>43596</v>
      </c>
      <c r="C7641" s="43">
        <v>2019</v>
      </c>
      <c r="D7641" s="35" t="s">
        <v>28</v>
      </c>
      <c r="E7641" s="30" t="s">
        <v>133</v>
      </c>
      <c r="F7641" s="7" t="s">
        <v>53</v>
      </c>
      <c r="G7641" s="33" t="s">
        <v>451</v>
      </c>
      <c r="H7641" s="33" t="s">
        <v>10499</v>
      </c>
      <c r="I7641" s="304">
        <v>1</v>
      </c>
      <c r="J7641" s="305">
        <v>5</v>
      </c>
      <c r="K7641" s="142">
        <v>0</v>
      </c>
      <c r="L7641" s="142">
        <v>0</v>
      </c>
      <c r="M7641" s="142">
        <v>0</v>
      </c>
      <c r="N7641" s="142">
        <v>0</v>
      </c>
      <c r="O7641" s="142">
        <v>0</v>
      </c>
      <c r="P7641" s="306">
        <v>1.9800000000000004E-3</v>
      </c>
      <c r="Q7641" s="157" t="s">
        <v>154</v>
      </c>
      <c r="R7641" s="303"/>
    </row>
    <row r="7642" spans="1:18" s="162" customFormat="1" ht="108" x14ac:dyDescent="0.25">
      <c r="A7642" s="184">
        <v>43596</v>
      </c>
      <c r="B7642" s="184">
        <v>43596</v>
      </c>
      <c r="C7642" s="138">
        <v>2019</v>
      </c>
      <c r="D7642" s="24" t="s">
        <v>141</v>
      </c>
      <c r="E7642" s="30" t="s">
        <v>142</v>
      </c>
      <c r="F7642" s="7" t="s">
        <v>53</v>
      </c>
      <c r="G7642" s="33" t="s">
        <v>6092</v>
      </c>
      <c r="H7642" s="33" t="s">
        <v>10500</v>
      </c>
      <c r="I7642" s="304">
        <v>0</v>
      </c>
      <c r="J7642" s="305">
        <v>25</v>
      </c>
      <c r="K7642" s="142">
        <v>0</v>
      </c>
      <c r="L7642" s="142">
        <v>0</v>
      </c>
      <c r="M7642" s="142">
        <v>0</v>
      </c>
      <c r="N7642" s="142">
        <v>0</v>
      </c>
      <c r="O7642" s="142">
        <v>0</v>
      </c>
      <c r="P7642" s="306">
        <v>0.73887000000000003</v>
      </c>
      <c r="Q7642" s="157" t="s">
        <v>154</v>
      </c>
      <c r="R7642" s="303"/>
    </row>
    <row r="7643" spans="1:18" s="162" customFormat="1" ht="84" x14ac:dyDescent="0.25">
      <c r="A7643" s="184">
        <v>43599</v>
      </c>
      <c r="B7643" s="184">
        <v>43599</v>
      </c>
      <c r="C7643" s="43">
        <v>2019</v>
      </c>
      <c r="D7643" s="24" t="s">
        <v>141</v>
      </c>
      <c r="E7643" s="30" t="s">
        <v>142</v>
      </c>
      <c r="F7643" s="7" t="s">
        <v>60</v>
      </c>
      <c r="G7643" s="33" t="s">
        <v>307</v>
      </c>
      <c r="H7643" s="33" t="s">
        <v>10501</v>
      </c>
      <c r="I7643" s="304">
        <v>0</v>
      </c>
      <c r="J7643" s="305">
        <v>2</v>
      </c>
      <c r="K7643" s="142">
        <v>0</v>
      </c>
      <c r="L7643" s="142">
        <v>0</v>
      </c>
      <c r="M7643" s="142">
        <v>0</v>
      </c>
      <c r="N7643" s="142">
        <v>0</v>
      </c>
      <c r="O7643" s="142">
        <v>0</v>
      </c>
      <c r="P7643" s="306">
        <v>4.93897570761753</v>
      </c>
      <c r="Q7643" s="157" t="s">
        <v>154</v>
      </c>
      <c r="R7643" s="303"/>
    </row>
    <row r="7644" spans="1:18" s="162" customFormat="1" ht="84" x14ac:dyDescent="0.25">
      <c r="A7644" s="184">
        <v>43599</v>
      </c>
      <c r="B7644" s="184">
        <v>43599</v>
      </c>
      <c r="C7644" s="138">
        <v>2019</v>
      </c>
      <c r="D7644" s="35" t="s">
        <v>28</v>
      </c>
      <c r="E7644" s="6" t="s">
        <v>149</v>
      </c>
      <c r="F7644" s="28" t="s">
        <v>157</v>
      </c>
      <c r="G7644" s="33" t="s">
        <v>1062</v>
      </c>
      <c r="H7644" s="33" t="s">
        <v>10502</v>
      </c>
      <c r="I7644" s="304">
        <v>0</v>
      </c>
      <c r="J7644" s="305">
        <v>100</v>
      </c>
      <c r="K7644" s="142">
        <v>1</v>
      </c>
      <c r="L7644" s="142">
        <v>0</v>
      </c>
      <c r="M7644" s="142">
        <v>0</v>
      </c>
      <c r="N7644" s="142">
        <v>0</v>
      </c>
      <c r="O7644" s="142">
        <v>0</v>
      </c>
      <c r="P7644" s="306">
        <v>7.0400000000000011E-3</v>
      </c>
      <c r="Q7644" s="157" t="s">
        <v>154</v>
      </c>
      <c r="R7644" s="303"/>
    </row>
    <row r="7645" spans="1:18" s="162" customFormat="1" ht="72" x14ac:dyDescent="0.25">
      <c r="A7645" s="184">
        <v>43600</v>
      </c>
      <c r="B7645" s="184">
        <v>43600</v>
      </c>
      <c r="C7645" s="43">
        <v>2019</v>
      </c>
      <c r="D7645" s="24" t="s">
        <v>141</v>
      </c>
      <c r="E7645" s="30" t="s">
        <v>142</v>
      </c>
      <c r="F7645" s="7" t="s">
        <v>77</v>
      </c>
      <c r="G7645" s="33" t="s">
        <v>10503</v>
      </c>
      <c r="H7645" s="33" t="s">
        <v>10504</v>
      </c>
      <c r="I7645" s="304">
        <v>0</v>
      </c>
      <c r="J7645" s="305">
        <v>15</v>
      </c>
      <c r="K7645" s="142">
        <v>0</v>
      </c>
      <c r="L7645" s="142">
        <v>0</v>
      </c>
      <c r="M7645" s="142">
        <v>0</v>
      </c>
      <c r="N7645" s="142">
        <v>0</v>
      </c>
      <c r="O7645" s="142">
        <v>0</v>
      </c>
      <c r="P7645" s="306">
        <v>0.18312033837209304</v>
      </c>
      <c r="Q7645" s="157" t="s">
        <v>154</v>
      </c>
      <c r="R7645" s="303"/>
    </row>
    <row r="7646" spans="1:18" s="162" customFormat="1" ht="96" x14ac:dyDescent="0.25">
      <c r="A7646" s="184">
        <v>43600</v>
      </c>
      <c r="B7646" s="184">
        <v>43600</v>
      </c>
      <c r="C7646" s="138">
        <v>2019</v>
      </c>
      <c r="D7646" s="24" t="s">
        <v>141</v>
      </c>
      <c r="E7646" s="30" t="s">
        <v>142</v>
      </c>
      <c r="F7646" s="7" t="s">
        <v>91</v>
      </c>
      <c r="G7646" s="33" t="s">
        <v>10505</v>
      </c>
      <c r="H7646" s="33" t="s">
        <v>10506</v>
      </c>
      <c r="I7646" s="304">
        <v>1</v>
      </c>
      <c r="J7646" s="305">
        <v>11</v>
      </c>
      <c r="K7646" s="142">
        <v>0</v>
      </c>
      <c r="L7646" s="142">
        <v>0</v>
      </c>
      <c r="M7646" s="142">
        <v>0</v>
      </c>
      <c r="N7646" s="142">
        <v>0</v>
      </c>
      <c r="O7646" s="142">
        <v>0</v>
      </c>
      <c r="P7646" s="306">
        <v>1.4824040000000001</v>
      </c>
      <c r="Q7646" s="157" t="s">
        <v>154</v>
      </c>
      <c r="R7646" s="303"/>
    </row>
    <row r="7647" spans="1:18" s="162" customFormat="1" ht="120" x14ac:dyDescent="0.25">
      <c r="A7647" s="184">
        <v>43603</v>
      </c>
      <c r="B7647" s="184">
        <v>43603</v>
      </c>
      <c r="C7647" s="43">
        <v>2019</v>
      </c>
      <c r="D7647" s="35" t="s">
        <v>28</v>
      </c>
      <c r="E7647" s="6" t="s">
        <v>149</v>
      </c>
      <c r="F7647" s="28" t="s">
        <v>157</v>
      </c>
      <c r="G7647" s="33" t="s">
        <v>876</v>
      </c>
      <c r="H7647" s="33" t="s">
        <v>10507</v>
      </c>
      <c r="I7647" s="304">
        <v>0</v>
      </c>
      <c r="J7647" s="305">
        <v>81</v>
      </c>
      <c r="K7647" s="142">
        <v>1</v>
      </c>
      <c r="L7647" s="142">
        <v>0</v>
      </c>
      <c r="M7647" s="142">
        <v>0</v>
      </c>
      <c r="N7647" s="142">
        <v>0</v>
      </c>
      <c r="O7647" s="142">
        <v>0</v>
      </c>
      <c r="P7647" s="306">
        <v>0.13200000000000001</v>
      </c>
      <c r="Q7647" s="157" t="s">
        <v>154</v>
      </c>
      <c r="R7647" s="303"/>
    </row>
    <row r="7648" spans="1:18" s="162" customFormat="1" ht="132" x14ac:dyDescent="0.25">
      <c r="A7648" s="184">
        <v>43603</v>
      </c>
      <c r="B7648" s="184">
        <v>43603</v>
      </c>
      <c r="C7648" s="138">
        <v>2019</v>
      </c>
      <c r="D7648" s="24" t="s">
        <v>141</v>
      </c>
      <c r="E7648" s="30" t="s">
        <v>142</v>
      </c>
      <c r="F7648" s="7" t="s">
        <v>77</v>
      </c>
      <c r="G7648" s="33" t="s">
        <v>77</v>
      </c>
      <c r="H7648" s="33" t="s">
        <v>10508</v>
      </c>
      <c r="I7648" s="304">
        <v>0</v>
      </c>
      <c r="J7648" s="305">
        <v>27</v>
      </c>
      <c r="K7648" s="142">
        <v>0</v>
      </c>
      <c r="L7648" s="142">
        <v>0</v>
      </c>
      <c r="M7648" s="142">
        <v>0</v>
      </c>
      <c r="N7648" s="142">
        <v>0</v>
      </c>
      <c r="O7648" s="142">
        <v>0</v>
      </c>
      <c r="P7648" s="306">
        <v>0.39993690000000004</v>
      </c>
      <c r="Q7648" s="157" t="s">
        <v>154</v>
      </c>
      <c r="R7648" s="303"/>
    </row>
    <row r="7649" spans="1:18" s="162" customFormat="1" ht="120" x14ac:dyDescent="0.25">
      <c r="A7649" s="184">
        <v>43604</v>
      </c>
      <c r="B7649" s="184">
        <v>43604</v>
      </c>
      <c r="C7649" s="43">
        <v>2019</v>
      </c>
      <c r="D7649" s="24" t="s">
        <v>141</v>
      </c>
      <c r="E7649" s="30" t="s">
        <v>142</v>
      </c>
      <c r="F7649" s="7" t="s">
        <v>68</v>
      </c>
      <c r="G7649" s="33" t="s">
        <v>1121</v>
      </c>
      <c r="H7649" s="33" t="s">
        <v>10509</v>
      </c>
      <c r="I7649" s="304">
        <v>0</v>
      </c>
      <c r="J7649" s="305">
        <v>15</v>
      </c>
      <c r="K7649" s="142">
        <v>0</v>
      </c>
      <c r="L7649" s="142">
        <v>0</v>
      </c>
      <c r="M7649" s="142">
        <v>0</v>
      </c>
      <c r="N7649" s="142">
        <v>0</v>
      </c>
      <c r="O7649" s="142">
        <v>0</v>
      </c>
      <c r="P7649" s="306">
        <v>1.4850000000000002E-2</v>
      </c>
      <c r="Q7649" s="157" t="s">
        <v>154</v>
      </c>
      <c r="R7649" s="303"/>
    </row>
    <row r="7650" spans="1:18" s="162" customFormat="1" ht="108" x14ac:dyDescent="0.25">
      <c r="A7650" s="184">
        <v>43605</v>
      </c>
      <c r="B7650" s="184">
        <v>43605</v>
      </c>
      <c r="C7650" s="138">
        <v>2019</v>
      </c>
      <c r="D7650" s="24" t="s">
        <v>141</v>
      </c>
      <c r="E7650" s="30" t="s">
        <v>142</v>
      </c>
      <c r="F7650" s="28" t="s">
        <v>157</v>
      </c>
      <c r="G7650" s="33" t="s">
        <v>158</v>
      </c>
      <c r="H7650" s="33" t="s">
        <v>10510</v>
      </c>
      <c r="I7650" s="304">
        <v>0</v>
      </c>
      <c r="J7650" s="305">
        <v>9</v>
      </c>
      <c r="K7650" s="142">
        <v>0</v>
      </c>
      <c r="L7650" s="142">
        <v>0</v>
      </c>
      <c r="M7650" s="142">
        <v>0</v>
      </c>
      <c r="N7650" s="142">
        <v>0</v>
      </c>
      <c r="O7650" s="142">
        <v>0</v>
      </c>
      <c r="P7650" s="306">
        <v>1.1251199999999999</v>
      </c>
      <c r="Q7650" s="157" t="s">
        <v>154</v>
      </c>
      <c r="R7650" s="303"/>
    </row>
    <row r="7651" spans="1:18" s="162" customFormat="1" ht="132" x14ac:dyDescent="0.25">
      <c r="A7651" s="184">
        <v>43606</v>
      </c>
      <c r="B7651" s="184">
        <v>43606</v>
      </c>
      <c r="C7651" s="43">
        <v>2019</v>
      </c>
      <c r="D7651" s="35" t="s">
        <v>28</v>
      </c>
      <c r="E7651" s="30" t="s">
        <v>133</v>
      </c>
      <c r="F7651" s="7" t="s">
        <v>25</v>
      </c>
      <c r="G7651" s="33" t="s">
        <v>25</v>
      </c>
      <c r="H7651" s="33" t="s">
        <v>10511</v>
      </c>
      <c r="I7651" s="304">
        <v>0</v>
      </c>
      <c r="J7651" s="305">
        <v>66</v>
      </c>
      <c r="K7651" s="142">
        <v>1</v>
      </c>
      <c r="L7651" s="142">
        <v>0</v>
      </c>
      <c r="M7651" s="142">
        <v>0</v>
      </c>
      <c r="N7651" s="142">
        <v>0</v>
      </c>
      <c r="O7651" s="142">
        <v>0</v>
      </c>
      <c r="P7651" s="306">
        <v>0.42026820000000004</v>
      </c>
      <c r="Q7651" s="157" t="s">
        <v>154</v>
      </c>
      <c r="R7651" s="303"/>
    </row>
    <row r="7652" spans="1:18" s="162" customFormat="1" ht="120" x14ac:dyDescent="0.25">
      <c r="A7652" s="184">
        <v>43607</v>
      </c>
      <c r="B7652" s="184">
        <v>43607</v>
      </c>
      <c r="C7652" s="138">
        <v>2019</v>
      </c>
      <c r="D7652" s="24" t="s">
        <v>141</v>
      </c>
      <c r="E7652" s="30" t="s">
        <v>142</v>
      </c>
      <c r="F7652" s="7" t="s">
        <v>72</v>
      </c>
      <c r="G7652" s="33" t="s">
        <v>10512</v>
      </c>
      <c r="H7652" s="33" t="s">
        <v>10513</v>
      </c>
      <c r="I7652" s="304">
        <v>0</v>
      </c>
      <c r="J7652" s="305">
        <v>8</v>
      </c>
      <c r="K7652" s="142">
        <v>0</v>
      </c>
      <c r="L7652" s="142">
        <v>0</v>
      </c>
      <c r="M7652" s="142">
        <v>0</v>
      </c>
      <c r="N7652" s="142">
        <v>0</v>
      </c>
      <c r="O7652" s="142">
        <v>0</v>
      </c>
      <c r="P7652" s="306">
        <v>7.9332E-2</v>
      </c>
      <c r="Q7652" s="157" t="s">
        <v>154</v>
      </c>
      <c r="R7652" s="303"/>
    </row>
    <row r="7653" spans="1:18" s="162" customFormat="1" ht="108" x14ac:dyDescent="0.25">
      <c r="A7653" s="184">
        <v>43608</v>
      </c>
      <c r="B7653" s="184">
        <v>43608</v>
      </c>
      <c r="C7653" s="43">
        <v>2019</v>
      </c>
      <c r="D7653" s="35" t="s">
        <v>28</v>
      </c>
      <c r="E7653" s="30" t="s">
        <v>133</v>
      </c>
      <c r="F7653" s="7" t="s">
        <v>53</v>
      </c>
      <c r="G7653" s="33" t="s">
        <v>6235</v>
      </c>
      <c r="H7653" s="33" t="s">
        <v>10514</v>
      </c>
      <c r="I7653" s="304">
        <v>0</v>
      </c>
      <c r="J7653" s="305">
        <v>1</v>
      </c>
      <c r="K7653" s="142">
        <v>0</v>
      </c>
      <c r="L7653" s="142">
        <v>0</v>
      </c>
      <c r="M7653" s="142">
        <v>0</v>
      </c>
      <c r="N7653" s="142">
        <v>0</v>
      </c>
      <c r="O7653" s="142">
        <v>0</v>
      </c>
      <c r="P7653" s="306">
        <v>0.14413410000000001</v>
      </c>
      <c r="Q7653" s="157" t="s">
        <v>154</v>
      </c>
      <c r="R7653" s="303"/>
    </row>
    <row r="7654" spans="1:18" s="162" customFormat="1" ht="120" x14ac:dyDescent="0.25">
      <c r="A7654" s="184">
        <v>43607</v>
      </c>
      <c r="B7654" s="184">
        <v>43607</v>
      </c>
      <c r="C7654" s="138">
        <v>2019</v>
      </c>
      <c r="D7654" s="24" t="s">
        <v>141</v>
      </c>
      <c r="E7654" s="30" t="s">
        <v>142</v>
      </c>
      <c r="F7654" s="7" t="s">
        <v>62</v>
      </c>
      <c r="G7654" s="33" t="s">
        <v>9715</v>
      </c>
      <c r="H7654" s="33" t="s">
        <v>10515</v>
      </c>
      <c r="I7654" s="304">
        <v>1</v>
      </c>
      <c r="J7654" s="305">
        <v>11</v>
      </c>
      <c r="K7654" s="142">
        <v>0</v>
      </c>
      <c r="L7654" s="142">
        <v>0</v>
      </c>
      <c r="M7654" s="142">
        <v>0</v>
      </c>
      <c r="N7654" s="142">
        <v>0</v>
      </c>
      <c r="O7654" s="142">
        <v>0</v>
      </c>
      <c r="P7654" s="306">
        <v>0.9502316999999999</v>
      </c>
      <c r="Q7654" s="157" t="s">
        <v>154</v>
      </c>
      <c r="R7654" s="303"/>
    </row>
    <row r="7655" spans="1:18" s="162" customFormat="1" ht="84" x14ac:dyDescent="0.25">
      <c r="A7655" s="184">
        <v>43608</v>
      </c>
      <c r="B7655" s="184">
        <v>43608</v>
      </c>
      <c r="C7655" s="43">
        <v>2019</v>
      </c>
      <c r="D7655" s="24" t="s">
        <v>141</v>
      </c>
      <c r="E7655" s="30" t="s">
        <v>142</v>
      </c>
      <c r="F7655" s="7" t="s">
        <v>53</v>
      </c>
      <c r="G7655" s="33" t="s">
        <v>5082</v>
      </c>
      <c r="H7655" s="33" t="s">
        <v>10516</v>
      </c>
      <c r="I7655" s="304">
        <v>1</v>
      </c>
      <c r="J7655" s="305">
        <v>10</v>
      </c>
      <c r="K7655" s="142">
        <v>0</v>
      </c>
      <c r="L7655" s="142">
        <v>0</v>
      </c>
      <c r="M7655" s="142">
        <v>0</v>
      </c>
      <c r="N7655" s="142">
        <v>0</v>
      </c>
      <c r="O7655" s="142">
        <v>0</v>
      </c>
      <c r="P7655" s="306">
        <v>0.30095003837209305</v>
      </c>
      <c r="Q7655" s="157" t="s">
        <v>154</v>
      </c>
      <c r="R7655" s="303"/>
    </row>
    <row r="7656" spans="1:18" s="162" customFormat="1" ht="168" x14ac:dyDescent="0.25">
      <c r="A7656" s="184">
        <v>43608</v>
      </c>
      <c r="B7656" s="184">
        <v>43608</v>
      </c>
      <c r="C7656" s="138">
        <v>2019</v>
      </c>
      <c r="D7656" s="351" t="s">
        <v>23</v>
      </c>
      <c r="E7656" s="22" t="s">
        <v>86</v>
      </c>
      <c r="F7656" s="7" t="s">
        <v>36</v>
      </c>
      <c r="G7656" s="33" t="s">
        <v>854</v>
      </c>
      <c r="H7656" s="33" t="s">
        <v>10517</v>
      </c>
      <c r="I7656" s="304">
        <v>0</v>
      </c>
      <c r="J7656" s="305">
        <v>278</v>
      </c>
      <c r="K7656" s="142">
        <v>64</v>
      </c>
      <c r="L7656" s="142">
        <v>0</v>
      </c>
      <c r="M7656" s="142">
        <v>0</v>
      </c>
      <c r="N7656" s="142">
        <v>0</v>
      </c>
      <c r="O7656" s="142">
        <v>0</v>
      </c>
      <c r="P7656" s="306">
        <v>2.4640000000000002E-2</v>
      </c>
      <c r="Q7656" s="157" t="s">
        <v>154</v>
      </c>
      <c r="R7656" s="303"/>
    </row>
    <row r="7657" spans="1:18" s="162" customFormat="1" ht="72" x14ac:dyDescent="0.25">
      <c r="A7657" s="184">
        <v>43609</v>
      </c>
      <c r="B7657" s="184">
        <v>43609</v>
      </c>
      <c r="C7657" s="43">
        <v>2019</v>
      </c>
      <c r="D7657" s="35" t="s">
        <v>28</v>
      </c>
      <c r="E7657" s="6" t="s">
        <v>369</v>
      </c>
      <c r="F7657" s="7" t="s">
        <v>40</v>
      </c>
      <c r="G7657" s="33" t="s">
        <v>2097</v>
      </c>
      <c r="H7657" s="33" t="s">
        <v>10518</v>
      </c>
      <c r="I7657" s="304">
        <v>0</v>
      </c>
      <c r="J7657" s="305">
        <v>0</v>
      </c>
      <c r="K7657" s="142">
        <v>0</v>
      </c>
      <c r="L7657" s="142">
        <v>0</v>
      </c>
      <c r="M7657" s="142">
        <v>0</v>
      </c>
      <c r="N7657" s="142">
        <v>0</v>
      </c>
      <c r="O7657" s="142">
        <v>0</v>
      </c>
      <c r="P7657" s="306">
        <v>0.61313796190150482</v>
      </c>
      <c r="Q7657" s="157" t="s">
        <v>154</v>
      </c>
      <c r="R7657" s="303"/>
    </row>
    <row r="7658" spans="1:18" s="162" customFormat="1" ht="108" x14ac:dyDescent="0.25">
      <c r="A7658" s="184">
        <v>43610</v>
      </c>
      <c r="B7658" s="184">
        <v>43610</v>
      </c>
      <c r="C7658" s="138">
        <v>2019</v>
      </c>
      <c r="D7658" s="24" t="s">
        <v>141</v>
      </c>
      <c r="E7658" s="30" t="s">
        <v>142</v>
      </c>
      <c r="F7658" s="7" t="s">
        <v>60</v>
      </c>
      <c r="G7658" s="33" t="s">
        <v>2508</v>
      </c>
      <c r="H7658" s="33" t="s">
        <v>10519</v>
      </c>
      <c r="I7658" s="304">
        <v>1</v>
      </c>
      <c r="J7658" s="305">
        <v>5</v>
      </c>
      <c r="K7658" s="142">
        <v>0</v>
      </c>
      <c r="L7658" s="142">
        <v>0</v>
      </c>
      <c r="M7658" s="142">
        <v>0</v>
      </c>
      <c r="N7658" s="142">
        <v>0</v>
      </c>
      <c r="O7658" s="142">
        <v>0</v>
      </c>
      <c r="P7658" s="306">
        <v>0.25137199999999998</v>
      </c>
      <c r="Q7658" s="157" t="s">
        <v>154</v>
      </c>
      <c r="R7658" s="303"/>
    </row>
    <row r="7659" spans="1:18" s="162" customFormat="1" ht="120" x14ac:dyDescent="0.25">
      <c r="A7659" s="184">
        <v>43609</v>
      </c>
      <c r="B7659" s="184">
        <v>43609</v>
      </c>
      <c r="C7659" s="43">
        <v>2019</v>
      </c>
      <c r="D7659" s="24" t="s">
        <v>141</v>
      </c>
      <c r="E7659" s="30" t="s">
        <v>142</v>
      </c>
      <c r="F7659" s="7" t="s">
        <v>77</v>
      </c>
      <c r="G7659" s="33" t="s">
        <v>10520</v>
      </c>
      <c r="H7659" s="33" t="s">
        <v>10521</v>
      </c>
      <c r="I7659" s="304">
        <v>6</v>
      </c>
      <c r="J7659" s="305">
        <v>6</v>
      </c>
      <c r="K7659" s="142">
        <v>0</v>
      </c>
      <c r="L7659" s="142">
        <v>0</v>
      </c>
      <c r="M7659" s="142">
        <v>0</v>
      </c>
      <c r="N7659" s="142">
        <v>0</v>
      </c>
      <c r="O7659" s="142">
        <v>0</v>
      </c>
      <c r="P7659" s="306">
        <v>4.93897570761753</v>
      </c>
      <c r="Q7659" s="157" t="s">
        <v>154</v>
      </c>
      <c r="R7659" s="303"/>
    </row>
    <row r="7660" spans="1:18" s="162" customFormat="1" ht="96" x14ac:dyDescent="0.25">
      <c r="A7660" s="184">
        <v>43611</v>
      </c>
      <c r="B7660" s="184">
        <v>43611</v>
      </c>
      <c r="C7660" s="138">
        <v>2019</v>
      </c>
      <c r="D7660" s="24" t="s">
        <v>141</v>
      </c>
      <c r="E7660" s="30" t="s">
        <v>142</v>
      </c>
      <c r="F7660" s="28" t="s">
        <v>157</v>
      </c>
      <c r="G7660" s="33" t="s">
        <v>857</v>
      </c>
      <c r="H7660" s="33" t="s">
        <v>10522</v>
      </c>
      <c r="I7660" s="304">
        <v>4</v>
      </c>
      <c r="J7660" s="305">
        <v>18</v>
      </c>
      <c r="K7660" s="142">
        <v>0</v>
      </c>
      <c r="L7660" s="142">
        <v>0</v>
      </c>
      <c r="M7660" s="142">
        <v>0</v>
      </c>
      <c r="N7660" s="142">
        <v>0</v>
      </c>
      <c r="O7660" s="142">
        <v>0</v>
      </c>
      <c r="P7660" s="306">
        <v>4.2899573837209308</v>
      </c>
      <c r="Q7660" s="157" t="s">
        <v>154</v>
      </c>
      <c r="R7660" s="303"/>
    </row>
    <row r="7661" spans="1:18" s="162" customFormat="1" ht="96" x14ac:dyDescent="0.25">
      <c r="A7661" s="184">
        <v>43612</v>
      </c>
      <c r="B7661" s="184">
        <v>43612</v>
      </c>
      <c r="C7661" s="43">
        <v>2019</v>
      </c>
      <c r="D7661" s="24" t="s">
        <v>141</v>
      </c>
      <c r="E7661" s="30" t="s">
        <v>142</v>
      </c>
      <c r="F7661" s="7" t="s">
        <v>62</v>
      </c>
      <c r="G7661" s="33" t="s">
        <v>474</v>
      </c>
      <c r="H7661" s="33" t="s">
        <v>10523</v>
      </c>
      <c r="I7661" s="304">
        <v>2</v>
      </c>
      <c r="J7661" s="305">
        <v>22</v>
      </c>
      <c r="K7661" s="142">
        <v>0</v>
      </c>
      <c r="L7661" s="142">
        <v>0</v>
      </c>
      <c r="M7661" s="142">
        <v>0</v>
      </c>
      <c r="N7661" s="142">
        <v>0</v>
      </c>
      <c r="O7661" s="142">
        <v>0</v>
      </c>
      <c r="P7661" s="306">
        <v>0.73392000000000002</v>
      </c>
      <c r="Q7661" s="157" t="s">
        <v>154</v>
      </c>
      <c r="R7661" s="303"/>
    </row>
    <row r="7662" spans="1:18" s="162" customFormat="1" ht="156" x14ac:dyDescent="0.25">
      <c r="A7662" s="184">
        <v>43613</v>
      </c>
      <c r="B7662" s="184">
        <v>43613</v>
      </c>
      <c r="C7662" s="138">
        <v>2019</v>
      </c>
      <c r="D7662" s="35" t="s">
        <v>28</v>
      </c>
      <c r="E7662" s="6" t="s">
        <v>149</v>
      </c>
      <c r="F7662" s="7" t="s">
        <v>45</v>
      </c>
      <c r="G7662" s="33" t="s">
        <v>10524</v>
      </c>
      <c r="H7662" s="33" t="s">
        <v>10525</v>
      </c>
      <c r="I7662" s="304">
        <v>0</v>
      </c>
      <c r="J7662" s="305">
        <v>0</v>
      </c>
      <c r="K7662" s="142">
        <v>0</v>
      </c>
      <c r="L7662" s="142">
        <v>0</v>
      </c>
      <c r="M7662" s="142">
        <v>0</v>
      </c>
      <c r="N7662" s="142">
        <v>0</v>
      </c>
      <c r="O7662" s="142">
        <v>0</v>
      </c>
      <c r="P7662" s="306">
        <v>1.1557833837209301</v>
      </c>
      <c r="Q7662" s="157" t="s">
        <v>154</v>
      </c>
      <c r="R7662" s="303"/>
    </row>
    <row r="7663" spans="1:18" s="162" customFormat="1" ht="132" x14ac:dyDescent="0.25">
      <c r="A7663" s="184">
        <v>43614</v>
      </c>
      <c r="B7663" s="184">
        <v>43614</v>
      </c>
      <c r="C7663" s="43">
        <v>2019</v>
      </c>
      <c r="D7663" s="35" t="s">
        <v>28</v>
      </c>
      <c r="E7663" s="6" t="s">
        <v>149</v>
      </c>
      <c r="F7663" s="7" t="s">
        <v>53</v>
      </c>
      <c r="G7663" s="33" t="s">
        <v>5966</v>
      </c>
      <c r="H7663" s="33" t="s">
        <v>10526</v>
      </c>
      <c r="I7663" s="304">
        <v>0</v>
      </c>
      <c r="J7663" s="305">
        <v>403</v>
      </c>
      <c r="K7663" s="142">
        <v>0</v>
      </c>
      <c r="L7663" s="142">
        <v>0</v>
      </c>
      <c r="M7663" s="142">
        <v>0</v>
      </c>
      <c r="N7663" s="142">
        <v>0</v>
      </c>
      <c r="O7663" s="142">
        <v>0</v>
      </c>
      <c r="P7663" s="306">
        <v>2.8568100000000003E-2</v>
      </c>
      <c r="Q7663" s="157" t="s">
        <v>154</v>
      </c>
      <c r="R7663" s="303"/>
    </row>
    <row r="7664" spans="1:18" s="162" customFormat="1" ht="108" x14ac:dyDescent="0.25">
      <c r="A7664" s="184">
        <v>43614</v>
      </c>
      <c r="B7664" s="184">
        <v>43614</v>
      </c>
      <c r="C7664" s="138">
        <v>2019</v>
      </c>
      <c r="D7664" s="24" t="s">
        <v>141</v>
      </c>
      <c r="E7664" s="30" t="s">
        <v>142</v>
      </c>
      <c r="F7664" s="28" t="s">
        <v>210</v>
      </c>
      <c r="G7664" s="33" t="s">
        <v>2938</v>
      </c>
      <c r="H7664" s="33" t="s">
        <v>10527</v>
      </c>
      <c r="I7664" s="304">
        <v>21</v>
      </c>
      <c r="J7664" s="305">
        <v>52</v>
      </c>
      <c r="K7664" s="142">
        <v>0</v>
      </c>
      <c r="L7664" s="142">
        <v>0</v>
      </c>
      <c r="M7664" s="142">
        <v>0</v>
      </c>
      <c r="N7664" s="142">
        <v>0</v>
      </c>
      <c r="O7664" s="142">
        <v>0</v>
      </c>
      <c r="P7664" s="306">
        <v>1.1210320383720931</v>
      </c>
      <c r="Q7664" s="157" t="s">
        <v>154</v>
      </c>
      <c r="R7664" s="303"/>
    </row>
    <row r="7665" spans="1:18" s="162" customFormat="1" ht="120" x14ac:dyDescent="0.25">
      <c r="A7665" s="184">
        <v>43614</v>
      </c>
      <c r="B7665" s="184">
        <v>43614</v>
      </c>
      <c r="C7665" s="43">
        <v>2019</v>
      </c>
      <c r="D7665" s="24" t="s">
        <v>141</v>
      </c>
      <c r="E7665" s="49" t="s">
        <v>2617</v>
      </c>
      <c r="F7665" s="28" t="s">
        <v>157</v>
      </c>
      <c r="G7665" s="33" t="s">
        <v>1062</v>
      </c>
      <c r="H7665" s="33" t="s">
        <v>10528</v>
      </c>
      <c r="I7665" s="304">
        <v>0</v>
      </c>
      <c r="J7665" s="305">
        <v>1</v>
      </c>
      <c r="K7665" s="142">
        <v>0</v>
      </c>
      <c r="L7665" s="142">
        <v>0</v>
      </c>
      <c r="M7665" s="142">
        <v>0</v>
      </c>
      <c r="N7665" s="142">
        <v>0</v>
      </c>
      <c r="O7665" s="142">
        <v>0</v>
      </c>
      <c r="P7665" s="306">
        <v>9.9000000000000021E-4</v>
      </c>
      <c r="Q7665" s="157" t="s">
        <v>154</v>
      </c>
      <c r="R7665" s="303"/>
    </row>
    <row r="7666" spans="1:18" s="162" customFormat="1" ht="156" x14ac:dyDescent="0.25">
      <c r="A7666" s="184">
        <v>43615</v>
      </c>
      <c r="B7666" s="184">
        <v>43615</v>
      </c>
      <c r="C7666" s="138">
        <v>2019</v>
      </c>
      <c r="D7666" s="24" t="s">
        <v>141</v>
      </c>
      <c r="E7666" s="30" t="s">
        <v>142</v>
      </c>
      <c r="F7666" s="7" t="s">
        <v>49</v>
      </c>
      <c r="G7666" s="33" t="s">
        <v>49</v>
      </c>
      <c r="H7666" s="33" t="s">
        <v>10529</v>
      </c>
      <c r="I7666" s="304">
        <v>5</v>
      </c>
      <c r="J7666" s="305">
        <v>27</v>
      </c>
      <c r="K7666" s="142">
        <v>0</v>
      </c>
      <c r="L7666" s="142">
        <v>0</v>
      </c>
      <c r="M7666" s="142">
        <v>0</v>
      </c>
      <c r="N7666" s="142">
        <v>0</v>
      </c>
      <c r="O7666" s="142">
        <v>0</v>
      </c>
      <c r="P7666" s="306">
        <v>0.84760833837209304</v>
      </c>
      <c r="Q7666" s="157" t="s">
        <v>154</v>
      </c>
      <c r="R7666" s="303"/>
    </row>
    <row r="7667" spans="1:18" s="162" customFormat="1" ht="264" x14ac:dyDescent="0.25">
      <c r="A7667" s="184">
        <v>43615</v>
      </c>
      <c r="B7667" s="184">
        <v>43615</v>
      </c>
      <c r="C7667" s="43">
        <v>2019</v>
      </c>
      <c r="D7667" s="351" t="s">
        <v>23</v>
      </c>
      <c r="E7667" s="22" t="s">
        <v>86</v>
      </c>
      <c r="F7667" s="7" t="s">
        <v>82</v>
      </c>
      <c r="G7667" s="33" t="s">
        <v>4878</v>
      </c>
      <c r="H7667" s="33" t="s">
        <v>10530</v>
      </c>
      <c r="I7667" s="304">
        <v>0</v>
      </c>
      <c r="J7667" s="305">
        <v>400</v>
      </c>
      <c r="K7667" s="142">
        <v>100</v>
      </c>
      <c r="L7667" s="142">
        <v>40</v>
      </c>
      <c r="M7667" s="142">
        <v>0</v>
      </c>
      <c r="N7667" s="142">
        <v>0</v>
      </c>
      <c r="O7667" s="142">
        <v>0</v>
      </c>
      <c r="P7667" s="306">
        <v>21.235499999999998</v>
      </c>
      <c r="Q7667" s="157" t="s">
        <v>154</v>
      </c>
      <c r="R7667" s="303"/>
    </row>
    <row r="7668" spans="1:18" s="162" customFormat="1" ht="120" x14ac:dyDescent="0.25">
      <c r="A7668" s="184">
        <v>43615</v>
      </c>
      <c r="B7668" s="184">
        <v>43615</v>
      </c>
      <c r="C7668" s="138">
        <v>2019</v>
      </c>
      <c r="D7668" s="35" t="s">
        <v>28</v>
      </c>
      <c r="E7668" s="6" t="s">
        <v>369</v>
      </c>
      <c r="F7668" s="7" t="s">
        <v>82</v>
      </c>
      <c r="G7668" s="33" t="s">
        <v>10531</v>
      </c>
      <c r="H7668" s="33" t="s">
        <v>10532</v>
      </c>
      <c r="I7668" s="304">
        <v>0</v>
      </c>
      <c r="J7668" s="305">
        <v>41</v>
      </c>
      <c r="K7668" s="142">
        <v>0</v>
      </c>
      <c r="L7668" s="142">
        <v>0</v>
      </c>
      <c r="M7668" s="142">
        <v>0</v>
      </c>
      <c r="N7668" s="142">
        <v>0</v>
      </c>
      <c r="O7668" s="142">
        <v>0</v>
      </c>
      <c r="P7668" s="306">
        <v>5.4012962352941181E-2</v>
      </c>
      <c r="Q7668" s="157" t="s">
        <v>154</v>
      </c>
      <c r="R7668" s="303"/>
    </row>
    <row r="7669" spans="1:18" s="162" customFormat="1" ht="132" x14ac:dyDescent="0.25">
      <c r="A7669" s="184">
        <v>43618</v>
      </c>
      <c r="B7669" s="184">
        <v>43618</v>
      </c>
      <c r="C7669" s="43">
        <v>2019</v>
      </c>
      <c r="D7669" s="24" t="s">
        <v>141</v>
      </c>
      <c r="E7669" s="30" t="s">
        <v>142</v>
      </c>
      <c r="F7669" s="7" t="s">
        <v>87</v>
      </c>
      <c r="G7669" s="33" t="s">
        <v>2608</v>
      </c>
      <c r="H7669" s="33" t="s">
        <v>10533</v>
      </c>
      <c r="I7669" s="304">
        <v>0</v>
      </c>
      <c r="J7669" s="305">
        <v>8</v>
      </c>
      <c r="K7669" s="142">
        <v>0</v>
      </c>
      <c r="L7669" s="142">
        <v>0</v>
      </c>
      <c r="M7669" s="142">
        <v>0</v>
      </c>
      <c r="N7669" s="142">
        <v>0</v>
      </c>
      <c r="O7669" s="142">
        <v>0</v>
      </c>
      <c r="P7669" s="306">
        <v>0.47732853837209305</v>
      </c>
      <c r="Q7669" s="157" t="s">
        <v>154</v>
      </c>
      <c r="R7669" s="303"/>
    </row>
    <row r="7670" spans="1:18" s="162" customFormat="1" ht="168" x14ac:dyDescent="0.25">
      <c r="A7670" s="184">
        <v>43618</v>
      </c>
      <c r="B7670" s="184">
        <v>43618</v>
      </c>
      <c r="C7670" s="138">
        <v>2019</v>
      </c>
      <c r="D7670" s="351" t="s">
        <v>23</v>
      </c>
      <c r="E7670" s="22" t="s">
        <v>86</v>
      </c>
      <c r="F7670" s="7" t="s">
        <v>60</v>
      </c>
      <c r="G7670" s="33" t="s">
        <v>10534</v>
      </c>
      <c r="H7670" s="33" t="s">
        <v>10535</v>
      </c>
      <c r="I7670" s="304">
        <v>5</v>
      </c>
      <c r="J7670" s="305">
        <v>2189</v>
      </c>
      <c r="K7670" s="142">
        <v>14</v>
      </c>
      <c r="L7670" s="142">
        <v>2</v>
      </c>
      <c r="M7670" s="142">
        <v>0</v>
      </c>
      <c r="N7670" s="142">
        <v>30</v>
      </c>
      <c r="O7670" s="142">
        <v>0</v>
      </c>
      <c r="P7670" s="306">
        <v>187.27488560000003</v>
      </c>
      <c r="Q7670" s="157" t="s">
        <v>10536</v>
      </c>
      <c r="R7670" s="303"/>
    </row>
    <row r="7671" spans="1:18" s="162" customFormat="1" ht="144" x14ac:dyDescent="0.25">
      <c r="A7671" s="184">
        <v>43619</v>
      </c>
      <c r="B7671" s="184">
        <v>43619</v>
      </c>
      <c r="C7671" s="43">
        <v>2019</v>
      </c>
      <c r="D7671" s="24" t="s">
        <v>141</v>
      </c>
      <c r="E7671" s="30" t="s">
        <v>142</v>
      </c>
      <c r="F7671" s="7" t="s">
        <v>91</v>
      </c>
      <c r="G7671" s="33" t="s">
        <v>1682</v>
      </c>
      <c r="H7671" s="33" t="s">
        <v>10537</v>
      </c>
      <c r="I7671" s="304">
        <v>0</v>
      </c>
      <c r="J7671" s="305">
        <v>13</v>
      </c>
      <c r="K7671" s="142">
        <v>0</v>
      </c>
      <c r="L7671" s="142">
        <v>0</v>
      </c>
      <c r="M7671" s="142">
        <v>0</v>
      </c>
      <c r="N7671" s="142">
        <v>0</v>
      </c>
      <c r="O7671" s="142">
        <v>0</v>
      </c>
      <c r="P7671" s="306">
        <v>0.83176833837209307</v>
      </c>
      <c r="Q7671" s="157" t="s">
        <v>154</v>
      </c>
      <c r="R7671" s="303"/>
    </row>
    <row r="7672" spans="1:18" s="162" customFormat="1" ht="132" x14ac:dyDescent="0.25">
      <c r="A7672" s="184">
        <v>43620</v>
      </c>
      <c r="B7672" s="184">
        <v>43620</v>
      </c>
      <c r="C7672" s="138">
        <v>2019</v>
      </c>
      <c r="D7672" s="351" t="s">
        <v>23</v>
      </c>
      <c r="E7672" s="22" t="s">
        <v>86</v>
      </c>
      <c r="F7672" s="7" t="s">
        <v>62</v>
      </c>
      <c r="G7672" s="33" t="s">
        <v>4805</v>
      </c>
      <c r="H7672" s="33" t="s">
        <v>10538</v>
      </c>
      <c r="I7672" s="304">
        <v>0</v>
      </c>
      <c r="J7672" s="305">
        <v>40</v>
      </c>
      <c r="K7672" s="142">
        <v>10</v>
      </c>
      <c r="L7672" s="142">
        <v>0</v>
      </c>
      <c r="M7672" s="142">
        <v>0</v>
      </c>
      <c r="N7672" s="142">
        <v>0</v>
      </c>
      <c r="O7672" s="142">
        <v>0</v>
      </c>
      <c r="P7672" s="306">
        <v>1.155E-2</v>
      </c>
      <c r="Q7672" s="157" t="s">
        <v>154</v>
      </c>
      <c r="R7672" s="303"/>
    </row>
    <row r="7673" spans="1:18" s="162" customFormat="1" ht="144" x14ac:dyDescent="0.25">
      <c r="A7673" s="184">
        <v>43620</v>
      </c>
      <c r="B7673" s="184">
        <v>43620</v>
      </c>
      <c r="C7673" s="43">
        <v>2019</v>
      </c>
      <c r="D7673" s="35" t="s">
        <v>17</v>
      </c>
      <c r="E7673" s="6" t="s">
        <v>328</v>
      </c>
      <c r="F7673" s="28" t="s">
        <v>210</v>
      </c>
      <c r="G7673" s="33" t="s">
        <v>3003</v>
      </c>
      <c r="H7673" s="33" t="s">
        <v>10539</v>
      </c>
      <c r="I7673" s="304">
        <v>0</v>
      </c>
      <c r="J7673" s="305">
        <v>120</v>
      </c>
      <c r="K7673" s="142">
        <v>2</v>
      </c>
      <c r="L7673" s="142">
        <v>0</v>
      </c>
      <c r="M7673" s="142">
        <v>0</v>
      </c>
      <c r="N7673" s="142">
        <v>0</v>
      </c>
      <c r="O7673" s="142">
        <v>0</v>
      </c>
      <c r="P7673" s="306">
        <v>1.2100000000000001E-2</v>
      </c>
      <c r="Q7673" s="157" t="s">
        <v>154</v>
      </c>
      <c r="R7673" s="303"/>
    </row>
    <row r="7674" spans="1:18" s="162" customFormat="1" ht="144" x14ac:dyDescent="0.25">
      <c r="A7674" s="184">
        <v>43621</v>
      </c>
      <c r="B7674" s="184">
        <v>43621</v>
      </c>
      <c r="C7674" s="138">
        <v>2019</v>
      </c>
      <c r="D7674" s="35" t="s">
        <v>28</v>
      </c>
      <c r="E7674" s="6" t="s">
        <v>149</v>
      </c>
      <c r="F7674" s="28" t="s">
        <v>157</v>
      </c>
      <c r="G7674" s="33" t="s">
        <v>1089</v>
      </c>
      <c r="H7674" s="33" t="s">
        <v>10540</v>
      </c>
      <c r="I7674" s="304">
        <v>0</v>
      </c>
      <c r="J7674" s="305">
        <v>137</v>
      </c>
      <c r="K7674" s="142">
        <v>0</v>
      </c>
      <c r="L7674" s="142">
        <v>0</v>
      </c>
      <c r="M7674" s="142">
        <v>0</v>
      </c>
      <c r="N7674" s="142">
        <v>1</v>
      </c>
      <c r="O7674" s="142">
        <v>0</v>
      </c>
      <c r="P7674" s="306">
        <v>0</v>
      </c>
      <c r="Q7674" s="157" t="s">
        <v>154</v>
      </c>
      <c r="R7674" s="303"/>
    </row>
    <row r="7675" spans="1:18" s="162" customFormat="1" ht="96" x14ac:dyDescent="0.25">
      <c r="A7675" s="184">
        <v>43621</v>
      </c>
      <c r="B7675" s="184">
        <v>43621</v>
      </c>
      <c r="C7675" s="43">
        <v>2019</v>
      </c>
      <c r="D7675" s="351" t="s">
        <v>23</v>
      </c>
      <c r="E7675" s="22" t="s">
        <v>86</v>
      </c>
      <c r="F7675" s="7" t="s">
        <v>56</v>
      </c>
      <c r="G7675" s="33" t="s">
        <v>358</v>
      </c>
      <c r="H7675" s="33" t="s">
        <v>10541</v>
      </c>
      <c r="I7675" s="304">
        <v>1</v>
      </c>
      <c r="J7675" s="305">
        <v>1301</v>
      </c>
      <c r="K7675" s="142">
        <v>326</v>
      </c>
      <c r="L7675" s="142">
        <v>0</v>
      </c>
      <c r="M7675" s="142">
        <v>1</v>
      </c>
      <c r="N7675" s="142">
        <v>0</v>
      </c>
      <c r="O7675" s="142">
        <v>0</v>
      </c>
      <c r="P7675" s="306">
        <v>0.37652999999999998</v>
      </c>
      <c r="Q7675" s="157" t="s">
        <v>154</v>
      </c>
      <c r="R7675" s="303"/>
    </row>
    <row r="7676" spans="1:18" s="162" customFormat="1" ht="132" x14ac:dyDescent="0.25">
      <c r="A7676" s="184">
        <v>43622</v>
      </c>
      <c r="B7676" s="184">
        <v>43622</v>
      </c>
      <c r="C7676" s="138">
        <v>2019</v>
      </c>
      <c r="D7676" s="35" t="s">
        <v>28</v>
      </c>
      <c r="E7676" s="30" t="s">
        <v>133</v>
      </c>
      <c r="F7676" s="7" t="s">
        <v>80</v>
      </c>
      <c r="G7676" s="33" t="s">
        <v>1050</v>
      </c>
      <c r="H7676" s="33" t="s">
        <v>10542</v>
      </c>
      <c r="I7676" s="304">
        <v>0</v>
      </c>
      <c r="J7676" s="305">
        <v>28</v>
      </c>
      <c r="K7676" s="142">
        <v>0</v>
      </c>
      <c r="L7676" s="142">
        <v>1</v>
      </c>
      <c r="M7676" s="142">
        <v>0</v>
      </c>
      <c r="N7676" s="142">
        <v>0</v>
      </c>
      <c r="O7676" s="142">
        <v>0</v>
      </c>
      <c r="P7676" s="306">
        <v>2.5598100000000002E-2</v>
      </c>
      <c r="Q7676" s="157" t="s">
        <v>154</v>
      </c>
      <c r="R7676" s="303"/>
    </row>
    <row r="7677" spans="1:18" s="162" customFormat="1" ht="132" x14ac:dyDescent="0.25">
      <c r="A7677" s="184">
        <v>43620</v>
      </c>
      <c r="B7677" s="184">
        <v>43620</v>
      </c>
      <c r="C7677" s="43">
        <v>2019</v>
      </c>
      <c r="D7677" s="351" t="s">
        <v>23</v>
      </c>
      <c r="E7677" s="22" t="s">
        <v>86</v>
      </c>
      <c r="F7677" s="7" t="s">
        <v>53</v>
      </c>
      <c r="G7677" s="33" t="s">
        <v>10543</v>
      </c>
      <c r="H7677" s="33" t="s">
        <v>10544</v>
      </c>
      <c r="I7677" s="304">
        <v>0</v>
      </c>
      <c r="J7677" s="305">
        <v>40</v>
      </c>
      <c r="K7677" s="142">
        <v>10</v>
      </c>
      <c r="L7677" s="142">
        <v>0</v>
      </c>
      <c r="M7677" s="142">
        <v>0</v>
      </c>
      <c r="N7677" s="142">
        <v>0</v>
      </c>
      <c r="O7677" s="142">
        <v>0</v>
      </c>
      <c r="P7677" s="306">
        <v>1.155E-2</v>
      </c>
      <c r="Q7677" s="157" t="s">
        <v>154</v>
      </c>
      <c r="R7677" s="303"/>
    </row>
    <row r="7678" spans="1:18" s="162" customFormat="1" ht="156" x14ac:dyDescent="0.25">
      <c r="A7678" s="184">
        <v>43624</v>
      </c>
      <c r="B7678" s="184">
        <v>43624</v>
      </c>
      <c r="C7678" s="138">
        <v>2019</v>
      </c>
      <c r="D7678" s="35" t="s">
        <v>28</v>
      </c>
      <c r="E7678" s="30" t="s">
        <v>133</v>
      </c>
      <c r="F7678" s="7" t="s">
        <v>56</v>
      </c>
      <c r="G7678" s="33" t="s">
        <v>646</v>
      </c>
      <c r="H7678" s="33" t="s">
        <v>10545</v>
      </c>
      <c r="I7678" s="304">
        <v>0</v>
      </c>
      <c r="J7678" s="305">
        <v>8</v>
      </c>
      <c r="K7678" s="142">
        <v>1</v>
      </c>
      <c r="L7678" s="142">
        <v>0</v>
      </c>
      <c r="M7678" s="142">
        <v>0</v>
      </c>
      <c r="N7678" s="142">
        <v>0</v>
      </c>
      <c r="O7678" s="142">
        <v>0</v>
      </c>
      <c r="P7678" s="306">
        <v>0.35100464774136308</v>
      </c>
      <c r="Q7678" s="157" t="s">
        <v>154</v>
      </c>
      <c r="R7678" s="303"/>
    </row>
    <row r="7679" spans="1:18" s="162" customFormat="1" ht="144" x14ac:dyDescent="0.25">
      <c r="A7679" s="184">
        <v>43624</v>
      </c>
      <c r="B7679" s="184">
        <v>43624</v>
      </c>
      <c r="C7679" s="43">
        <v>2019</v>
      </c>
      <c r="D7679" s="35" t="s">
        <v>17</v>
      </c>
      <c r="E7679" s="6" t="s">
        <v>328</v>
      </c>
      <c r="F7679" s="28" t="s">
        <v>157</v>
      </c>
      <c r="G7679" s="33" t="s">
        <v>857</v>
      </c>
      <c r="H7679" s="33" t="s">
        <v>10546</v>
      </c>
      <c r="I7679" s="304">
        <v>1</v>
      </c>
      <c r="J7679" s="305">
        <v>2</v>
      </c>
      <c r="K7679" s="142">
        <v>0</v>
      </c>
      <c r="L7679" s="142">
        <v>0</v>
      </c>
      <c r="M7679" s="142">
        <v>0</v>
      </c>
      <c r="N7679" s="142">
        <v>0</v>
      </c>
      <c r="O7679" s="142">
        <v>0</v>
      </c>
      <c r="P7679" s="306">
        <v>9.9000000000000021E-4</v>
      </c>
      <c r="Q7679" s="157" t="s">
        <v>154</v>
      </c>
      <c r="R7679" s="303"/>
    </row>
    <row r="7680" spans="1:18" s="162" customFormat="1" ht="120" x14ac:dyDescent="0.25">
      <c r="A7680" s="184">
        <v>43626</v>
      </c>
      <c r="B7680" s="184">
        <v>43626</v>
      </c>
      <c r="C7680" s="138">
        <v>2019</v>
      </c>
      <c r="D7680" s="35" t="s">
        <v>28</v>
      </c>
      <c r="E7680" s="6" t="s">
        <v>369</v>
      </c>
      <c r="F7680" s="7" t="s">
        <v>77</v>
      </c>
      <c r="G7680" s="33" t="s">
        <v>77</v>
      </c>
      <c r="H7680" s="33" t="s">
        <v>10547</v>
      </c>
      <c r="I7680" s="304">
        <v>0</v>
      </c>
      <c r="J7680" s="305">
        <v>553</v>
      </c>
      <c r="K7680" s="142">
        <v>0</v>
      </c>
      <c r="L7680" s="142">
        <v>0</v>
      </c>
      <c r="M7680" s="142">
        <v>0</v>
      </c>
      <c r="N7680" s="142">
        <v>0</v>
      </c>
      <c r="O7680" s="142">
        <v>0</v>
      </c>
      <c r="P7680" s="306">
        <v>0</v>
      </c>
      <c r="Q7680" s="157" t="s">
        <v>154</v>
      </c>
      <c r="R7680" s="303"/>
    </row>
    <row r="7681" spans="1:18" s="162" customFormat="1" ht="120" x14ac:dyDescent="0.25">
      <c r="A7681" s="184">
        <v>43623</v>
      </c>
      <c r="B7681" s="184">
        <v>43627</v>
      </c>
      <c r="C7681" s="43">
        <v>2019</v>
      </c>
      <c r="D7681" s="35" t="s">
        <v>17</v>
      </c>
      <c r="E7681" s="6" t="s">
        <v>1603</v>
      </c>
      <c r="F7681" s="7" t="s">
        <v>53</v>
      </c>
      <c r="G7681" s="33" t="s">
        <v>1502</v>
      </c>
      <c r="H7681" s="33" t="s">
        <v>10548</v>
      </c>
      <c r="I7681" s="304">
        <v>0</v>
      </c>
      <c r="J7681" s="305">
        <v>20</v>
      </c>
      <c r="K7681" s="142">
        <v>5</v>
      </c>
      <c r="L7681" s="142">
        <v>0</v>
      </c>
      <c r="M7681" s="142">
        <v>0</v>
      </c>
      <c r="N7681" s="142">
        <v>0</v>
      </c>
      <c r="O7681" s="142">
        <v>0</v>
      </c>
      <c r="P7681" s="306">
        <v>0</v>
      </c>
      <c r="Q7681" s="157" t="s">
        <v>154</v>
      </c>
      <c r="R7681" s="303"/>
    </row>
    <row r="7682" spans="1:18" s="162" customFormat="1" ht="96" x14ac:dyDescent="0.25">
      <c r="A7682" s="184">
        <v>43627</v>
      </c>
      <c r="B7682" s="184">
        <v>43627</v>
      </c>
      <c r="C7682" s="138">
        <v>2019</v>
      </c>
      <c r="D7682" s="35" t="s">
        <v>28</v>
      </c>
      <c r="E7682" s="30" t="s">
        <v>125</v>
      </c>
      <c r="F7682" s="7" t="s">
        <v>75</v>
      </c>
      <c r="G7682" s="33" t="s">
        <v>8788</v>
      </c>
      <c r="H7682" s="33" t="s">
        <v>10549</v>
      </c>
      <c r="I7682" s="304">
        <v>0</v>
      </c>
      <c r="J7682" s="305">
        <v>2300</v>
      </c>
      <c r="K7682" s="142">
        <v>0</v>
      </c>
      <c r="L7682" s="142">
        <v>0</v>
      </c>
      <c r="M7682" s="142">
        <v>0</v>
      </c>
      <c r="N7682" s="142">
        <v>0</v>
      </c>
      <c r="O7682" s="142">
        <v>0</v>
      </c>
      <c r="P7682" s="306">
        <v>0</v>
      </c>
      <c r="Q7682" s="157" t="s">
        <v>154</v>
      </c>
      <c r="R7682" s="303"/>
    </row>
    <row r="7683" spans="1:18" s="162" customFormat="1" ht="60" x14ac:dyDescent="0.25">
      <c r="A7683" s="184">
        <v>43627</v>
      </c>
      <c r="B7683" s="184">
        <v>43627</v>
      </c>
      <c r="C7683" s="43">
        <v>2019</v>
      </c>
      <c r="D7683" s="24" t="s">
        <v>141</v>
      </c>
      <c r="E7683" s="30" t="s">
        <v>142</v>
      </c>
      <c r="F7683" s="7" t="s">
        <v>30</v>
      </c>
      <c r="G7683" s="33" t="s">
        <v>1070</v>
      </c>
      <c r="H7683" s="33" t="s">
        <v>10550</v>
      </c>
      <c r="I7683" s="304">
        <v>0</v>
      </c>
      <c r="J7683" s="305">
        <v>15</v>
      </c>
      <c r="K7683" s="142">
        <v>0</v>
      </c>
      <c r="L7683" s="142">
        <v>0</v>
      </c>
      <c r="M7683" s="142">
        <v>0</v>
      </c>
      <c r="N7683" s="142">
        <v>0</v>
      </c>
      <c r="O7683" s="142">
        <v>0</v>
      </c>
      <c r="P7683" s="306">
        <v>1.1465223</v>
      </c>
      <c r="Q7683" s="157" t="s">
        <v>154</v>
      </c>
      <c r="R7683" s="303"/>
    </row>
    <row r="7684" spans="1:18" s="162" customFormat="1" ht="120" x14ac:dyDescent="0.25">
      <c r="A7684" s="184">
        <v>43627</v>
      </c>
      <c r="B7684" s="184">
        <v>43627</v>
      </c>
      <c r="C7684" s="138">
        <v>2019</v>
      </c>
      <c r="D7684" s="24" t="s">
        <v>141</v>
      </c>
      <c r="E7684" s="49" t="s">
        <v>2617</v>
      </c>
      <c r="F7684" s="7" t="s">
        <v>56</v>
      </c>
      <c r="G7684" s="33" t="s">
        <v>2281</v>
      </c>
      <c r="H7684" s="33" t="s">
        <v>10551</v>
      </c>
      <c r="I7684" s="304">
        <v>0</v>
      </c>
      <c r="J7684" s="305">
        <v>11</v>
      </c>
      <c r="K7684" s="142">
        <v>0</v>
      </c>
      <c r="L7684" s="142">
        <v>0</v>
      </c>
      <c r="M7684" s="142">
        <v>0</v>
      </c>
      <c r="N7684" s="142">
        <v>0</v>
      </c>
      <c r="O7684" s="142">
        <v>0</v>
      </c>
      <c r="P7684" s="306">
        <v>9.9000000000000021E-4</v>
      </c>
      <c r="Q7684" s="157" t="s">
        <v>154</v>
      </c>
      <c r="R7684" s="303"/>
    </row>
    <row r="7685" spans="1:18" s="162" customFormat="1" ht="180" x14ac:dyDescent="0.25">
      <c r="A7685" s="184">
        <v>43628</v>
      </c>
      <c r="B7685" s="184">
        <v>43628</v>
      </c>
      <c r="C7685" s="43">
        <v>2019</v>
      </c>
      <c r="D7685" s="24" t="s">
        <v>141</v>
      </c>
      <c r="E7685" s="30" t="s">
        <v>142</v>
      </c>
      <c r="F7685" s="7" t="s">
        <v>65</v>
      </c>
      <c r="G7685" s="33" t="s">
        <v>1511</v>
      </c>
      <c r="H7685" s="33" t="s">
        <v>10552</v>
      </c>
      <c r="I7685" s="304">
        <v>5</v>
      </c>
      <c r="J7685" s="305">
        <v>26</v>
      </c>
      <c r="K7685" s="142">
        <v>0</v>
      </c>
      <c r="L7685" s="142">
        <v>0</v>
      </c>
      <c r="M7685" s="142">
        <v>0</v>
      </c>
      <c r="N7685" s="142">
        <v>0</v>
      </c>
      <c r="O7685" s="142">
        <v>0</v>
      </c>
      <c r="P7685" s="306">
        <v>0.97115340000000017</v>
      </c>
      <c r="Q7685" s="157" t="s">
        <v>154</v>
      </c>
      <c r="R7685" s="303"/>
    </row>
    <row r="7686" spans="1:18" s="162" customFormat="1" ht="84" x14ac:dyDescent="0.25">
      <c r="A7686" s="184">
        <v>43628</v>
      </c>
      <c r="B7686" s="184">
        <v>43628</v>
      </c>
      <c r="C7686" s="138">
        <v>2019</v>
      </c>
      <c r="D7686" s="24" t="s">
        <v>141</v>
      </c>
      <c r="E7686" s="30" t="s">
        <v>142</v>
      </c>
      <c r="F7686" s="7" t="s">
        <v>101</v>
      </c>
      <c r="G7686" s="33" t="s">
        <v>101</v>
      </c>
      <c r="H7686" s="33" t="s">
        <v>10553</v>
      </c>
      <c r="I7686" s="304">
        <v>1</v>
      </c>
      <c r="J7686" s="305">
        <v>19</v>
      </c>
      <c r="K7686" s="142">
        <v>0</v>
      </c>
      <c r="L7686" s="142">
        <v>0</v>
      </c>
      <c r="M7686" s="142">
        <v>0</v>
      </c>
      <c r="N7686" s="142">
        <v>0</v>
      </c>
      <c r="O7686" s="142">
        <v>0</v>
      </c>
      <c r="P7686" s="306">
        <v>0.19815170000000001</v>
      </c>
      <c r="Q7686" s="157" t="s">
        <v>154</v>
      </c>
      <c r="R7686" s="303"/>
    </row>
    <row r="7687" spans="1:18" s="162" customFormat="1" ht="192" x14ac:dyDescent="0.25">
      <c r="A7687" s="184">
        <v>43630</v>
      </c>
      <c r="B7687" s="184">
        <v>43630</v>
      </c>
      <c r="C7687" s="43">
        <v>2019</v>
      </c>
      <c r="D7687" s="351" t="s">
        <v>23</v>
      </c>
      <c r="E7687" s="22" t="s">
        <v>86</v>
      </c>
      <c r="F7687" s="25" t="s">
        <v>781</v>
      </c>
      <c r="G7687" s="33" t="s">
        <v>10554</v>
      </c>
      <c r="H7687" s="33" t="s">
        <v>10555</v>
      </c>
      <c r="I7687" s="304">
        <v>0</v>
      </c>
      <c r="J7687" s="305">
        <v>7744</v>
      </c>
      <c r="K7687" s="142">
        <v>435</v>
      </c>
      <c r="L7687" s="142">
        <v>0</v>
      </c>
      <c r="M7687" s="142">
        <v>0</v>
      </c>
      <c r="N7687" s="142">
        <v>0</v>
      </c>
      <c r="O7687" s="142">
        <v>0</v>
      </c>
      <c r="P7687" s="306">
        <v>0.50242500000000001</v>
      </c>
      <c r="Q7687" s="157" t="s">
        <v>154</v>
      </c>
      <c r="R7687" s="303"/>
    </row>
    <row r="7688" spans="1:18" s="162" customFormat="1" ht="192" x14ac:dyDescent="0.25">
      <c r="A7688" s="184">
        <v>43631</v>
      </c>
      <c r="B7688" s="184">
        <v>43631</v>
      </c>
      <c r="C7688" s="138">
        <v>2019</v>
      </c>
      <c r="D7688" s="35" t="s">
        <v>28</v>
      </c>
      <c r="E7688" s="6" t="s">
        <v>149</v>
      </c>
      <c r="F7688" s="7" t="s">
        <v>60</v>
      </c>
      <c r="G7688" s="33" t="s">
        <v>5525</v>
      </c>
      <c r="H7688" s="33" t="s">
        <v>10556</v>
      </c>
      <c r="I7688" s="304">
        <v>4</v>
      </c>
      <c r="J7688" s="305">
        <v>24</v>
      </c>
      <c r="K7688" s="142">
        <v>1</v>
      </c>
      <c r="L7688" s="142">
        <v>0</v>
      </c>
      <c r="M7688" s="142">
        <v>0</v>
      </c>
      <c r="N7688" s="142">
        <v>0</v>
      </c>
      <c r="O7688" s="142">
        <v>0</v>
      </c>
      <c r="P7688" s="306">
        <v>0.13200000000000001</v>
      </c>
      <c r="Q7688" s="157" t="s">
        <v>154</v>
      </c>
      <c r="R7688" s="303"/>
    </row>
    <row r="7689" spans="1:18" s="162" customFormat="1" ht="132" x14ac:dyDescent="0.25">
      <c r="A7689" s="184">
        <v>43632</v>
      </c>
      <c r="B7689" s="184">
        <v>43632</v>
      </c>
      <c r="C7689" s="43">
        <v>2019</v>
      </c>
      <c r="D7689" s="24" t="s">
        <v>141</v>
      </c>
      <c r="E7689" s="30" t="s">
        <v>142</v>
      </c>
      <c r="F7689" s="7" t="s">
        <v>60</v>
      </c>
      <c r="G7689" s="33" t="s">
        <v>10557</v>
      </c>
      <c r="H7689" s="33" t="s">
        <v>10558</v>
      </c>
      <c r="I7689" s="304">
        <v>0</v>
      </c>
      <c r="J7689" s="305">
        <v>14</v>
      </c>
      <c r="K7689" s="142">
        <v>0</v>
      </c>
      <c r="L7689" s="142">
        <v>0</v>
      </c>
      <c r="M7689" s="142">
        <v>0</v>
      </c>
      <c r="N7689" s="142">
        <v>0</v>
      </c>
      <c r="O7689" s="142">
        <v>0</v>
      </c>
      <c r="P7689" s="306">
        <v>1.0863533999999999</v>
      </c>
      <c r="Q7689" s="157" t="s">
        <v>154</v>
      </c>
      <c r="R7689" s="303"/>
    </row>
    <row r="7690" spans="1:18" s="162" customFormat="1" ht="84" x14ac:dyDescent="0.25">
      <c r="A7690" s="184">
        <v>43635</v>
      </c>
      <c r="B7690" s="184">
        <v>43636</v>
      </c>
      <c r="C7690" s="138">
        <v>2019</v>
      </c>
      <c r="D7690" s="351" t="s">
        <v>23</v>
      </c>
      <c r="E7690" s="22" t="s">
        <v>86</v>
      </c>
      <c r="F7690" s="28" t="s">
        <v>160</v>
      </c>
      <c r="G7690" s="33" t="s">
        <v>10559</v>
      </c>
      <c r="H7690" s="33" t="s">
        <v>10560</v>
      </c>
      <c r="I7690" s="304">
        <v>2</v>
      </c>
      <c r="J7690" s="305">
        <v>2</v>
      </c>
      <c r="K7690" s="142">
        <v>0</v>
      </c>
      <c r="L7690" s="142">
        <v>0</v>
      </c>
      <c r="M7690" s="142">
        <v>0</v>
      </c>
      <c r="N7690" s="142">
        <v>0</v>
      </c>
      <c r="O7690" s="142">
        <v>0</v>
      </c>
      <c r="P7690" s="306">
        <v>0</v>
      </c>
      <c r="Q7690" s="157" t="s">
        <v>154</v>
      </c>
      <c r="R7690" s="303"/>
    </row>
    <row r="7691" spans="1:18" s="162" customFormat="1" ht="120" x14ac:dyDescent="0.25">
      <c r="A7691" s="184">
        <v>43639</v>
      </c>
      <c r="B7691" s="184">
        <v>43639</v>
      </c>
      <c r="C7691" s="43">
        <v>2019</v>
      </c>
      <c r="D7691" s="24" t="s">
        <v>130</v>
      </c>
      <c r="E7691" s="49" t="s">
        <v>139</v>
      </c>
      <c r="F7691" s="7" t="s">
        <v>72</v>
      </c>
      <c r="G7691" s="33" t="s">
        <v>10561</v>
      </c>
      <c r="H7691" s="33" t="s">
        <v>10562</v>
      </c>
      <c r="I7691" s="304">
        <v>0</v>
      </c>
      <c r="J7691" s="305">
        <v>60</v>
      </c>
      <c r="K7691" s="142">
        <v>0</v>
      </c>
      <c r="L7691" s="142">
        <v>0</v>
      </c>
      <c r="M7691" s="142">
        <v>0</v>
      </c>
      <c r="N7691" s="142">
        <v>0</v>
      </c>
      <c r="O7691" s="142">
        <v>0</v>
      </c>
      <c r="P7691" s="306">
        <v>0.57136200000000015</v>
      </c>
      <c r="Q7691" s="157" t="s">
        <v>154</v>
      </c>
      <c r="R7691" s="303"/>
    </row>
    <row r="7692" spans="1:18" s="162" customFormat="1" ht="192" x14ac:dyDescent="0.25">
      <c r="A7692" s="184">
        <v>43639</v>
      </c>
      <c r="B7692" s="184">
        <v>43639</v>
      </c>
      <c r="C7692" s="138">
        <v>2019</v>
      </c>
      <c r="D7692" s="351" t="s">
        <v>23</v>
      </c>
      <c r="E7692" s="22" t="s">
        <v>86</v>
      </c>
      <c r="F7692" s="7" t="s">
        <v>77</v>
      </c>
      <c r="G7692" s="33" t="s">
        <v>77</v>
      </c>
      <c r="H7692" s="33" t="s">
        <v>10563</v>
      </c>
      <c r="I7692" s="304">
        <v>0</v>
      </c>
      <c r="J7692" s="305">
        <v>120</v>
      </c>
      <c r="K7692" s="142">
        <v>30</v>
      </c>
      <c r="L7692" s="142">
        <v>0</v>
      </c>
      <c r="M7692" s="142">
        <v>0</v>
      </c>
      <c r="N7692" s="142">
        <v>0</v>
      </c>
      <c r="O7692" s="142">
        <v>0</v>
      </c>
      <c r="P7692" s="306">
        <v>3.465E-2</v>
      </c>
      <c r="Q7692" s="157" t="s">
        <v>154</v>
      </c>
      <c r="R7692" s="303"/>
    </row>
    <row r="7693" spans="1:18" s="162" customFormat="1" ht="168" x14ac:dyDescent="0.25">
      <c r="A7693" s="184">
        <v>43638</v>
      </c>
      <c r="B7693" s="184">
        <v>43638</v>
      </c>
      <c r="C7693" s="43">
        <v>2019</v>
      </c>
      <c r="D7693" s="35" t="s">
        <v>28</v>
      </c>
      <c r="E7693" s="30" t="s">
        <v>125</v>
      </c>
      <c r="F7693" s="7" t="s">
        <v>62</v>
      </c>
      <c r="G7693" s="33" t="s">
        <v>165</v>
      </c>
      <c r="H7693" s="33" t="s">
        <v>10564</v>
      </c>
      <c r="I7693" s="304">
        <v>0</v>
      </c>
      <c r="J7693" s="305">
        <v>10</v>
      </c>
      <c r="K7693" s="142">
        <v>0</v>
      </c>
      <c r="L7693" s="142">
        <v>0</v>
      </c>
      <c r="M7693" s="142">
        <v>0</v>
      </c>
      <c r="N7693" s="142">
        <v>0</v>
      </c>
      <c r="O7693" s="142">
        <v>0</v>
      </c>
      <c r="P7693" s="306">
        <v>0</v>
      </c>
      <c r="Q7693" s="157" t="s">
        <v>154</v>
      </c>
      <c r="R7693" s="303"/>
    </row>
    <row r="7694" spans="1:18" s="162" customFormat="1" ht="24" x14ac:dyDescent="0.25">
      <c r="A7694" s="184">
        <v>43640</v>
      </c>
      <c r="B7694" s="184">
        <v>43640</v>
      </c>
      <c r="C7694" s="138">
        <v>2019</v>
      </c>
      <c r="D7694" s="351" t="s">
        <v>23</v>
      </c>
      <c r="E7694" s="22" t="s">
        <v>86</v>
      </c>
      <c r="F7694" s="7" t="s">
        <v>91</v>
      </c>
      <c r="G7694" s="33" t="s">
        <v>2315</v>
      </c>
      <c r="H7694" s="33" t="s">
        <v>10565</v>
      </c>
      <c r="I7694" s="304">
        <v>0</v>
      </c>
      <c r="J7694" s="305">
        <v>5287</v>
      </c>
      <c r="K7694" s="142">
        <v>0</v>
      </c>
      <c r="L7694" s="142">
        <v>0</v>
      </c>
      <c r="M7694" s="142">
        <v>0</v>
      </c>
      <c r="N7694" s="142">
        <v>0</v>
      </c>
      <c r="O7694" s="142">
        <v>0</v>
      </c>
      <c r="P7694" s="306">
        <v>73.845170492800008</v>
      </c>
      <c r="Q7694" s="157" t="s">
        <v>186</v>
      </c>
      <c r="R7694" s="303"/>
    </row>
    <row r="7695" spans="1:18" s="162" customFormat="1" ht="120" x14ac:dyDescent="0.25">
      <c r="A7695" s="184">
        <v>43643</v>
      </c>
      <c r="B7695" s="184">
        <v>43643</v>
      </c>
      <c r="C7695" s="43">
        <v>2019</v>
      </c>
      <c r="D7695" s="35" t="s">
        <v>28</v>
      </c>
      <c r="E7695" s="6" t="s">
        <v>369</v>
      </c>
      <c r="F7695" s="7" t="s">
        <v>101</v>
      </c>
      <c r="G7695" s="33" t="s">
        <v>10566</v>
      </c>
      <c r="H7695" s="33" t="s">
        <v>10567</v>
      </c>
      <c r="I7695" s="304">
        <v>0</v>
      </c>
      <c r="J7695" s="305">
        <v>1</v>
      </c>
      <c r="K7695" s="142">
        <v>0</v>
      </c>
      <c r="L7695" s="142">
        <v>0</v>
      </c>
      <c r="M7695" s="142">
        <v>0</v>
      </c>
      <c r="N7695" s="142">
        <v>0</v>
      </c>
      <c r="O7695" s="142">
        <v>0</v>
      </c>
      <c r="P7695" s="306">
        <v>1.3821879623529412</v>
      </c>
      <c r="Q7695" s="157" t="s">
        <v>154</v>
      </c>
      <c r="R7695" s="303"/>
    </row>
    <row r="7696" spans="1:18" s="162" customFormat="1" ht="312" x14ac:dyDescent="0.25">
      <c r="A7696" s="184">
        <v>43643</v>
      </c>
      <c r="B7696" s="184">
        <v>43643</v>
      </c>
      <c r="C7696" s="138">
        <v>2019</v>
      </c>
      <c r="D7696" s="35" t="s">
        <v>28</v>
      </c>
      <c r="E7696" s="6" t="s">
        <v>149</v>
      </c>
      <c r="F7696" s="25" t="s">
        <v>781</v>
      </c>
      <c r="G7696" s="33" t="s">
        <v>10568</v>
      </c>
      <c r="H7696" s="33" t="s">
        <v>10569</v>
      </c>
      <c r="I7696" s="304">
        <v>0</v>
      </c>
      <c r="J7696" s="305">
        <v>48</v>
      </c>
      <c r="K7696" s="142">
        <v>0</v>
      </c>
      <c r="L7696" s="142">
        <v>0</v>
      </c>
      <c r="M7696" s="142">
        <v>0</v>
      </c>
      <c r="N7696" s="142">
        <v>1</v>
      </c>
      <c r="O7696" s="142">
        <v>0</v>
      </c>
      <c r="P7696" s="306">
        <v>0.10614999999999999</v>
      </c>
      <c r="Q7696" s="157" t="s">
        <v>154</v>
      </c>
      <c r="R7696" s="303"/>
    </row>
    <row r="7697" spans="1:18" s="162" customFormat="1" ht="96" x14ac:dyDescent="0.25">
      <c r="A7697" s="184">
        <v>43644</v>
      </c>
      <c r="B7697" s="184">
        <v>43644</v>
      </c>
      <c r="C7697" s="43">
        <v>2019</v>
      </c>
      <c r="D7697" s="24" t="s">
        <v>141</v>
      </c>
      <c r="E7697" s="30" t="s">
        <v>142</v>
      </c>
      <c r="F7697" s="25" t="s">
        <v>781</v>
      </c>
      <c r="G7697" s="33" t="s">
        <v>2840</v>
      </c>
      <c r="H7697" s="33" t="s">
        <v>10570</v>
      </c>
      <c r="I7697" s="304">
        <v>0</v>
      </c>
      <c r="J7697" s="305">
        <v>22</v>
      </c>
      <c r="K7697" s="142">
        <v>0</v>
      </c>
      <c r="L7697" s="142">
        <v>0</v>
      </c>
      <c r="M7697" s="142">
        <v>0</v>
      </c>
      <c r="N7697" s="142">
        <v>0</v>
      </c>
      <c r="O7697" s="142">
        <v>0</v>
      </c>
      <c r="P7697" s="306">
        <v>0.7359</v>
      </c>
      <c r="Q7697" s="157" t="s">
        <v>154</v>
      </c>
      <c r="R7697" s="303"/>
    </row>
    <row r="7698" spans="1:18" s="162" customFormat="1" ht="409.5" x14ac:dyDescent="0.25">
      <c r="A7698" s="184">
        <v>43646</v>
      </c>
      <c r="B7698" s="184">
        <v>43646</v>
      </c>
      <c r="C7698" s="138">
        <v>2019</v>
      </c>
      <c r="D7698" s="351" t="s">
        <v>23</v>
      </c>
      <c r="E7698" s="22" t="s">
        <v>86</v>
      </c>
      <c r="F7698" s="7" t="s">
        <v>60</v>
      </c>
      <c r="G7698" s="33" t="s">
        <v>10571</v>
      </c>
      <c r="H7698" s="33" t="s">
        <v>10572</v>
      </c>
      <c r="I7698" s="304">
        <v>0</v>
      </c>
      <c r="J7698" s="305">
        <v>1564</v>
      </c>
      <c r="K7698" s="142">
        <v>1283</v>
      </c>
      <c r="L7698" s="142">
        <v>0</v>
      </c>
      <c r="M7698" s="142">
        <v>0</v>
      </c>
      <c r="N7698" s="142">
        <v>0</v>
      </c>
      <c r="O7698" s="142">
        <v>0</v>
      </c>
      <c r="P7698" s="306">
        <v>2.6513057999999998</v>
      </c>
      <c r="Q7698" s="157" t="s">
        <v>7883</v>
      </c>
      <c r="R7698" s="303"/>
    </row>
    <row r="7699" spans="1:18" s="162" customFormat="1" ht="132" x14ac:dyDescent="0.25">
      <c r="A7699" s="184">
        <v>43646</v>
      </c>
      <c r="B7699" s="184">
        <v>43646</v>
      </c>
      <c r="C7699" s="43">
        <v>2019</v>
      </c>
      <c r="D7699" s="24" t="s">
        <v>141</v>
      </c>
      <c r="E7699" s="30" t="s">
        <v>142</v>
      </c>
      <c r="F7699" s="7" t="s">
        <v>56</v>
      </c>
      <c r="G7699" s="33" t="s">
        <v>358</v>
      </c>
      <c r="H7699" s="33" t="s">
        <v>10573</v>
      </c>
      <c r="I7699" s="304">
        <v>0</v>
      </c>
      <c r="J7699" s="305">
        <v>33</v>
      </c>
      <c r="K7699" s="142">
        <v>0</v>
      </c>
      <c r="L7699" s="142">
        <v>0</v>
      </c>
      <c r="M7699" s="142">
        <v>0</v>
      </c>
      <c r="N7699" s="142">
        <v>0</v>
      </c>
      <c r="O7699" s="142">
        <v>0</v>
      </c>
      <c r="P7699" s="306">
        <v>0.73887000000000003</v>
      </c>
      <c r="Q7699" s="157" t="s">
        <v>154</v>
      </c>
      <c r="R7699" s="303"/>
    </row>
    <row r="7700" spans="1:18" s="162" customFormat="1" ht="216" x14ac:dyDescent="0.25">
      <c r="A7700" s="184">
        <v>43647</v>
      </c>
      <c r="B7700" s="184">
        <v>43647</v>
      </c>
      <c r="C7700" s="138">
        <v>2019</v>
      </c>
      <c r="D7700" s="35" t="s">
        <v>28</v>
      </c>
      <c r="E7700" s="6" t="s">
        <v>149</v>
      </c>
      <c r="F7700" s="7" t="s">
        <v>56</v>
      </c>
      <c r="G7700" s="33" t="s">
        <v>646</v>
      </c>
      <c r="H7700" s="33" t="s">
        <v>10574</v>
      </c>
      <c r="I7700" s="304">
        <v>0</v>
      </c>
      <c r="J7700" s="305">
        <v>202</v>
      </c>
      <c r="K7700" s="142">
        <v>0</v>
      </c>
      <c r="L7700" s="142">
        <v>0</v>
      </c>
      <c r="M7700" s="142">
        <v>0</v>
      </c>
      <c r="N7700" s="142">
        <v>0</v>
      </c>
      <c r="O7700" s="142">
        <v>0</v>
      </c>
      <c r="P7700" s="306">
        <v>0</v>
      </c>
      <c r="Q7700" s="157" t="s">
        <v>154</v>
      </c>
      <c r="R7700" s="303"/>
    </row>
    <row r="7701" spans="1:18" s="162" customFormat="1" ht="132" x14ac:dyDescent="0.25">
      <c r="A7701" s="184">
        <v>43647</v>
      </c>
      <c r="B7701" s="184">
        <v>43647</v>
      </c>
      <c r="C7701" s="43">
        <v>2019</v>
      </c>
      <c r="D7701" s="351" t="s">
        <v>23</v>
      </c>
      <c r="E7701" s="22" t="s">
        <v>86</v>
      </c>
      <c r="F7701" s="7" t="s">
        <v>56</v>
      </c>
      <c r="G7701" s="33" t="s">
        <v>1707</v>
      </c>
      <c r="H7701" s="33" t="s">
        <v>10575</v>
      </c>
      <c r="I7701" s="304">
        <v>0</v>
      </c>
      <c r="J7701" s="305">
        <v>100</v>
      </c>
      <c r="K7701" s="142">
        <v>25</v>
      </c>
      <c r="L7701" s="142">
        <v>0</v>
      </c>
      <c r="M7701" s="142">
        <v>0</v>
      </c>
      <c r="N7701" s="142">
        <v>0</v>
      </c>
      <c r="O7701" s="142">
        <v>0</v>
      </c>
      <c r="P7701" s="306">
        <v>2.8875000000000001E-2</v>
      </c>
      <c r="Q7701" s="157" t="s">
        <v>154</v>
      </c>
      <c r="R7701" s="303"/>
    </row>
    <row r="7702" spans="1:18" s="162" customFormat="1" ht="108" x14ac:dyDescent="0.25">
      <c r="A7702" s="184">
        <v>43649</v>
      </c>
      <c r="B7702" s="184">
        <v>43649</v>
      </c>
      <c r="C7702" s="138">
        <v>2019</v>
      </c>
      <c r="D7702" s="24" t="s">
        <v>141</v>
      </c>
      <c r="E7702" s="30" t="s">
        <v>142</v>
      </c>
      <c r="F7702" s="7" t="s">
        <v>58</v>
      </c>
      <c r="G7702" s="33" t="s">
        <v>123</v>
      </c>
      <c r="H7702" s="33" t="s">
        <v>10576</v>
      </c>
      <c r="I7702" s="304">
        <v>0</v>
      </c>
      <c r="J7702" s="305">
        <v>10</v>
      </c>
      <c r="K7702" s="142">
        <v>0</v>
      </c>
      <c r="L7702" s="142">
        <v>0</v>
      </c>
      <c r="M7702" s="142">
        <v>0</v>
      </c>
      <c r="N7702" s="142">
        <v>0</v>
      </c>
      <c r="O7702" s="142">
        <v>0</v>
      </c>
      <c r="P7702" s="306">
        <v>8.1311999999999995E-2</v>
      </c>
      <c r="Q7702" s="157" t="s">
        <v>154</v>
      </c>
      <c r="R7702" s="303"/>
    </row>
    <row r="7703" spans="1:18" s="162" customFormat="1" ht="168" x14ac:dyDescent="0.25">
      <c r="A7703" s="184">
        <v>43648</v>
      </c>
      <c r="B7703" s="184">
        <v>43648</v>
      </c>
      <c r="C7703" s="43">
        <v>2019</v>
      </c>
      <c r="D7703" s="351" t="s">
        <v>23</v>
      </c>
      <c r="E7703" s="22" t="s">
        <v>86</v>
      </c>
      <c r="F7703" s="7" t="s">
        <v>45</v>
      </c>
      <c r="G7703" s="33" t="s">
        <v>4305</v>
      </c>
      <c r="H7703" s="33" t="s">
        <v>10577</v>
      </c>
      <c r="I7703" s="304">
        <v>8</v>
      </c>
      <c r="J7703" s="305">
        <v>8</v>
      </c>
      <c r="K7703" s="142">
        <v>0</v>
      </c>
      <c r="L7703" s="142">
        <v>0</v>
      </c>
      <c r="M7703" s="142">
        <v>0</v>
      </c>
      <c r="N7703" s="142">
        <v>0</v>
      </c>
      <c r="O7703" s="142">
        <v>0</v>
      </c>
      <c r="P7703" s="306">
        <v>0</v>
      </c>
      <c r="Q7703" s="157" t="s">
        <v>154</v>
      </c>
      <c r="R7703" s="303"/>
    </row>
    <row r="7704" spans="1:18" s="162" customFormat="1" ht="120" x14ac:dyDescent="0.25">
      <c r="A7704" s="184">
        <v>43648</v>
      </c>
      <c r="B7704" s="184">
        <v>43648</v>
      </c>
      <c r="C7704" s="138">
        <v>2019</v>
      </c>
      <c r="D7704" s="351" t="s">
        <v>23</v>
      </c>
      <c r="E7704" s="22" t="s">
        <v>86</v>
      </c>
      <c r="F7704" s="7" t="s">
        <v>53</v>
      </c>
      <c r="G7704" s="33" t="s">
        <v>10578</v>
      </c>
      <c r="H7704" s="33" t="s">
        <v>10579</v>
      </c>
      <c r="I7704" s="304">
        <v>1</v>
      </c>
      <c r="J7704" s="305">
        <v>15</v>
      </c>
      <c r="K7704" s="142">
        <v>0</v>
      </c>
      <c r="L7704" s="142">
        <v>0</v>
      </c>
      <c r="M7704" s="142">
        <v>0</v>
      </c>
      <c r="N7704" s="142">
        <v>0</v>
      </c>
      <c r="O7704" s="142">
        <v>0</v>
      </c>
      <c r="P7704" s="306">
        <v>0.18330170000000001</v>
      </c>
      <c r="Q7704" s="157" t="s">
        <v>154</v>
      </c>
      <c r="R7704" s="303"/>
    </row>
    <row r="7705" spans="1:18" s="162" customFormat="1" ht="96" x14ac:dyDescent="0.25">
      <c r="A7705" s="184">
        <v>43651</v>
      </c>
      <c r="B7705" s="184">
        <v>43651</v>
      </c>
      <c r="C7705" s="43">
        <v>2019</v>
      </c>
      <c r="D7705" s="35" t="s">
        <v>28</v>
      </c>
      <c r="E7705" s="30" t="s">
        <v>133</v>
      </c>
      <c r="F7705" s="7" t="s">
        <v>53</v>
      </c>
      <c r="G7705" s="33" t="s">
        <v>10578</v>
      </c>
      <c r="H7705" s="33" t="s">
        <v>10580</v>
      </c>
      <c r="I7705" s="304">
        <v>0</v>
      </c>
      <c r="J7705" s="305">
        <v>1</v>
      </c>
      <c r="K7705" s="142">
        <v>0</v>
      </c>
      <c r="L7705" s="142">
        <v>0</v>
      </c>
      <c r="M7705" s="142">
        <v>0</v>
      </c>
      <c r="N7705" s="142">
        <v>0</v>
      </c>
      <c r="O7705" s="142">
        <v>0</v>
      </c>
      <c r="P7705" s="306">
        <v>9.5227000000000003E-3</v>
      </c>
      <c r="Q7705" s="157" t="s">
        <v>154</v>
      </c>
      <c r="R7705" s="303"/>
    </row>
    <row r="7706" spans="1:18" s="162" customFormat="1" ht="84" x14ac:dyDescent="0.25">
      <c r="A7706" s="184">
        <v>43651</v>
      </c>
      <c r="B7706" s="184">
        <v>43651</v>
      </c>
      <c r="C7706" s="138">
        <v>2019</v>
      </c>
      <c r="D7706" s="24" t="s">
        <v>141</v>
      </c>
      <c r="E7706" s="30" t="s">
        <v>142</v>
      </c>
      <c r="F7706" s="7" t="s">
        <v>56</v>
      </c>
      <c r="G7706" s="33" t="s">
        <v>711</v>
      </c>
      <c r="H7706" s="33" t="s">
        <v>10581</v>
      </c>
      <c r="I7706" s="304">
        <v>0</v>
      </c>
      <c r="J7706" s="305">
        <v>8</v>
      </c>
      <c r="K7706" s="142">
        <v>0</v>
      </c>
      <c r="L7706" s="142">
        <v>0</v>
      </c>
      <c r="M7706" s="142">
        <v>0</v>
      </c>
      <c r="N7706" s="142">
        <v>0</v>
      </c>
      <c r="O7706" s="142">
        <v>0</v>
      </c>
      <c r="P7706" s="306">
        <v>0.18825170000000002</v>
      </c>
      <c r="Q7706" s="157" t="s">
        <v>154</v>
      </c>
      <c r="R7706" s="303"/>
    </row>
    <row r="7707" spans="1:18" s="162" customFormat="1" ht="132" x14ac:dyDescent="0.25">
      <c r="A7707" s="184">
        <v>43653</v>
      </c>
      <c r="B7707" s="184">
        <v>43653</v>
      </c>
      <c r="C7707" s="43">
        <v>2019</v>
      </c>
      <c r="D7707" s="24" t="s">
        <v>141</v>
      </c>
      <c r="E7707" s="30" t="s">
        <v>142</v>
      </c>
      <c r="F7707" s="7" t="s">
        <v>62</v>
      </c>
      <c r="G7707" s="33" t="s">
        <v>165</v>
      </c>
      <c r="H7707" s="33" t="s">
        <v>10582</v>
      </c>
      <c r="I7707" s="304">
        <v>0</v>
      </c>
      <c r="J7707" s="305">
        <v>11</v>
      </c>
      <c r="K7707" s="142">
        <v>0</v>
      </c>
      <c r="L7707" s="142">
        <v>0</v>
      </c>
      <c r="M7707" s="142">
        <v>0</v>
      </c>
      <c r="N7707" s="142">
        <v>0</v>
      </c>
      <c r="O7707" s="142">
        <v>0</v>
      </c>
      <c r="P7707" s="306">
        <v>1.2974150837209302</v>
      </c>
      <c r="Q7707" s="157" t="s">
        <v>154</v>
      </c>
      <c r="R7707" s="303"/>
    </row>
    <row r="7708" spans="1:18" s="162" customFormat="1" ht="120" x14ac:dyDescent="0.25">
      <c r="A7708" s="184">
        <v>43654</v>
      </c>
      <c r="B7708" s="184">
        <v>43654</v>
      </c>
      <c r="C7708" s="138">
        <v>2019</v>
      </c>
      <c r="D7708" s="35" t="s">
        <v>28</v>
      </c>
      <c r="E7708" s="6" t="s">
        <v>149</v>
      </c>
      <c r="F7708" s="28" t="s">
        <v>157</v>
      </c>
      <c r="G7708" s="33" t="s">
        <v>206</v>
      </c>
      <c r="H7708" s="33" t="s">
        <v>10583</v>
      </c>
      <c r="I7708" s="304">
        <v>0</v>
      </c>
      <c r="J7708" s="305">
        <v>20</v>
      </c>
      <c r="K7708" s="142">
        <v>0</v>
      </c>
      <c r="L7708" s="142">
        <v>0</v>
      </c>
      <c r="M7708" s="142">
        <v>0</v>
      </c>
      <c r="N7708" s="142">
        <v>0</v>
      </c>
      <c r="O7708" s="142">
        <v>0</v>
      </c>
      <c r="P7708" s="306">
        <v>0</v>
      </c>
      <c r="Q7708" s="157" t="s">
        <v>154</v>
      </c>
      <c r="R7708" s="303"/>
    </row>
    <row r="7709" spans="1:18" s="162" customFormat="1" ht="84" x14ac:dyDescent="0.25">
      <c r="A7709" s="184">
        <v>43656</v>
      </c>
      <c r="B7709" s="184">
        <v>43656</v>
      </c>
      <c r="C7709" s="43">
        <v>2019</v>
      </c>
      <c r="D7709" s="24" t="s">
        <v>141</v>
      </c>
      <c r="E7709" s="30" t="s">
        <v>142</v>
      </c>
      <c r="F7709" s="7" t="s">
        <v>36</v>
      </c>
      <c r="G7709" s="33" t="s">
        <v>310</v>
      </c>
      <c r="H7709" s="33" t="s">
        <v>10584</v>
      </c>
      <c r="I7709" s="304">
        <v>1</v>
      </c>
      <c r="J7709" s="305">
        <v>1</v>
      </c>
      <c r="K7709" s="142">
        <v>0</v>
      </c>
      <c r="L7709" s="142">
        <v>0</v>
      </c>
      <c r="M7709" s="142">
        <v>0</v>
      </c>
      <c r="N7709" s="142">
        <v>0</v>
      </c>
      <c r="O7709" s="142">
        <v>0</v>
      </c>
      <c r="P7709" s="306">
        <v>4.93897570761753</v>
      </c>
      <c r="Q7709" s="157" t="s">
        <v>154</v>
      </c>
      <c r="R7709" s="303"/>
    </row>
    <row r="7710" spans="1:18" s="162" customFormat="1" ht="168" x14ac:dyDescent="0.25">
      <c r="A7710" s="184">
        <v>43655</v>
      </c>
      <c r="B7710" s="184">
        <v>43655</v>
      </c>
      <c r="C7710" s="138">
        <v>2019</v>
      </c>
      <c r="D7710" s="24" t="s">
        <v>141</v>
      </c>
      <c r="E7710" s="49" t="s">
        <v>1600</v>
      </c>
      <c r="F7710" s="7" t="s">
        <v>45</v>
      </c>
      <c r="G7710" s="33" t="s">
        <v>10585</v>
      </c>
      <c r="H7710" s="33" t="s">
        <v>10586</v>
      </c>
      <c r="I7710" s="304">
        <v>1</v>
      </c>
      <c r="J7710" s="305">
        <v>6</v>
      </c>
      <c r="K7710" s="142">
        <v>0</v>
      </c>
      <c r="L7710" s="142">
        <v>0</v>
      </c>
      <c r="M7710" s="142">
        <v>0</v>
      </c>
      <c r="N7710" s="142">
        <v>0</v>
      </c>
      <c r="O7710" s="142">
        <v>0</v>
      </c>
      <c r="P7710" s="306">
        <v>0</v>
      </c>
      <c r="Q7710" s="157" t="s">
        <v>154</v>
      </c>
      <c r="R7710" s="303"/>
    </row>
    <row r="7711" spans="1:18" s="162" customFormat="1" ht="96" x14ac:dyDescent="0.25">
      <c r="A7711" s="184">
        <v>43656</v>
      </c>
      <c r="B7711" s="184">
        <v>43656</v>
      </c>
      <c r="C7711" s="43">
        <v>2019</v>
      </c>
      <c r="D7711" s="35" t="s">
        <v>17</v>
      </c>
      <c r="E7711" s="6" t="s">
        <v>328</v>
      </c>
      <c r="F7711" s="7" t="s">
        <v>75</v>
      </c>
      <c r="G7711" s="33" t="s">
        <v>75</v>
      </c>
      <c r="H7711" s="33" t="s">
        <v>10587</v>
      </c>
      <c r="I7711" s="304">
        <v>7</v>
      </c>
      <c r="J7711" s="305">
        <v>18</v>
      </c>
      <c r="K7711" s="142">
        <v>1</v>
      </c>
      <c r="L7711" s="142">
        <v>0</v>
      </c>
      <c r="M7711" s="142">
        <v>0</v>
      </c>
      <c r="N7711" s="142">
        <v>0</v>
      </c>
      <c r="O7711" s="142">
        <v>0</v>
      </c>
      <c r="P7711" s="306">
        <v>3.0800000000000001E-2</v>
      </c>
      <c r="Q7711" s="157" t="s">
        <v>154</v>
      </c>
      <c r="R7711" s="303"/>
    </row>
    <row r="7712" spans="1:18" s="162" customFormat="1" ht="144" x14ac:dyDescent="0.25">
      <c r="A7712" s="184">
        <v>43657</v>
      </c>
      <c r="B7712" s="184">
        <v>43657</v>
      </c>
      <c r="C7712" s="138">
        <v>2019</v>
      </c>
      <c r="D7712" s="35" t="s">
        <v>28</v>
      </c>
      <c r="E7712" s="30" t="s">
        <v>133</v>
      </c>
      <c r="F7712" s="28" t="s">
        <v>210</v>
      </c>
      <c r="G7712" s="33" t="s">
        <v>2842</v>
      </c>
      <c r="H7712" s="33" t="s">
        <v>10588</v>
      </c>
      <c r="I7712" s="304">
        <v>0</v>
      </c>
      <c r="J7712" s="305">
        <v>3</v>
      </c>
      <c r="K7712" s="142">
        <v>1</v>
      </c>
      <c r="L7712" s="142">
        <v>0</v>
      </c>
      <c r="M7712" s="142">
        <v>0</v>
      </c>
      <c r="N7712" s="142">
        <v>0</v>
      </c>
      <c r="O7712" s="142">
        <v>0</v>
      </c>
      <c r="P7712" s="306">
        <v>0.51983630000000003</v>
      </c>
      <c r="Q7712" s="157" t="s">
        <v>154</v>
      </c>
      <c r="R7712" s="303"/>
    </row>
    <row r="7713" spans="1:18" s="162" customFormat="1" ht="228" x14ac:dyDescent="0.25">
      <c r="A7713" s="184">
        <v>43658</v>
      </c>
      <c r="B7713" s="184">
        <v>43658</v>
      </c>
      <c r="C7713" s="43">
        <v>2019</v>
      </c>
      <c r="D7713" s="351" t="s">
        <v>23</v>
      </c>
      <c r="E7713" s="22" t="s">
        <v>86</v>
      </c>
      <c r="F7713" s="7" t="s">
        <v>75</v>
      </c>
      <c r="G7713" s="33" t="s">
        <v>75</v>
      </c>
      <c r="H7713" s="33" t="s">
        <v>10589</v>
      </c>
      <c r="I7713" s="304">
        <v>0</v>
      </c>
      <c r="J7713" s="305">
        <v>1</v>
      </c>
      <c r="K7713" s="142">
        <v>4</v>
      </c>
      <c r="L7713" s="142">
        <v>0</v>
      </c>
      <c r="M7713" s="142">
        <v>0</v>
      </c>
      <c r="N7713" s="142">
        <v>0</v>
      </c>
      <c r="O7713" s="305">
        <v>0</v>
      </c>
      <c r="P7713" s="306">
        <v>1.4142700000000001E-2</v>
      </c>
      <c r="Q7713" s="157" t="s">
        <v>154</v>
      </c>
      <c r="R7713" s="303"/>
    </row>
    <row r="7714" spans="1:18" s="162" customFormat="1" ht="72" x14ac:dyDescent="0.25">
      <c r="A7714" s="184">
        <v>43660</v>
      </c>
      <c r="B7714" s="184">
        <v>43660</v>
      </c>
      <c r="C7714" s="138">
        <v>2019</v>
      </c>
      <c r="D7714" s="35" t="s">
        <v>28</v>
      </c>
      <c r="E7714" s="6" t="s">
        <v>149</v>
      </c>
      <c r="F7714" s="28" t="s">
        <v>157</v>
      </c>
      <c r="G7714" s="33" t="s">
        <v>1062</v>
      </c>
      <c r="H7714" s="33" t="s">
        <v>10590</v>
      </c>
      <c r="I7714" s="304">
        <v>0</v>
      </c>
      <c r="J7714" s="305">
        <v>8</v>
      </c>
      <c r="K7714" s="142">
        <v>1</v>
      </c>
      <c r="L7714" s="142">
        <v>0</v>
      </c>
      <c r="M7714" s="142">
        <v>0</v>
      </c>
      <c r="N7714" s="142">
        <v>0</v>
      </c>
      <c r="O7714" s="305">
        <v>0</v>
      </c>
      <c r="P7714" s="306">
        <v>0.13200000000000001</v>
      </c>
      <c r="Q7714" s="157" t="s">
        <v>154</v>
      </c>
      <c r="R7714" s="303"/>
    </row>
    <row r="7715" spans="1:18" s="162" customFormat="1" ht="72" x14ac:dyDescent="0.25">
      <c r="A7715" s="184">
        <v>43661</v>
      </c>
      <c r="B7715" s="184">
        <v>43661</v>
      </c>
      <c r="C7715" s="43">
        <v>2019</v>
      </c>
      <c r="D7715" s="24" t="s">
        <v>141</v>
      </c>
      <c r="E7715" s="30" t="s">
        <v>142</v>
      </c>
      <c r="F7715" s="7" t="s">
        <v>101</v>
      </c>
      <c r="G7715" s="33" t="s">
        <v>2550</v>
      </c>
      <c r="H7715" s="33" t="s">
        <v>10591</v>
      </c>
      <c r="I7715" s="304">
        <v>0</v>
      </c>
      <c r="J7715" s="305">
        <v>45</v>
      </c>
      <c r="K7715" s="142">
        <v>0</v>
      </c>
      <c r="L7715" s="142">
        <v>0</v>
      </c>
      <c r="M7715" s="142">
        <v>0</v>
      </c>
      <c r="N7715" s="142">
        <v>0</v>
      </c>
      <c r="O7715" s="305">
        <v>0</v>
      </c>
      <c r="P7715" s="306">
        <v>0.18312033837209304</v>
      </c>
      <c r="Q7715" s="157" t="s">
        <v>154</v>
      </c>
      <c r="R7715" s="303"/>
    </row>
    <row r="7716" spans="1:18" s="162" customFormat="1" ht="132" x14ac:dyDescent="0.25">
      <c r="A7716" s="184">
        <v>43662</v>
      </c>
      <c r="B7716" s="184">
        <v>43662</v>
      </c>
      <c r="C7716" s="138">
        <v>2019</v>
      </c>
      <c r="D7716" s="351" t="s">
        <v>23</v>
      </c>
      <c r="E7716" s="22" t="s">
        <v>86</v>
      </c>
      <c r="F7716" s="7" t="s">
        <v>60</v>
      </c>
      <c r="G7716" s="33" t="s">
        <v>1605</v>
      </c>
      <c r="H7716" s="33" t="s">
        <v>10592</v>
      </c>
      <c r="I7716" s="304">
        <v>0</v>
      </c>
      <c r="J7716" s="305">
        <v>64</v>
      </c>
      <c r="K7716" s="142">
        <v>16</v>
      </c>
      <c r="L7716" s="142">
        <v>0</v>
      </c>
      <c r="M7716" s="142">
        <v>0</v>
      </c>
      <c r="N7716" s="142">
        <v>0</v>
      </c>
      <c r="O7716" s="305">
        <v>0</v>
      </c>
      <c r="P7716" s="306">
        <v>0.56408000000000003</v>
      </c>
      <c r="Q7716" s="157" t="s">
        <v>154</v>
      </c>
      <c r="R7716" s="303"/>
    </row>
    <row r="7717" spans="1:18" s="162" customFormat="1" ht="132" x14ac:dyDescent="0.25">
      <c r="A7717" s="184">
        <v>43662</v>
      </c>
      <c r="B7717" s="184">
        <v>43662</v>
      </c>
      <c r="C7717" s="43">
        <v>2019</v>
      </c>
      <c r="D7717" s="24" t="s">
        <v>141</v>
      </c>
      <c r="E7717" s="30" t="s">
        <v>142</v>
      </c>
      <c r="F7717" s="28" t="s">
        <v>210</v>
      </c>
      <c r="G7717" s="33" t="s">
        <v>924</v>
      </c>
      <c r="H7717" s="33" t="s">
        <v>10593</v>
      </c>
      <c r="I7717" s="304">
        <v>0</v>
      </c>
      <c r="J7717" s="305">
        <v>11</v>
      </c>
      <c r="K7717" s="142">
        <v>0</v>
      </c>
      <c r="L7717" s="142">
        <v>0</v>
      </c>
      <c r="M7717" s="142">
        <v>0</v>
      </c>
      <c r="N7717" s="142">
        <v>0</v>
      </c>
      <c r="O7717" s="305">
        <v>0</v>
      </c>
      <c r="P7717" s="306">
        <v>1.0890000000000002E-2</v>
      </c>
      <c r="Q7717" s="157" t="s">
        <v>154</v>
      </c>
      <c r="R7717" s="303"/>
    </row>
    <row r="7718" spans="1:18" s="162" customFormat="1" ht="132" x14ac:dyDescent="0.25">
      <c r="A7718" s="184">
        <v>43663</v>
      </c>
      <c r="B7718" s="184">
        <v>43663</v>
      </c>
      <c r="C7718" s="138">
        <v>2019</v>
      </c>
      <c r="D7718" s="24" t="s">
        <v>130</v>
      </c>
      <c r="E7718" s="30" t="s">
        <v>136</v>
      </c>
      <c r="F7718" s="7" t="s">
        <v>80</v>
      </c>
      <c r="G7718" s="33" t="s">
        <v>4222</v>
      </c>
      <c r="H7718" s="33" t="s">
        <v>10594</v>
      </c>
      <c r="I7718" s="304">
        <v>0</v>
      </c>
      <c r="J7718" s="305">
        <v>126</v>
      </c>
      <c r="K7718" s="142">
        <v>0</v>
      </c>
      <c r="L7718" s="142">
        <v>0</v>
      </c>
      <c r="M7718" s="142">
        <v>0</v>
      </c>
      <c r="N7718" s="142">
        <v>0</v>
      </c>
      <c r="O7718" s="305">
        <v>0</v>
      </c>
      <c r="P7718" s="306">
        <v>0.12474000000000002</v>
      </c>
      <c r="Q7718" s="157" t="s">
        <v>154</v>
      </c>
      <c r="R7718" s="303"/>
    </row>
    <row r="7719" spans="1:18" s="162" customFormat="1" ht="132" x14ac:dyDescent="0.25">
      <c r="A7719" s="184">
        <v>43664</v>
      </c>
      <c r="B7719" s="184">
        <v>43664</v>
      </c>
      <c r="C7719" s="43">
        <v>2019</v>
      </c>
      <c r="D7719" s="24" t="s">
        <v>141</v>
      </c>
      <c r="E7719" s="30" t="s">
        <v>142</v>
      </c>
      <c r="F7719" s="7" t="s">
        <v>67</v>
      </c>
      <c r="G7719" s="33" t="s">
        <v>5164</v>
      </c>
      <c r="H7719" s="33" t="s">
        <v>10595</v>
      </c>
      <c r="I7719" s="304">
        <v>13</v>
      </c>
      <c r="J7719" s="305">
        <v>64</v>
      </c>
      <c r="K7719" s="142">
        <v>0</v>
      </c>
      <c r="L7719" s="142">
        <v>0</v>
      </c>
      <c r="M7719" s="142">
        <v>0</v>
      </c>
      <c r="N7719" s="142">
        <v>0</v>
      </c>
      <c r="O7719" s="305">
        <v>0</v>
      </c>
      <c r="P7719" s="306">
        <v>2.2963884999999999</v>
      </c>
      <c r="Q7719" s="157" t="s">
        <v>154</v>
      </c>
      <c r="R7719" s="303"/>
    </row>
    <row r="7720" spans="1:18" s="162" customFormat="1" ht="84" x14ac:dyDescent="0.25">
      <c r="A7720" s="184">
        <v>43665</v>
      </c>
      <c r="B7720" s="184">
        <v>43665</v>
      </c>
      <c r="C7720" s="138">
        <v>2019</v>
      </c>
      <c r="D7720" s="24" t="s">
        <v>141</v>
      </c>
      <c r="E7720" s="30" t="s">
        <v>142</v>
      </c>
      <c r="F7720" s="7" t="s">
        <v>72</v>
      </c>
      <c r="G7720" s="33" t="s">
        <v>10596</v>
      </c>
      <c r="H7720" s="33" t="s">
        <v>10597</v>
      </c>
      <c r="I7720" s="304">
        <v>0</v>
      </c>
      <c r="J7720" s="305">
        <v>9</v>
      </c>
      <c r="K7720" s="142">
        <v>0</v>
      </c>
      <c r="L7720" s="142">
        <v>0</v>
      </c>
      <c r="M7720" s="142">
        <v>0</v>
      </c>
      <c r="N7720" s="142">
        <v>0</v>
      </c>
      <c r="O7720" s="305">
        <v>0</v>
      </c>
      <c r="P7720" s="306">
        <v>0.18231170000000002</v>
      </c>
      <c r="Q7720" s="157" t="s">
        <v>154</v>
      </c>
      <c r="R7720" s="303"/>
    </row>
    <row r="7721" spans="1:18" s="162" customFormat="1" ht="96" x14ac:dyDescent="0.25">
      <c r="A7721" s="184">
        <v>43665</v>
      </c>
      <c r="B7721" s="184">
        <v>43665</v>
      </c>
      <c r="C7721" s="43">
        <v>2019</v>
      </c>
      <c r="D7721" s="24" t="s">
        <v>141</v>
      </c>
      <c r="E7721" s="30" t="s">
        <v>142</v>
      </c>
      <c r="F7721" s="7" t="s">
        <v>49</v>
      </c>
      <c r="G7721" s="33" t="s">
        <v>10598</v>
      </c>
      <c r="H7721" s="33" t="s">
        <v>10599</v>
      </c>
      <c r="I7721" s="304">
        <v>0</v>
      </c>
      <c r="J7721" s="305">
        <v>1</v>
      </c>
      <c r="K7721" s="142">
        <v>0</v>
      </c>
      <c r="L7721" s="142">
        <v>0</v>
      </c>
      <c r="M7721" s="142">
        <v>0</v>
      </c>
      <c r="N7721" s="142">
        <v>0</v>
      </c>
      <c r="O7721" s="305">
        <v>0</v>
      </c>
      <c r="P7721" s="306">
        <v>0.493897570761753</v>
      </c>
      <c r="Q7721" s="157" t="s">
        <v>154</v>
      </c>
      <c r="R7721" s="303"/>
    </row>
    <row r="7722" spans="1:18" s="162" customFormat="1" ht="96" x14ac:dyDescent="0.25">
      <c r="A7722" s="184">
        <v>43665</v>
      </c>
      <c r="B7722" s="184">
        <v>43665</v>
      </c>
      <c r="C7722" s="138">
        <v>2019</v>
      </c>
      <c r="D7722" s="24" t="s">
        <v>141</v>
      </c>
      <c r="E7722" s="30" t="s">
        <v>142</v>
      </c>
      <c r="F7722" s="28" t="s">
        <v>160</v>
      </c>
      <c r="G7722" s="33" t="s">
        <v>8679</v>
      </c>
      <c r="H7722" s="33" t="s">
        <v>10600</v>
      </c>
      <c r="I7722" s="304">
        <v>2</v>
      </c>
      <c r="J7722" s="305">
        <v>9</v>
      </c>
      <c r="K7722" s="142">
        <v>0</v>
      </c>
      <c r="L7722" s="142">
        <v>0</v>
      </c>
      <c r="M7722" s="142">
        <v>0</v>
      </c>
      <c r="N7722" s="142">
        <v>0</v>
      </c>
      <c r="O7722" s="305">
        <v>0</v>
      </c>
      <c r="P7722" s="306">
        <v>0.18293000000000001</v>
      </c>
      <c r="Q7722" s="157" t="s">
        <v>154</v>
      </c>
      <c r="R7722" s="303"/>
    </row>
    <row r="7723" spans="1:18" s="162" customFormat="1" ht="96" x14ac:dyDescent="0.25">
      <c r="A7723" s="184">
        <v>43664</v>
      </c>
      <c r="B7723" s="184">
        <v>43665</v>
      </c>
      <c r="C7723" s="43">
        <v>2019</v>
      </c>
      <c r="D7723" s="35" t="s">
        <v>28</v>
      </c>
      <c r="E7723" s="30" t="s">
        <v>125</v>
      </c>
      <c r="F7723" s="7" t="s">
        <v>60</v>
      </c>
      <c r="G7723" s="33" t="s">
        <v>1993</v>
      </c>
      <c r="H7723" s="33" t="s">
        <v>10601</v>
      </c>
      <c r="I7723" s="304">
        <v>1</v>
      </c>
      <c r="J7723" s="305">
        <v>6</v>
      </c>
      <c r="K7723" s="142">
        <v>0</v>
      </c>
      <c r="L7723" s="142">
        <v>0</v>
      </c>
      <c r="M7723" s="142">
        <v>0</v>
      </c>
      <c r="N7723" s="142">
        <v>0</v>
      </c>
      <c r="O7723" s="305">
        <v>0</v>
      </c>
      <c r="P7723" s="306">
        <v>0.72067049999999999</v>
      </c>
      <c r="Q7723" s="157" t="s">
        <v>154</v>
      </c>
      <c r="R7723" s="303"/>
    </row>
    <row r="7724" spans="1:18" s="162" customFormat="1" ht="144" x14ac:dyDescent="0.25">
      <c r="A7724" s="184">
        <v>43665</v>
      </c>
      <c r="B7724" s="184">
        <v>43666</v>
      </c>
      <c r="C7724" s="138">
        <v>2019</v>
      </c>
      <c r="D7724" s="35" t="s">
        <v>28</v>
      </c>
      <c r="E7724" s="30" t="s">
        <v>125</v>
      </c>
      <c r="F7724" s="7" t="s">
        <v>75</v>
      </c>
      <c r="G7724" s="33" t="s">
        <v>4282</v>
      </c>
      <c r="H7724" s="33" t="s">
        <v>10602</v>
      </c>
      <c r="I7724" s="304">
        <v>0</v>
      </c>
      <c r="J7724" s="305">
        <v>6</v>
      </c>
      <c r="K7724" s="142">
        <v>0</v>
      </c>
      <c r="L7724" s="142">
        <v>0</v>
      </c>
      <c r="M7724" s="142">
        <v>0</v>
      </c>
      <c r="N7724" s="142">
        <v>0</v>
      </c>
      <c r="O7724" s="305">
        <v>0</v>
      </c>
      <c r="P7724" s="306">
        <v>5.9400000000000008E-3</v>
      </c>
      <c r="Q7724" s="157" t="s">
        <v>154</v>
      </c>
      <c r="R7724" s="303"/>
    </row>
    <row r="7725" spans="1:18" s="162" customFormat="1" ht="108" x14ac:dyDescent="0.25">
      <c r="A7725" s="184">
        <v>43666</v>
      </c>
      <c r="B7725" s="184">
        <v>43666</v>
      </c>
      <c r="C7725" s="43">
        <v>2019</v>
      </c>
      <c r="D7725" s="24" t="s">
        <v>141</v>
      </c>
      <c r="E7725" s="30" t="s">
        <v>142</v>
      </c>
      <c r="F7725" s="7" t="s">
        <v>53</v>
      </c>
      <c r="G7725" s="33" t="s">
        <v>10578</v>
      </c>
      <c r="H7725" s="33" t="s">
        <v>10603</v>
      </c>
      <c r="I7725" s="304">
        <v>4</v>
      </c>
      <c r="J7725" s="305">
        <v>19</v>
      </c>
      <c r="K7725" s="142">
        <v>0</v>
      </c>
      <c r="L7725" s="142">
        <v>0</v>
      </c>
      <c r="M7725" s="142">
        <v>0</v>
      </c>
      <c r="N7725" s="142">
        <v>0</v>
      </c>
      <c r="O7725" s="305">
        <v>0</v>
      </c>
      <c r="P7725" s="306">
        <v>0.24984999999999999</v>
      </c>
      <c r="Q7725" s="157" t="s">
        <v>154</v>
      </c>
      <c r="R7725" s="303"/>
    </row>
    <row r="7726" spans="1:18" s="162" customFormat="1" ht="84" x14ac:dyDescent="0.25">
      <c r="A7726" s="184">
        <v>43667</v>
      </c>
      <c r="B7726" s="184">
        <v>43667</v>
      </c>
      <c r="C7726" s="138">
        <v>2019</v>
      </c>
      <c r="D7726" s="24" t="s">
        <v>141</v>
      </c>
      <c r="E7726" s="30" t="s">
        <v>142</v>
      </c>
      <c r="F7726" s="7" t="s">
        <v>60</v>
      </c>
      <c r="G7726" s="33" t="s">
        <v>5632</v>
      </c>
      <c r="H7726" s="33" t="s">
        <v>10604</v>
      </c>
      <c r="I7726" s="304">
        <v>1</v>
      </c>
      <c r="J7726" s="305">
        <v>33</v>
      </c>
      <c r="K7726" s="142">
        <v>0</v>
      </c>
      <c r="L7726" s="142">
        <v>0</v>
      </c>
      <c r="M7726" s="142">
        <v>0</v>
      </c>
      <c r="N7726" s="142">
        <v>0</v>
      </c>
      <c r="O7726" s="305">
        <v>0</v>
      </c>
      <c r="P7726" s="306">
        <v>7.1412000000000003E-2</v>
      </c>
      <c r="Q7726" s="157" t="s">
        <v>154</v>
      </c>
      <c r="R7726" s="303"/>
    </row>
    <row r="7727" spans="1:18" s="162" customFormat="1" ht="372" x14ac:dyDescent="0.25">
      <c r="A7727" s="184">
        <v>43667</v>
      </c>
      <c r="B7727" s="184">
        <v>43668</v>
      </c>
      <c r="C7727" s="43">
        <v>2019</v>
      </c>
      <c r="D7727" s="351" t="s">
        <v>23</v>
      </c>
      <c r="E7727" s="22" t="s">
        <v>86</v>
      </c>
      <c r="F7727" s="7" t="s">
        <v>60</v>
      </c>
      <c r="G7727" s="33" t="s">
        <v>2508</v>
      </c>
      <c r="H7727" s="33" t="s">
        <v>10605</v>
      </c>
      <c r="I7727" s="304">
        <v>0</v>
      </c>
      <c r="J7727" s="305">
        <v>200</v>
      </c>
      <c r="K7727" s="142">
        <v>50</v>
      </c>
      <c r="L7727" s="142">
        <v>0</v>
      </c>
      <c r="M7727" s="142">
        <v>0</v>
      </c>
      <c r="N7727" s="142">
        <v>0</v>
      </c>
      <c r="O7727" s="305">
        <v>0</v>
      </c>
      <c r="P7727" s="306">
        <v>2.6977500000000001</v>
      </c>
      <c r="Q7727" s="157" t="s">
        <v>154</v>
      </c>
      <c r="R7727" s="303"/>
    </row>
    <row r="7728" spans="1:18" s="162" customFormat="1" ht="84" x14ac:dyDescent="0.25">
      <c r="A7728" s="184">
        <v>43669</v>
      </c>
      <c r="B7728" s="184">
        <v>43669</v>
      </c>
      <c r="C7728" s="138">
        <v>2019</v>
      </c>
      <c r="D7728" s="24" t="s">
        <v>141</v>
      </c>
      <c r="E7728" s="30" t="s">
        <v>142</v>
      </c>
      <c r="F7728" s="7" t="s">
        <v>40</v>
      </c>
      <c r="G7728" s="33" t="s">
        <v>1062</v>
      </c>
      <c r="H7728" s="33" t="s">
        <v>10606</v>
      </c>
      <c r="I7728" s="304">
        <v>4</v>
      </c>
      <c r="J7728" s="305">
        <v>4</v>
      </c>
      <c r="K7728" s="142">
        <v>0</v>
      </c>
      <c r="L7728" s="142">
        <v>0</v>
      </c>
      <c r="M7728" s="142">
        <v>0</v>
      </c>
      <c r="N7728" s="142">
        <v>0</v>
      </c>
      <c r="O7728" s="305">
        <v>0</v>
      </c>
      <c r="P7728" s="306">
        <v>4.93897570761753</v>
      </c>
      <c r="Q7728" s="157" t="s">
        <v>154</v>
      </c>
      <c r="R7728" s="303"/>
    </row>
    <row r="7729" spans="1:18" s="162" customFormat="1" ht="132" x14ac:dyDescent="0.25">
      <c r="A7729" s="184">
        <v>43669</v>
      </c>
      <c r="B7729" s="184">
        <v>43669</v>
      </c>
      <c r="C7729" s="43">
        <v>2019</v>
      </c>
      <c r="D7729" s="24" t="s">
        <v>141</v>
      </c>
      <c r="E7729" s="41" t="s">
        <v>1965</v>
      </c>
      <c r="F7729" s="7" t="s">
        <v>25</v>
      </c>
      <c r="G7729" s="33" t="s">
        <v>25</v>
      </c>
      <c r="H7729" s="33" t="s">
        <v>10607</v>
      </c>
      <c r="I7729" s="304">
        <v>0</v>
      </c>
      <c r="J7729" s="305">
        <v>83</v>
      </c>
      <c r="K7729" s="142">
        <v>0</v>
      </c>
      <c r="L7729" s="142">
        <v>0</v>
      </c>
      <c r="M7729" s="142">
        <v>0</v>
      </c>
      <c r="N7729" s="142">
        <v>0</v>
      </c>
      <c r="O7729" s="305">
        <v>0</v>
      </c>
      <c r="P7729" s="306">
        <v>0.43240229999999996</v>
      </c>
      <c r="Q7729" s="157" t="s">
        <v>154</v>
      </c>
      <c r="R7729" s="303"/>
    </row>
    <row r="7730" spans="1:18" s="162" customFormat="1" ht="108" x14ac:dyDescent="0.25">
      <c r="A7730" s="184">
        <v>43670</v>
      </c>
      <c r="B7730" s="184">
        <v>43670</v>
      </c>
      <c r="C7730" s="138">
        <v>2019</v>
      </c>
      <c r="D7730" s="24" t="s">
        <v>141</v>
      </c>
      <c r="E7730" s="30" t="s">
        <v>142</v>
      </c>
      <c r="F7730" s="7" t="s">
        <v>62</v>
      </c>
      <c r="G7730" s="33" t="s">
        <v>10608</v>
      </c>
      <c r="H7730" s="33" t="s">
        <v>10609</v>
      </c>
      <c r="I7730" s="304">
        <v>4</v>
      </c>
      <c r="J7730" s="305">
        <v>4</v>
      </c>
      <c r="K7730" s="142">
        <v>0</v>
      </c>
      <c r="L7730" s="142">
        <v>0</v>
      </c>
      <c r="M7730" s="142">
        <v>0</v>
      </c>
      <c r="N7730" s="142">
        <v>0</v>
      </c>
      <c r="O7730" s="305">
        <v>0</v>
      </c>
      <c r="P7730" s="306">
        <v>0</v>
      </c>
      <c r="Q7730" s="157" t="s">
        <v>154</v>
      </c>
      <c r="R7730" s="303"/>
    </row>
    <row r="7731" spans="1:18" s="162" customFormat="1" ht="168" x14ac:dyDescent="0.25">
      <c r="A7731" s="184">
        <v>43670</v>
      </c>
      <c r="B7731" s="184">
        <v>43670</v>
      </c>
      <c r="C7731" s="43">
        <v>2019</v>
      </c>
      <c r="D7731" s="351" t="s">
        <v>23</v>
      </c>
      <c r="E7731" s="22" t="s">
        <v>86</v>
      </c>
      <c r="F7731" s="7" t="s">
        <v>60</v>
      </c>
      <c r="G7731" s="33" t="s">
        <v>1605</v>
      </c>
      <c r="H7731" s="33" t="s">
        <v>10610</v>
      </c>
      <c r="I7731" s="304">
        <v>0</v>
      </c>
      <c r="J7731" s="305">
        <v>64</v>
      </c>
      <c r="K7731" s="142">
        <v>16</v>
      </c>
      <c r="L7731" s="142">
        <v>0</v>
      </c>
      <c r="M7731" s="142">
        <v>0</v>
      </c>
      <c r="N7731" s="142">
        <v>0</v>
      </c>
      <c r="O7731" s="305">
        <v>0</v>
      </c>
      <c r="P7731" s="306">
        <v>1.848E-2</v>
      </c>
      <c r="Q7731" s="157" t="s">
        <v>154</v>
      </c>
      <c r="R7731" s="303"/>
    </row>
    <row r="7732" spans="1:18" s="162" customFormat="1" ht="132" x14ac:dyDescent="0.25">
      <c r="A7732" s="184">
        <v>43670</v>
      </c>
      <c r="B7732" s="184">
        <v>43670</v>
      </c>
      <c r="C7732" s="138">
        <v>2019</v>
      </c>
      <c r="D7732" s="351" t="s">
        <v>23</v>
      </c>
      <c r="E7732" s="22" t="s">
        <v>86</v>
      </c>
      <c r="F7732" s="7" t="s">
        <v>60</v>
      </c>
      <c r="G7732" s="33" t="s">
        <v>2508</v>
      </c>
      <c r="H7732" s="33" t="s">
        <v>10611</v>
      </c>
      <c r="I7732" s="304">
        <v>0</v>
      </c>
      <c r="J7732" s="305">
        <v>0</v>
      </c>
      <c r="K7732" s="142">
        <v>0</v>
      </c>
      <c r="L7732" s="142">
        <v>0</v>
      </c>
      <c r="M7732" s="142">
        <v>0</v>
      </c>
      <c r="N7732" s="142">
        <v>4</v>
      </c>
      <c r="O7732" s="305">
        <v>0</v>
      </c>
      <c r="P7732" s="306">
        <v>7.0400000000000004E-2</v>
      </c>
      <c r="Q7732" s="157" t="s">
        <v>154</v>
      </c>
      <c r="R7732" s="303"/>
    </row>
    <row r="7733" spans="1:18" s="162" customFormat="1" ht="72" x14ac:dyDescent="0.25">
      <c r="A7733" s="184">
        <v>43672</v>
      </c>
      <c r="B7733" s="184">
        <v>43672</v>
      </c>
      <c r="C7733" s="43">
        <v>2019</v>
      </c>
      <c r="D7733" s="24" t="s">
        <v>141</v>
      </c>
      <c r="E7733" s="49" t="s">
        <v>1600</v>
      </c>
      <c r="F7733" s="25" t="s">
        <v>781</v>
      </c>
      <c r="G7733" s="33" t="s">
        <v>3061</v>
      </c>
      <c r="H7733" s="33" t="s">
        <v>10612</v>
      </c>
      <c r="I7733" s="304">
        <v>0</v>
      </c>
      <c r="J7733" s="305">
        <v>20</v>
      </c>
      <c r="K7733" s="142">
        <v>0</v>
      </c>
      <c r="L7733" s="142">
        <v>0</v>
      </c>
      <c r="M7733" s="142">
        <v>0</v>
      </c>
      <c r="N7733" s="142">
        <v>0</v>
      </c>
      <c r="O7733" s="305">
        <v>0</v>
      </c>
      <c r="P7733" s="306">
        <v>1.9800000000000004E-3</v>
      </c>
      <c r="Q7733" s="157" t="s">
        <v>154</v>
      </c>
      <c r="R7733" s="303"/>
    </row>
    <row r="7734" spans="1:18" s="162" customFormat="1" ht="84" x14ac:dyDescent="0.25">
      <c r="A7734" s="184">
        <v>43673</v>
      </c>
      <c r="B7734" s="184">
        <v>43673</v>
      </c>
      <c r="C7734" s="138">
        <v>2019</v>
      </c>
      <c r="D7734" s="24" t="s">
        <v>141</v>
      </c>
      <c r="E7734" s="30" t="s">
        <v>142</v>
      </c>
      <c r="F7734" s="7" t="s">
        <v>91</v>
      </c>
      <c r="G7734" s="33" t="s">
        <v>1220</v>
      </c>
      <c r="H7734" s="33" t="s">
        <v>10613</v>
      </c>
      <c r="I7734" s="304">
        <v>0</v>
      </c>
      <c r="J7734" s="305">
        <v>7</v>
      </c>
      <c r="K7734" s="142">
        <v>0</v>
      </c>
      <c r="L7734" s="142">
        <v>0</v>
      </c>
      <c r="M7734" s="142">
        <v>0</v>
      </c>
      <c r="N7734" s="142">
        <v>0</v>
      </c>
      <c r="O7734" s="305">
        <v>0</v>
      </c>
      <c r="P7734" s="306">
        <v>7.8341999999999995E-2</v>
      </c>
      <c r="Q7734" s="157" t="s">
        <v>154</v>
      </c>
      <c r="R7734" s="303"/>
    </row>
    <row r="7735" spans="1:18" s="162" customFormat="1" ht="84" x14ac:dyDescent="0.25">
      <c r="A7735" s="184">
        <v>43673</v>
      </c>
      <c r="B7735" s="184">
        <v>43673</v>
      </c>
      <c r="C7735" s="43">
        <v>2019</v>
      </c>
      <c r="D7735" s="24" t="s">
        <v>141</v>
      </c>
      <c r="E7735" s="30" t="s">
        <v>142</v>
      </c>
      <c r="F7735" s="7" t="s">
        <v>40</v>
      </c>
      <c r="G7735" s="33" t="s">
        <v>10614</v>
      </c>
      <c r="H7735" s="33" t="s">
        <v>10615</v>
      </c>
      <c r="I7735" s="304">
        <v>1</v>
      </c>
      <c r="J7735" s="305">
        <v>1</v>
      </c>
      <c r="K7735" s="142">
        <v>0</v>
      </c>
      <c r="L7735" s="142">
        <v>0</v>
      </c>
      <c r="M7735" s="142">
        <v>0</v>
      </c>
      <c r="N7735" s="142">
        <v>0</v>
      </c>
      <c r="O7735" s="305">
        <v>0</v>
      </c>
      <c r="P7735" s="306">
        <v>0.493897570761753</v>
      </c>
      <c r="Q7735" s="157" t="s">
        <v>154</v>
      </c>
      <c r="R7735" s="303"/>
    </row>
    <row r="7736" spans="1:18" s="162" customFormat="1" ht="60" x14ac:dyDescent="0.25">
      <c r="A7736" s="184">
        <v>43674</v>
      </c>
      <c r="B7736" s="184">
        <v>43674</v>
      </c>
      <c r="C7736" s="138">
        <v>2019</v>
      </c>
      <c r="D7736" s="24" t="s">
        <v>141</v>
      </c>
      <c r="E7736" s="30" t="s">
        <v>142</v>
      </c>
      <c r="F7736" s="7" t="s">
        <v>75</v>
      </c>
      <c r="G7736" s="33" t="s">
        <v>75</v>
      </c>
      <c r="H7736" s="33" t="s">
        <v>10616</v>
      </c>
      <c r="I7736" s="304">
        <v>0</v>
      </c>
      <c r="J7736" s="305">
        <v>15</v>
      </c>
      <c r="K7736" s="142">
        <v>0</v>
      </c>
      <c r="L7736" s="142">
        <v>0</v>
      </c>
      <c r="M7736" s="142">
        <v>0</v>
      </c>
      <c r="N7736" s="142">
        <v>0</v>
      </c>
      <c r="O7736" s="305">
        <v>0</v>
      </c>
      <c r="P7736" s="306">
        <v>0.14282400000000001</v>
      </c>
      <c r="Q7736" s="157" t="s">
        <v>154</v>
      </c>
      <c r="R7736" s="303"/>
    </row>
    <row r="7737" spans="1:18" s="162" customFormat="1" ht="156" x14ac:dyDescent="0.25">
      <c r="A7737" s="184">
        <v>43675</v>
      </c>
      <c r="B7737" s="184">
        <v>43675</v>
      </c>
      <c r="C7737" s="43">
        <v>2019</v>
      </c>
      <c r="D7737" s="24" t="s">
        <v>141</v>
      </c>
      <c r="E7737" s="30" t="s">
        <v>142</v>
      </c>
      <c r="F7737" s="7" t="s">
        <v>82</v>
      </c>
      <c r="G7737" s="33" t="s">
        <v>1092</v>
      </c>
      <c r="H7737" s="33" t="s">
        <v>10617</v>
      </c>
      <c r="I7737" s="304">
        <v>6</v>
      </c>
      <c r="J7737" s="305">
        <v>36</v>
      </c>
      <c r="K7737" s="142">
        <v>0</v>
      </c>
      <c r="L7737" s="142">
        <v>0</v>
      </c>
      <c r="M7737" s="142">
        <v>0</v>
      </c>
      <c r="N7737" s="142">
        <v>0</v>
      </c>
      <c r="O7737" s="305">
        <v>0</v>
      </c>
      <c r="P7737" s="306">
        <v>1.4151050534883722</v>
      </c>
      <c r="Q7737" s="157" t="s">
        <v>154</v>
      </c>
      <c r="R7737" s="303"/>
    </row>
    <row r="7738" spans="1:18" s="162" customFormat="1" ht="72" x14ac:dyDescent="0.25">
      <c r="A7738" s="184">
        <v>43674</v>
      </c>
      <c r="B7738" s="184">
        <v>43675</v>
      </c>
      <c r="C7738" s="138">
        <v>2019</v>
      </c>
      <c r="D7738" s="351" t="s">
        <v>23</v>
      </c>
      <c r="E7738" s="22" t="s">
        <v>86</v>
      </c>
      <c r="F7738" s="7" t="s">
        <v>60</v>
      </c>
      <c r="G7738" s="33" t="s">
        <v>10618</v>
      </c>
      <c r="H7738" s="33" t="s">
        <v>10619</v>
      </c>
      <c r="I7738" s="304">
        <v>0</v>
      </c>
      <c r="J7738" s="305">
        <v>90</v>
      </c>
      <c r="K7738" s="142">
        <v>22</v>
      </c>
      <c r="L7738" s="142">
        <v>1</v>
      </c>
      <c r="M7738" s="142">
        <v>0</v>
      </c>
      <c r="N7738" s="142">
        <v>1</v>
      </c>
      <c r="O7738" s="305">
        <v>0</v>
      </c>
      <c r="P7738" s="306">
        <v>2.5409999999999999E-2</v>
      </c>
      <c r="Q7738" s="157" t="s">
        <v>154</v>
      </c>
      <c r="R7738" s="303"/>
    </row>
    <row r="7739" spans="1:18" s="162" customFormat="1" ht="108" x14ac:dyDescent="0.25">
      <c r="A7739" s="184">
        <v>43675</v>
      </c>
      <c r="B7739" s="184">
        <v>43675</v>
      </c>
      <c r="C7739" s="43">
        <v>2019</v>
      </c>
      <c r="D7739" s="24" t="s">
        <v>141</v>
      </c>
      <c r="E7739" s="30" t="s">
        <v>142</v>
      </c>
      <c r="F7739" s="7" t="s">
        <v>77</v>
      </c>
      <c r="G7739" s="33" t="s">
        <v>9607</v>
      </c>
      <c r="H7739" s="33" t="s">
        <v>10620</v>
      </c>
      <c r="I7739" s="304">
        <v>0</v>
      </c>
      <c r="J7739" s="305">
        <v>30</v>
      </c>
      <c r="K7739" s="142">
        <v>0</v>
      </c>
      <c r="L7739" s="142">
        <v>0</v>
      </c>
      <c r="M7739" s="142">
        <v>0</v>
      </c>
      <c r="N7739" s="142">
        <v>0</v>
      </c>
      <c r="O7739" s="305">
        <v>0</v>
      </c>
      <c r="P7739" s="306">
        <v>0.95240199999999997</v>
      </c>
      <c r="Q7739" s="157" t="s">
        <v>154</v>
      </c>
      <c r="R7739" s="303"/>
    </row>
    <row r="7740" spans="1:18" s="162" customFormat="1" ht="216" x14ac:dyDescent="0.25">
      <c r="A7740" s="184">
        <v>43675</v>
      </c>
      <c r="B7740" s="184">
        <v>43676</v>
      </c>
      <c r="C7740" s="138">
        <v>2019</v>
      </c>
      <c r="D7740" s="351" t="s">
        <v>23</v>
      </c>
      <c r="E7740" s="22" t="s">
        <v>86</v>
      </c>
      <c r="F7740" s="7" t="s">
        <v>60</v>
      </c>
      <c r="G7740" s="33" t="s">
        <v>10621</v>
      </c>
      <c r="H7740" s="33" t="s">
        <v>10622</v>
      </c>
      <c r="I7740" s="304">
        <v>0</v>
      </c>
      <c r="J7740" s="305">
        <v>100</v>
      </c>
      <c r="K7740" s="142">
        <v>21</v>
      </c>
      <c r="L7740" s="142">
        <v>0</v>
      </c>
      <c r="M7740" s="142">
        <v>0</v>
      </c>
      <c r="N7740" s="142">
        <v>1</v>
      </c>
      <c r="O7740" s="305">
        <v>0</v>
      </c>
      <c r="P7740" s="306">
        <v>5.9455000000000001E-2</v>
      </c>
      <c r="Q7740" s="157" t="s">
        <v>154</v>
      </c>
      <c r="R7740" s="303"/>
    </row>
    <row r="7741" spans="1:18" s="162" customFormat="1" ht="192" x14ac:dyDescent="0.25">
      <c r="A7741" s="184">
        <v>43676</v>
      </c>
      <c r="B7741" s="184">
        <v>43676</v>
      </c>
      <c r="C7741" s="43">
        <v>2019</v>
      </c>
      <c r="D7741" s="24" t="s">
        <v>141</v>
      </c>
      <c r="E7741" s="30" t="s">
        <v>142</v>
      </c>
      <c r="F7741" s="7" t="s">
        <v>60</v>
      </c>
      <c r="G7741" s="33" t="s">
        <v>2508</v>
      </c>
      <c r="H7741" s="33" t="s">
        <v>10623</v>
      </c>
      <c r="I7741" s="304">
        <v>2</v>
      </c>
      <c r="J7741" s="305">
        <v>2</v>
      </c>
      <c r="K7741" s="142">
        <v>0</v>
      </c>
      <c r="L7741" s="142">
        <v>0</v>
      </c>
      <c r="M7741" s="142">
        <v>0</v>
      </c>
      <c r="N7741" s="142">
        <v>0</v>
      </c>
      <c r="O7741" s="305">
        <v>0</v>
      </c>
      <c r="P7741" s="306">
        <v>0.22341667674418605</v>
      </c>
      <c r="Q7741" s="157" t="s">
        <v>154</v>
      </c>
      <c r="R7741" s="303"/>
    </row>
    <row r="7742" spans="1:18" s="162" customFormat="1" ht="72" x14ac:dyDescent="0.25">
      <c r="A7742" s="184">
        <v>43677</v>
      </c>
      <c r="B7742" s="184">
        <v>43677</v>
      </c>
      <c r="C7742" s="138">
        <v>2019</v>
      </c>
      <c r="D7742" s="24" t="s">
        <v>141</v>
      </c>
      <c r="E7742" s="30" t="s">
        <v>142</v>
      </c>
      <c r="F7742" s="7" t="s">
        <v>62</v>
      </c>
      <c r="G7742" s="33" t="s">
        <v>165</v>
      </c>
      <c r="H7742" s="33" t="s">
        <v>10624</v>
      </c>
      <c r="I7742" s="304">
        <v>0</v>
      </c>
      <c r="J7742" s="305">
        <v>7</v>
      </c>
      <c r="K7742" s="142">
        <v>0</v>
      </c>
      <c r="L7742" s="142">
        <v>0</v>
      </c>
      <c r="M7742" s="142">
        <v>0</v>
      </c>
      <c r="N7742" s="142">
        <v>0</v>
      </c>
      <c r="O7742" s="305">
        <v>0</v>
      </c>
      <c r="P7742" s="306">
        <v>3.7179999999999998E-2</v>
      </c>
      <c r="Q7742" s="157" t="s">
        <v>154</v>
      </c>
      <c r="R7742" s="303"/>
    </row>
    <row r="7743" spans="1:18" s="162" customFormat="1" ht="72" x14ac:dyDescent="0.25">
      <c r="A7743" s="184">
        <v>43676</v>
      </c>
      <c r="B7743" s="184">
        <v>43677</v>
      </c>
      <c r="C7743" s="43">
        <v>2019</v>
      </c>
      <c r="D7743" s="24" t="s">
        <v>141</v>
      </c>
      <c r="E7743" s="30" t="s">
        <v>142</v>
      </c>
      <c r="F7743" s="7" t="s">
        <v>45</v>
      </c>
      <c r="G7743" s="33" t="s">
        <v>1920</v>
      </c>
      <c r="H7743" s="33" t="s">
        <v>10625</v>
      </c>
      <c r="I7743" s="304">
        <v>0</v>
      </c>
      <c r="J7743" s="305">
        <v>52</v>
      </c>
      <c r="K7743" s="142">
        <v>0</v>
      </c>
      <c r="L7743" s="142">
        <v>0</v>
      </c>
      <c r="M7743" s="142">
        <v>0</v>
      </c>
      <c r="N7743" s="142">
        <v>0</v>
      </c>
      <c r="O7743" s="305">
        <v>0</v>
      </c>
      <c r="P7743" s="306">
        <v>0.82879833837209305</v>
      </c>
      <c r="Q7743" s="157" t="s">
        <v>154</v>
      </c>
      <c r="R7743" s="303"/>
    </row>
    <row r="7744" spans="1:18" s="162" customFormat="1" ht="192" x14ac:dyDescent="0.25">
      <c r="A7744" s="184">
        <v>43678</v>
      </c>
      <c r="B7744" s="184">
        <v>43678</v>
      </c>
      <c r="C7744" s="138">
        <v>2019</v>
      </c>
      <c r="D7744" s="24" t="s">
        <v>141</v>
      </c>
      <c r="E7744" s="30" t="s">
        <v>142</v>
      </c>
      <c r="F7744" s="7" t="s">
        <v>56</v>
      </c>
      <c r="G7744" s="33" t="s">
        <v>1707</v>
      </c>
      <c r="H7744" s="33" t="s">
        <v>10626</v>
      </c>
      <c r="I7744" s="304">
        <v>2</v>
      </c>
      <c r="J7744" s="305">
        <v>16</v>
      </c>
      <c r="K7744" s="142">
        <v>0</v>
      </c>
      <c r="L7744" s="142">
        <v>0</v>
      </c>
      <c r="M7744" s="142">
        <v>0</v>
      </c>
      <c r="N7744" s="142">
        <v>0</v>
      </c>
      <c r="O7744" s="305">
        <v>0</v>
      </c>
      <c r="P7744" s="306">
        <v>1.4693568000000001</v>
      </c>
      <c r="Q7744" s="157" t="s">
        <v>154</v>
      </c>
      <c r="R7744" s="303"/>
    </row>
    <row r="7745" spans="1:18" s="162" customFormat="1" ht="60" x14ac:dyDescent="0.25">
      <c r="A7745" s="184">
        <v>43679</v>
      </c>
      <c r="B7745" s="184">
        <v>43679</v>
      </c>
      <c r="C7745" s="43">
        <v>2019</v>
      </c>
      <c r="D7745" s="24" t="s">
        <v>141</v>
      </c>
      <c r="E7745" s="30" t="s">
        <v>142</v>
      </c>
      <c r="F7745" s="7" t="s">
        <v>77</v>
      </c>
      <c r="G7745" s="33" t="s">
        <v>77</v>
      </c>
      <c r="H7745" s="33" t="s">
        <v>10627</v>
      </c>
      <c r="I7745" s="304">
        <v>0</v>
      </c>
      <c r="J7745" s="305">
        <v>1</v>
      </c>
      <c r="K7745" s="142">
        <v>0</v>
      </c>
      <c r="L7745" s="142">
        <v>0</v>
      </c>
      <c r="M7745" s="142">
        <v>0</v>
      </c>
      <c r="N7745" s="142">
        <v>0</v>
      </c>
      <c r="O7745" s="305">
        <v>0</v>
      </c>
      <c r="P7745" s="306">
        <v>4.93897570761753</v>
      </c>
      <c r="Q7745" s="157" t="s">
        <v>154</v>
      </c>
      <c r="R7745" s="303"/>
    </row>
    <row r="7746" spans="1:18" s="162" customFormat="1" ht="120" x14ac:dyDescent="0.25">
      <c r="A7746" s="184">
        <v>43679</v>
      </c>
      <c r="B7746" s="184">
        <v>43679</v>
      </c>
      <c r="C7746" s="138">
        <v>2019</v>
      </c>
      <c r="D7746" s="24" t="s">
        <v>141</v>
      </c>
      <c r="E7746" s="30" t="s">
        <v>142</v>
      </c>
      <c r="F7746" s="7" t="s">
        <v>40</v>
      </c>
      <c r="G7746" s="33" t="s">
        <v>2716</v>
      </c>
      <c r="H7746" s="33" t="s">
        <v>10628</v>
      </c>
      <c r="I7746" s="304">
        <v>0</v>
      </c>
      <c r="J7746" s="305">
        <v>2</v>
      </c>
      <c r="K7746" s="142">
        <v>0</v>
      </c>
      <c r="L7746" s="142">
        <v>0</v>
      </c>
      <c r="M7746" s="142">
        <v>0</v>
      </c>
      <c r="N7746" s="142">
        <v>0</v>
      </c>
      <c r="O7746" s="305">
        <v>0</v>
      </c>
      <c r="P7746" s="306">
        <v>5.2292239076175298</v>
      </c>
      <c r="Q7746" s="157" t="s">
        <v>154</v>
      </c>
      <c r="R7746" s="303"/>
    </row>
    <row r="7747" spans="1:18" s="162" customFormat="1" ht="108" x14ac:dyDescent="0.25">
      <c r="A7747" s="184">
        <v>43680</v>
      </c>
      <c r="B7747" s="184">
        <v>43680</v>
      </c>
      <c r="C7747" s="43">
        <v>2019</v>
      </c>
      <c r="D7747" s="24" t="s">
        <v>141</v>
      </c>
      <c r="E7747" s="30" t="s">
        <v>142</v>
      </c>
      <c r="F7747" s="7" t="s">
        <v>58</v>
      </c>
      <c r="G7747" s="33" t="s">
        <v>5697</v>
      </c>
      <c r="H7747" s="33" t="s">
        <v>10629</v>
      </c>
      <c r="I7747" s="304">
        <v>1</v>
      </c>
      <c r="J7747" s="305">
        <v>18</v>
      </c>
      <c r="K7747" s="142">
        <v>0</v>
      </c>
      <c r="L7747" s="142">
        <v>0</v>
      </c>
      <c r="M7747" s="142">
        <v>0</v>
      </c>
      <c r="N7747" s="142">
        <v>0</v>
      </c>
      <c r="O7747" s="305">
        <v>0</v>
      </c>
      <c r="P7747" s="306">
        <v>0.37749340000000003</v>
      </c>
      <c r="Q7747" s="157" t="s">
        <v>154</v>
      </c>
      <c r="R7747" s="303"/>
    </row>
    <row r="7748" spans="1:18" s="162" customFormat="1" ht="132" x14ac:dyDescent="0.25">
      <c r="A7748" s="184">
        <v>43680</v>
      </c>
      <c r="B7748" s="184">
        <v>43680</v>
      </c>
      <c r="C7748" s="138">
        <v>2019</v>
      </c>
      <c r="D7748" s="24" t="s">
        <v>141</v>
      </c>
      <c r="E7748" s="30" t="s">
        <v>142</v>
      </c>
      <c r="F7748" s="7" t="s">
        <v>80</v>
      </c>
      <c r="G7748" s="33" t="s">
        <v>5558</v>
      </c>
      <c r="H7748" s="33" t="s">
        <v>10630</v>
      </c>
      <c r="I7748" s="304">
        <v>1</v>
      </c>
      <c r="J7748" s="305">
        <v>17</v>
      </c>
      <c r="K7748" s="142">
        <v>0</v>
      </c>
      <c r="L7748" s="142">
        <v>0</v>
      </c>
      <c r="M7748" s="142">
        <v>0</v>
      </c>
      <c r="N7748" s="142">
        <v>0</v>
      </c>
      <c r="O7748" s="305">
        <v>0</v>
      </c>
      <c r="P7748" s="306">
        <v>0.37217169999999999</v>
      </c>
      <c r="Q7748" s="157" t="s">
        <v>154</v>
      </c>
      <c r="R7748" s="303"/>
    </row>
    <row r="7749" spans="1:18" s="162" customFormat="1" ht="96" x14ac:dyDescent="0.25">
      <c r="A7749" s="184">
        <v>43680</v>
      </c>
      <c r="B7749" s="184">
        <v>43680</v>
      </c>
      <c r="C7749" s="43">
        <v>2019</v>
      </c>
      <c r="D7749" s="24" t="s">
        <v>141</v>
      </c>
      <c r="E7749" s="30" t="s">
        <v>142</v>
      </c>
      <c r="F7749" s="7" t="s">
        <v>53</v>
      </c>
      <c r="G7749" s="33" t="s">
        <v>10578</v>
      </c>
      <c r="H7749" s="33" t="s">
        <v>10631</v>
      </c>
      <c r="I7749" s="304">
        <v>0</v>
      </c>
      <c r="J7749" s="305">
        <v>17</v>
      </c>
      <c r="K7749" s="142">
        <v>0</v>
      </c>
      <c r="L7749" s="142">
        <v>0</v>
      </c>
      <c r="M7749" s="142">
        <v>0</v>
      </c>
      <c r="N7749" s="142">
        <v>0</v>
      </c>
      <c r="O7749" s="305">
        <v>0</v>
      </c>
      <c r="P7749" s="306">
        <v>0.78686170000000022</v>
      </c>
      <c r="Q7749" s="157" t="s">
        <v>154</v>
      </c>
      <c r="R7749" s="303"/>
    </row>
    <row r="7750" spans="1:18" s="162" customFormat="1" ht="348" x14ac:dyDescent="0.25">
      <c r="A7750" s="184">
        <v>43681</v>
      </c>
      <c r="B7750" s="184">
        <v>43681</v>
      </c>
      <c r="C7750" s="138">
        <v>2019</v>
      </c>
      <c r="D7750" s="351" t="s">
        <v>23</v>
      </c>
      <c r="E7750" s="22" t="s">
        <v>86</v>
      </c>
      <c r="F7750" s="7" t="s">
        <v>60</v>
      </c>
      <c r="G7750" s="33" t="s">
        <v>1605</v>
      </c>
      <c r="H7750" s="33" t="s">
        <v>10632</v>
      </c>
      <c r="I7750" s="304">
        <v>0</v>
      </c>
      <c r="J7750" s="305">
        <v>350</v>
      </c>
      <c r="K7750" s="142">
        <v>86</v>
      </c>
      <c r="L7750" s="142">
        <v>0</v>
      </c>
      <c r="M7750" s="142">
        <v>0</v>
      </c>
      <c r="N7750" s="142">
        <v>0</v>
      </c>
      <c r="O7750" s="305">
        <v>0</v>
      </c>
      <c r="P7750" s="306">
        <v>9.9330000000000002E-2</v>
      </c>
      <c r="Q7750" s="157" t="s">
        <v>154</v>
      </c>
      <c r="R7750" s="303"/>
    </row>
    <row r="7751" spans="1:18" s="162" customFormat="1" ht="108" x14ac:dyDescent="0.25">
      <c r="A7751" s="184">
        <v>43681</v>
      </c>
      <c r="B7751" s="184">
        <v>43682</v>
      </c>
      <c r="C7751" s="43">
        <v>2019</v>
      </c>
      <c r="D7751" s="351" t="s">
        <v>23</v>
      </c>
      <c r="E7751" s="22" t="s">
        <v>86</v>
      </c>
      <c r="F7751" s="7" t="s">
        <v>72</v>
      </c>
      <c r="G7751" s="33" t="s">
        <v>237</v>
      </c>
      <c r="H7751" s="33" t="s">
        <v>10633</v>
      </c>
      <c r="I7751" s="304">
        <v>0</v>
      </c>
      <c r="J7751" s="305">
        <v>344</v>
      </c>
      <c r="K7751" s="142">
        <v>86</v>
      </c>
      <c r="L7751" s="142">
        <v>0</v>
      </c>
      <c r="M7751" s="142">
        <v>0</v>
      </c>
      <c r="N7751" s="142">
        <v>0</v>
      </c>
      <c r="O7751" s="305">
        <v>0</v>
      </c>
      <c r="P7751" s="306">
        <v>9.9330000000000002E-2</v>
      </c>
      <c r="Q7751" s="157" t="s">
        <v>154</v>
      </c>
      <c r="R7751" s="303"/>
    </row>
    <row r="7752" spans="1:18" s="162" customFormat="1" ht="132" x14ac:dyDescent="0.25">
      <c r="A7752" s="184">
        <v>43682</v>
      </c>
      <c r="B7752" s="184">
        <v>43682</v>
      </c>
      <c r="C7752" s="138">
        <v>2019</v>
      </c>
      <c r="D7752" s="24" t="s">
        <v>141</v>
      </c>
      <c r="E7752" s="30" t="s">
        <v>142</v>
      </c>
      <c r="F7752" s="28" t="s">
        <v>210</v>
      </c>
      <c r="G7752" s="33" t="s">
        <v>3003</v>
      </c>
      <c r="H7752" s="33" t="s">
        <v>10634</v>
      </c>
      <c r="I7752" s="304">
        <v>0</v>
      </c>
      <c r="J7752" s="305">
        <v>14</v>
      </c>
      <c r="K7752" s="142">
        <v>0</v>
      </c>
      <c r="L7752" s="142">
        <v>0</v>
      </c>
      <c r="M7752" s="142">
        <v>0</v>
      </c>
      <c r="N7752" s="142">
        <v>0</v>
      </c>
      <c r="O7752" s="305">
        <v>0</v>
      </c>
      <c r="P7752" s="306">
        <v>8.3292000000000005E-2</v>
      </c>
      <c r="Q7752" s="157" t="s">
        <v>154</v>
      </c>
      <c r="R7752" s="303"/>
    </row>
    <row r="7753" spans="1:18" s="162" customFormat="1" ht="72" x14ac:dyDescent="0.25">
      <c r="A7753" s="184">
        <v>43682</v>
      </c>
      <c r="B7753" s="184">
        <v>43682</v>
      </c>
      <c r="C7753" s="43">
        <v>2019</v>
      </c>
      <c r="D7753" s="351" t="s">
        <v>23</v>
      </c>
      <c r="E7753" s="49" t="s">
        <v>5893</v>
      </c>
      <c r="F7753" s="7" t="s">
        <v>53</v>
      </c>
      <c r="G7753" s="33" t="s">
        <v>891</v>
      </c>
      <c r="H7753" s="33" t="s">
        <v>10635</v>
      </c>
      <c r="I7753" s="304">
        <v>1</v>
      </c>
      <c r="J7753" s="305">
        <v>1</v>
      </c>
      <c r="K7753" s="142">
        <v>0</v>
      </c>
      <c r="L7753" s="142">
        <v>0</v>
      </c>
      <c r="M7753" s="142">
        <v>0</v>
      </c>
      <c r="N7753" s="142">
        <v>0</v>
      </c>
      <c r="O7753" s="305">
        <v>0</v>
      </c>
      <c r="P7753" s="306">
        <v>0</v>
      </c>
      <c r="Q7753" s="157" t="s">
        <v>154</v>
      </c>
      <c r="R7753" s="303"/>
    </row>
    <row r="7754" spans="1:18" s="162" customFormat="1" ht="168" x14ac:dyDescent="0.25">
      <c r="A7754" s="184">
        <v>43683</v>
      </c>
      <c r="B7754" s="184">
        <v>43683</v>
      </c>
      <c r="C7754" s="138">
        <v>2019</v>
      </c>
      <c r="D7754" s="351" t="s">
        <v>23</v>
      </c>
      <c r="E7754" s="22" t="s">
        <v>86</v>
      </c>
      <c r="F7754" s="7" t="s">
        <v>53</v>
      </c>
      <c r="G7754" s="33" t="s">
        <v>10636</v>
      </c>
      <c r="H7754" s="33" t="s">
        <v>10637</v>
      </c>
      <c r="I7754" s="304">
        <v>0</v>
      </c>
      <c r="J7754" s="305">
        <v>60</v>
      </c>
      <c r="K7754" s="142">
        <v>15</v>
      </c>
      <c r="L7754" s="142">
        <v>0</v>
      </c>
      <c r="M7754" s="142">
        <v>0</v>
      </c>
      <c r="N7754" s="142">
        <v>0</v>
      </c>
      <c r="O7754" s="305">
        <v>0</v>
      </c>
      <c r="P7754" s="306">
        <v>1.7325E-2</v>
      </c>
      <c r="Q7754" s="157" t="s">
        <v>154</v>
      </c>
      <c r="R7754" s="303"/>
    </row>
    <row r="7755" spans="1:18" s="162" customFormat="1" ht="72" x14ac:dyDescent="0.25">
      <c r="A7755" s="184">
        <v>43683</v>
      </c>
      <c r="B7755" s="184">
        <v>43684</v>
      </c>
      <c r="C7755" s="43">
        <v>2019</v>
      </c>
      <c r="D7755" s="24" t="s">
        <v>130</v>
      </c>
      <c r="E7755" s="30" t="s">
        <v>136</v>
      </c>
      <c r="F7755" s="7" t="s">
        <v>33</v>
      </c>
      <c r="G7755" s="33" t="s">
        <v>9168</v>
      </c>
      <c r="H7755" s="33" t="s">
        <v>10638</v>
      </c>
      <c r="I7755" s="304">
        <v>0</v>
      </c>
      <c r="J7755" s="305">
        <v>32</v>
      </c>
      <c r="K7755" s="142">
        <v>0</v>
      </c>
      <c r="L7755" s="142">
        <v>0</v>
      </c>
      <c r="M7755" s="142">
        <v>0</v>
      </c>
      <c r="N7755" s="142">
        <v>0</v>
      </c>
      <c r="O7755" s="305">
        <v>0</v>
      </c>
      <c r="P7755" s="306">
        <v>3.1680000000000007E-2</v>
      </c>
      <c r="Q7755" s="157" t="s">
        <v>154</v>
      </c>
      <c r="R7755" s="303"/>
    </row>
    <row r="7756" spans="1:18" s="162" customFormat="1" ht="120" x14ac:dyDescent="0.25">
      <c r="A7756" s="184">
        <v>43684</v>
      </c>
      <c r="B7756" s="184">
        <v>43684</v>
      </c>
      <c r="C7756" s="138">
        <v>2019</v>
      </c>
      <c r="D7756" s="24" t="s">
        <v>141</v>
      </c>
      <c r="E7756" s="30" t="s">
        <v>142</v>
      </c>
      <c r="F7756" s="7" t="s">
        <v>30</v>
      </c>
      <c r="G7756" s="33" t="s">
        <v>1078</v>
      </c>
      <c r="H7756" s="33" t="s">
        <v>10639</v>
      </c>
      <c r="I7756" s="304">
        <v>0</v>
      </c>
      <c r="J7756" s="305">
        <v>20</v>
      </c>
      <c r="K7756" s="142">
        <v>0</v>
      </c>
      <c r="L7756" s="142">
        <v>0</v>
      </c>
      <c r="M7756" s="142">
        <v>0</v>
      </c>
      <c r="N7756" s="142">
        <v>0</v>
      </c>
      <c r="O7756" s="305">
        <v>0</v>
      </c>
      <c r="P7756" s="306">
        <v>9.2971999999999999E-2</v>
      </c>
      <c r="Q7756" s="157" t="s">
        <v>154</v>
      </c>
      <c r="R7756" s="303"/>
    </row>
    <row r="7757" spans="1:18" s="162" customFormat="1" ht="96" x14ac:dyDescent="0.25">
      <c r="A7757" s="184">
        <v>43685</v>
      </c>
      <c r="B7757" s="184">
        <v>43685</v>
      </c>
      <c r="C7757" s="43">
        <v>2019</v>
      </c>
      <c r="D7757" s="35" t="s">
        <v>28</v>
      </c>
      <c r="E7757" s="30" t="s">
        <v>133</v>
      </c>
      <c r="F7757" s="7" t="s">
        <v>53</v>
      </c>
      <c r="G7757" s="33" t="s">
        <v>1119</v>
      </c>
      <c r="H7757" s="33" t="s">
        <v>10640</v>
      </c>
      <c r="I7757" s="304">
        <v>0</v>
      </c>
      <c r="J7757" s="305">
        <v>10</v>
      </c>
      <c r="K7757" s="142">
        <v>0</v>
      </c>
      <c r="L7757" s="142">
        <v>0</v>
      </c>
      <c r="M7757" s="142">
        <v>0</v>
      </c>
      <c r="N7757" s="142">
        <v>0</v>
      </c>
      <c r="O7757" s="305">
        <v>0</v>
      </c>
      <c r="P7757" s="306">
        <v>0</v>
      </c>
      <c r="Q7757" s="157" t="s">
        <v>154</v>
      </c>
      <c r="R7757" s="303"/>
    </row>
    <row r="7758" spans="1:18" s="162" customFormat="1" ht="108" x14ac:dyDescent="0.25">
      <c r="A7758" s="184">
        <v>43685</v>
      </c>
      <c r="B7758" s="184">
        <v>43685</v>
      </c>
      <c r="C7758" s="138">
        <v>2019</v>
      </c>
      <c r="D7758" s="35" t="s">
        <v>28</v>
      </c>
      <c r="E7758" s="30" t="s">
        <v>125</v>
      </c>
      <c r="F7758" s="7" t="s">
        <v>30</v>
      </c>
      <c r="G7758" s="33" t="s">
        <v>1078</v>
      </c>
      <c r="H7758" s="33" t="s">
        <v>10641</v>
      </c>
      <c r="I7758" s="304">
        <v>0</v>
      </c>
      <c r="J7758" s="305">
        <v>772</v>
      </c>
      <c r="K7758" s="142">
        <v>0</v>
      </c>
      <c r="L7758" s="142">
        <v>0</v>
      </c>
      <c r="M7758" s="142">
        <v>0</v>
      </c>
      <c r="N7758" s="142">
        <v>0</v>
      </c>
      <c r="O7758" s="305">
        <v>0</v>
      </c>
      <c r="P7758" s="306">
        <v>4.9500000000000013E-3</v>
      </c>
      <c r="Q7758" s="157" t="s">
        <v>154</v>
      </c>
      <c r="R7758" s="303"/>
    </row>
    <row r="7759" spans="1:18" s="162" customFormat="1" ht="132" x14ac:dyDescent="0.25">
      <c r="A7759" s="184">
        <v>43686</v>
      </c>
      <c r="B7759" s="184">
        <v>43686</v>
      </c>
      <c r="C7759" s="43">
        <v>2019</v>
      </c>
      <c r="D7759" s="24" t="s">
        <v>141</v>
      </c>
      <c r="E7759" s="30" t="s">
        <v>142</v>
      </c>
      <c r="F7759" s="7" t="s">
        <v>77</v>
      </c>
      <c r="G7759" s="33" t="s">
        <v>9607</v>
      </c>
      <c r="H7759" s="33" t="s">
        <v>10642</v>
      </c>
      <c r="I7759" s="304">
        <v>1</v>
      </c>
      <c r="J7759" s="305">
        <v>41</v>
      </c>
      <c r="K7759" s="142">
        <v>0</v>
      </c>
      <c r="L7759" s="142">
        <v>0</v>
      </c>
      <c r="M7759" s="142">
        <v>0</v>
      </c>
      <c r="N7759" s="142">
        <v>0</v>
      </c>
      <c r="O7759" s="305">
        <v>0</v>
      </c>
      <c r="P7759" s="306">
        <v>0.42539199999999999</v>
      </c>
      <c r="Q7759" s="157" t="s">
        <v>154</v>
      </c>
      <c r="R7759" s="303"/>
    </row>
    <row r="7760" spans="1:18" s="162" customFormat="1" ht="120" x14ac:dyDescent="0.25">
      <c r="A7760" s="184">
        <v>43686</v>
      </c>
      <c r="B7760" s="184">
        <v>43686</v>
      </c>
      <c r="C7760" s="138">
        <v>2019</v>
      </c>
      <c r="D7760" s="35" t="s">
        <v>17</v>
      </c>
      <c r="E7760" s="6" t="s">
        <v>328</v>
      </c>
      <c r="F7760" s="7" t="s">
        <v>60</v>
      </c>
      <c r="G7760" s="33" t="s">
        <v>908</v>
      </c>
      <c r="H7760" s="33" t="s">
        <v>10643</v>
      </c>
      <c r="I7760" s="304">
        <v>0</v>
      </c>
      <c r="J7760" s="305">
        <v>34</v>
      </c>
      <c r="K7760" s="142">
        <v>1</v>
      </c>
      <c r="L7760" s="142">
        <v>0</v>
      </c>
      <c r="M7760" s="142">
        <v>0</v>
      </c>
      <c r="N7760" s="142">
        <v>0</v>
      </c>
      <c r="O7760" s="305">
        <v>0</v>
      </c>
      <c r="P7760" s="306">
        <v>0.13200000000000001</v>
      </c>
      <c r="Q7760" s="157" t="s">
        <v>154</v>
      </c>
      <c r="R7760" s="303"/>
    </row>
    <row r="7761" spans="1:18" s="162" customFormat="1" ht="72" x14ac:dyDescent="0.25">
      <c r="A7761" s="184">
        <v>43686</v>
      </c>
      <c r="B7761" s="184">
        <v>43686</v>
      </c>
      <c r="C7761" s="43">
        <v>2019</v>
      </c>
      <c r="D7761" s="24" t="s">
        <v>141</v>
      </c>
      <c r="E7761" s="30" t="s">
        <v>142</v>
      </c>
      <c r="F7761" s="28" t="s">
        <v>210</v>
      </c>
      <c r="G7761" s="33" t="s">
        <v>2664</v>
      </c>
      <c r="H7761" s="33" t="s">
        <v>10644</v>
      </c>
      <c r="I7761" s="304">
        <v>0</v>
      </c>
      <c r="J7761" s="305">
        <v>9</v>
      </c>
      <c r="K7761" s="142">
        <v>0</v>
      </c>
      <c r="L7761" s="142">
        <v>0</v>
      </c>
      <c r="M7761" s="142">
        <v>0</v>
      </c>
      <c r="N7761" s="142">
        <v>0</v>
      </c>
      <c r="O7761" s="305">
        <v>0</v>
      </c>
      <c r="P7761" s="306">
        <v>8.0322000000000005E-2</v>
      </c>
      <c r="Q7761" s="157" t="s">
        <v>154</v>
      </c>
      <c r="R7761" s="303"/>
    </row>
    <row r="7762" spans="1:18" s="162" customFormat="1" ht="84" x14ac:dyDescent="0.25">
      <c r="A7762" s="184">
        <v>43688</v>
      </c>
      <c r="B7762" s="184">
        <v>43688</v>
      </c>
      <c r="C7762" s="138">
        <v>2019</v>
      </c>
      <c r="D7762" s="24" t="s">
        <v>141</v>
      </c>
      <c r="E7762" s="30" t="s">
        <v>142</v>
      </c>
      <c r="F7762" s="28" t="s">
        <v>210</v>
      </c>
      <c r="G7762" s="33" t="s">
        <v>865</v>
      </c>
      <c r="H7762" s="33" t="s">
        <v>10645</v>
      </c>
      <c r="I7762" s="304">
        <v>0</v>
      </c>
      <c r="J7762" s="305">
        <v>8</v>
      </c>
      <c r="K7762" s="142">
        <v>0</v>
      </c>
      <c r="L7762" s="142">
        <v>0</v>
      </c>
      <c r="M7762" s="142">
        <v>0</v>
      </c>
      <c r="N7762" s="142">
        <v>0</v>
      </c>
      <c r="O7762" s="305">
        <v>0</v>
      </c>
      <c r="P7762" s="306">
        <v>7.9332E-2</v>
      </c>
      <c r="Q7762" s="157" t="s">
        <v>154</v>
      </c>
      <c r="R7762" s="303"/>
    </row>
    <row r="7763" spans="1:18" s="162" customFormat="1" ht="72" x14ac:dyDescent="0.25">
      <c r="A7763" s="184">
        <v>43688</v>
      </c>
      <c r="B7763" s="184">
        <v>43688</v>
      </c>
      <c r="C7763" s="43">
        <v>2019</v>
      </c>
      <c r="D7763" s="24" t="s">
        <v>141</v>
      </c>
      <c r="E7763" s="42" t="s">
        <v>447</v>
      </c>
      <c r="F7763" s="7" t="s">
        <v>60</v>
      </c>
      <c r="G7763" s="33" t="s">
        <v>10646</v>
      </c>
      <c r="H7763" s="33" t="s">
        <v>10647</v>
      </c>
      <c r="I7763" s="304">
        <v>1</v>
      </c>
      <c r="J7763" s="305">
        <v>6</v>
      </c>
      <c r="K7763" s="142">
        <v>0</v>
      </c>
      <c r="L7763" s="142">
        <v>0</v>
      </c>
      <c r="M7763" s="142">
        <v>0</v>
      </c>
      <c r="N7763" s="142">
        <v>0</v>
      </c>
      <c r="O7763" s="305">
        <v>0</v>
      </c>
      <c r="P7763" s="306">
        <v>2.9700000000000004E-3</v>
      </c>
      <c r="Q7763" s="157" t="s">
        <v>154</v>
      </c>
      <c r="R7763" s="303"/>
    </row>
    <row r="7764" spans="1:18" s="162" customFormat="1" ht="96" x14ac:dyDescent="0.25">
      <c r="A7764" s="184">
        <v>43689</v>
      </c>
      <c r="B7764" s="184">
        <v>43689</v>
      </c>
      <c r="C7764" s="138">
        <v>2019</v>
      </c>
      <c r="D7764" s="24" t="s">
        <v>141</v>
      </c>
      <c r="E7764" s="30" t="s">
        <v>142</v>
      </c>
      <c r="F7764" s="7" t="s">
        <v>82</v>
      </c>
      <c r="G7764" s="33" t="s">
        <v>571</v>
      </c>
      <c r="H7764" s="33" t="s">
        <v>10648</v>
      </c>
      <c r="I7764" s="304">
        <v>0</v>
      </c>
      <c r="J7764" s="305">
        <v>8</v>
      </c>
      <c r="K7764" s="142">
        <v>0</v>
      </c>
      <c r="L7764" s="142">
        <v>0</v>
      </c>
      <c r="M7764" s="142">
        <v>0</v>
      </c>
      <c r="N7764" s="142">
        <v>0</v>
      </c>
      <c r="O7764" s="305">
        <v>0</v>
      </c>
      <c r="P7764" s="306">
        <v>0.18392</v>
      </c>
      <c r="Q7764" s="157" t="s">
        <v>154</v>
      </c>
      <c r="R7764" s="303"/>
    </row>
    <row r="7765" spans="1:18" s="162" customFormat="1" ht="96" x14ac:dyDescent="0.25">
      <c r="A7765" s="184">
        <v>43689</v>
      </c>
      <c r="B7765" s="184">
        <v>43689</v>
      </c>
      <c r="C7765" s="43">
        <v>2019</v>
      </c>
      <c r="D7765" s="24" t="s">
        <v>141</v>
      </c>
      <c r="E7765" s="30" t="s">
        <v>142</v>
      </c>
      <c r="F7765" s="7" t="s">
        <v>62</v>
      </c>
      <c r="G7765" s="33" t="s">
        <v>10649</v>
      </c>
      <c r="H7765" s="33" t="s">
        <v>10650</v>
      </c>
      <c r="I7765" s="304">
        <v>0</v>
      </c>
      <c r="J7765" s="305">
        <v>7</v>
      </c>
      <c r="K7765" s="142">
        <v>0</v>
      </c>
      <c r="L7765" s="142">
        <v>0</v>
      </c>
      <c r="M7765" s="142">
        <v>0</v>
      </c>
      <c r="N7765" s="142">
        <v>0</v>
      </c>
      <c r="O7765" s="305">
        <v>0</v>
      </c>
      <c r="P7765" s="306">
        <v>0.75624999999999998</v>
      </c>
      <c r="Q7765" s="157" t="s">
        <v>154</v>
      </c>
      <c r="R7765" s="303"/>
    </row>
    <row r="7766" spans="1:18" s="162" customFormat="1" ht="72" x14ac:dyDescent="0.25">
      <c r="A7766" s="184">
        <v>43689</v>
      </c>
      <c r="B7766" s="184">
        <v>43689</v>
      </c>
      <c r="C7766" s="138">
        <v>2019</v>
      </c>
      <c r="D7766" s="35" t="s">
        <v>28</v>
      </c>
      <c r="E7766" s="6" t="s">
        <v>149</v>
      </c>
      <c r="F7766" s="7" t="s">
        <v>68</v>
      </c>
      <c r="G7766" s="33" t="s">
        <v>1121</v>
      </c>
      <c r="H7766" s="33" t="s">
        <v>10651</v>
      </c>
      <c r="I7766" s="304">
        <v>0</v>
      </c>
      <c r="J7766" s="305">
        <v>30</v>
      </c>
      <c r="K7766" s="142">
        <v>1</v>
      </c>
      <c r="L7766" s="142">
        <v>0</v>
      </c>
      <c r="M7766" s="142">
        <v>0</v>
      </c>
      <c r="N7766" s="142">
        <v>0</v>
      </c>
      <c r="O7766" s="305">
        <v>0</v>
      </c>
      <c r="P7766" s="306">
        <v>6.0500000000000007E-3</v>
      </c>
      <c r="Q7766" s="157" t="s">
        <v>154</v>
      </c>
      <c r="R7766" s="303"/>
    </row>
    <row r="7767" spans="1:18" s="162" customFormat="1" ht="84" x14ac:dyDescent="0.25">
      <c r="A7767" s="184">
        <v>43690</v>
      </c>
      <c r="B7767" s="184">
        <v>43690</v>
      </c>
      <c r="C7767" s="43">
        <v>2019</v>
      </c>
      <c r="D7767" s="35" t="s">
        <v>28</v>
      </c>
      <c r="E7767" s="6" t="s">
        <v>149</v>
      </c>
      <c r="F7767" s="7" t="s">
        <v>68</v>
      </c>
      <c r="G7767" s="33" t="s">
        <v>752</v>
      </c>
      <c r="H7767" s="33" t="s">
        <v>10652</v>
      </c>
      <c r="I7767" s="304">
        <v>0</v>
      </c>
      <c r="J7767" s="305">
        <v>150</v>
      </c>
      <c r="K7767" s="142">
        <v>80</v>
      </c>
      <c r="L7767" s="142">
        <v>0</v>
      </c>
      <c r="M7767" s="142">
        <v>0</v>
      </c>
      <c r="N7767" s="142">
        <v>0</v>
      </c>
      <c r="O7767" s="305">
        <v>0</v>
      </c>
      <c r="P7767" s="306">
        <v>3.0800000000000004E-2</v>
      </c>
      <c r="Q7767" s="157" t="s">
        <v>154</v>
      </c>
      <c r="R7767" s="303"/>
    </row>
    <row r="7768" spans="1:18" s="162" customFormat="1" ht="84" x14ac:dyDescent="0.25">
      <c r="A7768" s="184">
        <v>43690</v>
      </c>
      <c r="B7768" s="184">
        <v>43690</v>
      </c>
      <c r="C7768" s="138">
        <v>2019</v>
      </c>
      <c r="D7768" s="35" t="s">
        <v>28</v>
      </c>
      <c r="E7768" s="6" t="s">
        <v>149</v>
      </c>
      <c r="F7768" s="7" t="s">
        <v>62</v>
      </c>
      <c r="G7768" s="33" t="s">
        <v>500</v>
      </c>
      <c r="H7768" s="33" t="s">
        <v>10653</v>
      </c>
      <c r="I7768" s="304">
        <v>0</v>
      </c>
      <c r="J7768" s="305">
        <v>41</v>
      </c>
      <c r="K7768" s="142">
        <v>5</v>
      </c>
      <c r="L7768" s="142">
        <v>0</v>
      </c>
      <c r="M7768" s="142">
        <v>0</v>
      </c>
      <c r="N7768" s="142">
        <v>0</v>
      </c>
      <c r="O7768" s="305">
        <v>0</v>
      </c>
      <c r="P7768" s="306">
        <v>0</v>
      </c>
      <c r="Q7768" s="157" t="s">
        <v>154</v>
      </c>
      <c r="R7768" s="303"/>
    </row>
    <row r="7769" spans="1:18" s="162" customFormat="1" ht="132" x14ac:dyDescent="0.25">
      <c r="A7769" s="184">
        <v>43691</v>
      </c>
      <c r="B7769" s="184">
        <v>43691</v>
      </c>
      <c r="C7769" s="43">
        <v>2019</v>
      </c>
      <c r="D7769" s="35" t="s">
        <v>28</v>
      </c>
      <c r="E7769" s="6" t="s">
        <v>149</v>
      </c>
      <c r="F7769" s="28" t="s">
        <v>210</v>
      </c>
      <c r="G7769" s="33" t="s">
        <v>3684</v>
      </c>
      <c r="H7769" s="33" t="s">
        <v>10654</v>
      </c>
      <c r="I7769" s="304">
        <v>0</v>
      </c>
      <c r="J7769" s="305">
        <v>659</v>
      </c>
      <c r="K7769" s="142">
        <v>2</v>
      </c>
      <c r="L7769" s="142">
        <v>0</v>
      </c>
      <c r="M7769" s="142">
        <v>0</v>
      </c>
      <c r="N7769" s="142">
        <v>0</v>
      </c>
      <c r="O7769" s="305">
        <v>0</v>
      </c>
      <c r="P7769" s="306">
        <v>9.9000000000000021E-4</v>
      </c>
      <c r="Q7769" s="157" t="s">
        <v>154</v>
      </c>
      <c r="R7769" s="303"/>
    </row>
    <row r="7770" spans="1:18" s="162" customFormat="1" ht="96" x14ac:dyDescent="0.25">
      <c r="A7770" s="184">
        <v>43692</v>
      </c>
      <c r="B7770" s="184">
        <v>43692</v>
      </c>
      <c r="C7770" s="138">
        <v>2019</v>
      </c>
      <c r="D7770" s="35" t="s">
        <v>28</v>
      </c>
      <c r="E7770" s="6" t="s">
        <v>149</v>
      </c>
      <c r="F7770" s="28" t="s">
        <v>157</v>
      </c>
      <c r="G7770" s="33" t="s">
        <v>206</v>
      </c>
      <c r="H7770" s="33" t="s">
        <v>10655</v>
      </c>
      <c r="I7770" s="304">
        <v>3</v>
      </c>
      <c r="J7770" s="305">
        <v>10</v>
      </c>
      <c r="K7770" s="142">
        <v>0</v>
      </c>
      <c r="L7770" s="142">
        <v>0</v>
      </c>
      <c r="M7770" s="142">
        <v>0</v>
      </c>
      <c r="N7770" s="142">
        <v>0</v>
      </c>
      <c r="O7770" s="305">
        <v>0</v>
      </c>
      <c r="P7770" s="306">
        <v>0</v>
      </c>
      <c r="Q7770" s="157" t="s">
        <v>154</v>
      </c>
      <c r="R7770" s="303"/>
    </row>
    <row r="7771" spans="1:18" s="162" customFormat="1" ht="108" x14ac:dyDescent="0.25">
      <c r="A7771" s="184">
        <v>43692</v>
      </c>
      <c r="B7771" s="184">
        <v>43692</v>
      </c>
      <c r="C7771" s="43">
        <v>2019</v>
      </c>
      <c r="D7771" s="24" t="s">
        <v>141</v>
      </c>
      <c r="E7771" s="30" t="s">
        <v>142</v>
      </c>
      <c r="F7771" s="28" t="s">
        <v>157</v>
      </c>
      <c r="G7771" s="33" t="s">
        <v>4820</v>
      </c>
      <c r="H7771" s="33" t="s">
        <v>10656</v>
      </c>
      <c r="I7771" s="304">
        <v>0</v>
      </c>
      <c r="J7771" s="305">
        <v>14</v>
      </c>
      <c r="K7771" s="142">
        <v>0</v>
      </c>
      <c r="L7771" s="142">
        <v>0</v>
      </c>
      <c r="M7771" s="142">
        <v>0</v>
      </c>
      <c r="N7771" s="142">
        <v>0</v>
      </c>
      <c r="O7771" s="305">
        <v>0</v>
      </c>
      <c r="P7771" s="306">
        <v>0.19419170000000002</v>
      </c>
      <c r="Q7771" s="157" t="s">
        <v>154</v>
      </c>
      <c r="R7771" s="303"/>
    </row>
    <row r="7772" spans="1:18" s="162" customFormat="1" ht="156" x14ac:dyDescent="0.25">
      <c r="A7772" s="184">
        <v>43693</v>
      </c>
      <c r="B7772" s="184">
        <v>43693</v>
      </c>
      <c r="C7772" s="138">
        <v>2019</v>
      </c>
      <c r="D7772" s="24" t="s">
        <v>141</v>
      </c>
      <c r="E7772" s="30" t="s">
        <v>142</v>
      </c>
      <c r="F7772" s="28" t="s">
        <v>160</v>
      </c>
      <c r="G7772" s="33" t="s">
        <v>10559</v>
      </c>
      <c r="H7772" s="33" t="s">
        <v>10657</v>
      </c>
      <c r="I7772" s="304">
        <v>7</v>
      </c>
      <c r="J7772" s="305">
        <v>13</v>
      </c>
      <c r="K7772" s="142">
        <v>0</v>
      </c>
      <c r="L7772" s="142">
        <v>0</v>
      </c>
      <c r="M7772" s="142">
        <v>0</v>
      </c>
      <c r="N7772" s="142">
        <v>0</v>
      </c>
      <c r="O7772" s="305">
        <v>0</v>
      </c>
      <c r="P7772" s="306">
        <v>0.35015630000000003</v>
      </c>
      <c r="Q7772" s="157" t="s">
        <v>154</v>
      </c>
      <c r="R7772" s="303"/>
    </row>
    <row r="7773" spans="1:18" s="162" customFormat="1" ht="264" x14ac:dyDescent="0.25">
      <c r="A7773" s="184">
        <v>43693</v>
      </c>
      <c r="B7773" s="184">
        <v>43693</v>
      </c>
      <c r="C7773" s="43">
        <v>2019</v>
      </c>
      <c r="D7773" s="24" t="s">
        <v>141</v>
      </c>
      <c r="E7773" s="42" t="s">
        <v>447</v>
      </c>
      <c r="F7773" s="28" t="s">
        <v>157</v>
      </c>
      <c r="G7773" s="33" t="s">
        <v>1062</v>
      </c>
      <c r="H7773" s="33" t="s">
        <v>10658</v>
      </c>
      <c r="I7773" s="304">
        <v>0</v>
      </c>
      <c r="J7773" s="305">
        <v>13</v>
      </c>
      <c r="K7773" s="142">
        <v>0</v>
      </c>
      <c r="L7773" s="142">
        <v>0</v>
      </c>
      <c r="M7773" s="142">
        <v>0</v>
      </c>
      <c r="N7773" s="142">
        <v>0</v>
      </c>
      <c r="O7773" s="305">
        <v>0</v>
      </c>
      <c r="P7773" s="306">
        <v>9.9000000000000021E-4</v>
      </c>
      <c r="Q7773" s="157" t="s">
        <v>154</v>
      </c>
      <c r="R7773" s="303"/>
    </row>
    <row r="7774" spans="1:18" s="162" customFormat="1" ht="60" x14ac:dyDescent="0.25">
      <c r="A7774" s="184">
        <v>43694</v>
      </c>
      <c r="B7774" s="184">
        <v>43694</v>
      </c>
      <c r="C7774" s="138">
        <v>2019</v>
      </c>
      <c r="D7774" s="24" t="s">
        <v>141</v>
      </c>
      <c r="E7774" s="30" t="s">
        <v>142</v>
      </c>
      <c r="F7774" s="7" t="s">
        <v>80</v>
      </c>
      <c r="G7774" s="33" t="s">
        <v>1089</v>
      </c>
      <c r="H7774" s="33" t="s">
        <v>10659</v>
      </c>
      <c r="I7774" s="304">
        <v>0</v>
      </c>
      <c r="J7774" s="305">
        <v>5</v>
      </c>
      <c r="K7774" s="142">
        <v>0</v>
      </c>
      <c r="L7774" s="142">
        <v>0</v>
      </c>
      <c r="M7774" s="142">
        <v>0</v>
      </c>
      <c r="N7774" s="142">
        <v>0</v>
      </c>
      <c r="O7774" s="305">
        <v>0</v>
      </c>
      <c r="P7774" s="306">
        <v>0.90100219999999998</v>
      </c>
      <c r="Q7774" s="157" t="s">
        <v>154</v>
      </c>
      <c r="R7774" s="303"/>
    </row>
    <row r="7775" spans="1:18" s="162" customFormat="1" ht="84" x14ac:dyDescent="0.25">
      <c r="A7775" s="184">
        <v>43694</v>
      </c>
      <c r="B7775" s="184">
        <v>43694</v>
      </c>
      <c r="C7775" s="43">
        <v>2019</v>
      </c>
      <c r="D7775" s="24" t="s">
        <v>141</v>
      </c>
      <c r="E7775" s="30" t="s">
        <v>142</v>
      </c>
      <c r="F7775" s="7" t="s">
        <v>68</v>
      </c>
      <c r="G7775" s="33" t="s">
        <v>9931</v>
      </c>
      <c r="H7775" s="33" t="s">
        <v>10660</v>
      </c>
      <c r="I7775" s="304">
        <v>1</v>
      </c>
      <c r="J7775" s="305">
        <v>5</v>
      </c>
      <c r="K7775" s="142">
        <v>0</v>
      </c>
      <c r="L7775" s="142">
        <v>0</v>
      </c>
      <c r="M7775" s="142">
        <v>0</v>
      </c>
      <c r="N7775" s="142">
        <v>0</v>
      </c>
      <c r="O7775" s="305">
        <v>0</v>
      </c>
      <c r="P7775" s="306">
        <v>0.72078600000000004</v>
      </c>
      <c r="Q7775" s="157" t="s">
        <v>154</v>
      </c>
      <c r="R7775" s="303"/>
    </row>
    <row r="7776" spans="1:18" s="162" customFormat="1" ht="144" x14ac:dyDescent="0.25">
      <c r="A7776" s="184">
        <v>43695</v>
      </c>
      <c r="B7776" s="184">
        <v>43695</v>
      </c>
      <c r="C7776" s="138">
        <v>2019</v>
      </c>
      <c r="D7776" s="35" t="s">
        <v>28</v>
      </c>
      <c r="E7776" s="30" t="s">
        <v>133</v>
      </c>
      <c r="F7776" s="7" t="s">
        <v>53</v>
      </c>
      <c r="G7776" s="33" t="s">
        <v>416</v>
      </c>
      <c r="H7776" s="33" t="s">
        <v>10661</v>
      </c>
      <c r="I7776" s="304">
        <v>0</v>
      </c>
      <c r="J7776" s="305">
        <v>58</v>
      </c>
      <c r="K7776" s="142">
        <v>6</v>
      </c>
      <c r="L7776" s="142">
        <v>0</v>
      </c>
      <c r="M7776" s="142">
        <v>0</v>
      </c>
      <c r="N7776" s="142">
        <v>0</v>
      </c>
      <c r="O7776" s="305">
        <v>0</v>
      </c>
      <c r="P7776" s="306">
        <v>0.32340000000000002</v>
      </c>
      <c r="Q7776" s="157" t="s">
        <v>154</v>
      </c>
      <c r="R7776" s="303"/>
    </row>
    <row r="7777" spans="1:18" s="162" customFormat="1" ht="156" x14ac:dyDescent="0.25">
      <c r="A7777" s="184">
        <v>43694</v>
      </c>
      <c r="B7777" s="184">
        <v>43694</v>
      </c>
      <c r="C7777" s="43">
        <v>2019</v>
      </c>
      <c r="D7777" s="351" t="s">
        <v>23</v>
      </c>
      <c r="E7777" s="22" t="s">
        <v>86</v>
      </c>
      <c r="F7777" s="7" t="s">
        <v>36</v>
      </c>
      <c r="G7777" s="33" t="s">
        <v>3106</v>
      </c>
      <c r="H7777" s="33" t="s">
        <v>10662</v>
      </c>
      <c r="I7777" s="304">
        <v>0</v>
      </c>
      <c r="J7777" s="305">
        <v>668</v>
      </c>
      <c r="K7777" s="142">
        <v>140</v>
      </c>
      <c r="L7777" s="142">
        <v>0</v>
      </c>
      <c r="M7777" s="142">
        <v>0</v>
      </c>
      <c r="N7777" s="142">
        <v>35</v>
      </c>
      <c r="O7777" s="305">
        <v>0</v>
      </c>
      <c r="P7777" s="306">
        <v>43.484883959999998</v>
      </c>
      <c r="Q7777" s="157" t="s">
        <v>7883</v>
      </c>
      <c r="R7777" s="303"/>
    </row>
    <row r="7778" spans="1:18" s="162" customFormat="1" ht="108" x14ac:dyDescent="0.25">
      <c r="A7778" s="184">
        <v>43695</v>
      </c>
      <c r="B7778" s="184">
        <v>43696</v>
      </c>
      <c r="C7778" s="138">
        <v>2019</v>
      </c>
      <c r="D7778" s="351" t="s">
        <v>23</v>
      </c>
      <c r="E7778" s="22" t="s">
        <v>86</v>
      </c>
      <c r="F7778" s="7" t="s">
        <v>36</v>
      </c>
      <c r="G7778" s="33" t="s">
        <v>673</v>
      </c>
      <c r="H7778" s="33" t="s">
        <v>10663</v>
      </c>
      <c r="I7778" s="304">
        <v>0</v>
      </c>
      <c r="J7778" s="305">
        <v>380</v>
      </c>
      <c r="K7778" s="142">
        <v>95</v>
      </c>
      <c r="L7778" s="142">
        <v>0</v>
      </c>
      <c r="M7778" s="142">
        <v>0</v>
      </c>
      <c r="N7778" s="142">
        <v>0</v>
      </c>
      <c r="O7778" s="305">
        <v>0</v>
      </c>
      <c r="P7778" s="306">
        <v>0.16383</v>
      </c>
      <c r="Q7778" s="157" t="s">
        <v>154</v>
      </c>
      <c r="R7778" s="303"/>
    </row>
    <row r="7779" spans="1:18" s="162" customFormat="1" ht="372" x14ac:dyDescent="0.25">
      <c r="A7779" s="184">
        <v>43696</v>
      </c>
      <c r="B7779" s="184">
        <v>43697</v>
      </c>
      <c r="C7779" s="43">
        <v>2019</v>
      </c>
      <c r="D7779" s="35" t="s">
        <v>28</v>
      </c>
      <c r="E7779" s="30" t="s">
        <v>125</v>
      </c>
      <c r="F7779" s="7" t="s">
        <v>75</v>
      </c>
      <c r="G7779" s="33" t="s">
        <v>4986</v>
      </c>
      <c r="H7779" s="33" t="s">
        <v>10664</v>
      </c>
      <c r="I7779" s="304">
        <v>0</v>
      </c>
      <c r="J7779" s="305">
        <v>20</v>
      </c>
      <c r="K7779" s="142">
        <v>0</v>
      </c>
      <c r="L7779" s="142">
        <v>0</v>
      </c>
      <c r="M7779" s="142">
        <v>0</v>
      </c>
      <c r="N7779" s="142">
        <v>0</v>
      </c>
      <c r="O7779" s="305">
        <v>0</v>
      </c>
      <c r="P7779" s="306">
        <v>0</v>
      </c>
      <c r="Q7779" s="157" t="s">
        <v>154</v>
      </c>
      <c r="R7779" s="303"/>
    </row>
    <row r="7780" spans="1:18" s="162" customFormat="1" ht="336" x14ac:dyDescent="0.25">
      <c r="A7780" s="184">
        <v>43696</v>
      </c>
      <c r="B7780" s="184">
        <v>43697</v>
      </c>
      <c r="C7780" s="138">
        <v>2019</v>
      </c>
      <c r="D7780" s="351" t="s">
        <v>23</v>
      </c>
      <c r="E7780" s="22" t="s">
        <v>86</v>
      </c>
      <c r="F7780" s="7" t="s">
        <v>72</v>
      </c>
      <c r="G7780" s="33" t="s">
        <v>10665</v>
      </c>
      <c r="H7780" s="33" t="s">
        <v>10666</v>
      </c>
      <c r="I7780" s="304">
        <v>0</v>
      </c>
      <c r="J7780" s="305">
        <v>102</v>
      </c>
      <c r="K7780" s="142">
        <v>253</v>
      </c>
      <c r="L7780" s="142">
        <v>0</v>
      </c>
      <c r="M7780" s="142">
        <v>0</v>
      </c>
      <c r="N7780" s="142">
        <v>0</v>
      </c>
      <c r="O7780" s="305">
        <v>0</v>
      </c>
      <c r="P7780" s="306">
        <v>0.292215</v>
      </c>
      <c r="Q7780" s="157" t="s">
        <v>154</v>
      </c>
      <c r="R7780" s="303"/>
    </row>
    <row r="7781" spans="1:18" s="162" customFormat="1" ht="48" x14ac:dyDescent="0.25">
      <c r="A7781" s="184">
        <v>43697</v>
      </c>
      <c r="B7781" s="184">
        <v>43697</v>
      </c>
      <c r="C7781" s="43">
        <v>2019</v>
      </c>
      <c r="D7781" s="24" t="s">
        <v>141</v>
      </c>
      <c r="E7781" s="30" t="s">
        <v>142</v>
      </c>
      <c r="F7781" s="7" t="s">
        <v>53</v>
      </c>
      <c r="G7781" s="33" t="s">
        <v>2776</v>
      </c>
      <c r="H7781" s="33" t="s">
        <v>10667</v>
      </c>
      <c r="I7781" s="304">
        <v>3</v>
      </c>
      <c r="J7781" s="305">
        <v>13</v>
      </c>
      <c r="K7781" s="142">
        <v>0</v>
      </c>
      <c r="L7781" s="142">
        <v>0</v>
      </c>
      <c r="M7781" s="142">
        <v>0</v>
      </c>
      <c r="N7781" s="142">
        <v>0</v>
      </c>
      <c r="O7781" s="305">
        <v>0</v>
      </c>
      <c r="P7781" s="306">
        <v>0.1902317</v>
      </c>
      <c r="Q7781" s="157" t="s">
        <v>154</v>
      </c>
      <c r="R7781" s="303"/>
    </row>
    <row r="7782" spans="1:18" s="162" customFormat="1" ht="108" x14ac:dyDescent="0.25">
      <c r="A7782" s="184">
        <v>43697</v>
      </c>
      <c r="B7782" s="184">
        <v>43697</v>
      </c>
      <c r="C7782" s="138">
        <v>2019</v>
      </c>
      <c r="D7782" s="35" t="s">
        <v>28</v>
      </c>
      <c r="E7782" s="6" t="s">
        <v>149</v>
      </c>
      <c r="F7782" s="7" t="s">
        <v>53</v>
      </c>
      <c r="G7782" s="33" t="s">
        <v>451</v>
      </c>
      <c r="H7782" s="33" t="s">
        <v>10668</v>
      </c>
      <c r="I7782" s="304">
        <v>1</v>
      </c>
      <c r="J7782" s="305">
        <v>2</v>
      </c>
      <c r="K7782" s="142">
        <v>1</v>
      </c>
      <c r="L7782" s="142">
        <v>0</v>
      </c>
      <c r="M7782" s="142">
        <v>0</v>
      </c>
      <c r="N7782" s="142">
        <v>0</v>
      </c>
      <c r="O7782" s="305">
        <v>0</v>
      </c>
      <c r="P7782" s="306">
        <v>4.1048700000000007E-2</v>
      </c>
      <c r="Q7782" s="157" t="s">
        <v>154</v>
      </c>
      <c r="R7782" s="303"/>
    </row>
    <row r="7783" spans="1:18" s="162" customFormat="1" ht="409.5" x14ac:dyDescent="0.25">
      <c r="A7783" s="184">
        <v>43697</v>
      </c>
      <c r="B7783" s="184">
        <v>43697</v>
      </c>
      <c r="C7783" s="43">
        <v>2019</v>
      </c>
      <c r="D7783" s="35" t="s">
        <v>28</v>
      </c>
      <c r="E7783" s="6" t="s">
        <v>149</v>
      </c>
      <c r="F7783" s="7" t="s">
        <v>62</v>
      </c>
      <c r="G7783" s="33" t="s">
        <v>165</v>
      </c>
      <c r="H7783" s="33" t="s">
        <v>10669</v>
      </c>
      <c r="I7783" s="304">
        <v>0</v>
      </c>
      <c r="J7783" s="305">
        <v>4603</v>
      </c>
      <c r="K7783" s="142">
        <v>0</v>
      </c>
      <c r="L7783" s="142">
        <v>0</v>
      </c>
      <c r="M7783" s="142">
        <v>0</v>
      </c>
      <c r="N7783" s="142">
        <v>1</v>
      </c>
      <c r="O7783" s="305">
        <v>0</v>
      </c>
      <c r="P7783" s="306">
        <v>9.5227000000000003E-3</v>
      </c>
      <c r="Q7783" s="157" t="s">
        <v>154</v>
      </c>
      <c r="R7783" s="303"/>
    </row>
    <row r="7784" spans="1:18" s="162" customFormat="1" ht="168" x14ac:dyDescent="0.25">
      <c r="A7784" s="184">
        <v>43696</v>
      </c>
      <c r="B7784" s="184">
        <v>43697</v>
      </c>
      <c r="C7784" s="138">
        <v>2019</v>
      </c>
      <c r="D7784" s="351" t="s">
        <v>23</v>
      </c>
      <c r="E7784" s="22" t="s">
        <v>86</v>
      </c>
      <c r="F7784" s="28" t="s">
        <v>210</v>
      </c>
      <c r="G7784" s="33" t="s">
        <v>10670</v>
      </c>
      <c r="H7784" s="33" t="s">
        <v>10671</v>
      </c>
      <c r="I7784" s="304">
        <v>0</v>
      </c>
      <c r="J7784" s="305">
        <v>0</v>
      </c>
      <c r="K7784" s="142">
        <v>0</v>
      </c>
      <c r="L7784" s="142">
        <v>0</v>
      </c>
      <c r="M7784" s="142">
        <v>0</v>
      </c>
      <c r="N7784" s="142">
        <v>0</v>
      </c>
      <c r="O7784" s="305">
        <v>0</v>
      </c>
      <c r="P7784" s="306">
        <v>4.7499375000000006</v>
      </c>
      <c r="Q7784" s="157" t="s">
        <v>154</v>
      </c>
      <c r="R7784" s="303"/>
    </row>
    <row r="7785" spans="1:18" s="162" customFormat="1" ht="336" x14ac:dyDescent="0.25">
      <c r="A7785" s="184">
        <v>43698</v>
      </c>
      <c r="B7785" s="184">
        <v>43698</v>
      </c>
      <c r="C7785" s="43">
        <v>2019</v>
      </c>
      <c r="D7785" s="351" t="s">
        <v>23</v>
      </c>
      <c r="E7785" s="22" t="s">
        <v>86</v>
      </c>
      <c r="F7785" s="7" t="s">
        <v>36</v>
      </c>
      <c r="G7785" s="33" t="s">
        <v>673</v>
      </c>
      <c r="H7785" s="33" t="s">
        <v>10672</v>
      </c>
      <c r="I7785" s="304">
        <v>0</v>
      </c>
      <c r="J7785" s="305">
        <v>1217</v>
      </c>
      <c r="K7785" s="142">
        <v>343</v>
      </c>
      <c r="L7785" s="142">
        <v>0</v>
      </c>
      <c r="M7785" s="142">
        <v>0</v>
      </c>
      <c r="N7785" s="142">
        <v>0</v>
      </c>
      <c r="O7785" s="305">
        <v>0</v>
      </c>
      <c r="P7785" s="306">
        <v>0.39616499999999999</v>
      </c>
      <c r="Q7785" s="157" t="s">
        <v>154</v>
      </c>
      <c r="R7785" s="303"/>
    </row>
    <row r="7786" spans="1:18" s="162" customFormat="1" ht="300" x14ac:dyDescent="0.25">
      <c r="A7786" s="184">
        <v>43698</v>
      </c>
      <c r="B7786" s="184">
        <v>43698</v>
      </c>
      <c r="C7786" s="138">
        <v>2019</v>
      </c>
      <c r="D7786" s="351" t="s">
        <v>23</v>
      </c>
      <c r="E7786" s="22" t="s">
        <v>86</v>
      </c>
      <c r="F7786" s="7" t="s">
        <v>84</v>
      </c>
      <c r="G7786" s="33" t="s">
        <v>10673</v>
      </c>
      <c r="H7786" s="33" t="s">
        <v>10674</v>
      </c>
      <c r="I7786" s="304">
        <v>0</v>
      </c>
      <c r="J7786" s="305">
        <v>1205</v>
      </c>
      <c r="K7786" s="142">
        <v>300</v>
      </c>
      <c r="L7786" s="142">
        <v>0</v>
      </c>
      <c r="M7786" s="142">
        <v>0</v>
      </c>
      <c r="N7786" s="142">
        <v>0</v>
      </c>
      <c r="O7786" s="305">
        <v>0</v>
      </c>
      <c r="P7786" s="306">
        <v>23.56207466</v>
      </c>
      <c r="Q7786" s="157" t="s">
        <v>7883</v>
      </c>
      <c r="R7786" s="303"/>
    </row>
    <row r="7787" spans="1:18" s="162" customFormat="1" ht="96" x14ac:dyDescent="0.25">
      <c r="A7787" s="184">
        <v>43699</v>
      </c>
      <c r="B7787" s="184">
        <v>43699</v>
      </c>
      <c r="C7787" s="43">
        <v>2019</v>
      </c>
      <c r="D7787" s="35" t="s">
        <v>28</v>
      </c>
      <c r="E7787" s="30" t="s">
        <v>125</v>
      </c>
      <c r="F7787" s="28" t="s">
        <v>160</v>
      </c>
      <c r="G7787" s="33" t="s">
        <v>10675</v>
      </c>
      <c r="H7787" s="33" t="s">
        <v>10676</v>
      </c>
      <c r="I7787" s="304">
        <v>0</v>
      </c>
      <c r="J7787" s="305">
        <v>0</v>
      </c>
      <c r="K7787" s="142">
        <v>0</v>
      </c>
      <c r="L7787" s="142">
        <v>0</v>
      </c>
      <c r="M7787" s="142">
        <v>0</v>
      </c>
      <c r="N7787" s="142">
        <v>0</v>
      </c>
      <c r="O7787" s="305">
        <v>0</v>
      </c>
      <c r="P7787" s="306">
        <v>0</v>
      </c>
      <c r="Q7787" s="157" t="s">
        <v>154</v>
      </c>
      <c r="R7787" s="303"/>
    </row>
    <row r="7788" spans="1:18" s="162" customFormat="1" ht="384" x14ac:dyDescent="0.25">
      <c r="A7788" s="184">
        <v>43699</v>
      </c>
      <c r="B7788" s="184">
        <v>43699</v>
      </c>
      <c r="C7788" s="138">
        <v>2019</v>
      </c>
      <c r="D7788" s="35" t="s">
        <v>28</v>
      </c>
      <c r="E7788" s="30" t="s">
        <v>125</v>
      </c>
      <c r="F7788" s="28" t="s">
        <v>157</v>
      </c>
      <c r="G7788" s="33" t="s">
        <v>4820</v>
      </c>
      <c r="H7788" s="33" t="s">
        <v>10677</v>
      </c>
      <c r="I7788" s="304">
        <v>0</v>
      </c>
      <c r="J7788" s="305">
        <v>25</v>
      </c>
      <c r="K7788" s="142">
        <v>0</v>
      </c>
      <c r="L7788" s="142">
        <v>0</v>
      </c>
      <c r="M7788" s="142">
        <v>0</v>
      </c>
      <c r="N7788" s="142">
        <v>0</v>
      </c>
      <c r="O7788" s="305">
        <v>0</v>
      </c>
      <c r="P7788" s="306">
        <v>5.9400000000000008E-3</v>
      </c>
      <c r="Q7788" s="157" t="s">
        <v>154</v>
      </c>
      <c r="R7788" s="303"/>
    </row>
    <row r="7789" spans="1:18" s="162" customFormat="1" ht="24" x14ac:dyDescent="0.25">
      <c r="A7789" s="21">
        <v>43699</v>
      </c>
      <c r="B7789" s="184"/>
      <c r="C7789" s="43">
        <v>2019</v>
      </c>
      <c r="D7789" s="351" t="s">
        <v>23</v>
      </c>
      <c r="E7789" s="22" t="s">
        <v>86</v>
      </c>
      <c r="F7789" s="7" t="s">
        <v>33</v>
      </c>
      <c r="G7789" s="33"/>
      <c r="H7789" s="44" t="s">
        <v>10678</v>
      </c>
      <c r="I7789" s="157">
        <v>0</v>
      </c>
      <c r="J7789" s="308">
        <v>0</v>
      </c>
      <c r="K7789" s="142">
        <v>0</v>
      </c>
      <c r="L7789" s="142">
        <v>0</v>
      </c>
      <c r="M7789" s="142">
        <v>0</v>
      </c>
      <c r="N7789" s="142">
        <v>0</v>
      </c>
      <c r="O7789" s="142">
        <v>0</v>
      </c>
      <c r="P7789" s="306">
        <v>11.968295121999999</v>
      </c>
      <c r="Q7789" s="157" t="s">
        <v>186</v>
      </c>
      <c r="R7789" s="303"/>
    </row>
    <row r="7790" spans="1:18" s="162" customFormat="1" ht="144" x14ac:dyDescent="0.25">
      <c r="A7790" s="184">
        <v>43700</v>
      </c>
      <c r="B7790" s="184">
        <v>43700</v>
      </c>
      <c r="C7790" s="138">
        <v>2019</v>
      </c>
      <c r="D7790" s="35" t="s">
        <v>28</v>
      </c>
      <c r="E7790" s="30" t="s">
        <v>125</v>
      </c>
      <c r="F7790" s="28" t="s">
        <v>157</v>
      </c>
      <c r="G7790" s="33" t="s">
        <v>716</v>
      </c>
      <c r="H7790" s="33" t="s">
        <v>10679</v>
      </c>
      <c r="I7790" s="304">
        <v>0</v>
      </c>
      <c r="J7790" s="305">
        <v>0</v>
      </c>
      <c r="K7790" s="142">
        <v>0</v>
      </c>
      <c r="L7790" s="142">
        <v>0</v>
      </c>
      <c r="M7790" s="142">
        <v>0</v>
      </c>
      <c r="N7790" s="142">
        <v>0</v>
      </c>
      <c r="O7790" s="305">
        <v>0</v>
      </c>
      <c r="P7790" s="306">
        <v>0</v>
      </c>
      <c r="Q7790" s="157" t="s">
        <v>154</v>
      </c>
      <c r="R7790" s="303"/>
    </row>
    <row r="7791" spans="1:18" s="162" customFormat="1" ht="228" x14ac:dyDescent="0.25">
      <c r="A7791" s="184">
        <v>43699</v>
      </c>
      <c r="B7791" s="184">
        <v>43699</v>
      </c>
      <c r="C7791" s="43">
        <v>2019</v>
      </c>
      <c r="D7791" s="351" t="s">
        <v>23</v>
      </c>
      <c r="E7791" s="22" t="s">
        <v>86</v>
      </c>
      <c r="F7791" s="7" t="s">
        <v>101</v>
      </c>
      <c r="G7791" s="33" t="s">
        <v>10680</v>
      </c>
      <c r="H7791" s="33" t="s">
        <v>10681</v>
      </c>
      <c r="I7791" s="304">
        <v>0</v>
      </c>
      <c r="J7791" s="305">
        <v>445</v>
      </c>
      <c r="K7791" s="142">
        <v>105</v>
      </c>
      <c r="L7791" s="142">
        <v>0</v>
      </c>
      <c r="M7791" s="142">
        <v>0</v>
      </c>
      <c r="N7791" s="142">
        <v>6</v>
      </c>
      <c r="O7791" s="305">
        <v>0</v>
      </c>
      <c r="P7791" s="306">
        <v>2.8182340799999999</v>
      </c>
      <c r="Q7791" s="157" t="s">
        <v>7883</v>
      </c>
      <c r="R7791" s="303"/>
    </row>
    <row r="7792" spans="1:18" s="162" customFormat="1" ht="24" x14ac:dyDescent="0.25">
      <c r="A7792" s="184">
        <v>43700</v>
      </c>
      <c r="B7792" s="184">
        <v>43700</v>
      </c>
      <c r="C7792" s="138">
        <v>2019</v>
      </c>
      <c r="D7792" s="351" t="s">
        <v>23</v>
      </c>
      <c r="E7792" s="22" t="s">
        <v>86</v>
      </c>
      <c r="F7792" s="7" t="s">
        <v>84</v>
      </c>
      <c r="G7792" s="33"/>
      <c r="H7792" s="44" t="s">
        <v>10682</v>
      </c>
      <c r="I7792" s="304">
        <v>0</v>
      </c>
      <c r="J7792" s="305">
        <v>0</v>
      </c>
      <c r="K7792" s="142">
        <v>0</v>
      </c>
      <c r="L7792" s="142">
        <v>0</v>
      </c>
      <c r="M7792" s="142">
        <v>0</v>
      </c>
      <c r="N7792" s="142">
        <v>0</v>
      </c>
      <c r="O7792" s="305">
        <v>0</v>
      </c>
      <c r="P7792" s="306">
        <v>11.887335179999999</v>
      </c>
      <c r="Q7792" s="157" t="s">
        <v>186</v>
      </c>
      <c r="R7792" s="303"/>
    </row>
    <row r="7793" spans="1:18" s="162" customFormat="1" ht="192" x14ac:dyDescent="0.25">
      <c r="A7793" s="184">
        <v>43699</v>
      </c>
      <c r="B7793" s="184">
        <v>43699</v>
      </c>
      <c r="C7793" s="43">
        <v>2019</v>
      </c>
      <c r="D7793" s="35" t="s">
        <v>17</v>
      </c>
      <c r="E7793" s="6" t="s">
        <v>328</v>
      </c>
      <c r="F7793" s="28" t="s">
        <v>210</v>
      </c>
      <c r="G7793" s="33" t="s">
        <v>3003</v>
      </c>
      <c r="H7793" s="33" t="s">
        <v>10683</v>
      </c>
      <c r="I7793" s="304">
        <v>0</v>
      </c>
      <c r="J7793" s="305">
        <v>152</v>
      </c>
      <c r="K7793" s="142">
        <v>3</v>
      </c>
      <c r="L7793" s="142">
        <v>0</v>
      </c>
      <c r="M7793" s="142">
        <v>0</v>
      </c>
      <c r="N7793" s="142">
        <v>0</v>
      </c>
      <c r="O7793" s="305">
        <v>0</v>
      </c>
      <c r="P7793" s="306">
        <v>43.694878000000003</v>
      </c>
      <c r="Q7793" s="157" t="s">
        <v>7883</v>
      </c>
      <c r="R7793" s="303"/>
    </row>
    <row r="7794" spans="1:18" s="162" customFormat="1" ht="132" x14ac:dyDescent="0.25">
      <c r="A7794" s="184">
        <v>43701</v>
      </c>
      <c r="B7794" s="184">
        <v>43701</v>
      </c>
      <c r="C7794" s="138">
        <v>2019</v>
      </c>
      <c r="D7794" s="35" t="s">
        <v>28</v>
      </c>
      <c r="E7794" s="30" t="s">
        <v>125</v>
      </c>
      <c r="F7794" s="7" t="s">
        <v>53</v>
      </c>
      <c r="G7794" s="33" t="s">
        <v>7805</v>
      </c>
      <c r="H7794" s="33" t="s">
        <v>10684</v>
      </c>
      <c r="I7794" s="304">
        <v>0</v>
      </c>
      <c r="J7794" s="305">
        <v>515</v>
      </c>
      <c r="K7794" s="142">
        <v>0</v>
      </c>
      <c r="L7794" s="142">
        <v>0</v>
      </c>
      <c r="M7794" s="142">
        <v>0</v>
      </c>
      <c r="N7794" s="142">
        <v>0</v>
      </c>
      <c r="O7794" s="305">
        <v>0</v>
      </c>
      <c r="P7794" s="306">
        <v>0</v>
      </c>
      <c r="Q7794" s="157" t="s">
        <v>154</v>
      </c>
      <c r="R7794" s="303"/>
    </row>
    <row r="7795" spans="1:18" s="162" customFormat="1" ht="108" x14ac:dyDescent="0.25">
      <c r="A7795" s="184">
        <v>43700</v>
      </c>
      <c r="B7795" s="184">
        <v>43701</v>
      </c>
      <c r="C7795" s="43">
        <v>2019</v>
      </c>
      <c r="D7795" s="35" t="s">
        <v>28</v>
      </c>
      <c r="E7795" s="30" t="s">
        <v>125</v>
      </c>
      <c r="F7795" s="7" t="s">
        <v>56</v>
      </c>
      <c r="G7795" s="33" t="s">
        <v>5772</v>
      </c>
      <c r="H7795" s="33" t="s">
        <v>10685</v>
      </c>
      <c r="I7795" s="304">
        <v>0</v>
      </c>
      <c r="J7795" s="305">
        <v>50</v>
      </c>
      <c r="K7795" s="142">
        <v>0</v>
      </c>
      <c r="L7795" s="142">
        <v>0</v>
      </c>
      <c r="M7795" s="142">
        <v>0</v>
      </c>
      <c r="N7795" s="142">
        <v>0</v>
      </c>
      <c r="O7795" s="305">
        <v>0</v>
      </c>
      <c r="P7795" s="306">
        <v>0</v>
      </c>
      <c r="Q7795" s="157" t="s">
        <v>154</v>
      </c>
      <c r="R7795" s="303"/>
    </row>
    <row r="7796" spans="1:18" s="162" customFormat="1" ht="204" x14ac:dyDescent="0.25">
      <c r="A7796" s="184">
        <v>43701</v>
      </c>
      <c r="B7796" s="184">
        <v>43702</v>
      </c>
      <c r="C7796" s="138">
        <v>2019</v>
      </c>
      <c r="D7796" s="351" t="s">
        <v>23</v>
      </c>
      <c r="E7796" s="22" t="s">
        <v>86</v>
      </c>
      <c r="F7796" s="7" t="s">
        <v>68</v>
      </c>
      <c r="G7796" s="33" t="s">
        <v>1121</v>
      </c>
      <c r="H7796" s="33" t="s">
        <v>10686</v>
      </c>
      <c r="I7796" s="304">
        <v>2</v>
      </c>
      <c r="J7796" s="305">
        <v>37</v>
      </c>
      <c r="K7796" s="142">
        <v>0</v>
      </c>
      <c r="L7796" s="142">
        <v>0</v>
      </c>
      <c r="M7796" s="142">
        <v>0</v>
      </c>
      <c r="N7796" s="142">
        <v>0</v>
      </c>
      <c r="O7796" s="305">
        <v>0</v>
      </c>
      <c r="P7796" s="306">
        <v>6.16</v>
      </c>
      <c r="Q7796" s="157" t="s">
        <v>154</v>
      </c>
      <c r="R7796" s="303"/>
    </row>
    <row r="7797" spans="1:18" s="162" customFormat="1" ht="120" x14ac:dyDescent="0.25">
      <c r="A7797" s="184">
        <v>43702</v>
      </c>
      <c r="B7797" s="184">
        <v>43702</v>
      </c>
      <c r="C7797" s="43">
        <v>2019</v>
      </c>
      <c r="D7797" s="24" t="s">
        <v>141</v>
      </c>
      <c r="E7797" s="30" t="s">
        <v>142</v>
      </c>
      <c r="F7797" s="7" t="s">
        <v>101</v>
      </c>
      <c r="G7797" s="33" t="s">
        <v>6845</v>
      </c>
      <c r="H7797" s="33" t="s">
        <v>10687</v>
      </c>
      <c r="I7797" s="304">
        <v>1</v>
      </c>
      <c r="J7797" s="305">
        <v>10</v>
      </c>
      <c r="K7797" s="142">
        <v>0</v>
      </c>
      <c r="L7797" s="142">
        <v>0</v>
      </c>
      <c r="M7797" s="142">
        <v>0</v>
      </c>
      <c r="N7797" s="142">
        <v>0</v>
      </c>
      <c r="O7797" s="305">
        <v>0</v>
      </c>
      <c r="P7797" s="306">
        <v>1.8401133837209303</v>
      </c>
      <c r="Q7797" s="157" t="s">
        <v>154</v>
      </c>
      <c r="R7797" s="303"/>
    </row>
    <row r="7798" spans="1:18" s="162" customFormat="1" ht="132" x14ac:dyDescent="0.25">
      <c r="A7798" s="184">
        <v>43702</v>
      </c>
      <c r="B7798" s="184">
        <v>43703</v>
      </c>
      <c r="C7798" s="138">
        <v>2019</v>
      </c>
      <c r="D7798" s="351" t="s">
        <v>23</v>
      </c>
      <c r="E7798" s="22" t="s">
        <v>86</v>
      </c>
      <c r="F7798" s="28" t="s">
        <v>157</v>
      </c>
      <c r="G7798" s="33" t="s">
        <v>4237</v>
      </c>
      <c r="H7798" s="33" t="s">
        <v>10688</v>
      </c>
      <c r="I7798" s="304">
        <v>0</v>
      </c>
      <c r="J7798" s="305">
        <v>20</v>
      </c>
      <c r="K7798" s="142">
        <v>3</v>
      </c>
      <c r="L7798" s="142">
        <v>0</v>
      </c>
      <c r="M7798" s="142">
        <v>0</v>
      </c>
      <c r="N7798" s="142">
        <v>0</v>
      </c>
      <c r="O7798" s="305">
        <v>0</v>
      </c>
      <c r="P7798" s="306">
        <v>3.4650000000000002E-3</v>
      </c>
      <c r="Q7798" s="157" t="s">
        <v>154</v>
      </c>
      <c r="R7798" s="303"/>
    </row>
    <row r="7799" spans="1:18" s="162" customFormat="1" ht="144" x14ac:dyDescent="0.25">
      <c r="A7799" s="184">
        <v>43702</v>
      </c>
      <c r="B7799" s="184">
        <v>43703</v>
      </c>
      <c r="C7799" s="43">
        <v>2019</v>
      </c>
      <c r="D7799" s="351" t="s">
        <v>23</v>
      </c>
      <c r="E7799" s="22" t="s">
        <v>86</v>
      </c>
      <c r="F7799" s="7" t="s">
        <v>53</v>
      </c>
      <c r="G7799" s="33" t="s">
        <v>8930</v>
      </c>
      <c r="H7799" s="33" t="s">
        <v>10689</v>
      </c>
      <c r="I7799" s="304">
        <v>0</v>
      </c>
      <c r="J7799" s="305">
        <v>104</v>
      </c>
      <c r="K7799" s="142">
        <v>26</v>
      </c>
      <c r="L7799" s="142">
        <v>0</v>
      </c>
      <c r="M7799" s="142">
        <v>0</v>
      </c>
      <c r="N7799" s="142">
        <v>0</v>
      </c>
      <c r="O7799" s="305">
        <v>0</v>
      </c>
      <c r="P7799" s="306">
        <v>3.0030000000000001E-2</v>
      </c>
      <c r="Q7799" s="157" t="s">
        <v>154</v>
      </c>
      <c r="R7799" s="303"/>
    </row>
    <row r="7800" spans="1:18" s="162" customFormat="1" ht="72" x14ac:dyDescent="0.25">
      <c r="A7800" s="184">
        <v>43702</v>
      </c>
      <c r="B7800" s="184">
        <v>43703</v>
      </c>
      <c r="C7800" s="138">
        <v>2019</v>
      </c>
      <c r="D7800" s="24" t="s">
        <v>141</v>
      </c>
      <c r="E7800" s="30" t="s">
        <v>142</v>
      </c>
      <c r="F7800" s="28" t="s">
        <v>210</v>
      </c>
      <c r="G7800" s="33" t="s">
        <v>2329</v>
      </c>
      <c r="H7800" s="33" t="s">
        <v>10690</v>
      </c>
      <c r="I7800" s="304">
        <v>2</v>
      </c>
      <c r="J7800" s="305">
        <v>11</v>
      </c>
      <c r="K7800" s="142">
        <v>0</v>
      </c>
      <c r="L7800" s="142">
        <v>0</v>
      </c>
      <c r="M7800" s="142">
        <v>0</v>
      </c>
      <c r="N7800" s="142">
        <v>0</v>
      </c>
      <c r="O7800" s="305">
        <v>0</v>
      </c>
      <c r="P7800" s="306">
        <v>0.72302999999999995</v>
      </c>
      <c r="Q7800" s="157" t="s">
        <v>154</v>
      </c>
      <c r="R7800" s="303"/>
    </row>
    <row r="7801" spans="1:18" s="162" customFormat="1" ht="156" x14ac:dyDescent="0.25">
      <c r="A7801" s="184">
        <v>43702</v>
      </c>
      <c r="B7801" s="184">
        <v>43703</v>
      </c>
      <c r="C7801" s="43">
        <v>2019</v>
      </c>
      <c r="D7801" s="351" t="s">
        <v>23</v>
      </c>
      <c r="E7801" s="22" t="s">
        <v>86</v>
      </c>
      <c r="F7801" s="7" t="s">
        <v>67</v>
      </c>
      <c r="G7801" s="33" t="s">
        <v>2271</v>
      </c>
      <c r="H7801" s="33" t="s">
        <v>10691</v>
      </c>
      <c r="I7801" s="304">
        <v>2</v>
      </c>
      <c r="J7801" s="305">
        <v>24</v>
      </c>
      <c r="K7801" s="142">
        <v>0</v>
      </c>
      <c r="L7801" s="142">
        <v>0</v>
      </c>
      <c r="M7801" s="142">
        <v>0</v>
      </c>
      <c r="N7801" s="142">
        <v>0</v>
      </c>
      <c r="O7801" s="305">
        <v>0</v>
      </c>
      <c r="P7801" s="306">
        <v>0</v>
      </c>
      <c r="Q7801" s="157" t="s">
        <v>154</v>
      </c>
      <c r="R7801" s="303"/>
    </row>
    <row r="7802" spans="1:18" s="162" customFormat="1" ht="156" x14ac:dyDescent="0.25">
      <c r="A7802" s="184">
        <v>43699</v>
      </c>
      <c r="B7802" s="184">
        <v>43703</v>
      </c>
      <c r="C7802" s="138">
        <v>2019</v>
      </c>
      <c r="D7802" s="35" t="s">
        <v>17</v>
      </c>
      <c r="E7802" s="6" t="s">
        <v>1603</v>
      </c>
      <c r="F7802" s="7" t="s">
        <v>25</v>
      </c>
      <c r="G7802" s="33" t="s">
        <v>2519</v>
      </c>
      <c r="H7802" s="33" t="s">
        <v>10692</v>
      </c>
      <c r="I7802" s="304">
        <v>0</v>
      </c>
      <c r="J7802" s="305">
        <v>8</v>
      </c>
      <c r="K7802" s="142">
        <v>2</v>
      </c>
      <c r="L7802" s="142">
        <v>0</v>
      </c>
      <c r="M7802" s="142">
        <v>0</v>
      </c>
      <c r="N7802" s="142">
        <v>0</v>
      </c>
      <c r="O7802" s="305">
        <v>0</v>
      </c>
      <c r="P7802" s="306">
        <v>1.2100000000000001E-2</v>
      </c>
      <c r="Q7802" s="157" t="s">
        <v>154</v>
      </c>
      <c r="R7802" s="303"/>
    </row>
    <row r="7803" spans="1:18" s="162" customFormat="1" ht="96" x14ac:dyDescent="0.25">
      <c r="A7803" s="184">
        <v>43703</v>
      </c>
      <c r="B7803" s="184">
        <v>43703</v>
      </c>
      <c r="C7803" s="43">
        <v>2019</v>
      </c>
      <c r="D7803" s="35" t="s">
        <v>28</v>
      </c>
      <c r="E7803" s="6" t="s">
        <v>149</v>
      </c>
      <c r="F7803" s="28" t="s">
        <v>157</v>
      </c>
      <c r="G7803" s="33" t="s">
        <v>1062</v>
      </c>
      <c r="H7803" s="33" t="s">
        <v>10693</v>
      </c>
      <c r="I7803" s="304">
        <v>0</v>
      </c>
      <c r="J7803" s="305">
        <v>1500</v>
      </c>
      <c r="K7803" s="142">
        <v>0</v>
      </c>
      <c r="L7803" s="142">
        <v>0</v>
      </c>
      <c r="M7803" s="142">
        <v>0</v>
      </c>
      <c r="N7803" s="142">
        <v>1</v>
      </c>
      <c r="O7803" s="305">
        <v>0</v>
      </c>
      <c r="P7803" s="306">
        <v>0</v>
      </c>
      <c r="Q7803" s="157" t="s">
        <v>154</v>
      </c>
      <c r="R7803" s="303"/>
    </row>
    <row r="7804" spans="1:18" s="162" customFormat="1" ht="108" x14ac:dyDescent="0.25">
      <c r="A7804" s="184">
        <v>43703</v>
      </c>
      <c r="B7804" s="184">
        <v>43703</v>
      </c>
      <c r="C7804" s="43">
        <v>2019</v>
      </c>
      <c r="D7804" s="351" t="s">
        <v>23</v>
      </c>
      <c r="E7804" s="22" t="s">
        <v>86</v>
      </c>
      <c r="F7804" s="7" t="s">
        <v>82</v>
      </c>
      <c r="G7804" s="33" t="s">
        <v>4878</v>
      </c>
      <c r="H7804" s="33" t="s">
        <v>10694</v>
      </c>
      <c r="I7804" s="304">
        <v>0</v>
      </c>
      <c r="J7804" s="305">
        <v>50</v>
      </c>
      <c r="K7804" s="142">
        <v>11</v>
      </c>
      <c r="L7804" s="142">
        <v>0</v>
      </c>
      <c r="M7804" s="142">
        <v>0</v>
      </c>
      <c r="N7804" s="142">
        <v>0</v>
      </c>
      <c r="O7804" s="305">
        <v>0</v>
      </c>
      <c r="P7804" s="306">
        <v>1.2704999999999999E-2</v>
      </c>
      <c r="Q7804" s="157" t="s">
        <v>154</v>
      </c>
      <c r="R7804" s="303"/>
    </row>
    <row r="7805" spans="1:18" s="162" customFormat="1" ht="216" x14ac:dyDescent="0.25">
      <c r="A7805" s="184">
        <v>43704</v>
      </c>
      <c r="B7805" s="184">
        <v>43704</v>
      </c>
      <c r="C7805" s="138">
        <v>2019</v>
      </c>
      <c r="D7805" s="35" t="s">
        <v>28</v>
      </c>
      <c r="E7805" s="30" t="s">
        <v>125</v>
      </c>
      <c r="F7805" s="7" t="s">
        <v>75</v>
      </c>
      <c r="G7805" s="33" t="s">
        <v>5046</v>
      </c>
      <c r="H7805" s="33" t="s">
        <v>10695</v>
      </c>
      <c r="I7805" s="304">
        <v>0</v>
      </c>
      <c r="J7805" s="305">
        <v>200</v>
      </c>
      <c r="K7805" s="142">
        <v>0</v>
      </c>
      <c r="L7805" s="142">
        <v>0</v>
      </c>
      <c r="M7805" s="142">
        <v>0</v>
      </c>
      <c r="N7805" s="142">
        <v>0</v>
      </c>
      <c r="O7805" s="305">
        <v>0</v>
      </c>
      <c r="P7805" s="306">
        <v>0</v>
      </c>
      <c r="Q7805" s="157" t="s">
        <v>154</v>
      </c>
      <c r="R7805" s="303"/>
    </row>
    <row r="7806" spans="1:18" s="162" customFormat="1" ht="96" x14ac:dyDescent="0.25">
      <c r="A7806" s="184">
        <v>43705</v>
      </c>
      <c r="B7806" s="184">
        <v>43705</v>
      </c>
      <c r="C7806" s="43">
        <v>2019</v>
      </c>
      <c r="D7806" s="35" t="s">
        <v>28</v>
      </c>
      <c r="E7806" s="30" t="s">
        <v>125</v>
      </c>
      <c r="F7806" s="7" t="s">
        <v>60</v>
      </c>
      <c r="G7806" s="33" t="s">
        <v>1605</v>
      </c>
      <c r="H7806" s="33" t="s">
        <v>10696</v>
      </c>
      <c r="I7806" s="304">
        <v>0</v>
      </c>
      <c r="J7806" s="305">
        <v>102</v>
      </c>
      <c r="K7806" s="142">
        <v>0</v>
      </c>
      <c r="L7806" s="142">
        <v>0</v>
      </c>
      <c r="M7806" s="142">
        <v>0</v>
      </c>
      <c r="N7806" s="142">
        <v>0</v>
      </c>
      <c r="O7806" s="305">
        <v>0</v>
      </c>
      <c r="P7806" s="306">
        <v>0</v>
      </c>
      <c r="Q7806" s="157" t="s">
        <v>154</v>
      </c>
      <c r="R7806" s="303"/>
    </row>
    <row r="7807" spans="1:18" s="162" customFormat="1" ht="108" x14ac:dyDescent="0.25">
      <c r="A7807" s="184">
        <v>43705</v>
      </c>
      <c r="B7807" s="184">
        <v>43705</v>
      </c>
      <c r="C7807" s="138">
        <v>2019</v>
      </c>
      <c r="D7807" s="351" t="s">
        <v>23</v>
      </c>
      <c r="E7807" s="22" t="s">
        <v>86</v>
      </c>
      <c r="F7807" s="7" t="s">
        <v>84</v>
      </c>
      <c r="G7807" s="33" t="s">
        <v>939</v>
      </c>
      <c r="H7807" s="33" t="s">
        <v>10697</v>
      </c>
      <c r="I7807" s="304">
        <v>0</v>
      </c>
      <c r="J7807" s="305">
        <v>200</v>
      </c>
      <c r="K7807" s="142">
        <v>50</v>
      </c>
      <c r="L7807" s="142">
        <v>0</v>
      </c>
      <c r="M7807" s="142">
        <v>0</v>
      </c>
      <c r="N7807" s="142">
        <v>0</v>
      </c>
      <c r="O7807" s="305">
        <v>0</v>
      </c>
      <c r="P7807" s="306">
        <v>5.7750000000000003E-2</v>
      </c>
      <c r="Q7807" s="157" t="s">
        <v>154</v>
      </c>
      <c r="R7807" s="303"/>
    </row>
    <row r="7808" spans="1:18" s="162" customFormat="1" ht="48" x14ac:dyDescent="0.25">
      <c r="A7808" s="184">
        <v>43706</v>
      </c>
      <c r="B7808" s="184">
        <v>43706</v>
      </c>
      <c r="C7808" s="43">
        <v>2019</v>
      </c>
      <c r="D7808" s="24" t="s">
        <v>141</v>
      </c>
      <c r="E7808" s="30" t="s">
        <v>142</v>
      </c>
      <c r="F7808" s="7" t="s">
        <v>80</v>
      </c>
      <c r="G7808" s="33" t="s">
        <v>5558</v>
      </c>
      <c r="H7808" s="33" t="s">
        <v>10698</v>
      </c>
      <c r="I7808" s="304">
        <v>1</v>
      </c>
      <c r="J7808" s="305">
        <v>8</v>
      </c>
      <c r="K7808" s="142">
        <v>0</v>
      </c>
      <c r="L7808" s="142">
        <v>0</v>
      </c>
      <c r="M7808" s="142">
        <v>0</v>
      </c>
      <c r="N7808" s="142">
        <v>0</v>
      </c>
      <c r="O7808" s="305">
        <v>0</v>
      </c>
      <c r="P7808" s="306">
        <v>0.1872617</v>
      </c>
      <c r="Q7808" s="157" t="s">
        <v>154</v>
      </c>
      <c r="R7808" s="303"/>
    </row>
    <row r="7809" spans="1:18" s="162" customFormat="1" ht="108" x14ac:dyDescent="0.25">
      <c r="A7809" s="184">
        <v>43707</v>
      </c>
      <c r="B7809" s="184">
        <v>43707</v>
      </c>
      <c r="C7809" s="138">
        <v>2019</v>
      </c>
      <c r="D7809" s="35" t="s">
        <v>28</v>
      </c>
      <c r="E7809" s="30" t="s">
        <v>133</v>
      </c>
      <c r="F7809" s="7" t="s">
        <v>53</v>
      </c>
      <c r="G7809" s="33" t="s">
        <v>416</v>
      </c>
      <c r="H7809" s="33" t="s">
        <v>10699</v>
      </c>
      <c r="I7809" s="304">
        <v>0</v>
      </c>
      <c r="J7809" s="305">
        <v>4</v>
      </c>
      <c r="K7809" s="142">
        <v>1</v>
      </c>
      <c r="L7809" s="142">
        <v>0</v>
      </c>
      <c r="M7809" s="142">
        <v>0</v>
      </c>
      <c r="N7809" s="142">
        <v>0</v>
      </c>
      <c r="O7809" s="305">
        <v>0</v>
      </c>
      <c r="P7809" s="306">
        <v>1.0010000000000002E-2</v>
      </c>
      <c r="Q7809" s="157" t="s">
        <v>154</v>
      </c>
      <c r="R7809" s="303"/>
    </row>
    <row r="7810" spans="1:18" s="162" customFormat="1" ht="168" x14ac:dyDescent="0.25">
      <c r="A7810" s="184">
        <v>43707</v>
      </c>
      <c r="B7810" s="184">
        <v>43707</v>
      </c>
      <c r="C7810" s="43">
        <v>2019</v>
      </c>
      <c r="D7810" s="351" t="s">
        <v>23</v>
      </c>
      <c r="E7810" s="22" t="s">
        <v>86</v>
      </c>
      <c r="F7810" s="7" t="s">
        <v>84</v>
      </c>
      <c r="G7810" s="33" t="s">
        <v>939</v>
      </c>
      <c r="H7810" s="33" t="s">
        <v>10700</v>
      </c>
      <c r="I7810" s="304">
        <v>1</v>
      </c>
      <c r="J7810" s="305">
        <v>322</v>
      </c>
      <c r="K7810" s="142">
        <v>80</v>
      </c>
      <c r="L7810" s="142">
        <v>0</v>
      </c>
      <c r="M7810" s="142">
        <v>0</v>
      </c>
      <c r="N7810" s="142">
        <v>0</v>
      </c>
      <c r="O7810" s="305">
        <v>0</v>
      </c>
      <c r="P7810" s="306">
        <v>0.1197141</v>
      </c>
      <c r="Q7810" s="157" t="s">
        <v>154</v>
      </c>
      <c r="R7810" s="303"/>
    </row>
    <row r="7811" spans="1:18" s="162" customFormat="1" ht="120" x14ac:dyDescent="0.25">
      <c r="A7811" s="184">
        <v>43710</v>
      </c>
      <c r="B7811" s="184">
        <v>43710</v>
      </c>
      <c r="C7811" s="138">
        <v>2019</v>
      </c>
      <c r="D7811" s="24" t="s">
        <v>141</v>
      </c>
      <c r="E7811" s="30" t="s">
        <v>142</v>
      </c>
      <c r="F7811" s="7" t="s">
        <v>72</v>
      </c>
      <c r="G7811" s="33" t="s">
        <v>10701</v>
      </c>
      <c r="H7811" s="33" t="s">
        <v>10702</v>
      </c>
      <c r="I7811" s="304">
        <v>0</v>
      </c>
      <c r="J7811" s="305">
        <v>15</v>
      </c>
      <c r="K7811" s="142">
        <v>0</v>
      </c>
      <c r="L7811" s="142">
        <v>0</v>
      </c>
      <c r="M7811" s="142">
        <v>0</v>
      </c>
      <c r="N7811" s="142">
        <v>0</v>
      </c>
      <c r="O7811" s="305">
        <v>0</v>
      </c>
      <c r="P7811" s="306">
        <v>0.19518170000000001</v>
      </c>
      <c r="Q7811" s="157" t="s">
        <v>154</v>
      </c>
      <c r="R7811" s="303"/>
    </row>
    <row r="7812" spans="1:18" s="162" customFormat="1" ht="60" x14ac:dyDescent="0.25">
      <c r="A7812" s="184">
        <v>43710</v>
      </c>
      <c r="B7812" s="184">
        <v>43710</v>
      </c>
      <c r="C7812" s="43">
        <v>2019</v>
      </c>
      <c r="D7812" s="24" t="s">
        <v>141</v>
      </c>
      <c r="E7812" s="30" t="s">
        <v>142</v>
      </c>
      <c r="F7812" s="7" t="s">
        <v>45</v>
      </c>
      <c r="G7812" s="33" t="s">
        <v>259</v>
      </c>
      <c r="H7812" s="33" t="s">
        <v>10703</v>
      </c>
      <c r="I7812" s="304">
        <v>0</v>
      </c>
      <c r="J7812" s="305">
        <v>11</v>
      </c>
      <c r="K7812" s="142">
        <v>0</v>
      </c>
      <c r="L7812" s="142">
        <v>0</v>
      </c>
      <c r="M7812" s="142">
        <v>0</v>
      </c>
      <c r="N7812" s="142">
        <v>0</v>
      </c>
      <c r="O7812" s="305">
        <v>0</v>
      </c>
      <c r="P7812" s="306">
        <v>8.2302E-2</v>
      </c>
      <c r="Q7812" s="157" t="s">
        <v>154</v>
      </c>
      <c r="R7812" s="303"/>
    </row>
    <row r="7813" spans="1:18" s="162" customFormat="1" ht="108" x14ac:dyDescent="0.25">
      <c r="A7813" s="184">
        <v>43711</v>
      </c>
      <c r="B7813" s="184">
        <v>43711</v>
      </c>
      <c r="C7813" s="138">
        <v>2019</v>
      </c>
      <c r="D7813" s="35" t="s">
        <v>28</v>
      </c>
      <c r="E7813" s="6" t="s">
        <v>149</v>
      </c>
      <c r="F7813" s="7" t="s">
        <v>40</v>
      </c>
      <c r="G7813" s="33" t="s">
        <v>830</v>
      </c>
      <c r="H7813" s="33" t="s">
        <v>10704</v>
      </c>
      <c r="I7813" s="304">
        <v>0</v>
      </c>
      <c r="J7813" s="305">
        <v>250</v>
      </c>
      <c r="K7813" s="142">
        <v>0</v>
      </c>
      <c r="L7813" s="142">
        <v>0</v>
      </c>
      <c r="M7813" s="142">
        <v>0</v>
      </c>
      <c r="N7813" s="142">
        <v>3</v>
      </c>
      <c r="O7813" s="305">
        <v>0</v>
      </c>
      <c r="P7813" s="306">
        <v>0</v>
      </c>
      <c r="Q7813" s="157" t="s">
        <v>154</v>
      </c>
      <c r="R7813" s="303"/>
    </row>
    <row r="7814" spans="1:18" s="162" customFormat="1" ht="84" x14ac:dyDescent="0.25">
      <c r="A7814" s="184">
        <v>43711</v>
      </c>
      <c r="B7814" s="184">
        <v>43711</v>
      </c>
      <c r="C7814" s="43">
        <v>2019</v>
      </c>
      <c r="D7814" s="24" t="s">
        <v>141</v>
      </c>
      <c r="E7814" s="30" t="s">
        <v>142</v>
      </c>
      <c r="F7814" s="7" t="s">
        <v>72</v>
      </c>
      <c r="G7814" s="33" t="s">
        <v>9542</v>
      </c>
      <c r="H7814" s="33" t="s">
        <v>10705</v>
      </c>
      <c r="I7814" s="304">
        <v>0</v>
      </c>
      <c r="J7814" s="305">
        <v>11</v>
      </c>
      <c r="K7814" s="142">
        <v>0</v>
      </c>
      <c r="L7814" s="142">
        <v>0</v>
      </c>
      <c r="M7814" s="142">
        <v>0</v>
      </c>
      <c r="N7814" s="142">
        <v>0</v>
      </c>
      <c r="O7814" s="305">
        <v>0</v>
      </c>
      <c r="P7814" s="306">
        <v>0.19122170000000002</v>
      </c>
      <c r="Q7814" s="157" t="s">
        <v>154</v>
      </c>
      <c r="R7814" s="303"/>
    </row>
    <row r="7815" spans="1:18" s="162" customFormat="1" ht="108" x14ac:dyDescent="0.25">
      <c r="A7815" s="184">
        <v>43711</v>
      </c>
      <c r="B7815" s="184">
        <v>43711</v>
      </c>
      <c r="C7815" s="138">
        <v>2019</v>
      </c>
      <c r="D7815" s="35" t="s">
        <v>28</v>
      </c>
      <c r="E7815" s="6" t="s">
        <v>149</v>
      </c>
      <c r="F7815" s="7" t="s">
        <v>53</v>
      </c>
      <c r="G7815" s="33" t="s">
        <v>9630</v>
      </c>
      <c r="H7815" s="33" t="s">
        <v>10706</v>
      </c>
      <c r="I7815" s="304">
        <v>0</v>
      </c>
      <c r="J7815" s="305">
        <v>11</v>
      </c>
      <c r="K7815" s="142">
        <v>0</v>
      </c>
      <c r="L7815" s="142">
        <v>0</v>
      </c>
      <c r="M7815" s="142">
        <v>0</v>
      </c>
      <c r="N7815" s="142">
        <v>1</v>
      </c>
      <c r="O7815" s="305">
        <v>0</v>
      </c>
      <c r="P7815" s="306">
        <v>0.14251050000000004</v>
      </c>
      <c r="Q7815" s="157" t="s">
        <v>154</v>
      </c>
      <c r="R7815" s="303"/>
    </row>
    <row r="7816" spans="1:18" s="162" customFormat="1" ht="72" x14ac:dyDescent="0.25">
      <c r="A7816" s="184">
        <v>43712</v>
      </c>
      <c r="B7816" s="184">
        <v>43712</v>
      </c>
      <c r="C7816" s="43">
        <v>2019</v>
      </c>
      <c r="D7816" s="351" t="s">
        <v>23</v>
      </c>
      <c r="E7816" s="14" t="s">
        <v>32</v>
      </c>
      <c r="F7816" s="7" t="s">
        <v>68</v>
      </c>
      <c r="G7816" s="33">
        <v>31</v>
      </c>
      <c r="H7816" s="33" t="s">
        <v>10707</v>
      </c>
      <c r="I7816" s="304">
        <v>1</v>
      </c>
      <c r="J7816" s="305">
        <v>3782139</v>
      </c>
      <c r="K7816" s="142">
        <v>3531</v>
      </c>
      <c r="L7816" s="142">
        <v>179</v>
      </c>
      <c r="M7816" s="142">
        <v>8</v>
      </c>
      <c r="N7816" s="142">
        <v>0</v>
      </c>
      <c r="O7816" s="305">
        <v>0</v>
      </c>
      <c r="P7816" s="306">
        <v>861.17079932519994</v>
      </c>
      <c r="Q7816" s="157" t="s">
        <v>10536</v>
      </c>
      <c r="R7816" s="303"/>
    </row>
    <row r="7817" spans="1:18" s="162" customFormat="1" ht="72" x14ac:dyDescent="0.25">
      <c r="A7817" s="184">
        <v>43713</v>
      </c>
      <c r="B7817" s="184">
        <v>43713</v>
      </c>
      <c r="C7817" s="138">
        <v>2019</v>
      </c>
      <c r="D7817" s="24" t="s">
        <v>141</v>
      </c>
      <c r="E7817" s="30" t="s">
        <v>142</v>
      </c>
      <c r="F7817" s="7" t="s">
        <v>36</v>
      </c>
      <c r="G7817" s="33" t="s">
        <v>10708</v>
      </c>
      <c r="H7817" s="33" t="s">
        <v>10709</v>
      </c>
      <c r="I7817" s="304">
        <v>0</v>
      </c>
      <c r="J7817" s="305">
        <v>1</v>
      </c>
      <c r="K7817" s="142">
        <v>0</v>
      </c>
      <c r="L7817" s="142">
        <v>0</v>
      </c>
      <c r="M7817" s="142">
        <v>0</v>
      </c>
      <c r="N7817" s="142">
        <v>0</v>
      </c>
      <c r="O7817" s="305">
        <v>0</v>
      </c>
      <c r="P7817" s="306">
        <v>0.503420270761753</v>
      </c>
      <c r="Q7817" s="157" t="s">
        <v>154</v>
      </c>
      <c r="R7817" s="303"/>
    </row>
    <row r="7818" spans="1:18" s="162" customFormat="1" ht="144" x14ac:dyDescent="0.25">
      <c r="A7818" s="184">
        <v>43714</v>
      </c>
      <c r="B7818" s="184">
        <v>43714</v>
      </c>
      <c r="C7818" s="43">
        <v>2019</v>
      </c>
      <c r="D7818" s="35" t="s">
        <v>28</v>
      </c>
      <c r="E7818" s="30" t="s">
        <v>125</v>
      </c>
      <c r="F7818" s="7" t="s">
        <v>62</v>
      </c>
      <c r="G7818" s="33" t="s">
        <v>1533</v>
      </c>
      <c r="H7818" s="33" t="s">
        <v>10710</v>
      </c>
      <c r="I7818" s="304">
        <v>0</v>
      </c>
      <c r="J7818" s="305">
        <v>2</v>
      </c>
      <c r="K7818" s="142">
        <v>0</v>
      </c>
      <c r="L7818" s="142">
        <v>0</v>
      </c>
      <c r="M7818" s="142">
        <v>0</v>
      </c>
      <c r="N7818" s="142">
        <v>0</v>
      </c>
      <c r="O7818" s="305">
        <v>0</v>
      </c>
      <c r="P7818" s="306">
        <v>1.9800000000000004E-3</v>
      </c>
      <c r="Q7818" s="157" t="s">
        <v>154</v>
      </c>
      <c r="R7818" s="303"/>
    </row>
    <row r="7819" spans="1:18" s="162" customFormat="1" ht="96" x14ac:dyDescent="0.25">
      <c r="A7819" s="184">
        <v>43714</v>
      </c>
      <c r="B7819" s="184">
        <v>43714</v>
      </c>
      <c r="C7819" s="138">
        <v>2019</v>
      </c>
      <c r="D7819" s="24" t="s">
        <v>141</v>
      </c>
      <c r="E7819" s="30" t="s">
        <v>142</v>
      </c>
      <c r="F7819" s="7" t="s">
        <v>62</v>
      </c>
      <c r="G7819" s="33" t="s">
        <v>1011</v>
      </c>
      <c r="H7819" s="33" t="s">
        <v>10711</v>
      </c>
      <c r="I7819" s="304">
        <v>0</v>
      </c>
      <c r="J7819" s="305">
        <v>4</v>
      </c>
      <c r="K7819" s="142">
        <v>0</v>
      </c>
      <c r="L7819" s="142">
        <v>0</v>
      </c>
      <c r="M7819" s="142">
        <v>0</v>
      </c>
      <c r="N7819" s="142">
        <v>0</v>
      </c>
      <c r="O7819" s="305">
        <v>0</v>
      </c>
      <c r="P7819" s="306">
        <v>0.1842917</v>
      </c>
      <c r="Q7819" s="157" t="s">
        <v>154</v>
      </c>
      <c r="R7819" s="303"/>
    </row>
    <row r="7820" spans="1:18" s="162" customFormat="1" ht="409.5" x14ac:dyDescent="0.25">
      <c r="A7820" s="184">
        <v>43714</v>
      </c>
      <c r="B7820" s="184">
        <v>43714</v>
      </c>
      <c r="C7820" s="43">
        <v>2019</v>
      </c>
      <c r="D7820" s="351" t="s">
        <v>23</v>
      </c>
      <c r="E7820" s="22" t="s">
        <v>86</v>
      </c>
      <c r="F7820" s="7" t="s">
        <v>60</v>
      </c>
      <c r="G7820" s="33" t="s">
        <v>10712</v>
      </c>
      <c r="H7820" s="33" t="s">
        <v>10713</v>
      </c>
      <c r="I7820" s="304">
        <v>0</v>
      </c>
      <c r="J7820" s="305">
        <v>2</v>
      </c>
      <c r="K7820" s="142">
        <v>0</v>
      </c>
      <c r="L7820" s="142">
        <v>0</v>
      </c>
      <c r="M7820" s="142">
        <v>0</v>
      </c>
      <c r="N7820" s="142">
        <v>0</v>
      </c>
      <c r="O7820" s="305">
        <v>0</v>
      </c>
      <c r="P7820" s="306">
        <v>0.17599999999999999</v>
      </c>
      <c r="Q7820" s="157" t="s">
        <v>154</v>
      </c>
      <c r="R7820" s="303"/>
    </row>
    <row r="7821" spans="1:18" s="162" customFormat="1" ht="120" x14ac:dyDescent="0.25">
      <c r="A7821" s="184">
        <v>43715</v>
      </c>
      <c r="B7821" s="184">
        <v>43715</v>
      </c>
      <c r="C7821" s="138">
        <v>2019</v>
      </c>
      <c r="D7821" s="24" t="s">
        <v>141</v>
      </c>
      <c r="E7821" s="49" t="s">
        <v>1600</v>
      </c>
      <c r="F7821" s="7" t="s">
        <v>60</v>
      </c>
      <c r="G7821" s="33" t="s">
        <v>307</v>
      </c>
      <c r="H7821" s="33" t="s">
        <v>10714</v>
      </c>
      <c r="I7821" s="304">
        <v>0</v>
      </c>
      <c r="J7821" s="305">
        <v>12</v>
      </c>
      <c r="K7821" s="142">
        <v>0</v>
      </c>
      <c r="L7821" s="142">
        <v>0</v>
      </c>
      <c r="M7821" s="142">
        <v>0</v>
      </c>
      <c r="N7821" s="142">
        <v>1</v>
      </c>
      <c r="O7821" s="305">
        <v>0</v>
      </c>
      <c r="P7821" s="306">
        <v>1.1880000000000002E-2</v>
      </c>
      <c r="Q7821" s="157" t="s">
        <v>154</v>
      </c>
      <c r="R7821" s="303"/>
    </row>
    <row r="7822" spans="1:18" s="162" customFormat="1" ht="168" x14ac:dyDescent="0.25">
      <c r="A7822" s="184">
        <v>43715</v>
      </c>
      <c r="B7822" s="184">
        <v>43715</v>
      </c>
      <c r="C7822" s="43">
        <v>2019</v>
      </c>
      <c r="D7822" s="24" t="s">
        <v>141</v>
      </c>
      <c r="E7822" s="30" t="s">
        <v>142</v>
      </c>
      <c r="F7822" s="7" t="s">
        <v>72</v>
      </c>
      <c r="G7822" s="33" t="s">
        <v>10715</v>
      </c>
      <c r="H7822" s="33" t="s">
        <v>10716</v>
      </c>
      <c r="I7822" s="304">
        <v>5</v>
      </c>
      <c r="J7822" s="305">
        <v>28</v>
      </c>
      <c r="K7822" s="142">
        <v>0</v>
      </c>
      <c r="L7822" s="142">
        <v>0</v>
      </c>
      <c r="M7822" s="142">
        <v>0</v>
      </c>
      <c r="N7822" s="142">
        <v>0</v>
      </c>
      <c r="O7822" s="305">
        <v>0</v>
      </c>
      <c r="P7822" s="306">
        <v>0.73787999999999998</v>
      </c>
      <c r="Q7822" s="157" t="s">
        <v>154</v>
      </c>
      <c r="R7822" s="303"/>
    </row>
    <row r="7823" spans="1:18" s="162" customFormat="1" ht="120" x14ac:dyDescent="0.25">
      <c r="A7823" s="184">
        <v>43715</v>
      </c>
      <c r="B7823" s="184">
        <v>43715</v>
      </c>
      <c r="C7823" s="138">
        <v>2019</v>
      </c>
      <c r="D7823" s="24" t="s">
        <v>141</v>
      </c>
      <c r="E7823" s="30" t="s">
        <v>142</v>
      </c>
      <c r="F7823" s="7" t="s">
        <v>75</v>
      </c>
      <c r="G7823" s="33" t="s">
        <v>10717</v>
      </c>
      <c r="H7823" s="33" t="s">
        <v>10718</v>
      </c>
      <c r="I7823" s="304">
        <v>0</v>
      </c>
      <c r="J7823" s="305">
        <v>6</v>
      </c>
      <c r="K7823" s="142">
        <v>0</v>
      </c>
      <c r="L7823" s="142">
        <v>0</v>
      </c>
      <c r="M7823" s="142">
        <v>0</v>
      </c>
      <c r="N7823" s="142">
        <v>0</v>
      </c>
      <c r="O7823" s="305">
        <v>0</v>
      </c>
      <c r="P7823" s="306">
        <v>2.3973169999999999E-2</v>
      </c>
      <c r="Q7823" s="157" t="s">
        <v>154</v>
      </c>
      <c r="R7823" s="303"/>
    </row>
    <row r="7824" spans="1:18" s="162" customFormat="1" ht="120" x14ac:dyDescent="0.25">
      <c r="A7824" s="184">
        <v>43716</v>
      </c>
      <c r="B7824" s="184">
        <v>43716</v>
      </c>
      <c r="C7824" s="43">
        <v>2019</v>
      </c>
      <c r="D7824" s="351" t="s">
        <v>23</v>
      </c>
      <c r="E7824" s="22" t="s">
        <v>86</v>
      </c>
      <c r="F7824" s="7" t="s">
        <v>60</v>
      </c>
      <c r="G7824" s="33" t="s">
        <v>2508</v>
      </c>
      <c r="H7824" s="33" t="s">
        <v>10719</v>
      </c>
      <c r="I7824" s="304">
        <v>4</v>
      </c>
      <c r="J7824" s="305">
        <v>8</v>
      </c>
      <c r="K7824" s="142">
        <v>0</v>
      </c>
      <c r="L7824" s="142">
        <v>0</v>
      </c>
      <c r="M7824" s="142">
        <v>0</v>
      </c>
      <c r="N7824" s="142">
        <v>0</v>
      </c>
      <c r="O7824" s="305">
        <v>0</v>
      </c>
      <c r="P7824" s="306">
        <v>1.232</v>
      </c>
      <c r="Q7824" s="157" t="s">
        <v>154</v>
      </c>
      <c r="R7824" s="303"/>
    </row>
    <row r="7825" spans="1:18" s="162" customFormat="1" ht="24" x14ac:dyDescent="0.25">
      <c r="A7825" s="184">
        <v>43716</v>
      </c>
      <c r="B7825" s="184">
        <v>43716</v>
      </c>
      <c r="C7825" s="138">
        <v>2019</v>
      </c>
      <c r="D7825" s="351" t="s">
        <v>23</v>
      </c>
      <c r="E7825" s="14" t="s">
        <v>52</v>
      </c>
      <c r="F7825" s="7" t="s">
        <v>87</v>
      </c>
      <c r="G7825" s="33"/>
      <c r="H7825" s="44" t="s">
        <v>10720</v>
      </c>
      <c r="I7825" s="304">
        <v>0</v>
      </c>
      <c r="J7825" s="305">
        <v>0</v>
      </c>
      <c r="K7825" s="142">
        <v>0</v>
      </c>
      <c r="L7825" s="142">
        <v>0</v>
      </c>
      <c r="M7825" s="142">
        <v>0</v>
      </c>
      <c r="N7825" s="142">
        <v>0</v>
      </c>
      <c r="O7825" s="305">
        <v>0</v>
      </c>
      <c r="P7825" s="306">
        <v>1.5435949199999999</v>
      </c>
      <c r="Q7825" s="157" t="s">
        <v>186</v>
      </c>
      <c r="R7825" s="303"/>
    </row>
    <row r="7826" spans="1:18" s="162" customFormat="1" ht="108" x14ac:dyDescent="0.25">
      <c r="A7826" s="184">
        <v>43717</v>
      </c>
      <c r="B7826" s="184">
        <v>43717</v>
      </c>
      <c r="C7826" s="43">
        <v>2019</v>
      </c>
      <c r="D7826" s="35" t="s">
        <v>28</v>
      </c>
      <c r="E7826" s="6" t="s">
        <v>149</v>
      </c>
      <c r="F7826" s="28" t="s">
        <v>157</v>
      </c>
      <c r="G7826" s="33" t="s">
        <v>1190</v>
      </c>
      <c r="H7826" s="33" t="s">
        <v>10721</v>
      </c>
      <c r="I7826" s="304">
        <v>0</v>
      </c>
      <c r="J7826" s="305">
        <v>20</v>
      </c>
      <c r="K7826" s="142">
        <v>0</v>
      </c>
      <c r="L7826" s="142">
        <v>0</v>
      </c>
      <c r="M7826" s="142">
        <v>0</v>
      </c>
      <c r="N7826" s="142">
        <v>1</v>
      </c>
      <c r="O7826" s="305">
        <v>0</v>
      </c>
      <c r="P7826" s="306">
        <v>0</v>
      </c>
      <c r="Q7826" s="157" t="s">
        <v>154</v>
      </c>
      <c r="R7826" s="303"/>
    </row>
    <row r="7827" spans="1:18" s="162" customFormat="1" ht="120" x14ac:dyDescent="0.25">
      <c r="A7827" s="184">
        <v>43717</v>
      </c>
      <c r="B7827" s="184">
        <v>43717</v>
      </c>
      <c r="C7827" s="138">
        <v>2019</v>
      </c>
      <c r="D7827" s="35" t="s">
        <v>28</v>
      </c>
      <c r="E7827" s="6" t="s">
        <v>149</v>
      </c>
      <c r="F7827" s="28" t="s">
        <v>157</v>
      </c>
      <c r="G7827" s="33" t="s">
        <v>1062</v>
      </c>
      <c r="H7827" s="33" t="s">
        <v>10722</v>
      </c>
      <c r="I7827" s="304">
        <v>0</v>
      </c>
      <c r="J7827" s="305">
        <v>1000</v>
      </c>
      <c r="K7827" s="142">
        <v>0</v>
      </c>
      <c r="L7827" s="142">
        <v>0</v>
      </c>
      <c r="M7827" s="142">
        <v>0</v>
      </c>
      <c r="N7827" s="142">
        <v>1</v>
      </c>
      <c r="O7827" s="305">
        <v>0</v>
      </c>
      <c r="P7827" s="306">
        <v>0</v>
      </c>
      <c r="Q7827" s="157" t="s">
        <v>154</v>
      </c>
      <c r="R7827" s="303"/>
    </row>
    <row r="7828" spans="1:18" s="162" customFormat="1" ht="168" x14ac:dyDescent="0.25">
      <c r="A7828" s="184">
        <v>43720</v>
      </c>
      <c r="B7828" s="184">
        <v>43720</v>
      </c>
      <c r="C7828" s="43">
        <v>2019</v>
      </c>
      <c r="D7828" s="35" t="s">
        <v>28</v>
      </c>
      <c r="E7828" s="6" t="s">
        <v>149</v>
      </c>
      <c r="F7828" s="28" t="s">
        <v>157</v>
      </c>
      <c r="G7828" s="33" t="s">
        <v>5443</v>
      </c>
      <c r="H7828" s="33" t="s">
        <v>10723</v>
      </c>
      <c r="I7828" s="304">
        <v>0</v>
      </c>
      <c r="J7828" s="305">
        <v>500</v>
      </c>
      <c r="K7828" s="142">
        <v>0</v>
      </c>
      <c r="L7828" s="142">
        <v>0</v>
      </c>
      <c r="M7828" s="142">
        <v>0</v>
      </c>
      <c r="N7828" s="142">
        <v>0</v>
      </c>
      <c r="O7828" s="305">
        <v>0</v>
      </c>
      <c r="P7828" s="306">
        <v>1.4690833837209303</v>
      </c>
      <c r="Q7828" s="157" t="s">
        <v>154</v>
      </c>
      <c r="R7828" s="303"/>
    </row>
    <row r="7829" spans="1:18" s="162" customFormat="1" ht="120" x14ac:dyDescent="0.25">
      <c r="A7829" s="184">
        <v>43721</v>
      </c>
      <c r="B7829" s="184">
        <v>43721</v>
      </c>
      <c r="C7829" s="138">
        <v>2019</v>
      </c>
      <c r="D7829" s="24" t="s">
        <v>141</v>
      </c>
      <c r="E7829" s="30" t="s">
        <v>142</v>
      </c>
      <c r="F7829" s="7" t="s">
        <v>72</v>
      </c>
      <c r="G7829" s="33" t="s">
        <v>10724</v>
      </c>
      <c r="H7829" s="33" t="s">
        <v>10725</v>
      </c>
      <c r="I7829" s="304">
        <v>0</v>
      </c>
      <c r="J7829" s="305">
        <v>10</v>
      </c>
      <c r="K7829" s="142">
        <v>0</v>
      </c>
      <c r="L7829" s="142">
        <v>0</v>
      </c>
      <c r="M7829" s="142">
        <v>0</v>
      </c>
      <c r="N7829" s="142">
        <v>0</v>
      </c>
      <c r="O7829" s="305">
        <v>0</v>
      </c>
      <c r="P7829" s="306">
        <v>0.14028200000000002</v>
      </c>
      <c r="Q7829" s="157" t="s">
        <v>154</v>
      </c>
      <c r="R7829" s="303"/>
    </row>
    <row r="7830" spans="1:18" s="162" customFormat="1" ht="132" x14ac:dyDescent="0.25">
      <c r="A7830" s="184">
        <v>43722</v>
      </c>
      <c r="B7830" s="184">
        <v>43722</v>
      </c>
      <c r="C7830" s="43">
        <v>2019</v>
      </c>
      <c r="D7830" s="24" t="s">
        <v>141</v>
      </c>
      <c r="E7830" s="30" t="s">
        <v>142</v>
      </c>
      <c r="F7830" s="28" t="s">
        <v>210</v>
      </c>
      <c r="G7830" s="33" t="s">
        <v>5025</v>
      </c>
      <c r="H7830" s="33" t="s">
        <v>10726</v>
      </c>
      <c r="I7830" s="304">
        <v>0</v>
      </c>
      <c r="J7830" s="305">
        <v>7</v>
      </c>
      <c r="K7830" s="142">
        <v>0</v>
      </c>
      <c r="L7830" s="142">
        <v>0</v>
      </c>
      <c r="M7830" s="142">
        <v>0</v>
      </c>
      <c r="N7830" s="142">
        <v>0</v>
      </c>
      <c r="O7830" s="305">
        <v>0</v>
      </c>
      <c r="P7830" s="306">
        <v>0.29372999999999999</v>
      </c>
      <c r="Q7830" s="157" t="s">
        <v>154</v>
      </c>
      <c r="R7830" s="303"/>
    </row>
    <row r="7831" spans="1:18" s="162" customFormat="1" ht="168" x14ac:dyDescent="0.25">
      <c r="A7831" s="184">
        <v>43723</v>
      </c>
      <c r="B7831" s="184">
        <v>43723</v>
      </c>
      <c r="C7831" s="138">
        <v>2019</v>
      </c>
      <c r="D7831" s="35" t="s">
        <v>28</v>
      </c>
      <c r="E7831" s="30" t="s">
        <v>125</v>
      </c>
      <c r="F7831" s="7" t="s">
        <v>53</v>
      </c>
      <c r="G7831" s="33" t="s">
        <v>6359</v>
      </c>
      <c r="H7831" s="33" t="s">
        <v>10727</v>
      </c>
      <c r="I7831" s="304">
        <v>0</v>
      </c>
      <c r="J7831" s="305">
        <v>450</v>
      </c>
      <c r="K7831" s="142">
        <v>0</v>
      </c>
      <c r="L7831" s="142">
        <v>0</v>
      </c>
      <c r="M7831" s="142">
        <v>0</v>
      </c>
      <c r="N7831" s="142">
        <v>0</v>
      </c>
      <c r="O7831" s="305">
        <v>0</v>
      </c>
      <c r="P7831" s="306">
        <v>0</v>
      </c>
      <c r="Q7831" s="157" t="s">
        <v>154</v>
      </c>
      <c r="R7831" s="303"/>
    </row>
    <row r="7832" spans="1:18" s="162" customFormat="1" ht="84" x14ac:dyDescent="0.25">
      <c r="A7832" s="184">
        <v>43723</v>
      </c>
      <c r="B7832" s="184">
        <v>43723</v>
      </c>
      <c r="C7832" s="43">
        <v>2019</v>
      </c>
      <c r="D7832" s="24" t="s">
        <v>141</v>
      </c>
      <c r="E7832" s="30" t="s">
        <v>142</v>
      </c>
      <c r="F7832" s="7" t="s">
        <v>60</v>
      </c>
      <c r="G7832" s="33" t="s">
        <v>1256</v>
      </c>
      <c r="H7832" s="33" t="s">
        <v>10728</v>
      </c>
      <c r="I7832" s="304">
        <v>1</v>
      </c>
      <c r="J7832" s="305">
        <v>8</v>
      </c>
      <c r="K7832" s="142">
        <v>0</v>
      </c>
      <c r="L7832" s="142">
        <v>0</v>
      </c>
      <c r="M7832" s="142">
        <v>0</v>
      </c>
      <c r="N7832" s="142">
        <v>0</v>
      </c>
      <c r="O7832" s="305">
        <v>0</v>
      </c>
      <c r="P7832" s="306">
        <v>0.2537237</v>
      </c>
      <c r="Q7832" s="157" t="s">
        <v>154</v>
      </c>
      <c r="R7832" s="303"/>
    </row>
    <row r="7833" spans="1:18" s="162" customFormat="1" ht="108" x14ac:dyDescent="0.25">
      <c r="A7833" s="184">
        <v>43723</v>
      </c>
      <c r="B7833" s="184">
        <v>43723</v>
      </c>
      <c r="C7833" s="138">
        <v>2019</v>
      </c>
      <c r="D7833" s="35" t="s">
        <v>28</v>
      </c>
      <c r="E7833" s="30" t="s">
        <v>133</v>
      </c>
      <c r="F7833" s="28" t="s">
        <v>210</v>
      </c>
      <c r="G7833" s="33" t="s">
        <v>893</v>
      </c>
      <c r="H7833" s="33" t="s">
        <v>10729</v>
      </c>
      <c r="I7833" s="304">
        <v>0</v>
      </c>
      <c r="J7833" s="305">
        <v>8</v>
      </c>
      <c r="K7833" s="142">
        <v>0</v>
      </c>
      <c r="L7833" s="142">
        <v>0</v>
      </c>
      <c r="M7833" s="142">
        <v>0</v>
      </c>
      <c r="N7833" s="142">
        <v>0</v>
      </c>
      <c r="O7833" s="305">
        <v>0</v>
      </c>
      <c r="P7833" s="306">
        <v>1.9800000000000004E-3</v>
      </c>
      <c r="Q7833" s="157" t="s">
        <v>154</v>
      </c>
      <c r="R7833" s="303"/>
    </row>
    <row r="7834" spans="1:18" s="162" customFormat="1" x14ac:dyDescent="0.25">
      <c r="A7834" s="184">
        <v>43724</v>
      </c>
      <c r="B7834" s="184">
        <v>43724</v>
      </c>
      <c r="C7834" s="43">
        <v>2019</v>
      </c>
      <c r="D7834" s="351" t="s">
        <v>23</v>
      </c>
      <c r="E7834" s="14" t="s">
        <v>52</v>
      </c>
      <c r="F7834" s="7" t="s">
        <v>36</v>
      </c>
      <c r="G7834" s="33"/>
      <c r="H7834" s="44" t="s">
        <v>10730</v>
      </c>
      <c r="I7834" s="304">
        <v>0</v>
      </c>
      <c r="J7834" s="305">
        <v>0</v>
      </c>
      <c r="K7834" s="142">
        <v>0</v>
      </c>
      <c r="L7834" s="142">
        <v>0</v>
      </c>
      <c r="M7834" s="142">
        <v>0</v>
      </c>
      <c r="N7834" s="142">
        <v>0</v>
      </c>
      <c r="O7834" s="305">
        <v>0</v>
      </c>
      <c r="P7834" s="306">
        <v>214.17729089060001</v>
      </c>
      <c r="Q7834" s="157" t="s">
        <v>186</v>
      </c>
      <c r="R7834" s="303"/>
    </row>
    <row r="7835" spans="1:18" s="162" customFormat="1" ht="96" x14ac:dyDescent="0.25">
      <c r="A7835" s="184">
        <v>43725</v>
      </c>
      <c r="B7835" s="184">
        <v>43725</v>
      </c>
      <c r="C7835" s="138">
        <v>2019</v>
      </c>
      <c r="D7835" s="24" t="s">
        <v>141</v>
      </c>
      <c r="E7835" s="30" t="s">
        <v>142</v>
      </c>
      <c r="F7835" s="28" t="s">
        <v>210</v>
      </c>
      <c r="G7835" s="33" t="s">
        <v>10731</v>
      </c>
      <c r="H7835" s="33" t="s">
        <v>10732</v>
      </c>
      <c r="I7835" s="304">
        <v>3</v>
      </c>
      <c r="J7835" s="305">
        <v>29</v>
      </c>
      <c r="K7835" s="142">
        <v>0</v>
      </c>
      <c r="L7835" s="142">
        <v>0</v>
      </c>
      <c r="M7835" s="142">
        <v>0</v>
      </c>
      <c r="N7835" s="142">
        <v>0</v>
      </c>
      <c r="O7835" s="305">
        <v>0</v>
      </c>
      <c r="P7835" s="306">
        <v>0.73985999999999996</v>
      </c>
      <c r="Q7835" s="157" t="s">
        <v>154</v>
      </c>
      <c r="R7835" s="303"/>
    </row>
    <row r="7836" spans="1:18" s="162" customFormat="1" ht="96" x14ac:dyDescent="0.25">
      <c r="A7836" s="184">
        <v>43726</v>
      </c>
      <c r="B7836" s="184">
        <v>43726</v>
      </c>
      <c r="C7836" s="43">
        <v>2019</v>
      </c>
      <c r="D7836" s="24" t="s">
        <v>141</v>
      </c>
      <c r="E7836" s="30" t="s">
        <v>142</v>
      </c>
      <c r="F7836" s="28" t="s">
        <v>157</v>
      </c>
      <c r="G7836" s="33" t="s">
        <v>526</v>
      </c>
      <c r="H7836" s="33" t="s">
        <v>10733</v>
      </c>
      <c r="I7836" s="304">
        <v>0</v>
      </c>
      <c r="J7836" s="305">
        <v>14</v>
      </c>
      <c r="K7836" s="142">
        <v>0</v>
      </c>
      <c r="L7836" s="142">
        <v>0</v>
      </c>
      <c r="M7836" s="142">
        <v>0</v>
      </c>
      <c r="N7836" s="142">
        <v>0</v>
      </c>
      <c r="O7836" s="305">
        <v>0</v>
      </c>
      <c r="P7836" s="306">
        <v>2.1993169999999999E-2</v>
      </c>
      <c r="Q7836" s="157" t="s">
        <v>154</v>
      </c>
      <c r="R7836" s="303"/>
    </row>
    <row r="7837" spans="1:18" s="162" customFormat="1" ht="312" x14ac:dyDescent="0.25">
      <c r="A7837" s="184">
        <v>43726</v>
      </c>
      <c r="B7837" s="184">
        <v>43726</v>
      </c>
      <c r="C7837" s="138">
        <v>2019</v>
      </c>
      <c r="D7837" s="351" t="s">
        <v>23</v>
      </c>
      <c r="E7837" s="22" t="s">
        <v>86</v>
      </c>
      <c r="F7837" s="7" t="s">
        <v>47</v>
      </c>
      <c r="G7837" s="33" t="s">
        <v>5158</v>
      </c>
      <c r="H7837" s="33" t="s">
        <v>10734</v>
      </c>
      <c r="I7837" s="304">
        <v>0</v>
      </c>
      <c r="J7837" s="305">
        <v>104</v>
      </c>
      <c r="K7837" s="142">
        <v>10</v>
      </c>
      <c r="L7837" s="142">
        <v>0</v>
      </c>
      <c r="M7837" s="142">
        <v>0</v>
      </c>
      <c r="N7837" s="142">
        <v>0</v>
      </c>
      <c r="O7837" s="305">
        <v>0</v>
      </c>
      <c r="P7837" s="306">
        <v>25.924668</v>
      </c>
      <c r="Q7837" s="157" t="s">
        <v>7883</v>
      </c>
      <c r="R7837" s="303"/>
    </row>
    <row r="7838" spans="1:18" s="162" customFormat="1" x14ac:dyDescent="0.25">
      <c r="A7838" s="184">
        <v>43726</v>
      </c>
      <c r="B7838" s="184">
        <v>43726</v>
      </c>
      <c r="C7838" s="43">
        <v>2019</v>
      </c>
      <c r="D7838" s="351" t="s">
        <v>23</v>
      </c>
      <c r="E7838" s="14" t="s">
        <v>52</v>
      </c>
      <c r="F7838" s="7" t="s">
        <v>36</v>
      </c>
      <c r="G7838" s="33"/>
      <c r="H7838" s="44" t="s">
        <v>10735</v>
      </c>
      <c r="I7838" s="304">
        <v>0</v>
      </c>
      <c r="J7838" s="305">
        <v>0</v>
      </c>
      <c r="K7838" s="142">
        <v>0</v>
      </c>
      <c r="L7838" s="142">
        <v>0</v>
      </c>
      <c r="M7838" s="142">
        <v>0</v>
      </c>
      <c r="N7838" s="142">
        <v>0</v>
      </c>
      <c r="O7838" s="305">
        <v>0</v>
      </c>
      <c r="P7838" s="306">
        <v>227.78429667239999</v>
      </c>
      <c r="Q7838" s="157" t="s">
        <v>186</v>
      </c>
      <c r="R7838" s="303"/>
    </row>
    <row r="7839" spans="1:18" s="162" customFormat="1" ht="84" x14ac:dyDescent="0.25">
      <c r="A7839" s="184">
        <v>43727</v>
      </c>
      <c r="B7839" s="184">
        <v>43727</v>
      </c>
      <c r="C7839" s="138">
        <v>2019</v>
      </c>
      <c r="D7839" s="24" t="s">
        <v>141</v>
      </c>
      <c r="E7839" s="30" t="s">
        <v>142</v>
      </c>
      <c r="F7839" s="28" t="s">
        <v>160</v>
      </c>
      <c r="G7839" s="33" t="s">
        <v>10736</v>
      </c>
      <c r="H7839" s="33" t="s">
        <v>10737</v>
      </c>
      <c r="I7839" s="304">
        <v>0</v>
      </c>
      <c r="J7839" s="305">
        <v>1</v>
      </c>
      <c r="K7839" s="142">
        <v>0</v>
      </c>
      <c r="L7839" s="142">
        <v>0</v>
      </c>
      <c r="M7839" s="142">
        <v>0</v>
      </c>
      <c r="N7839" s="142">
        <v>0</v>
      </c>
      <c r="O7839" s="305">
        <v>0</v>
      </c>
      <c r="P7839" s="306">
        <v>4.4778562348837214</v>
      </c>
      <c r="Q7839" s="157" t="s">
        <v>154</v>
      </c>
      <c r="R7839" s="303"/>
    </row>
    <row r="7840" spans="1:18" s="162" customFormat="1" ht="168" x14ac:dyDescent="0.25">
      <c r="A7840" s="184">
        <v>43727</v>
      </c>
      <c r="B7840" s="184">
        <v>43727</v>
      </c>
      <c r="C7840" s="43">
        <v>2019</v>
      </c>
      <c r="D7840" s="351" t="s">
        <v>23</v>
      </c>
      <c r="E7840" s="14" t="s">
        <v>32</v>
      </c>
      <c r="F7840" s="7" t="s">
        <v>60</v>
      </c>
      <c r="G7840" s="33" t="s">
        <v>10738</v>
      </c>
      <c r="H7840" s="33" t="s">
        <v>10739</v>
      </c>
      <c r="I7840" s="304">
        <v>0</v>
      </c>
      <c r="J7840" s="305">
        <v>42820</v>
      </c>
      <c r="K7840" s="142">
        <v>39</v>
      </c>
      <c r="L7840" s="142">
        <v>9</v>
      </c>
      <c r="M7840" s="142">
        <v>0</v>
      </c>
      <c r="N7840" s="142">
        <v>0</v>
      </c>
      <c r="O7840" s="142">
        <v>0</v>
      </c>
      <c r="P7840" s="306">
        <v>744.69518732000006</v>
      </c>
      <c r="Q7840" s="157" t="s">
        <v>10536</v>
      </c>
      <c r="R7840" s="303"/>
    </row>
    <row r="7841" spans="1:18" s="162" customFormat="1" ht="96" x14ac:dyDescent="0.25">
      <c r="A7841" s="184">
        <v>43727</v>
      </c>
      <c r="B7841" s="184">
        <v>43727</v>
      </c>
      <c r="C7841" s="138">
        <v>2019</v>
      </c>
      <c r="D7841" s="24" t="s">
        <v>141</v>
      </c>
      <c r="E7841" s="30" t="s">
        <v>142</v>
      </c>
      <c r="F7841" s="28" t="s">
        <v>157</v>
      </c>
      <c r="G7841" s="33" t="s">
        <v>1062</v>
      </c>
      <c r="H7841" s="33" t="s">
        <v>10740</v>
      </c>
      <c r="I7841" s="304">
        <v>0</v>
      </c>
      <c r="J7841" s="305">
        <v>3</v>
      </c>
      <c r="K7841" s="142">
        <v>0</v>
      </c>
      <c r="L7841" s="142">
        <v>0</v>
      </c>
      <c r="M7841" s="142">
        <v>0</v>
      </c>
      <c r="N7841" s="142">
        <v>0</v>
      </c>
      <c r="O7841" s="305">
        <v>0</v>
      </c>
      <c r="P7841" s="306">
        <v>0.76988999999999996</v>
      </c>
      <c r="Q7841" s="157" t="s">
        <v>154</v>
      </c>
      <c r="R7841" s="303"/>
    </row>
    <row r="7842" spans="1:18" s="162" customFormat="1" ht="96" x14ac:dyDescent="0.25">
      <c r="A7842" s="184">
        <v>43728</v>
      </c>
      <c r="B7842" s="184">
        <v>43728</v>
      </c>
      <c r="C7842" s="43">
        <v>2019</v>
      </c>
      <c r="D7842" s="24" t="s">
        <v>141</v>
      </c>
      <c r="E7842" s="30" t="s">
        <v>142</v>
      </c>
      <c r="F7842" s="7" t="s">
        <v>56</v>
      </c>
      <c r="G7842" s="33" t="s">
        <v>2786</v>
      </c>
      <c r="H7842" s="33" t="s">
        <v>10741</v>
      </c>
      <c r="I7842" s="304">
        <v>0</v>
      </c>
      <c r="J7842" s="305">
        <v>24</v>
      </c>
      <c r="K7842" s="142">
        <v>0</v>
      </c>
      <c r="L7842" s="142">
        <v>0</v>
      </c>
      <c r="M7842" s="142">
        <v>0</v>
      </c>
      <c r="N7842" s="142">
        <v>0</v>
      </c>
      <c r="O7842" s="305">
        <v>0</v>
      </c>
      <c r="P7842" s="306">
        <v>2.3760000000000003E-2</v>
      </c>
      <c r="Q7842" s="157" t="s">
        <v>154</v>
      </c>
      <c r="R7842" s="303"/>
    </row>
    <row r="7843" spans="1:18" s="162" customFormat="1" ht="24" x14ac:dyDescent="0.25">
      <c r="A7843" s="184">
        <v>43729</v>
      </c>
      <c r="B7843" s="184">
        <v>43729</v>
      </c>
      <c r="C7843" s="138">
        <v>2019</v>
      </c>
      <c r="D7843" s="351" t="s">
        <v>23</v>
      </c>
      <c r="E7843" s="22" t="s">
        <v>86</v>
      </c>
      <c r="F7843" s="7" t="s">
        <v>87</v>
      </c>
      <c r="G7843" s="33"/>
      <c r="H7843" s="44" t="s">
        <v>10742</v>
      </c>
      <c r="I7843" s="304">
        <v>0</v>
      </c>
      <c r="J7843" s="305">
        <v>0</v>
      </c>
      <c r="K7843" s="142">
        <v>0</v>
      </c>
      <c r="L7843" s="142">
        <v>0</v>
      </c>
      <c r="M7843" s="142">
        <v>0</v>
      </c>
      <c r="N7843" s="142">
        <v>0</v>
      </c>
      <c r="O7843" s="305">
        <v>0</v>
      </c>
      <c r="P7843" s="306">
        <v>27.553685410399993</v>
      </c>
      <c r="Q7843" s="157" t="s">
        <v>186</v>
      </c>
      <c r="R7843" s="303"/>
    </row>
    <row r="7844" spans="1:18" s="162" customFormat="1" ht="120" x14ac:dyDescent="0.25">
      <c r="A7844" s="184">
        <v>43730</v>
      </c>
      <c r="B7844" s="184">
        <v>43731</v>
      </c>
      <c r="C7844" s="43">
        <v>2019</v>
      </c>
      <c r="D7844" s="24" t="s">
        <v>141</v>
      </c>
      <c r="E7844" s="30" t="s">
        <v>142</v>
      </c>
      <c r="F7844" s="7" t="s">
        <v>49</v>
      </c>
      <c r="G7844" s="33" t="s">
        <v>4834</v>
      </c>
      <c r="H7844" s="33" t="s">
        <v>10743</v>
      </c>
      <c r="I7844" s="304">
        <v>0</v>
      </c>
      <c r="J7844" s="305">
        <v>5</v>
      </c>
      <c r="K7844" s="142">
        <v>0</v>
      </c>
      <c r="L7844" s="142">
        <v>0</v>
      </c>
      <c r="M7844" s="142">
        <v>0</v>
      </c>
      <c r="N7844" s="142">
        <v>0</v>
      </c>
      <c r="O7844" s="305">
        <v>0</v>
      </c>
      <c r="P7844" s="306">
        <v>4.94392570761753</v>
      </c>
      <c r="Q7844" s="157" t="s">
        <v>154</v>
      </c>
      <c r="R7844" s="303"/>
    </row>
    <row r="7845" spans="1:18" s="162" customFormat="1" ht="24" x14ac:dyDescent="0.25">
      <c r="A7845" s="21">
        <v>43728</v>
      </c>
      <c r="B7845" s="21">
        <v>43728</v>
      </c>
      <c r="C7845" s="138">
        <v>2019</v>
      </c>
      <c r="D7845" s="351" t="s">
        <v>23</v>
      </c>
      <c r="E7845" s="14" t="s">
        <v>32</v>
      </c>
      <c r="F7845" s="7" t="s">
        <v>33</v>
      </c>
      <c r="G7845" s="33"/>
      <c r="H7845" s="44" t="s">
        <v>10744</v>
      </c>
      <c r="I7845" s="157">
        <v>0</v>
      </c>
      <c r="J7845" s="308">
        <v>0</v>
      </c>
      <c r="K7845" s="142">
        <v>0</v>
      </c>
      <c r="L7845" s="142">
        <v>0</v>
      </c>
      <c r="M7845" s="142">
        <v>0</v>
      </c>
      <c r="N7845" s="142">
        <v>0</v>
      </c>
      <c r="O7845" s="142">
        <v>0</v>
      </c>
      <c r="P7845" s="306">
        <v>33.225004850000005</v>
      </c>
      <c r="Q7845" s="157" t="s">
        <v>186</v>
      </c>
      <c r="R7845" s="303"/>
    </row>
    <row r="7846" spans="1:18" s="162" customFormat="1" ht="24" x14ac:dyDescent="0.25">
      <c r="A7846" s="184">
        <v>43732</v>
      </c>
      <c r="B7846" s="184">
        <v>43733</v>
      </c>
      <c r="C7846" s="43">
        <v>2019</v>
      </c>
      <c r="D7846" s="351" t="s">
        <v>23</v>
      </c>
      <c r="E7846" s="22" t="s">
        <v>86</v>
      </c>
      <c r="F7846" s="7" t="s">
        <v>87</v>
      </c>
      <c r="G7846" s="33"/>
      <c r="H7846" s="44" t="s">
        <v>10745</v>
      </c>
      <c r="I7846" s="157">
        <v>0</v>
      </c>
      <c r="J7846" s="308">
        <v>0</v>
      </c>
      <c r="K7846" s="142">
        <v>0</v>
      </c>
      <c r="L7846" s="142">
        <v>0</v>
      </c>
      <c r="M7846" s="142">
        <v>0</v>
      </c>
      <c r="N7846" s="142">
        <v>0</v>
      </c>
      <c r="O7846" s="142">
        <v>0</v>
      </c>
      <c r="P7846" s="306">
        <v>22.274732255599986</v>
      </c>
      <c r="Q7846" s="157" t="s">
        <v>186</v>
      </c>
      <c r="R7846" s="303"/>
    </row>
    <row r="7847" spans="1:18" s="162" customFormat="1" ht="144" x14ac:dyDescent="0.25">
      <c r="A7847" s="184">
        <v>43733</v>
      </c>
      <c r="B7847" s="184">
        <v>43733</v>
      </c>
      <c r="C7847" s="138">
        <v>2019</v>
      </c>
      <c r="D7847" s="351" t="s">
        <v>23</v>
      </c>
      <c r="E7847" s="22" t="s">
        <v>86</v>
      </c>
      <c r="F7847" s="7" t="s">
        <v>75</v>
      </c>
      <c r="G7847" s="33" t="s">
        <v>6972</v>
      </c>
      <c r="H7847" s="33" t="s">
        <v>10746</v>
      </c>
      <c r="I7847" s="304">
        <v>0</v>
      </c>
      <c r="J7847" s="305">
        <v>400</v>
      </c>
      <c r="K7847" s="142">
        <v>100</v>
      </c>
      <c r="L7847" s="142">
        <v>0</v>
      </c>
      <c r="M7847" s="142">
        <v>0</v>
      </c>
      <c r="N7847" s="142">
        <v>0</v>
      </c>
      <c r="O7847" s="305">
        <v>0</v>
      </c>
      <c r="P7847" s="306">
        <v>0.29149999999999998</v>
      </c>
      <c r="Q7847" s="157" t="s">
        <v>154</v>
      </c>
      <c r="R7847" s="303"/>
    </row>
    <row r="7848" spans="1:18" s="162" customFormat="1" ht="84" x14ac:dyDescent="0.25">
      <c r="A7848" s="184">
        <v>43733</v>
      </c>
      <c r="B7848" s="184">
        <v>43733</v>
      </c>
      <c r="C7848" s="43">
        <v>2019</v>
      </c>
      <c r="D7848" s="24" t="s">
        <v>141</v>
      </c>
      <c r="E7848" s="30" t="s">
        <v>142</v>
      </c>
      <c r="F7848" s="7" t="s">
        <v>53</v>
      </c>
      <c r="G7848" s="33" t="s">
        <v>5966</v>
      </c>
      <c r="H7848" s="33" t="s">
        <v>10747</v>
      </c>
      <c r="I7848" s="304">
        <v>0</v>
      </c>
      <c r="J7848" s="305">
        <v>10</v>
      </c>
      <c r="K7848" s="142">
        <v>0</v>
      </c>
      <c r="L7848" s="142">
        <v>0</v>
      </c>
      <c r="M7848" s="142">
        <v>0</v>
      </c>
      <c r="N7848" s="142">
        <v>0</v>
      </c>
      <c r="O7848" s="305">
        <v>0</v>
      </c>
      <c r="P7848" s="306">
        <v>0.152724</v>
      </c>
      <c r="Q7848" s="157" t="s">
        <v>154</v>
      </c>
      <c r="R7848" s="303"/>
    </row>
    <row r="7849" spans="1:18" s="162" customFormat="1" ht="48" x14ac:dyDescent="0.25">
      <c r="A7849" s="17">
        <v>43466</v>
      </c>
      <c r="B7849" s="17">
        <v>43708</v>
      </c>
      <c r="C7849" s="138">
        <v>2019</v>
      </c>
      <c r="D7849" s="351" t="s">
        <v>23</v>
      </c>
      <c r="E7849" s="14" t="s">
        <v>24</v>
      </c>
      <c r="F7849" s="7" t="s">
        <v>49</v>
      </c>
      <c r="G7849" s="146" t="s">
        <v>10748</v>
      </c>
      <c r="H7849" s="307" t="s">
        <v>10749</v>
      </c>
      <c r="I7849" s="304">
        <v>0</v>
      </c>
      <c r="J7849" s="305">
        <v>0</v>
      </c>
      <c r="K7849" s="142">
        <v>0</v>
      </c>
      <c r="L7849" s="142">
        <v>0</v>
      </c>
      <c r="M7849" s="142">
        <v>0</v>
      </c>
      <c r="N7849" s="142">
        <v>0</v>
      </c>
      <c r="O7849" s="305">
        <v>1616</v>
      </c>
      <c r="P7849" s="306">
        <v>27.6978644</v>
      </c>
      <c r="Q7849" s="157" t="s">
        <v>4663</v>
      </c>
      <c r="R7849" s="303"/>
    </row>
    <row r="7850" spans="1:18" s="162" customFormat="1" ht="96" x14ac:dyDescent="0.25">
      <c r="A7850" s="184">
        <v>43734</v>
      </c>
      <c r="B7850" s="184">
        <v>43734</v>
      </c>
      <c r="C7850" s="43">
        <v>2019</v>
      </c>
      <c r="D7850" s="35" t="s">
        <v>28</v>
      </c>
      <c r="E7850" s="6" t="s">
        <v>149</v>
      </c>
      <c r="F7850" s="25" t="s">
        <v>781</v>
      </c>
      <c r="G7850" s="33" t="s">
        <v>3061</v>
      </c>
      <c r="H7850" s="33" t="s">
        <v>10750</v>
      </c>
      <c r="I7850" s="304">
        <v>0</v>
      </c>
      <c r="J7850" s="305">
        <v>150</v>
      </c>
      <c r="K7850" s="142">
        <v>0</v>
      </c>
      <c r="L7850" s="142">
        <v>0</v>
      </c>
      <c r="M7850" s="142">
        <v>1</v>
      </c>
      <c r="N7850" s="142">
        <v>0</v>
      </c>
      <c r="O7850" s="305">
        <v>0</v>
      </c>
      <c r="P7850" s="306">
        <v>0</v>
      </c>
      <c r="Q7850" s="157" t="s">
        <v>154</v>
      </c>
      <c r="R7850" s="303"/>
    </row>
    <row r="7851" spans="1:18" s="162" customFormat="1" ht="156" x14ac:dyDescent="0.25">
      <c r="A7851" s="184">
        <v>43734</v>
      </c>
      <c r="B7851" s="184">
        <v>43734</v>
      </c>
      <c r="C7851" s="138">
        <v>2019</v>
      </c>
      <c r="D7851" s="24" t="s">
        <v>141</v>
      </c>
      <c r="E7851" s="30" t="s">
        <v>142</v>
      </c>
      <c r="F7851" s="28" t="s">
        <v>157</v>
      </c>
      <c r="G7851" s="33" t="s">
        <v>1062</v>
      </c>
      <c r="H7851" s="33" t="s">
        <v>10751</v>
      </c>
      <c r="I7851" s="304">
        <v>0</v>
      </c>
      <c r="J7851" s="305">
        <v>10</v>
      </c>
      <c r="K7851" s="142">
        <v>0</v>
      </c>
      <c r="L7851" s="142">
        <v>0</v>
      </c>
      <c r="M7851" s="142">
        <v>0</v>
      </c>
      <c r="N7851" s="142">
        <v>0</v>
      </c>
      <c r="O7851" s="305">
        <v>0</v>
      </c>
      <c r="P7851" s="306">
        <v>9.9000000000000025E-3</v>
      </c>
      <c r="Q7851" s="157" t="s">
        <v>154</v>
      </c>
      <c r="R7851" s="303"/>
    </row>
    <row r="7852" spans="1:18" s="162" customFormat="1" ht="144" x14ac:dyDescent="0.25">
      <c r="A7852" s="184">
        <v>43734</v>
      </c>
      <c r="B7852" s="184">
        <v>43734</v>
      </c>
      <c r="C7852" s="43">
        <v>2019</v>
      </c>
      <c r="D7852" s="35" t="s">
        <v>28</v>
      </c>
      <c r="E7852" s="30" t="s">
        <v>125</v>
      </c>
      <c r="F7852" s="7" t="s">
        <v>60</v>
      </c>
      <c r="G7852" s="33" t="s">
        <v>10534</v>
      </c>
      <c r="H7852" s="33" t="s">
        <v>10752</v>
      </c>
      <c r="I7852" s="304">
        <v>0</v>
      </c>
      <c r="J7852" s="305">
        <v>25</v>
      </c>
      <c r="K7852" s="142">
        <v>0</v>
      </c>
      <c r="L7852" s="142">
        <v>0</v>
      </c>
      <c r="M7852" s="142">
        <v>0</v>
      </c>
      <c r="N7852" s="142">
        <v>1</v>
      </c>
      <c r="O7852" s="305">
        <v>0</v>
      </c>
      <c r="P7852" s="306">
        <v>0.77475000000000005</v>
      </c>
      <c r="Q7852" s="157" t="s">
        <v>154</v>
      </c>
      <c r="R7852" s="303"/>
    </row>
    <row r="7853" spans="1:18" s="162" customFormat="1" ht="192" x14ac:dyDescent="0.25">
      <c r="A7853" s="184">
        <v>43734</v>
      </c>
      <c r="B7853" s="184">
        <v>43734</v>
      </c>
      <c r="C7853" s="138">
        <v>2019</v>
      </c>
      <c r="D7853" s="351" t="s">
        <v>23</v>
      </c>
      <c r="E7853" s="22" t="s">
        <v>86</v>
      </c>
      <c r="F7853" s="7" t="s">
        <v>36</v>
      </c>
      <c r="G7853" s="33" t="s">
        <v>9731</v>
      </c>
      <c r="H7853" s="33" t="s">
        <v>10753</v>
      </c>
      <c r="I7853" s="304">
        <v>0</v>
      </c>
      <c r="J7853" s="305">
        <v>560</v>
      </c>
      <c r="K7853" s="142">
        <v>140</v>
      </c>
      <c r="L7853" s="142">
        <v>0</v>
      </c>
      <c r="M7853" s="142">
        <v>0</v>
      </c>
      <c r="N7853" s="142">
        <v>0</v>
      </c>
      <c r="O7853" s="305">
        <v>0</v>
      </c>
      <c r="P7853" s="306">
        <v>0.16170000000000001</v>
      </c>
      <c r="Q7853" s="157" t="s">
        <v>154</v>
      </c>
      <c r="R7853" s="303"/>
    </row>
    <row r="7854" spans="1:18" s="162" customFormat="1" ht="48" x14ac:dyDescent="0.25">
      <c r="A7854" s="184">
        <v>43735</v>
      </c>
      <c r="B7854" s="184">
        <v>43735</v>
      </c>
      <c r="C7854" s="43">
        <v>2019</v>
      </c>
      <c r="D7854" s="35" t="s">
        <v>28</v>
      </c>
      <c r="E7854" s="30" t="s">
        <v>133</v>
      </c>
      <c r="F7854" s="28" t="s">
        <v>160</v>
      </c>
      <c r="G7854" s="33" t="s">
        <v>3649</v>
      </c>
      <c r="H7854" s="33" t="s">
        <v>10754</v>
      </c>
      <c r="I7854" s="304">
        <v>2</v>
      </c>
      <c r="J7854" s="305">
        <v>2</v>
      </c>
      <c r="K7854" s="142">
        <v>0</v>
      </c>
      <c r="L7854" s="142">
        <v>0</v>
      </c>
      <c r="M7854" s="142">
        <v>0</v>
      </c>
      <c r="N7854" s="142">
        <v>0</v>
      </c>
      <c r="O7854" s="305">
        <v>0</v>
      </c>
      <c r="P7854" s="306">
        <v>0</v>
      </c>
      <c r="Q7854" s="157" t="s">
        <v>154</v>
      </c>
      <c r="R7854" s="303"/>
    </row>
    <row r="7855" spans="1:18" s="162" customFormat="1" ht="108" x14ac:dyDescent="0.25">
      <c r="A7855" s="184">
        <v>43735</v>
      </c>
      <c r="B7855" s="184">
        <v>43735</v>
      </c>
      <c r="C7855" s="138">
        <v>2019</v>
      </c>
      <c r="D7855" s="24" t="s">
        <v>141</v>
      </c>
      <c r="E7855" s="30" t="s">
        <v>142</v>
      </c>
      <c r="F7855" s="7" t="s">
        <v>60</v>
      </c>
      <c r="G7855" s="33" t="s">
        <v>924</v>
      </c>
      <c r="H7855" s="33" t="s">
        <v>10755</v>
      </c>
      <c r="I7855" s="304">
        <v>0</v>
      </c>
      <c r="J7855" s="305">
        <v>6</v>
      </c>
      <c r="K7855" s="142">
        <v>0</v>
      </c>
      <c r="L7855" s="142">
        <v>0</v>
      </c>
      <c r="M7855" s="142">
        <v>0</v>
      </c>
      <c r="N7855" s="142">
        <v>0</v>
      </c>
      <c r="O7855" s="305">
        <v>0</v>
      </c>
      <c r="P7855" s="306">
        <v>0.18312033837209304</v>
      </c>
      <c r="Q7855" s="157" t="s">
        <v>154</v>
      </c>
      <c r="R7855" s="303"/>
    </row>
    <row r="7856" spans="1:18" s="162" customFormat="1" ht="96" x14ac:dyDescent="0.25">
      <c r="A7856" s="184">
        <v>43735</v>
      </c>
      <c r="B7856" s="184">
        <v>43735</v>
      </c>
      <c r="C7856" s="43">
        <v>2019</v>
      </c>
      <c r="D7856" s="24" t="s">
        <v>141</v>
      </c>
      <c r="E7856" s="30" t="s">
        <v>142</v>
      </c>
      <c r="F7856" s="7" t="s">
        <v>53</v>
      </c>
      <c r="G7856" s="33" t="s">
        <v>926</v>
      </c>
      <c r="H7856" s="33" t="s">
        <v>10756</v>
      </c>
      <c r="I7856" s="304">
        <v>0</v>
      </c>
      <c r="J7856" s="305">
        <v>14</v>
      </c>
      <c r="K7856" s="142">
        <v>0</v>
      </c>
      <c r="L7856" s="142">
        <v>0</v>
      </c>
      <c r="M7856" s="142">
        <v>0</v>
      </c>
      <c r="N7856" s="142">
        <v>0</v>
      </c>
      <c r="O7856" s="305">
        <v>0</v>
      </c>
      <c r="P7856" s="306">
        <v>0.37452340000000001</v>
      </c>
      <c r="Q7856" s="157" t="s">
        <v>154</v>
      </c>
      <c r="R7856" s="303"/>
    </row>
    <row r="7857" spans="1:18" s="162" customFormat="1" ht="96" x14ac:dyDescent="0.25">
      <c r="A7857" s="184">
        <v>43736</v>
      </c>
      <c r="B7857" s="184">
        <v>43736</v>
      </c>
      <c r="C7857" s="138">
        <v>2019</v>
      </c>
      <c r="D7857" s="24" t="s">
        <v>141</v>
      </c>
      <c r="E7857" s="30" t="s">
        <v>142</v>
      </c>
      <c r="F7857" s="7" t="s">
        <v>101</v>
      </c>
      <c r="G7857" s="33" t="s">
        <v>5581</v>
      </c>
      <c r="H7857" s="33" t="s">
        <v>10757</v>
      </c>
      <c r="I7857" s="304">
        <v>2</v>
      </c>
      <c r="J7857" s="305">
        <v>14</v>
      </c>
      <c r="K7857" s="142">
        <v>0</v>
      </c>
      <c r="L7857" s="142">
        <v>0</v>
      </c>
      <c r="M7857" s="142">
        <v>0</v>
      </c>
      <c r="N7857" s="142">
        <v>0</v>
      </c>
      <c r="O7857" s="305">
        <v>0</v>
      </c>
      <c r="P7857" s="306">
        <v>0.72599999999999998</v>
      </c>
      <c r="Q7857" s="157" t="s">
        <v>154</v>
      </c>
      <c r="R7857" s="303"/>
    </row>
    <row r="7858" spans="1:18" s="162" customFormat="1" ht="24" x14ac:dyDescent="0.25">
      <c r="A7858" s="184">
        <v>43736</v>
      </c>
      <c r="B7858" s="184">
        <v>43737</v>
      </c>
      <c r="C7858" s="43">
        <v>2019</v>
      </c>
      <c r="D7858" s="351" t="s">
        <v>23</v>
      </c>
      <c r="E7858" s="14" t="s">
        <v>32</v>
      </c>
      <c r="F7858" s="7" t="s">
        <v>62</v>
      </c>
      <c r="G7858" s="33"/>
      <c r="H7858" s="44" t="s">
        <v>10758</v>
      </c>
      <c r="I7858" s="304">
        <v>0</v>
      </c>
      <c r="J7858" s="305">
        <v>0</v>
      </c>
      <c r="K7858" s="142">
        <v>0</v>
      </c>
      <c r="L7858" s="142">
        <v>0</v>
      </c>
      <c r="M7858" s="142">
        <v>0</v>
      </c>
      <c r="N7858" s="142">
        <v>0</v>
      </c>
      <c r="O7858" s="305">
        <v>0</v>
      </c>
      <c r="P7858" s="306">
        <v>1.3387836000000002</v>
      </c>
      <c r="Q7858" s="157" t="s">
        <v>186</v>
      </c>
      <c r="R7858" s="303"/>
    </row>
    <row r="7859" spans="1:18" s="162" customFormat="1" ht="108" x14ac:dyDescent="0.25">
      <c r="A7859" s="184">
        <v>43739</v>
      </c>
      <c r="B7859" s="184">
        <v>43739</v>
      </c>
      <c r="C7859" s="138">
        <v>2019</v>
      </c>
      <c r="D7859" s="24" t="s">
        <v>141</v>
      </c>
      <c r="E7859" s="30" t="s">
        <v>142</v>
      </c>
      <c r="F7859" s="7" t="s">
        <v>80</v>
      </c>
      <c r="G7859" s="33" t="s">
        <v>10759</v>
      </c>
      <c r="H7859" s="33" t="s">
        <v>10760</v>
      </c>
      <c r="I7859" s="304">
        <v>0</v>
      </c>
      <c r="J7859" s="305">
        <v>12</v>
      </c>
      <c r="K7859" s="142">
        <v>0</v>
      </c>
      <c r="L7859" s="142">
        <v>0</v>
      </c>
      <c r="M7859" s="142">
        <v>0</v>
      </c>
      <c r="N7859" s="142">
        <v>0</v>
      </c>
      <c r="O7859" s="305">
        <v>0</v>
      </c>
      <c r="P7859" s="306">
        <v>0.26362370000000002</v>
      </c>
      <c r="Q7859" s="157" t="s">
        <v>154</v>
      </c>
      <c r="R7859" s="303"/>
    </row>
    <row r="7860" spans="1:18" s="162" customFormat="1" ht="72" x14ac:dyDescent="0.25">
      <c r="A7860" s="184">
        <v>43739</v>
      </c>
      <c r="B7860" s="184">
        <v>43739</v>
      </c>
      <c r="C7860" s="43">
        <v>2019</v>
      </c>
      <c r="D7860" s="24" t="s">
        <v>141</v>
      </c>
      <c r="E7860" s="30" t="s">
        <v>142</v>
      </c>
      <c r="F7860" s="7" t="s">
        <v>72</v>
      </c>
      <c r="G7860" s="33" t="s">
        <v>10761</v>
      </c>
      <c r="H7860" s="33" t="s">
        <v>10762</v>
      </c>
      <c r="I7860" s="304">
        <v>0</v>
      </c>
      <c r="J7860" s="305">
        <v>8</v>
      </c>
      <c r="K7860" s="142">
        <v>0</v>
      </c>
      <c r="L7860" s="142">
        <v>0</v>
      </c>
      <c r="M7860" s="142">
        <v>0</v>
      </c>
      <c r="N7860" s="142">
        <v>0</v>
      </c>
      <c r="O7860" s="305">
        <v>0</v>
      </c>
      <c r="P7860" s="306">
        <v>0.15074399999999999</v>
      </c>
      <c r="Q7860" s="157" t="s">
        <v>154</v>
      </c>
      <c r="R7860" s="303"/>
    </row>
    <row r="7861" spans="1:18" s="162" customFormat="1" ht="228" x14ac:dyDescent="0.25">
      <c r="A7861" s="184">
        <v>43737</v>
      </c>
      <c r="B7861" s="184">
        <v>43739</v>
      </c>
      <c r="C7861" s="138">
        <v>2019</v>
      </c>
      <c r="D7861" s="351" t="s">
        <v>23</v>
      </c>
      <c r="E7861" s="14" t="s">
        <v>32</v>
      </c>
      <c r="F7861" s="7" t="s">
        <v>72</v>
      </c>
      <c r="G7861" s="33" t="s">
        <v>10763</v>
      </c>
      <c r="H7861" s="33" t="s">
        <v>10764</v>
      </c>
      <c r="I7861" s="304">
        <v>2</v>
      </c>
      <c r="J7861" s="305">
        <v>266</v>
      </c>
      <c r="K7861" s="142">
        <v>66</v>
      </c>
      <c r="L7861" s="142">
        <v>0</v>
      </c>
      <c r="M7861" s="142">
        <v>0</v>
      </c>
      <c r="N7861" s="142">
        <v>2</v>
      </c>
      <c r="O7861" s="305">
        <v>0</v>
      </c>
      <c r="P7861" s="306">
        <v>826.85387122700001</v>
      </c>
      <c r="Q7861" s="157" t="s">
        <v>7883</v>
      </c>
      <c r="R7861" s="303"/>
    </row>
    <row r="7862" spans="1:18" s="162" customFormat="1" ht="216" x14ac:dyDescent="0.25">
      <c r="A7862" s="184">
        <v>43737</v>
      </c>
      <c r="B7862" s="184">
        <v>43739</v>
      </c>
      <c r="C7862" s="43">
        <v>2019</v>
      </c>
      <c r="D7862" s="351" t="s">
        <v>23</v>
      </c>
      <c r="E7862" s="14" t="s">
        <v>32</v>
      </c>
      <c r="F7862" s="7" t="s">
        <v>58</v>
      </c>
      <c r="G7862" s="33" t="s">
        <v>10765</v>
      </c>
      <c r="H7862" s="33" t="s">
        <v>10766</v>
      </c>
      <c r="I7862" s="304">
        <v>0</v>
      </c>
      <c r="J7862" s="305">
        <v>616</v>
      </c>
      <c r="K7862" s="142">
        <v>2850</v>
      </c>
      <c r="L7862" s="142">
        <v>23</v>
      </c>
      <c r="M7862" s="142">
        <v>1</v>
      </c>
      <c r="N7862" s="142">
        <v>0</v>
      </c>
      <c r="O7862" s="305">
        <v>0</v>
      </c>
      <c r="P7862" s="306">
        <v>790.90784155079996</v>
      </c>
      <c r="Q7862" s="157" t="s">
        <v>7883</v>
      </c>
      <c r="R7862" s="303"/>
    </row>
    <row r="7863" spans="1:18" s="162" customFormat="1" ht="144" x14ac:dyDescent="0.25">
      <c r="A7863" s="184">
        <v>43738</v>
      </c>
      <c r="B7863" s="184">
        <v>43739</v>
      </c>
      <c r="C7863" s="138">
        <v>2019</v>
      </c>
      <c r="D7863" s="351" t="s">
        <v>23</v>
      </c>
      <c r="E7863" s="14" t="s">
        <v>32</v>
      </c>
      <c r="F7863" s="7" t="s">
        <v>84</v>
      </c>
      <c r="G7863" s="33" t="s">
        <v>1453</v>
      </c>
      <c r="H7863" s="33" t="s">
        <v>10767</v>
      </c>
      <c r="I7863" s="304">
        <v>0</v>
      </c>
      <c r="J7863" s="305">
        <v>329</v>
      </c>
      <c r="K7863" s="142">
        <v>0</v>
      </c>
      <c r="L7863" s="142">
        <v>0</v>
      </c>
      <c r="M7863" s="142">
        <v>0</v>
      </c>
      <c r="N7863" s="142">
        <v>1</v>
      </c>
      <c r="O7863" s="305">
        <v>0</v>
      </c>
      <c r="P7863" s="306">
        <v>0</v>
      </c>
      <c r="Q7863" s="157" t="s">
        <v>154</v>
      </c>
      <c r="R7863" s="303"/>
    </row>
    <row r="7864" spans="1:18" s="162" customFormat="1" ht="168" x14ac:dyDescent="0.25">
      <c r="A7864" s="184">
        <v>43738</v>
      </c>
      <c r="B7864" s="184">
        <v>43739</v>
      </c>
      <c r="C7864" s="43">
        <v>2019</v>
      </c>
      <c r="D7864" s="351" t="s">
        <v>23</v>
      </c>
      <c r="E7864" s="14" t="s">
        <v>32</v>
      </c>
      <c r="F7864" s="7" t="s">
        <v>67</v>
      </c>
      <c r="G7864" s="33" t="s">
        <v>10768</v>
      </c>
      <c r="H7864" s="33" t="s">
        <v>10769</v>
      </c>
      <c r="I7864" s="304">
        <v>0</v>
      </c>
      <c r="J7864" s="305">
        <v>51</v>
      </c>
      <c r="K7864" s="142">
        <v>8</v>
      </c>
      <c r="L7864" s="142">
        <v>0</v>
      </c>
      <c r="M7864" s="142">
        <v>0</v>
      </c>
      <c r="N7864" s="142">
        <v>0</v>
      </c>
      <c r="O7864" s="305">
        <v>0</v>
      </c>
      <c r="P7864" s="306">
        <v>9.2399999999999999E-3</v>
      </c>
      <c r="Q7864" s="157" t="s">
        <v>154</v>
      </c>
      <c r="R7864" s="303"/>
    </row>
    <row r="7865" spans="1:18" s="162" customFormat="1" ht="144" x14ac:dyDescent="0.25">
      <c r="A7865" s="184">
        <v>43737</v>
      </c>
      <c r="B7865" s="184">
        <v>43737</v>
      </c>
      <c r="C7865" s="138">
        <v>2019</v>
      </c>
      <c r="D7865" s="351" t="s">
        <v>23</v>
      </c>
      <c r="E7865" s="49" t="s">
        <v>10153</v>
      </c>
      <c r="F7865" s="7" t="s">
        <v>60</v>
      </c>
      <c r="G7865" s="33" t="s">
        <v>10770</v>
      </c>
      <c r="H7865" s="33" t="s">
        <v>10771</v>
      </c>
      <c r="I7865" s="304">
        <v>1</v>
      </c>
      <c r="J7865" s="305">
        <v>4981</v>
      </c>
      <c r="K7865" s="142">
        <v>196</v>
      </c>
      <c r="L7865" s="142">
        <v>0</v>
      </c>
      <c r="M7865" s="142">
        <v>1</v>
      </c>
      <c r="N7865" s="142">
        <v>0</v>
      </c>
      <c r="O7865" s="142">
        <v>0</v>
      </c>
      <c r="P7865" s="306">
        <v>1014.5009</v>
      </c>
      <c r="Q7865" s="157" t="s">
        <v>10536</v>
      </c>
      <c r="R7865" s="303"/>
    </row>
    <row r="7866" spans="1:18" s="162" customFormat="1" ht="120" x14ac:dyDescent="0.25">
      <c r="A7866" s="184">
        <v>43737</v>
      </c>
      <c r="B7866" s="184">
        <v>43739</v>
      </c>
      <c r="C7866" s="43">
        <v>2019</v>
      </c>
      <c r="D7866" s="351" t="s">
        <v>23</v>
      </c>
      <c r="E7866" s="14" t="s">
        <v>32</v>
      </c>
      <c r="F7866" s="7" t="s">
        <v>47</v>
      </c>
      <c r="G7866" s="33" t="s">
        <v>10772</v>
      </c>
      <c r="H7866" s="33" t="s">
        <v>10773</v>
      </c>
      <c r="I7866" s="304">
        <v>0</v>
      </c>
      <c r="J7866" s="305">
        <v>194</v>
      </c>
      <c r="K7866" s="142">
        <v>2</v>
      </c>
      <c r="L7866" s="142">
        <v>0</v>
      </c>
      <c r="M7866" s="142">
        <v>0</v>
      </c>
      <c r="N7866" s="142">
        <v>0</v>
      </c>
      <c r="O7866" s="305">
        <v>0</v>
      </c>
      <c r="P7866" s="306">
        <v>574.93889394359996</v>
      </c>
      <c r="Q7866" s="157" t="s">
        <v>7883</v>
      </c>
      <c r="R7866" s="303"/>
    </row>
    <row r="7867" spans="1:18" s="162" customFormat="1" ht="108" x14ac:dyDescent="0.25">
      <c r="A7867" s="184">
        <v>43739</v>
      </c>
      <c r="B7867" s="184">
        <v>43739</v>
      </c>
      <c r="C7867" s="138">
        <v>2019</v>
      </c>
      <c r="D7867" s="24" t="s">
        <v>141</v>
      </c>
      <c r="E7867" s="30" t="s">
        <v>142</v>
      </c>
      <c r="F7867" s="7" t="s">
        <v>77</v>
      </c>
      <c r="G7867" s="33" t="s">
        <v>961</v>
      </c>
      <c r="H7867" s="33" t="s">
        <v>10774</v>
      </c>
      <c r="I7867" s="304">
        <v>0</v>
      </c>
      <c r="J7867" s="305">
        <v>6</v>
      </c>
      <c r="K7867" s="142">
        <v>0</v>
      </c>
      <c r="L7867" s="142">
        <v>0</v>
      </c>
      <c r="M7867" s="142">
        <v>0</v>
      </c>
      <c r="N7867" s="142">
        <v>0</v>
      </c>
      <c r="O7867" s="305">
        <v>0</v>
      </c>
      <c r="P7867" s="306">
        <v>0.18193999999999999</v>
      </c>
      <c r="Q7867" s="157" t="s">
        <v>154</v>
      </c>
      <c r="R7867" s="303"/>
    </row>
    <row r="7868" spans="1:18" s="162" customFormat="1" ht="60" x14ac:dyDescent="0.25">
      <c r="A7868" s="184">
        <v>43740</v>
      </c>
      <c r="B7868" s="184">
        <v>43740</v>
      </c>
      <c r="C7868" s="43">
        <v>2019</v>
      </c>
      <c r="D7868" s="24" t="s">
        <v>141</v>
      </c>
      <c r="E7868" s="30" t="s">
        <v>142</v>
      </c>
      <c r="F7868" s="25" t="s">
        <v>781</v>
      </c>
      <c r="G7868" s="33" t="s">
        <v>2337</v>
      </c>
      <c r="H7868" s="33" t="s">
        <v>10775</v>
      </c>
      <c r="I7868" s="304">
        <v>1</v>
      </c>
      <c r="J7868" s="305">
        <v>7</v>
      </c>
      <c r="K7868" s="142">
        <v>0</v>
      </c>
      <c r="L7868" s="142">
        <v>0</v>
      </c>
      <c r="M7868" s="142">
        <v>0</v>
      </c>
      <c r="N7868" s="142">
        <v>0</v>
      </c>
      <c r="O7868" s="305">
        <v>0</v>
      </c>
      <c r="P7868" s="306">
        <v>0.18033170000000001</v>
      </c>
      <c r="Q7868" s="157" t="s">
        <v>154</v>
      </c>
      <c r="R7868" s="303"/>
    </row>
    <row r="7869" spans="1:18" s="162" customFormat="1" ht="180" x14ac:dyDescent="0.25">
      <c r="A7869" s="184">
        <v>43739</v>
      </c>
      <c r="B7869" s="184">
        <v>43740</v>
      </c>
      <c r="C7869" s="138">
        <v>2019</v>
      </c>
      <c r="D7869" s="35" t="s">
        <v>28</v>
      </c>
      <c r="E7869" s="6" t="s">
        <v>149</v>
      </c>
      <c r="F7869" s="7" t="s">
        <v>47</v>
      </c>
      <c r="G7869" s="33" t="s">
        <v>5158</v>
      </c>
      <c r="H7869" s="33" t="s">
        <v>10776</v>
      </c>
      <c r="I7869" s="304">
        <v>0</v>
      </c>
      <c r="J7869" s="305">
        <v>2002</v>
      </c>
      <c r="K7869" s="142">
        <v>0</v>
      </c>
      <c r="L7869" s="142">
        <v>0</v>
      </c>
      <c r="M7869" s="142">
        <v>0</v>
      </c>
      <c r="N7869" s="142">
        <v>1</v>
      </c>
      <c r="O7869" s="305">
        <v>0</v>
      </c>
      <c r="P7869" s="306">
        <v>0</v>
      </c>
      <c r="Q7869" s="157" t="s">
        <v>154</v>
      </c>
      <c r="R7869" s="303"/>
    </row>
    <row r="7870" spans="1:18" s="162" customFormat="1" ht="84" x14ac:dyDescent="0.25">
      <c r="A7870" s="184">
        <v>43740</v>
      </c>
      <c r="B7870" s="184">
        <v>43741</v>
      </c>
      <c r="C7870" s="43">
        <v>2019</v>
      </c>
      <c r="D7870" s="351" t="s">
        <v>23</v>
      </c>
      <c r="E7870" s="22" t="s">
        <v>86</v>
      </c>
      <c r="F7870" s="7" t="s">
        <v>60</v>
      </c>
      <c r="G7870" s="33" t="s">
        <v>908</v>
      </c>
      <c r="H7870" s="33" t="s">
        <v>10777</v>
      </c>
      <c r="I7870" s="304">
        <v>1</v>
      </c>
      <c r="J7870" s="305">
        <v>1</v>
      </c>
      <c r="K7870" s="142">
        <v>0</v>
      </c>
      <c r="L7870" s="142">
        <v>0</v>
      </c>
      <c r="M7870" s="142">
        <v>0</v>
      </c>
      <c r="N7870" s="142">
        <v>0</v>
      </c>
      <c r="O7870" s="305">
        <v>0</v>
      </c>
      <c r="P7870" s="306">
        <v>0</v>
      </c>
      <c r="Q7870" s="157" t="s">
        <v>154</v>
      </c>
      <c r="R7870" s="303"/>
    </row>
    <row r="7871" spans="1:18" s="162" customFormat="1" ht="72" x14ac:dyDescent="0.25">
      <c r="A7871" s="184">
        <v>43741</v>
      </c>
      <c r="B7871" s="184">
        <v>43741</v>
      </c>
      <c r="C7871" s="138">
        <v>2019</v>
      </c>
      <c r="D7871" s="24" t="s">
        <v>141</v>
      </c>
      <c r="E7871" s="30" t="s">
        <v>142</v>
      </c>
      <c r="F7871" s="7" t="s">
        <v>49</v>
      </c>
      <c r="G7871" s="33" t="s">
        <v>4834</v>
      </c>
      <c r="H7871" s="33" t="s">
        <v>10778</v>
      </c>
      <c r="I7871" s="304">
        <v>1</v>
      </c>
      <c r="J7871" s="305">
        <v>4</v>
      </c>
      <c r="K7871" s="142">
        <v>0</v>
      </c>
      <c r="L7871" s="142">
        <v>0</v>
      </c>
      <c r="M7871" s="142">
        <v>0</v>
      </c>
      <c r="N7871" s="142">
        <v>0</v>
      </c>
      <c r="O7871" s="305">
        <v>0</v>
      </c>
      <c r="P7871" s="306">
        <v>0.52246567076175299</v>
      </c>
      <c r="Q7871" s="157" t="s">
        <v>154</v>
      </c>
      <c r="R7871" s="303"/>
    </row>
    <row r="7872" spans="1:18" s="162" customFormat="1" ht="84" x14ac:dyDescent="0.25">
      <c r="A7872" s="184">
        <v>43741</v>
      </c>
      <c r="B7872" s="184">
        <v>43741</v>
      </c>
      <c r="C7872" s="43">
        <v>2019</v>
      </c>
      <c r="D7872" s="35" t="s">
        <v>28</v>
      </c>
      <c r="E7872" s="6" t="s">
        <v>149</v>
      </c>
      <c r="F7872" s="7" t="s">
        <v>56</v>
      </c>
      <c r="G7872" s="33" t="s">
        <v>351</v>
      </c>
      <c r="H7872" s="33" t="s">
        <v>10779</v>
      </c>
      <c r="I7872" s="304">
        <v>1</v>
      </c>
      <c r="J7872" s="305">
        <v>4</v>
      </c>
      <c r="K7872" s="142">
        <v>0</v>
      </c>
      <c r="L7872" s="142">
        <v>0</v>
      </c>
      <c r="M7872" s="142">
        <v>0</v>
      </c>
      <c r="N7872" s="142">
        <v>0</v>
      </c>
      <c r="O7872" s="305">
        <v>0</v>
      </c>
      <c r="P7872" s="306">
        <v>2.9700000000000004E-3</v>
      </c>
      <c r="Q7872" s="157" t="s">
        <v>154</v>
      </c>
      <c r="R7872" s="303"/>
    </row>
    <row r="7873" spans="1:18" s="162" customFormat="1" ht="96" x14ac:dyDescent="0.25">
      <c r="A7873" s="184">
        <v>43741</v>
      </c>
      <c r="B7873" s="184">
        <v>43741</v>
      </c>
      <c r="C7873" s="138">
        <v>2019</v>
      </c>
      <c r="D7873" s="35" t="s">
        <v>28</v>
      </c>
      <c r="E7873" s="6" t="s">
        <v>149</v>
      </c>
      <c r="F7873" s="25" t="s">
        <v>781</v>
      </c>
      <c r="G7873" s="33" t="s">
        <v>1580</v>
      </c>
      <c r="H7873" s="33" t="s">
        <v>10780</v>
      </c>
      <c r="I7873" s="304">
        <v>1</v>
      </c>
      <c r="J7873" s="305">
        <v>5</v>
      </c>
      <c r="K7873" s="142">
        <v>1</v>
      </c>
      <c r="L7873" s="142">
        <v>0</v>
      </c>
      <c r="M7873" s="142">
        <v>0</v>
      </c>
      <c r="N7873" s="142">
        <v>0</v>
      </c>
      <c r="O7873" s="305">
        <v>0</v>
      </c>
      <c r="P7873" s="306">
        <v>0.14005640000000003</v>
      </c>
      <c r="Q7873" s="157" t="s">
        <v>154</v>
      </c>
      <c r="R7873" s="303"/>
    </row>
    <row r="7874" spans="1:18" s="162" customFormat="1" ht="96" x14ac:dyDescent="0.25">
      <c r="A7874" s="184">
        <v>43742</v>
      </c>
      <c r="B7874" s="184">
        <v>43742</v>
      </c>
      <c r="C7874" s="43">
        <v>2019</v>
      </c>
      <c r="D7874" s="24" t="s">
        <v>141</v>
      </c>
      <c r="E7874" s="30" t="s">
        <v>142</v>
      </c>
      <c r="F7874" s="7" t="s">
        <v>53</v>
      </c>
      <c r="G7874" s="33" t="s">
        <v>10781</v>
      </c>
      <c r="H7874" s="33" t="s">
        <v>10782</v>
      </c>
      <c r="I7874" s="304">
        <v>0</v>
      </c>
      <c r="J7874" s="305">
        <v>42</v>
      </c>
      <c r="K7874" s="142">
        <v>0</v>
      </c>
      <c r="L7874" s="142">
        <v>0</v>
      </c>
      <c r="M7874" s="142">
        <v>0</v>
      </c>
      <c r="N7874" s="142">
        <v>0</v>
      </c>
      <c r="O7874" s="305">
        <v>0</v>
      </c>
      <c r="P7874" s="306">
        <v>0.93603169999999991</v>
      </c>
      <c r="Q7874" s="157" t="s">
        <v>154</v>
      </c>
      <c r="R7874" s="303"/>
    </row>
    <row r="7875" spans="1:18" s="162" customFormat="1" ht="96" x14ac:dyDescent="0.25">
      <c r="A7875" s="184">
        <v>43742</v>
      </c>
      <c r="B7875" s="184">
        <v>43742</v>
      </c>
      <c r="C7875" s="138">
        <v>2019</v>
      </c>
      <c r="D7875" s="35" t="s">
        <v>28</v>
      </c>
      <c r="E7875" s="30" t="s">
        <v>125</v>
      </c>
      <c r="F7875" s="7" t="s">
        <v>84</v>
      </c>
      <c r="G7875" s="33" t="s">
        <v>1453</v>
      </c>
      <c r="H7875" s="33" t="s">
        <v>10783</v>
      </c>
      <c r="I7875" s="304">
        <v>0</v>
      </c>
      <c r="J7875" s="305">
        <v>282</v>
      </c>
      <c r="K7875" s="142">
        <v>0</v>
      </c>
      <c r="L7875" s="142">
        <v>0</v>
      </c>
      <c r="M7875" s="142">
        <v>0</v>
      </c>
      <c r="N7875" s="142">
        <v>1</v>
      </c>
      <c r="O7875" s="305">
        <v>0</v>
      </c>
      <c r="P7875" s="306">
        <v>2.2770000000000002E-2</v>
      </c>
      <c r="Q7875" s="157" t="s">
        <v>154</v>
      </c>
      <c r="R7875" s="303"/>
    </row>
    <row r="7876" spans="1:18" s="162" customFormat="1" ht="60" x14ac:dyDescent="0.25">
      <c r="A7876" s="184">
        <v>43742</v>
      </c>
      <c r="B7876" s="184">
        <v>43742</v>
      </c>
      <c r="C7876" s="43">
        <v>2019</v>
      </c>
      <c r="D7876" s="35" t="s">
        <v>28</v>
      </c>
      <c r="E7876" s="30" t="s">
        <v>133</v>
      </c>
      <c r="F7876" s="7" t="s">
        <v>62</v>
      </c>
      <c r="G7876" s="33" t="s">
        <v>10784</v>
      </c>
      <c r="H7876" s="33" t="s">
        <v>10785</v>
      </c>
      <c r="I7876" s="304">
        <v>2</v>
      </c>
      <c r="J7876" s="305">
        <v>3</v>
      </c>
      <c r="K7876" s="142">
        <v>0</v>
      </c>
      <c r="L7876" s="142">
        <v>0</v>
      </c>
      <c r="M7876" s="142">
        <v>0</v>
      </c>
      <c r="N7876" s="142">
        <v>0</v>
      </c>
      <c r="O7876" s="305">
        <v>0</v>
      </c>
      <c r="P7876" s="306">
        <v>0.14413410000000001</v>
      </c>
      <c r="Q7876" s="157" t="s">
        <v>154</v>
      </c>
      <c r="R7876" s="303"/>
    </row>
    <row r="7877" spans="1:18" s="162" customFormat="1" ht="96" x14ac:dyDescent="0.25">
      <c r="A7877" s="184">
        <v>43743</v>
      </c>
      <c r="B7877" s="184">
        <v>43743</v>
      </c>
      <c r="C7877" s="138">
        <v>2019</v>
      </c>
      <c r="D7877" s="35" t="s">
        <v>28</v>
      </c>
      <c r="E7877" s="6" t="s">
        <v>149</v>
      </c>
      <c r="F7877" s="7" t="s">
        <v>77</v>
      </c>
      <c r="G7877" s="33" t="s">
        <v>77</v>
      </c>
      <c r="H7877" s="33" t="s">
        <v>10786</v>
      </c>
      <c r="I7877" s="304">
        <v>0</v>
      </c>
      <c r="J7877" s="305">
        <v>6</v>
      </c>
      <c r="K7877" s="142">
        <v>1</v>
      </c>
      <c r="L7877" s="142">
        <v>0</v>
      </c>
      <c r="M7877" s="142">
        <v>0</v>
      </c>
      <c r="N7877" s="142">
        <v>0</v>
      </c>
      <c r="O7877" s="305">
        <v>0</v>
      </c>
      <c r="P7877" s="306">
        <v>1.1990000000000002E-2</v>
      </c>
      <c r="Q7877" s="157" t="s">
        <v>154</v>
      </c>
      <c r="R7877" s="303"/>
    </row>
    <row r="7878" spans="1:18" s="162" customFormat="1" ht="108" x14ac:dyDescent="0.25">
      <c r="A7878" s="184">
        <v>43745</v>
      </c>
      <c r="B7878" s="184">
        <v>43745</v>
      </c>
      <c r="C7878" s="43">
        <v>2019</v>
      </c>
      <c r="D7878" s="24" t="s">
        <v>141</v>
      </c>
      <c r="E7878" s="30" t="s">
        <v>142</v>
      </c>
      <c r="F7878" s="7" t="s">
        <v>65</v>
      </c>
      <c r="G7878" s="33" t="s">
        <v>418</v>
      </c>
      <c r="H7878" s="33" t="s">
        <v>10787</v>
      </c>
      <c r="I7878" s="304">
        <v>0</v>
      </c>
      <c r="J7878" s="305">
        <v>26</v>
      </c>
      <c r="K7878" s="142">
        <v>0</v>
      </c>
      <c r="L7878" s="142">
        <v>0</v>
      </c>
      <c r="M7878" s="142">
        <v>0</v>
      </c>
      <c r="N7878" s="142">
        <v>0</v>
      </c>
      <c r="O7878" s="305">
        <v>0</v>
      </c>
      <c r="P7878" s="306">
        <v>0.33729300000000006</v>
      </c>
      <c r="Q7878" s="157" t="s">
        <v>154</v>
      </c>
      <c r="R7878" s="303"/>
    </row>
    <row r="7879" spans="1:18" s="162" customFormat="1" ht="120" x14ac:dyDescent="0.25">
      <c r="A7879" s="184">
        <v>43745</v>
      </c>
      <c r="B7879" s="184">
        <v>43745</v>
      </c>
      <c r="C7879" s="138">
        <v>2019</v>
      </c>
      <c r="D7879" s="24" t="s">
        <v>141</v>
      </c>
      <c r="E7879" s="30" t="s">
        <v>142</v>
      </c>
      <c r="F7879" s="7" t="s">
        <v>72</v>
      </c>
      <c r="G7879" s="33" t="s">
        <v>1954</v>
      </c>
      <c r="H7879" s="33" t="s">
        <v>10788</v>
      </c>
      <c r="I7879" s="304">
        <v>1</v>
      </c>
      <c r="J7879" s="305">
        <v>8</v>
      </c>
      <c r="K7879" s="142">
        <v>0</v>
      </c>
      <c r="L7879" s="142">
        <v>0</v>
      </c>
      <c r="M7879" s="142">
        <v>0</v>
      </c>
      <c r="N7879" s="142">
        <v>0</v>
      </c>
      <c r="O7879" s="305">
        <v>0</v>
      </c>
      <c r="P7879" s="306">
        <v>6.9300000000000013E-3</v>
      </c>
      <c r="Q7879" s="157" t="s">
        <v>154</v>
      </c>
      <c r="R7879" s="303"/>
    </row>
    <row r="7880" spans="1:18" s="162" customFormat="1" ht="168" x14ac:dyDescent="0.25">
      <c r="A7880" s="184">
        <v>43745</v>
      </c>
      <c r="B7880" s="184">
        <v>43745</v>
      </c>
      <c r="C7880" s="43">
        <v>2019</v>
      </c>
      <c r="D7880" s="35" t="s">
        <v>17</v>
      </c>
      <c r="E7880" s="6" t="s">
        <v>328</v>
      </c>
      <c r="F7880" s="7" t="s">
        <v>36</v>
      </c>
      <c r="G7880" s="33" t="s">
        <v>5985</v>
      </c>
      <c r="H7880" s="33" t="s">
        <v>10789</v>
      </c>
      <c r="I7880" s="304">
        <v>0</v>
      </c>
      <c r="J7880" s="305">
        <v>5</v>
      </c>
      <c r="K7880" s="142">
        <v>1</v>
      </c>
      <c r="L7880" s="142">
        <v>0</v>
      </c>
      <c r="M7880" s="142">
        <v>0</v>
      </c>
      <c r="N7880" s="142">
        <v>0</v>
      </c>
      <c r="O7880" s="305">
        <v>0</v>
      </c>
      <c r="P7880" s="306">
        <v>0</v>
      </c>
      <c r="Q7880" s="157" t="s">
        <v>154</v>
      </c>
      <c r="R7880" s="303"/>
    </row>
    <row r="7881" spans="1:18" s="162" customFormat="1" ht="132" x14ac:dyDescent="0.25">
      <c r="A7881" s="184">
        <v>43745</v>
      </c>
      <c r="B7881" s="184">
        <v>43745</v>
      </c>
      <c r="C7881" s="138">
        <v>2019</v>
      </c>
      <c r="D7881" s="351" t="s">
        <v>23</v>
      </c>
      <c r="E7881" s="22" t="s">
        <v>86</v>
      </c>
      <c r="F7881" s="7" t="s">
        <v>36</v>
      </c>
      <c r="G7881" s="33" t="s">
        <v>9731</v>
      </c>
      <c r="H7881" s="33" t="s">
        <v>10790</v>
      </c>
      <c r="I7881" s="304">
        <v>0</v>
      </c>
      <c r="J7881" s="305">
        <v>450</v>
      </c>
      <c r="K7881" s="142">
        <v>100</v>
      </c>
      <c r="L7881" s="142">
        <v>0</v>
      </c>
      <c r="M7881" s="142">
        <v>0</v>
      </c>
      <c r="N7881" s="142">
        <v>0</v>
      </c>
      <c r="O7881" s="305">
        <v>0</v>
      </c>
      <c r="P7881" s="306">
        <v>282.26911361979995</v>
      </c>
      <c r="Q7881" s="157" t="s">
        <v>7883</v>
      </c>
      <c r="R7881" s="303"/>
    </row>
    <row r="7882" spans="1:18" s="162" customFormat="1" ht="204" x14ac:dyDescent="0.25">
      <c r="A7882" s="184">
        <v>43747</v>
      </c>
      <c r="B7882" s="184">
        <v>43747</v>
      </c>
      <c r="C7882" s="43">
        <v>2019</v>
      </c>
      <c r="D7882" s="35" t="s">
        <v>28</v>
      </c>
      <c r="E7882" s="30" t="s">
        <v>125</v>
      </c>
      <c r="F7882" s="7" t="s">
        <v>80</v>
      </c>
      <c r="G7882" s="33" t="s">
        <v>1089</v>
      </c>
      <c r="H7882" s="33" t="s">
        <v>10791</v>
      </c>
      <c r="I7882" s="304">
        <v>0</v>
      </c>
      <c r="J7882" s="305">
        <v>416</v>
      </c>
      <c r="K7882" s="142">
        <v>0</v>
      </c>
      <c r="L7882" s="142">
        <v>0</v>
      </c>
      <c r="M7882" s="142">
        <v>0</v>
      </c>
      <c r="N7882" s="142">
        <v>0</v>
      </c>
      <c r="O7882" s="305">
        <v>0</v>
      </c>
      <c r="P7882" s="306">
        <v>3.9600000000000008E-3</v>
      </c>
      <c r="Q7882" s="157" t="s">
        <v>154</v>
      </c>
      <c r="R7882" s="303"/>
    </row>
    <row r="7883" spans="1:18" s="162" customFormat="1" ht="192" x14ac:dyDescent="0.25">
      <c r="A7883" s="184">
        <v>43747</v>
      </c>
      <c r="B7883" s="184">
        <v>43747</v>
      </c>
      <c r="C7883" s="138">
        <v>2019</v>
      </c>
      <c r="D7883" s="35" t="s">
        <v>28</v>
      </c>
      <c r="E7883" s="30" t="s">
        <v>125</v>
      </c>
      <c r="F7883" s="7" t="s">
        <v>87</v>
      </c>
      <c r="G7883" s="33" t="s">
        <v>567</v>
      </c>
      <c r="H7883" s="33" t="s">
        <v>10792</v>
      </c>
      <c r="I7883" s="304">
        <v>0</v>
      </c>
      <c r="J7883" s="305">
        <v>2</v>
      </c>
      <c r="K7883" s="142">
        <v>0</v>
      </c>
      <c r="L7883" s="142">
        <v>0</v>
      </c>
      <c r="M7883" s="142">
        <v>0</v>
      </c>
      <c r="N7883" s="142">
        <v>0</v>
      </c>
      <c r="O7883" s="305">
        <v>0</v>
      </c>
      <c r="P7883" s="306">
        <v>5.3176200000000007E-2</v>
      </c>
      <c r="Q7883" s="157" t="s">
        <v>154</v>
      </c>
      <c r="R7883" s="303"/>
    </row>
    <row r="7884" spans="1:18" s="162" customFormat="1" ht="132" x14ac:dyDescent="0.25">
      <c r="A7884" s="184">
        <v>43748</v>
      </c>
      <c r="B7884" s="184">
        <v>43748</v>
      </c>
      <c r="C7884" s="43">
        <v>2019</v>
      </c>
      <c r="D7884" s="351" t="s">
        <v>23</v>
      </c>
      <c r="E7884" s="22" t="s">
        <v>86</v>
      </c>
      <c r="F7884" s="7" t="s">
        <v>36</v>
      </c>
      <c r="G7884" s="33" t="s">
        <v>10793</v>
      </c>
      <c r="H7884" s="33" t="s">
        <v>10794</v>
      </c>
      <c r="I7884" s="304">
        <v>0</v>
      </c>
      <c r="J7884" s="305">
        <v>280</v>
      </c>
      <c r="K7884" s="142">
        <v>70</v>
      </c>
      <c r="L7884" s="142">
        <v>0</v>
      </c>
      <c r="M7884" s="142">
        <v>0</v>
      </c>
      <c r="N7884" s="142">
        <v>0</v>
      </c>
      <c r="O7884" s="305">
        <v>0</v>
      </c>
      <c r="P7884" s="306">
        <v>8.0850000000000005E-2</v>
      </c>
      <c r="Q7884" s="157" t="s">
        <v>154</v>
      </c>
      <c r="R7884" s="303"/>
    </row>
    <row r="7885" spans="1:18" s="162" customFormat="1" ht="120" x14ac:dyDescent="0.25">
      <c r="A7885" s="184">
        <v>43749</v>
      </c>
      <c r="B7885" s="184">
        <v>43749</v>
      </c>
      <c r="C7885" s="138">
        <v>2019</v>
      </c>
      <c r="D7885" s="24" t="s">
        <v>141</v>
      </c>
      <c r="E7885" s="30" t="s">
        <v>142</v>
      </c>
      <c r="F7885" s="7" t="s">
        <v>77</v>
      </c>
      <c r="G7885" s="33" t="s">
        <v>681</v>
      </c>
      <c r="H7885" s="33" t="s">
        <v>10795</v>
      </c>
      <c r="I7885" s="304">
        <v>9</v>
      </c>
      <c r="J7885" s="305">
        <v>22</v>
      </c>
      <c r="K7885" s="142">
        <v>0</v>
      </c>
      <c r="L7885" s="142">
        <v>0</v>
      </c>
      <c r="M7885" s="142">
        <v>0</v>
      </c>
      <c r="N7885" s="142">
        <v>0</v>
      </c>
      <c r="O7885" s="305">
        <v>0</v>
      </c>
      <c r="P7885" s="306">
        <v>3.0318896837209306</v>
      </c>
      <c r="Q7885" s="157" t="s">
        <v>154</v>
      </c>
      <c r="R7885" s="303"/>
    </row>
    <row r="7886" spans="1:18" s="162" customFormat="1" ht="96" x14ac:dyDescent="0.25">
      <c r="A7886" s="184">
        <v>43749</v>
      </c>
      <c r="B7886" s="184">
        <v>43749</v>
      </c>
      <c r="C7886" s="43">
        <v>2019</v>
      </c>
      <c r="D7886" s="24" t="s">
        <v>141</v>
      </c>
      <c r="E7886" s="30" t="s">
        <v>142</v>
      </c>
      <c r="F7886" s="7" t="s">
        <v>36</v>
      </c>
      <c r="G7886" s="33" t="s">
        <v>2797</v>
      </c>
      <c r="H7886" s="33" t="s">
        <v>10796</v>
      </c>
      <c r="I7886" s="304">
        <v>1</v>
      </c>
      <c r="J7886" s="305">
        <v>9</v>
      </c>
      <c r="K7886" s="142">
        <v>0</v>
      </c>
      <c r="L7886" s="142">
        <v>0</v>
      </c>
      <c r="M7886" s="142">
        <v>0</v>
      </c>
      <c r="N7886" s="142">
        <v>0</v>
      </c>
      <c r="O7886" s="305">
        <v>0</v>
      </c>
      <c r="P7886" s="306">
        <v>7.9200000000000017E-3</v>
      </c>
      <c r="Q7886" s="157" t="s">
        <v>154</v>
      </c>
      <c r="R7886" s="303"/>
    </row>
    <row r="7887" spans="1:18" s="162" customFormat="1" ht="228" x14ac:dyDescent="0.25">
      <c r="A7887" s="184">
        <v>43751</v>
      </c>
      <c r="B7887" s="184">
        <v>43751</v>
      </c>
      <c r="C7887" s="138">
        <v>2019</v>
      </c>
      <c r="D7887" s="351" t="s">
        <v>23</v>
      </c>
      <c r="E7887" s="22" t="s">
        <v>86</v>
      </c>
      <c r="F7887" s="7" t="s">
        <v>33</v>
      </c>
      <c r="G7887" s="33" t="s">
        <v>10797</v>
      </c>
      <c r="H7887" s="33" t="s">
        <v>10798</v>
      </c>
      <c r="I7887" s="304">
        <v>1</v>
      </c>
      <c r="J7887" s="305">
        <v>13</v>
      </c>
      <c r="K7887" s="142">
        <v>0</v>
      </c>
      <c r="L7887" s="142">
        <v>0</v>
      </c>
      <c r="M7887" s="142">
        <v>0</v>
      </c>
      <c r="N7887" s="142">
        <v>0</v>
      </c>
      <c r="O7887" s="305">
        <v>0</v>
      </c>
      <c r="P7887" s="306">
        <v>56.503639739999997</v>
      </c>
      <c r="Q7887" s="157" t="s">
        <v>7883</v>
      </c>
      <c r="R7887" s="303"/>
    </row>
    <row r="7888" spans="1:18" s="162" customFormat="1" ht="240" x14ac:dyDescent="0.25">
      <c r="A7888" s="184">
        <v>43751</v>
      </c>
      <c r="B7888" s="184">
        <v>43751</v>
      </c>
      <c r="C7888" s="43">
        <v>2019</v>
      </c>
      <c r="D7888" s="35" t="s">
        <v>28</v>
      </c>
      <c r="E7888" s="6" t="s">
        <v>149</v>
      </c>
      <c r="F7888" s="28" t="s">
        <v>157</v>
      </c>
      <c r="G7888" s="33" t="s">
        <v>1062</v>
      </c>
      <c r="H7888" s="33" t="s">
        <v>10799</v>
      </c>
      <c r="I7888" s="304">
        <v>1</v>
      </c>
      <c r="J7888" s="305">
        <v>424</v>
      </c>
      <c r="K7888" s="142">
        <v>0</v>
      </c>
      <c r="L7888" s="142">
        <v>0</v>
      </c>
      <c r="M7888" s="142">
        <v>0</v>
      </c>
      <c r="N7888" s="142">
        <v>0</v>
      </c>
      <c r="O7888" s="305">
        <v>0</v>
      </c>
      <c r="P7888" s="306">
        <v>0</v>
      </c>
      <c r="Q7888" s="157" t="s">
        <v>154</v>
      </c>
      <c r="R7888" s="303"/>
    </row>
    <row r="7889" spans="1:18" s="162" customFormat="1" ht="276" x14ac:dyDescent="0.25">
      <c r="A7889" s="184">
        <v>43751</v>
      </c>
      <c r="B7889" s="184">
        <v>43751</v>
      </c>
      <c r="C7889" s="138">
        <v>2019</v>
      </c>
      <c r="D7889" s="351" t="s">
        <v>23</v>
      </c>
      <c r="E7889" s="14" t="s">
        <v>52</v>
      </c>
      <c r="F7889" s="28" t="s">
        <v>210</v>
      </c>
      <c r="G7889" s="33" t="s">
        <v>10800</v>
      </c>
      <c r="H7889" s="33" t="s">
        <v>10801</v>
      </c>
      <c r="I7889" s="304">
        <v>0</v>
      </c>
      <c r="J7889" s="305">
        <v>3508</v>
      </c>
      <c r="K7889" s="142">
        <v>857</v>
      </c>
      <c r="L7889" s="142">
        <v>0</v>
      </c>
      <c r="M7889" s="142">
        <v>0</v>
      </c>
      <c r="N7889" s="142">
        <v>0</v>
      </c>
      <c r="O7889" s="305">
        <v>0</v>
      </c>
      <c r="P7889" s="306">
        <v>169.77158800000001</v>
      </c>
      <c r="Q7889" s="157" t="s">
        <v>7883</v>
      </c>
      <c r="R7889" s="303"/>
    </row>
    <row r="7890" spans="1:18" s="162" customFormat="1" ht="72" x14ac:dyDescent="0.25">
      <c r="A7890" s="184">
        <v>43752</v>
      </c>
      <c r="B7890" s="184">
        <v>43752</v>
      </c>
      <c r="C7890" s="43">
        <v>2019</v>
      </c>
      <c r="D7890" s="24" t="s">
        <v>141</v>
      </c>
      <c r="E7890" s="30" t="s">
        <v>142</v>
      </c>
      <c r="F7890" s="28" t="s">
        <v>163</v>
      </c>
      <c r="G7890" s="33" t="s">
        <v>10802</v>
      </c>
      <c r="H7890" s="33" t="s">
        <v>10803</v>
      </c>
      <c r="I7890" s="304">
        <v>7</v>
      </c>
      <c r="J7890" s="305">
        <v>13</v>
      </c>
      <c r="K7890" s="142">
        <v>0</v>
      </c>
      <c r="L7890" s="142">
        <v>0</v>
      </c>
      <c r="M7890" s="142">
        <v>0</v>
      </c>
      <c r="N7890" s="142">
        <v>0</v>
      </c>
      <c r="O7890" s="305">
        <v>0</v>
      </c>
      <c r="P7890" s="306">
        <v>6.4910000000000009E-2</v>
      </c>
      <c r="Q7890" s="157" t="s">
        <v>154</v>
      </c>
      <c r="R7890" s="303"/>
    </row>
    <row r="7891" spans="1:18" s="162" customFormat="1" ht="96" x14ac:dyDescent="0.25">
      <c r="A7891" s="184">
        <v>43754</v>
      </c>
      <c r="B7891" s="184">
        <v>43754</v>
      </c>
      <c r="C7891" s="138">
        <v>2019</v>
      </c>
      <c r="D7891" s="24" t="s">
        <v>141</v>
      </c>
      <c r="E7891" s="30" t="s">
        <v>142</v>
      </c>
      <c r="F7891" s="7" t="s">
        <v>68</v>
      </c>
      <c r="G7891" s="33" t="s">
        <v>7113</v>
      </c>
      <c r="H7891" s="33" t="s">
        <v>10804</v>
      </c>
      <c r="I7891" s="304">
        <v>2</v>
      </c>
      <c r="J7891" s="305">
        <v>8</v>
      </c>
      <c r="K7891" s="142">
        <v>0</v>
      </c>
      <c r="L7891" s="142">
        <v>0</v>
      </c>
      <c r="M7891" s="142">
        <v>0</v>
      </c>
      <c r="N7891" s="142">
        <v>0</v>
      </c>
      <c r="O7891" s="305">
        <v>0</v>
      </c>
      <c r="P7891" s="306">
        <v>0.72006000000000003</v>
      </c>
      <c r="Q7891" s="157" t="s">
        <v>154</v>
      </c>
      <c r="R7891" s="303"/>
    </row>
    <row r="7892" spans="1:18" s="162" customFormat="1" ht="24" x14ac:dyDescent="0.25">
      <c r="A7892" s="184">
        <v>43754</v>
      </c>
      <c r="B7892" s="184">
        <v>43755</v>
      </c>
      <c r="C7892" s="43">
        <v>2019</v>
      </c>
      <c r="D7892" s="351" t="s">
        <v>23</v>
      </c>
      <c r="E7892" s="22" t="s">
        <v>86</v>
      </c>
      <c r="F7892" s="7" t="s">
        <v>72</v>
      </c>
      <c r="G7892" s="33"/>
      <c r="H7892" s="44" t="s">
        <v>10805</v>
      </c>
      <c r="I7892" s="304">
        <v>0</v>
      </c>
      <c r="J7892" s="305">
        <v>0</v>
      </c>
      <c r="K7892" s="142">
        <v>0</v>
      </c>
      <c r="L7892" s="142">
        <v>0</v>
      </c>
      <c r="M7892" s="142">
        <v>0</v>
      </c>
      <c r="N7892" s="142">
        <v>0</v>
      </c>
      <c r="O7892" s="305">
        <v>0</v>
      </c>
      <c r="P7892" s="306">
        <v>20.157866086400002</v>
      </c>
      <c r="Q7892" s="157" t="s">
        <v>186</v>
      </c>
      <c r="R7892" s="303"/>
    </row>
    <row r="7893" spans="1:18" s="162" customFormat="1" ht="108" x14ac:dyDescent="0.25">
      <c r="A7893" s="184">
        <v>43755</v>
      </c>
      <c r="B7893" s="184">
        <v>43755</v>
      </c>
      <c r="C7893" s="138">
        <v>2019</v>
      </c>
      <c r="D7893" s="24" t="s">
        <v>141</v>
      </c>
      <c r="E7893" s="30" t="s">
        <v>142</v>
      </c>
      <c r="F7893" s="7" t="s">
        <v>53</v>
      </c>
      <c r="G7893" s="33" t="s">
        <v>2006</v>
      </c>
      <c r="H7893" s="33" t="s">
        <v>10806</v>
      </c>
      <c r="I7893" s="304">
        <v>0</v>
      </c>
      <c r="J7893" s="305">
        <v>12</v>
      </c>
      <c r="K7893" s="142">
        <v>0</v>
      </c>
      <c r="L7893" s="142">
        <v>0</v>
      </c>
      <c r="M7893" s="142">
        <v>0</v>
      </c>
      <c r="N7893" s="142">
        <v>0</v>
      </c>
      <c r="O7893" s="305">
        <v>0</v>
      </c>
      <c r="P7893" s="306">
        <v>0.18330170000000001</v>
      </c>
      <c r="Q7893" s="157" t="s">
        <v>154</v>
      </c>
      <c r="R7893" s="303"/>
    </row>
    <row r="7894" spans="1:18" s="162" customFormat="1" ht="96" x14ac:dyDescent="0.25">
      <c r="A7894" s="184">
        <v>43758</v>
      </c>
      <c r="B7894" s="184">
        <v>43758</v>
      </c>
      <c r="C7894" s="43">
        <v>2019</v>
      </c>
      <c r="D7894" s="24" t="s">
        <v>141</v>
      </c>
      <c r="E7894" s="30" t="s">
        <v>142</v>
      </c>
      <c r="F7894" s="7" t="s">
        <v>77</v>
      </c>
      <c r="G7894" s="33" t="s">
        <v>9607</v>
      </c>
      <c r="H7894" s="33" t="s">
        <v>10807</v>
      </c>
      <c r="I7894" s="304">
        <v>2</v>
      </c>
      <c r="J7894" s="305">
        <v>2</v>
      </c>
      <c r="K7894" s="142">
        <v>0</v>
      </c>
      <c r="L7894" s="142">
        <v>0</v>
      </c>
      <c r="M7894" s="142">
        <v>0</v>
      </c>
      <c r="N7894" s="142">
        <v>0</v>
      </c>
      <c r="O7894" s="305">
        <v>0</v>
      </c>
      <c r="P7894" s="306">
        <v>4.93897570761753</v>
      </c>
      <c r="Q7894" s="157" t="s">
        <v>154</v>
      </c>
      <c r="R7894" s="303"/>
    </row>
    <row r="7895" spans="1:18" s="162" customFormat="1" ht="108" x14ac:dyDescent="0.25">
      <c r="A7895" s="184">
        <v>43759</v>
      </c>
      <c r="B7895" s="184">
        <v>43759</v>
      </c>
      <c r="C7895" s="138">
        <v>2019</v>
      </c>
      <c r="D7895" s="35" t="s">
        <v>28</v>
      </c>
      <c r="E7895" s="30" t="s">
        <v>125</v>
      </c>
      <c r="F7895" s="7" t="s">
        <v>40</v>
      </c>
      <c r="G7895" s="33" t="s">
        <v>4134</v>
      </c>
      <c r="H7895" s="33" t="s">
        <v>10808</v>
      </c>
      <c r="I7895" s="304">
        <v>0</v>
      </c>
      <c r="J7895" s="305">
        <v>1830</v>
      </c>
      <c r="K7895" s="142">
        <v>0</v>
      </c>
      <c r="L7895" s="142">
        <v>0</v>
      </c>
      <c r="M7895" s="142">
        <v>0</v>
      </c>
      <c r="N7895" s="142">
        <v>0</v>
      </c>
      <c r="O7895" s="305">
        <v>0</v>
      </c>
      <c r="P7895" s="306">
        <v>9.5E-4</v>
      </c>
      <c r="Q7895" s="157" t="s">
        <v>154</v>
      </c>
      <c r="R7895" s="303"/>
    </row>
    <row r="7896" spans="1:18" s="162" customFormat="1" ht="84" x14ac:dyDescent="0.25">
      <c r="A7896" s="184">
        <v>43759</v>
      </c>
      <c r="B7896" s="184">
        <v>43759</v>
      </c>
      <c r="C7896" s="43">
        <v>2019</v>
      </c>
      <c r="D7896" s="24" t="s">
        <v>130</v>
      </c>
      <c r="E7896" s="30" t="s">
        <v>136</v>
      </c>
      <c r="F7896" s="7" t="s">
        <v>91</v>
      </c>
      <c r="G7896" s="33" t="s">
        <v>803</v>
      </c>
      <c r="H7896" s="33" t="s">
        <v>10809</v>
      </c>
      <c r="I7896" s="304">
        <v>0</v>
      </c>
      <c r="J7896" s="305">
        <v>36</v>
      </c>
      <c r="K7896" s="142">
        <v>0</v>
      </c>
      <c r="L7896" s="142">
        <v>0</v>
      </c>
      <c r="M7896" s="142">
        <v>0</v>
      </c>
      <c r="N7896" s="142">
        <v>0</v>
      </c>
      <c r="O7896" s="305">
        <v>0</v>
      </c>
      <c r="P7896" s="306">
        <v>2.5740000000000002E-2</v>
      </c>
      <c r="Q7896" s="157" t="s">
        <v>154</v>
      </c>
      <c r="R7896" s="303"/>
    </row>
    <row r="7897" spans="1:18" s="162" customFormat="1" ht="132" x14ac:dyDescent="0.25">
      <c r="A7897" s="184">
        <v>43760</v>
      </c>
      <c r="B7897" s="184">
        <v>43760</v>
      </c>
      <c r="C7897" s="138">
        <v>2019</v>
      </c>
      <c r="D7897" s="35" t="s">
        <v>28</v>
      </c>
      <c r="E7897" s="6" t="s">
        <v>149</v>
      </c>
      <c r="F7897" s="7" t="s">
        <v>84</v>
      </c>
      <c r="G7897" s="33" t="s">
        <v>1453</v>
      </c>
      <c r="H7897" s="33" t="s">
        <v>10810</v>
      </c>
      <c r="I7897" s="304">
        <v>0</v>
      </c>
      <c r="J7897" s="305">
        <v>12</v>
      </c>
      <c r="K7897" s="142">
        <v>4</v>
      </c>
      <c r="L7897" s="142">
        <v>0</v>
      </c>
      <c r="M7897" s="142">
        <v>0</v>
      </c>
      <c r="N7897" s="142">
        <v>0</v>
      </c>
      <c r="O7897" s="305">
        <v>0</v>
      </c>
      <c r="P7897" s="306">
        <v>0.49719999999999998</v>
      </c>
      <c r="Q7897" s="157" t="s">
        <v>154</v>
      </c>
      <c r="R7897" s="303"/>
    </row>
    <row r="7898" spans="1:18" s="162" customFormat="1" ht="84" x14ac:dyDescent="0.25">
      <c r="A7898" s="184">
        <v>43761</v>
      </c>
      <c r="B7898" s="184">
        <v>43761</v>
      </c>
      <c r="C7898" s="43">
        <v>2019</v>
      </c>
      <c r="D7898" s="35" t="s">
        <v>28</v>
      </c>
      <c r="E7898" s="6" t="s">
        <v>149</v>
      </c>
      <c r="F7898" s="7" t="s">
        <v>53</v>
      </c>
      <c r="G7898" s="33" t="s">
        <v>2776</v>
      </c>
      <c r="H7898" s="33" t="s">
        <v>10811</v>
      </c>
      <c r="I7898" s="304">
        <v>2</v>
      </c>
      <c r="J7898" s="305">
        <v>8</v>
      </c>
      <c r="K7898" s="142">
        <v>0</v>
      </c>
      <c r="L7898" s="142">
        <v>0</v>
      </c>
      <c r="M7898" s="142">
        <v>0</v>
      </c>
      <c r="N7898" s="142">
        <v>0</v>
      </c>
      <c r="O7898" s="305">
        <v>0</v>
      </c>
      <c r="P7898" s="306">
        <v>5.7136200000000005E-2</v>
      </c>
      <c r="Q7898" s="157" t="s">
        <v>154</v>
      </c>
      <c r="R7898" s="303"/>
    </row>
    <row r="7899" spans="1:18" s="162" customFormat="1" ht="24" x14ac:dyDescent="0.25">
      <c r="A7899" s="184">
        <v>43761</v>
      </c>
      <c r="B7899" s="184">
        <v>43761</v>
      </c>
      <c r="C7899" s="138">
        <v>2019</v>
      </c>
      <c r="D7899" s="351" t="s">
        <v>23</v>
      </c>
      <c r="E7899" s="22" t="s">
        <v>86</v>
      </c>
      <c r="F7899" s="7" t="s">
        <v>91</v>
      </c>
      <c r="G7899" s="33"/>
      <c r="H7899" s="44" t="s">
        <v>10812</v>
      </c>
      <c r="I7899" s="304">
        <v>0</v>
      </c>
      <c r="J7899" s="305">
        <v>0</v>
      </c>
      <c r="K7899" s="142">
        <v>0</v>
      </c>
      <c r="L7899" s="142">
        <v>0</v>
      </c>
      <c r="M7899" s="142">
        <v>0</v>
      </c>
      <c r="N7899" s="142">
        <v>0</v>
      </c>
      <c r="O7899" s="305">
        <v>0</v>
      </c>
      <c r="P7899" s="306">
        <v>11.706338971799999</v>
      </c>
      <c r="Q7899" s="157" t="s">
        <v>186</v>
      </c>
      <c r="R7899" s="303"/>
    </row>
    <row r="7900" spans="1:18" s="162" customFormat="1" ht="360" x14ac:dyDescent="0.25">
      <c r="A7900" s="184">
        <v>43763</v>
      </c>
      <c r="B7900" s="184">
        <v>43763</v>
      </c>
      <c r="C7900" s="43">
        <v>2019</v>
      </c>
      <c r="D7900" s="35" t="s">
        <v>28</v>
      </c>
      <c r="E7900" s="14" t="s">
        <v>29</v>
      </c>
      <c r="F7900" s="7" t="s">
        <v>30</v>
      </c>
      <c r="G7900" s="33" t="s">
        <v>10813</v>
      </c>
      <c r="H7900" s="33" t="s">
        <v>10814</v>
      </c>
      <c r="I7900" s="304">
        <v>4</v>
      </c>
      <c r="J7900" s="305">
        <v>121</v>
      </c>
      <c r="K7900" s="142">
        <v>129</v>
      </c>
      <c r="L7900" s="142">
        <v>0</v>
      </c>
      <c r="M7900" s="142">
        <v>0</v>
      </c>
      <c r="N7900" s="142">
        <v>0</v>
      </c>
      <c r="O7900" s="305">
        <v>38518</v>
      </c>
      <c r="P7900" s="306">
        <v>96.947316639999997</v>
      </c>
      <c r="Q7900" s="157" t="s">
        <v>5207</v>
      </c>
      <c r="R7900" s="303"/>
    </row>
    <row r="7901" spans="1:18" s="162" customFormat="1" ht="156" x14ac:dyDescent="0.25">
      <c r="A7901" s="184">
        <v>43763</v>
      </c>
      <c r="B7901" s="184">
        <v>43763</v>
      </c>
      <c r="C7901" s="138">
        <v>2019</v>
      </c>
      <c r="D7901" s="24" t="s">
        <v>141</v>
      </c>
      <c r="E7901" s="30" t="s">
        <v>142</v>
      </c>
      <c r="F7901" s="7" t="s">
        <v>56</v>
      </c>
      <c r="G7901" s="33" t="s">
        <v>1426</v>
      </c>
      <c r="H7901" s="33" t="s">
        <v>10815</v>
      </c>
      <c r="I7901" s="304">
        <v>0</v>
      </c>
      <c r="J7901" s="305">
        <v>26</v>
      </c>
      <c r="K7901" s="142">
        <v>0</v>
      </c>
      <c r="L7901" s="142">
        <v>0</v>
      </c>
      <c r="M7901" s="142">
        <v>0</v>
      </c>
      <c r="N7901" s="142">
        <v>0</v>
      </c>
      <c r="O7901" s="305">
        <v>0</v>
      </c>
      <c r="P7901" s="306">
        <v>0.19104033837209305</v>
      </c>
      <c r="Q7901" s="157" t="s">
        <v>154</v>
      </c>
      <c r="R7901" s="303"/>
    </row>
    <row r="7902" spans="1:18" s="162" customFormat="1" ht="108" x14ac:dyDescent="0.25">
      <c r="A7902" s="184">
        <v>43763</v>
      </c>
      <c r="B7902" s="184">
        <v>43764</v>
      </c>
      <c r="C7902" s="43">
        <v>2019</v>
      </c>
      <c r="D7902" s="351" t="s">
        <v>23</v>
      </c>
      <c r="E7902" s="22" t="s">
        <v>86</v>
      </c>
      <c r="F7902" s="7" t="s">
        <v>36</v>
      </c>
      <c r="G7902" s="33" t="s">
        <v>10816</v>
      </c>
      <c r="H7902" s="33" t="s">
        <v>10817</v>
      </c>
      <c r="I7902" s="304">
        <v>0</v>
      </c>
      <c r="J7902" s="305">
        <v>140</v>
      </c>
      <c r="K7902" s="142">
        <v>35</v>
      </c>
      <c r="L7902" s="142">
        <v>0</v>
      </c>
      <c r="M7902" s="142">
        <v>0</v>
      </c>
      <c r="N7902" s="142">
        <v>0</v>
      </c>
      <c r="O7902" s="305">
        <v>0</v>
      </c>
      <c r="P7902" s="306">
        <v>4.0425000000000003E-2</v>
      </c>
      <c r="Q7902" s="157" t="s">
        <v>154</v>
      </c>
      <c r="R7902" s="303"/>
    </row>
    <row r="7903" spans="1:18" s="162" customFormat="1" ht="228" x14ac:dyDescent="0.25">
      <c r="A7903" s="184">
        <v>43764</v>
      </c>
      <c r="B7903" s="184">
        <v>43764</v>
      </c>
      <c r="C7903" s="138">
        <v>2019</v>
      </c>
      <c r="D7903" s="351" t="s">
        <v>23</v>
      </c>
      <c r="E7903" s="22" t="s">
        <v>86</v>
      </c>
      <c r="F7903" s="7" t="s">
        <v>56</v>
      </c>
      <c r="G7903" s="33" t="s">
        <v>5704</v>
      </c>
      <c r="H7903" s="33" t="s">
        <v>10818</v>
      </c>
      <c r="I7903" s="304">
        <v>0</v>
      </c>
      <c r="J7903" s="305">
        <v>24</v>
      </c>
      <c r="K7903" s="142">
        <v>4</v>
      </c>
      <c r="L7903" s="142">
        <v>0</v>
      </c>
      <c r="M7903" s="142">
        <v>0</v>
      </c>
      <c r="N7903" s="142">
        <v>0</v>
      </c>
      <c r="O7903" s="305">
        <v>0</v>
      </c>
      <c r="P7903" s="306">
        <v>0.15176810000000002</v>
      </c>
      <c r="Q7903" s="157" t="s">
        <v>154</v>
      </c>
      <c r="R7903" s="303"/>
    </row>
    <row r="7904" spans="1:18" s="162" customFormat="1" ht="132" x14ac:dyDescent="0.25">
      <c r="A7904" s="184">
        <v>43764</v>
      </c>
      <c r="B7904" s="184">
        <v>43764</v>
      </c>
      <c r="C7904" s="43">
        <v>2019</v>
      </c>
      <c r="D7904" s="35" t="s">
        <v>28</v>
      </c>
      <c r="E7904" s="6" t="s">
        <v>149</v>
      </c>
      <c r="F7904" s="28" t="s">
        <v>157</v>
      </c>
      <c r="G7904" s="33" t="s">
        <v>4237</v>
      </c>
      <c r="H7904" s="33" t="s">
        <v>10819</v>
      </c>
      <c r="I7904" s="304">
        <v>0</v>
      </c>
      <c r="J7904" s="305">
        <v>607</v>
      </c>
      <c r="K7904" s="142">
        <v>1</v>
      </c>
      <c r="L7904" s="142">
        <v>0</v>
      </c>
      <c r="M7904" s="142">
        <v>0</v>
      </c>
      <c r="N7904" s="142">
        <v>0</v>
      </c>
      <c r="O7904" s="305">
        <v>0</v>
      </c>
      <c r="P7904" s="306">
        <v>6.0500000000000007E-3</v>
      </c>
      <c r="Q7904" s="157" t="s">
        <v>154</v>
      </c>
      <c r="R7904" s="303"/>
    </row>
    <row r="7905" spans="1:18" s="162" customFormat="1" ht="216" x14ac:dyDescent="0.25">
      <c r="A7905" s="184">
        <v>43763</v>
      </c>
      <c r="B7905" s="184">
        <v>43764</v>
      </c>
      <c r="C7905" s="138">
        <v>2019</v>
      </c>
      <c r="D7905" s="351" t="s">
        <v>23</v>
      </c>
      <c r="E7905" s="22" t="s">
        <v>86</v>
      </c>
      <c r="F7905" s="28" t="s">
        <v>210</v>
      </c>
      <c r="G7905" s="33" t="s">
        <v>10820</v>
      </c>
      <c r="H7905" s="33" t="s">
        <v>10821</v>
      </c>
      <c r="I7905" s="304">
        <v>0</v>
      </c>
      <c r="J7905" s="305">
        <v>400</v>
      </c>
      <c r="K7905" s="142">
        <v>100</v>
      </c>
      <c r="L7905" s="142">
        <v>0</v>
      </c>
      <c r="M7905" s="142">
        <v>0</v>
      </c>
      <c r="N7905" s="142">
        <v>0</v>
      </c>
      <c r="O7905" s="305">
        <v>0</v>
      </c>
      <c r="P7905" s="306">
        <v>1.9655721799999999</v>
      </c>
      <c r="Q7905" s="157" t="s">
        <v>7883</v>
      </c>
      <c r="R7905" s="303"/>
    </row>
    <row r="7906" spans="1:18" s="162" customFormat="1" ht="168" x14ac:dyDescent="0.25">
      <c r="A7906" s="184">
        <v>43766</v>
      </c>
      <c r="B7906" s="184">
        <v>43766</v>
      </c>
      <c r="C7906" s="43">
        <v>2019</v>
      </c>
      <c r="D7906" s="24" t="s">
        <v>141</v>
      </c>
      <c r="E7906" s="30" t="s">
        <v>142</v>
      </c>
      <c r="F7906" s="25" t="s">
        <v>781</v>
      </c>
      <c r="G7906" s="33" t="s">
        <v>3061</v>
      </c>
      <c r="H7906" s="33" t="s">
        <v>10822</v>
      </c>
      <c r="I7906" s="304">
        <v>3</v>
      </c>
      <c r="J7906" s="305">
        <v>4</v>
      </c>
      <c r="K7906" s="142">
        <v>0</v>
      </c>
      <c r="L7906" s="142">
        <v>0</v>
      </c>
      <c r="M7906" s="142">
        <v>0</v>
      </c>
      <c r="N7906" s="142">
        <v>0</v>
      </c>
      <c r="O7906" s="305">
        <v>0</v>
      </c>
      <c r="P7906" s="306">
        <v>0.61727810000000005</v>
      </c>
      <c r="Q7906" s="157" t="s">
        <v>154</v>
      </c>
      <c r="R7906" s="303"/>
    </row>
    <row r="7907" spans="1:18" s="162" customFormat="1" ht="108" x14ac:dyDescent="0.25">
      <c r="A7907" s="184">
        <v>43766</v>
      </c>
      <c r="B7907" s="184">
        <v>43766</v>
      </c>
      <c r="C7907" s="138">
        <v>2019</v>
      </c>
      <c r="D7907" s="24" t="s">
        <v>141</v>
      </c>
      <c r="E7907" s="30" t="s">
        <v>142</v>
      </c>
      <c r="F7907" s="7" t="s">
        <v>53</v>
      </c>
      <c r="G7907" s="33" t="s">
        <v>8930</v>
      </c>
      <c r="H7907" s="33" t="s">
        <v>10823</v>
      </c>
      <c r="I7907" s="304">
        <v>0</v>
      </c>
      <c r="J7907" s="305">
        <v>11</v>
      </c>
      <c r="K7907" s="142">
        <v>0</v>
      </c>
      <c r="L7907" s="142">
        <v>0</v>
      </c>
      <c r="M7907" s="142">
        <v>0</v>
      </c>
      <c r="N7907" s="142">
        <v>0</v>
      </c>
      <c r="O7907" s="142">
        <v>0</v>
      </c>
      <c r="P7907" s="306">
        <v>4.2996339999999994E-2</v>
      </c>
      <c r="Q7907" s="157" t="s">
        <v>154</v>
      </c>
      <c r="R7907" s="303"/>
    </row>
    <row r="7908" spans="1:18" s="162" customFormat="1" ht="72" x14ac:dyDescent="0.25">
      <c r="A7908" s="184">
        <v>43766</v>
      </c>
      <c r="B7908" s="184">
        <v>43766</v>
      </c>
      <c r="C7908" s="43">
        <v>2019</v>
      </c>
      <c r="D7908" s="351" t="s">
        <v>23</v>
      </c>
      <c r="E7908" s="22" t="s">
        <v>86</v>
      </c>
      <c r="F7908" s="7" t="s">
        <v>97</v>
      </c>
      <c r="G7908" s="33" t="s">
        <v>10824</v>
      </c>
      <c r="H7908" s="33" t="s">
        <v>10825</v>
      </c>
      <c r="I7908" s="304">
        <v>0</v>
      </c>
      <c r="J7908" s="305">
        <v>45</v>
      </c>
      <c r="K7908" s="142">
        <v>11</v>
      </c>
      <c r="L7908" s="142">
        <v>0</v>
      </c>
      <c r="M7908" s="142">
        <v>0</v>
      </c>
      <c r="N7908" s="142">
        <v>0</v>
      </c>
      <c r="O7908" s="142">
        <v>0</v>
      </c>
      <c r="P7908" s="306">
        <v>1.2704999999999999E-2</v>
      </c>
      <c r="Q7908" s="157" t="s">
        <v>154</v>
      </c>
      <c r="R7908" s="303"/>
    </row>
    <row r="7909" spans="1:18" s="162" customFormat="1" ht="409.5" x14ac:dyDescent="0.25">
      <c r="A7909" s="184">
        <v>43766</v>
      </c>
      <c r="B7909" s="184">
        <v>43767</v>
      </c>
      <c r="C7909" s="138">
        <v>2019</v>
      </c>
      <c r="D7909" s="351" t="s">
        <v>23</v>
      </c>
      <c r="E7909" s="22" t="s">
        <v>86</v>
      </c>
      <c r="F7909" s="7" t="s">
        <v>65</v>
      </c>
      <c r="G7909" s="33" t="s">
        <v>1632</v>
      </c>
      <c r="H7909" s="33" t="s">
        <v>10826</v>
      </c>
      <c r="I7909" s="304">
        <v>0</v>
      </c>
      <c r="J7909" s="305">
        <v>232</v>
      </c>
      <c r="K7909" s="142">
        <v>58</v>
      </c>
      <c r="L7909" s="142">
        <v>1</v>
      </c>
      <c r="M7909" s="142">
        <v>0</v>
      </c>
      <c r="N7909" s="142">
        <v>0</v>
      </c>
      <c r="O7909" s="142">
        <v>0</v>
      </c>
      <c r="P7909" s="306">
        <v>3.9115670000000007</v>
      </c>
      <c r="Q7909" s="157" t="s">
        <v>154</v>
      </c>
      <c r="R7909" s="303"/>
    </row>
    <row r="7910" spans="1:18" s="162" customFormat="1" ht="108" x14ac:dyDescent="0.25">
      <c r="A7910" s="184">
        <v>43765</v>
      </c>
      <c r="B7910" s="184">
        <v>43767</v>
      </c>
      <c r="C7910" s="43">
        <v>2019</v>
      </c>
      <c r="D7910" s="351" t="s">
        <v>23</v>
      </c>
      <c r="E7910" s="22" t="s">
        <v>86</v>
      </c>
      <c r="F7910" s="28" t="s">
        <v>210</v>
      </c>
      <c r="G7910" s="33" t="s">
        <v>2826</v>
      </c>
      <c r="H7910" s="33" t="s">
        <v>10827</v>
      </c>
      <c r="I7910" s="304">
        <v>2</v>
      </c>
      <c r="J7910" s="305">
        <v>2</v>
      </c>
      <c r="K7910" s="142">
        <v>0</v>
      </c>
      <c r="L7910" s="142">
        <v>0</v>
      </c>
      <c r="M7910" s="142">
        <v>0</v>
      </c>
      <c r="N7910" s="142">
        <v>0</v>
      </c>
      <c r="O7910" s="142">
        <v>0</v>
      </c>
      <c r="P7910" s="306">
        <v>0</v>
      </c>
      <c r="Q7910" s="157" t="s">
        <v>154</v>
      </c>
      <c r="R7910" s="303"/>
    </row>
    <row r="7911" spans="1:18" s="162" customFormat="1" ht="120" x14ac:dyDescent="0.25">
      <c r="A7911" s="184">
        <v>43768</v>
      </c>
      <c r="B7911" s="184">
        <v>43768</v>
      </c>
      <c r="C7911" s="138">
        <v>2019</v>
      </c>
      <c r="D7911" s="35" t="s">
        <v>28</v>
      </c>
      <c r="E7911" s="30" t="s">
        <v>133</v>
      </c>
      <c r="F7911" s="28" t="s">
        <v>210</v>
      </c>
      <c r="G7911" s="33" t="s">
        <v>921</v>
      </c>
      <c r="H7911" s="33" t="s">
        <v>10828</v>
      </c>
      <c r="I7911" s="304">
        <v>0</v>
      </c>
      <c r="J7911" s="305">
        <v>604</v>
      </c>
      <c r="K7911" s="142">
        <v>0</v>
      </c>
      <c r="L7911" s="142">
        <v>0</v>
      </c>
      <c r="M7911" s="142">
        <v>0</v>
      </c>
      <c r="N7911" s="142">
        <v>0</v>
      </c>
      <c r="O7911" s="142">
        <v>0</v>
      </c>
      <c r="P7911" s="306">
        <v>0.46668962352941179</v>
      </c>
      <c r="Q7911" s="157" t="s">
        <v>154</v>
      </c>
      <c r="R7911" s="303"/>
    </row>
    <row r="7912" spans="1:18" s="162" customFormat="1" ht="144" x14ac:dyDescent="0.25">
      <c r="A7912" s="184">
        <v>43768</v>
      </c>
      <c r="B7912" s="184">
        <v>43768</v>
      </c>
      <c r="C7912" s="43">
        <v>2019</v>
      </c>
      <c r="D7912" s="35" t="s">
        <v>28</v>
      </c>
      <c r="E7912" s="6" t="s">
        <v>149</v>
      </c>
      <c r="F7912" s="7" t="s">
        <v>87</v>
      </c>
      <c r="G7912" s="33" t="s">
        <v>936</v>
      </c>
      <c r="H7912" s="33" t="s">
        <v>10829</v>
      </c>
      <c r="I7912" s="304">
        <v>0</v>
      </c>
      <c r="J7912" s="305">
        <v>28</v>
      </c>
      <c r="K7912" s="142">
        <v>8</v>
      </c>
      <c r="L7912" s="142">
        <v>0</v>
      </c>
      <c r="M7912" s="142">
        <v>0</v>
      </c>
      <c r="N7912" s="142">
        <v>0</v>
      </c>
      <c r="O7912" s="142">
        <v>0</v>
      </c>
      <c r="P7912" s="306">
        <v>0.55517000000000005</v>
      </c>
      <c r="Q7912" s="157" t="s">
        <v>154</v>
      </c>
      <c r="R7912" s="303"/>
    </row>
    <row r="7913" spans="1:18" s="162" customFormat="1" ht="144" x14ac:dyDescent="0.25">
      <c r="A7913" s="184">
        <v>43769</v>
      </c>
      <c r="B7913" s="184">
        <v>43769</v>
      </c>
      <c r="C7913" s="138">
        <v>2019</v>
      </c>
      <c r="D7913" s="351" t="s">
        <v>23</v>
      </c>
      <c r="E7913" s="22" t="s">
        <v>86</v>
      </c>
      <c r="F7913" s="28" t="s">
        <v>210</v>
      </c>
      <c r="G7913" s="33" t="s">
        <v>210</v>
      </c>
      <c r="H7913" s="33" t="s">
        <v>10830</v>
      </c>
      <c r="I7913" s="304">
        <v>1</v>
      </c>
      <c r="J7913" s="305">
        <v>2</v>
      </c>
      <c r="K7913" s="142">
        <v>3</v>
      </c>
      <c r="L7913" s="142">
        <v>0</v>
      </c>
      <c r="M7913" s="142">
        <v>0</v>
      </c>
      <c r="N7913" s="142">
        <v>0</v>
      </c>
      <c r="O7913" s="142">
        <v>0</v>
      </c>
      <c r="P7913" s="306">
        <v>3.4650000000000002E-3</v>
      </c>
      <c r="Q7913" s="157" t="s">
        <v>154</v>
      </c>
      <c r="R7913" s="303"/>
    </row>
    <row r="7914" spans="1:18" s="162" customFormat="1" ht="84" x14ac:dyDescent="0.25">
      <c r="A7914" s="184">
        <v>43769</v>
      </c>
      <c r="B7914" s="184">
        <v>43769</v>
      </c>
      <c r="C7914" s="43">
        <v>2019</v>
      </c>
      <c r="D7914" s="35" t="s">
        <v>28</v>
      </c>
      <c r="E7914" s="30" t="s">
        <v>133</v>
      </c>
      <c r="F7914" s="28" t="s">
        <v>157</v>
      </c>
      <c r="G7914" s="33" t="s">
        <v>401</v>
      </c>
      <c r="H7914" s="33" t="s">
        <v>10831</v>
      </c>
      <c r="I7914" s="304">
        <v>0</v>
      </c>
      <c r="J7914" s="305">
        <v>15</v>
      </c>
      <c r="K7914" s="142">
        <v>0</v>
      </c>
      <c r="L7914" s="142">
        <v>0</v>
      </c>
      <c r="M7914" s="142">
        <v>0</v>
      </c>
      <c r="N7914" s="142">
        <v>0</v>
      </c>
      <c r="O7914" s="142">
        <v>0</v>
      </c>
      <c r="P7914" s="306">
        <v>7.9200000000000017E-3</v>
      </c>
      <c r="Q7914" s="157" t="s">
        <v>154</v>
      </c>
      <c r="R7914" s="303"/>
    </row>
    <row r="7915" spans="1:18" s="162" customFormat="1" ht="168" x14ac:dyDescent="0.25">
      <c r="A7915" s="184">
        <v>43770</v>
      </c>
      <c r="B7915" s="184">
        <v>43770</v>
      </c>
      <c r="C7915" s="138">
        <v>2019</v>
      </c>
      <c r="D7915" s="351" t="s">
        <v>23</v>
      </c>
      <c r="E7915" s="22" t="s">
        <v>86</v>
      </c>
      <c r="F7915" s="7" t="s">
        <v>62</v>
      </c>
      <c r="G7915" s="33" t="s">
        <v>9715</v>
      </c>
      <c r="H7915" s="33" t="s">
        <v>10832</v>
      </c>
      <c r="I7915" s="304">
        <v>0</v>
      </c>
      <c r="J7915" s="305">
        <v>20</v>
      </c>
      <c r="K7915" s="142">
        <v>3</v>
      </c>
      <c r="L7915" s="142">
        <v>0</v>
      </c>
      <c r="M7915" s="142">
        <v>1</v>
      </c>
      <c r="N7915" s="142">
        <v>0</v>
      </c>
      <c r="O7915" s="142">
        <v>0</v>
      </c>
      <c r="P7915" s="306">
        <v>8.3599999999999994E-3</v>
      </c>
      <c r="Q7915" s="157" t="s">
        <v>154</v>
      </c>
      <c r="R7915" s="303"/>
    </row>
    <row r="7916" spans="1:18" s="162" customFormat="1" ht="360" x14ac:dyDescent="0.25">
      <c r="A7916" s="184">
        <v>43771</v>
      </c>
      <c r="B7916" s="184">
        <v>43771</v>
      </c>
      <c r="C7916" s="43">
        <v>2019</v>
      </c>
      <c r="D7916" s="351" t="s">
        <v>23</v>
      </c>
      <c r="E7916" s="22" t="s">
        <v>86</v>
      </c>
      <c r="F7916" s="28" t="s">
        <v>210</v>
      </c>
      <c r="G7916" s="33" t="s">
        <v>10833</v>
      </c>
      <c r="H7916" s="33" t="s">
        <v>10834</v>
      </c>
      <c r="I7916" s="304">
        <v>3</v>
      </c>
      <c r="J7916" s="305">
        <v>18688</v>
      </c>
      <c r="K7916" s="142">
        <v>4374</v>
      </c>
      <c r="L7916" s="142">
        <v>20</v>
      </c>
      <c r="M7916" s="142">
        <v>0</v>
      </c>
      <c r="N7916" s="142">
        <v>0</v>
      </c>
      <c r="O7916" s="142">
        <v>0</v>
      </c>
      <c r="P7916" s="306">
        <v>12.861058400000003</v>
      </c>
      <c r="Q7916" s="157" t="s">
        <v>7883</v>
      </c>
      <c r="R7916" s="303"/>
    </row>
    <row r="7917" spans="1:18" s="162" customFormat="1" ht="24" x14ac:dyDescent="0.25">
      <c r="A7917" s="184">
        <v>43771</v>
      </c>
      <c r="B7917" s="184">
        <v>43774</v>
      </c>
      <c r="C7917" s="138">
        <v>2019</v>
      </c>
      <c r="D7917" s="351" t="s">
        <v>23</v>
      </c>
      <c r="E7917" s="22" t="s">
        <v>86</v>
      </c>
      <c r="F7917" s="28" t="s">
        <v>210</v>
      </c>
      <c r="G7917" s="33"/>
      <c r="H7917" s="44" t="s">
        <v>10835</v>
      </c>
      <c r="I7917" s="304">
        <v>0</v>
      </c>
      <c r="J7917" s="305">
        <v>0</v>
      </c>
      <c r="K7917" s="142">
        <v>0</v>
      </c>
      <c r="L7917" s="142">
        <v>0</v>
      </c>
      <c r="M7917" s="142">
        <v>0</v>
      </c>
      <c r="N7917" s="142">
        <v>0</v>
      </c>
      <c r="O7917" s="142">
        <v>0</v>
      </c>
      <c r="P7917" s="306">
        <v>0.76480000000000004</v>
      </c>
      <c r="Q7917" s="157" t="s">
        <v>186</v>
      </c>
      <c r="R7917" s="303"/>
    </row>
    <row r="7918" spans="1:18" s="162" customFormat="1" ht="252" x14ac:dyDescent="0.25">
      <c r="A7918" s="184">
        <v>43772</v>
      </c>
      <c r="B7918" s="184">
        <v>43773</v>
      </c>
      <c r="C7918" s="43">
        <v>2019</v>
      </c>
      <c r="D7918" s="351" t="s">
        <v>23</v>
      </c>
      <c r="E7918" s="22" t="s">
        <v>86</v>
      </c>
      <c r="F7918" s="25" t="s">
        <v>781</v>
      </c>
      <c r="G7918" s="33" t="s">
        <v>5514</v>
      </c>
      <c r="H7918" s="33" t="s">
        <v>10836</v>
      </c>
      <c r="I7918" s="304">
        <v>0</v>
      </c>
      <c r="J7918" s="305">
        <v>10905</v>
      </c>
      <c r="K7918" s="142">
        <v>2361</v>
      </c>
      <c r="L7918" s="142">
        <v>0</v>
      </c>
      <c r="M7918" s="142">
        <v>0</v>
      </c>
      <c r="N7918" s="142">
        <v>0</v>
      </c>
      <c r="O7918" s="142">
        <v>0</v>
      </c>
      <c r="P7918" s="306">
        <v>2.7269549999999998</v>
      </c>
      <c r="Q7918" s="157" t="s">
        <v>154</v>
      </c>
      <c r="R7918" s="303"/>
    </row>
    <row r="7919" spans="1:18" s="162" customFormat="1" ht="108" x14ac:dyDescent="0.25">
      <c r="A7919" s="184">
        <v>43774</v>
      </c>
      <c r="B7919" s="184">
        <v>43774</v>
      </c>
      <c r="C7919" s="138">
        <v>2019</v>
      </c>
      <c r="D7919" s="24" t="s">
        <v>141</v>
      </c>
      <c r="E7919" s="30" t="s">
        <v>142</v>
      </c>
      <c r="F7919" s="7" t="s">
        <v>87</v>
      </c>
      <c r="G7919" s="33" t="s">
        <v>2168</v>
      </c>
      <c r="H7919" s="33" t="s">
        <v>10837</v>
      </c>
      <c r="I7919" s="304">
        <v>0</v>
      </c>
      <c r="J7919" s="305">
        <v>6</v>
      </c>
      <c r="K7919" s="142">
        <v>0</v>
      </c>
      <c r="L7919" s="142">
        <v>0</v>
      </c>
      <c r="M7919" s="142">
        <v>0</v>
      </c>
      <c r="N7919" s="142">
        <v>0</v>
      </c>
      <c r="O7919" s="142">
        <v>0</v>
      </c>
      <c r="P7919" s="306">
        <v>2.3973169999999999E-2</v>
      </c>
      <c r="Q7919" s="157" t="s">
        <v>154</v>
      </c>
      <c r="R7919" s="303"/>
    </row>
    <row r="7920" spans="1:18" s="162" customFormat="1" ht="144" x14ac:dyDescent="0.25">
      <c r="A7920" s="184">
        <v>43774</v>
      </c>
      <c r="B7920" s="184">
        <v>43774</v>
      </c>
      <c r="C7920" s="43">
        <v>2019</v>
      </c>
      <c r="D7920" s="24" t="s">
        <v>141</v>
      </c>
      <c r="E7920" s="30" t="s">
        <v>142</v>
      </c>
      <c r="F7920" s="7" t="s">
        <v>75</v>
      </c>
      <c r="G7920" s="33" t="s">
        <v>10838</v>
      </c>
      <c r="H7920" s="33" t="s">
        <v>10839</v>
      </c>
      <c r="I7920" s="304">
        <v>0</v>
      </c>
      <c r="J7920" s="305">
        <v>8</v>
      </c>
      <c r="K7920" s="142">
        <v>0</v>
      </c>
      <c r="L7920" s="142">
        <v>0</v>
      </c>
      <c r="M7920" s="142">
        <v>0</v>
      </c>
      <c r="N7920" s="142">
        <v>0</v>
      </c>
      <c r="O7920" s="142">
        <v>0</v>
      </c>
      <c r="P7920" s="306">
        <v>0.49378780000000005</v>
      </c>
      <c r="Q7920" s="157" t="s">
        <v>154</v>
      </c>
      <c r="R7920" s="303"/>
    </row>
    <row r="7921" spans="1:18" s="162" customFormat="1" ht="144" x14ac:dyDescent="0.25">
      <c r="A7921" s="184">
        <v>43774</v>
      </c>
      <c r="B7921" s="184">
        <v>43775</v>
      </c>
      <c r="C7921" s="138">
        <v>2019</v>
      </c>
      <c r="D7921" s="24" t="s">
        <v>141</v>
      </c>
      <c r="E7921" s="30" t="s">
        <v>142</v>
      </c>
      <c r="F7921" s="7" t="s">
        <v>58</v>
      </c>
      <c r="G7921" s="33" t="s">
        <v>6775</v>
      </c>
      <c r="H7921" s="33" t="s">
        <v>10840</v>
      </c>
      <c r="I7921" s="304">
        <v>1</v>
      </c>
      <c r="J7921" s="305">
        <v>6</v>
      </c>
      <c r="K7921" s="142">
        <v>0</v>
      </c>
      <c r="L7921" s="142">
        <v>0</v>
      </c>
      <c r="M7921" s="142">
        <v>0</v>
      </c>
      <c r="N7921" s="142">
        <v>0</v>
      </c>
      <c r="O7921" s="142">
        <v>0</v>
      </c>
      <c r="P7921" s="306">
        <v>0.35694999999999999</v>
      </c>
      <c r="Q7921" s="157" t="s">
        <v>154</v>
      </c>
      <c r="R7921" s="303"/>
    </row>
    <row r="7922" spans="1:18" s="162" customFormat="1" ht="120" x14ac:dyDescent="0.25">
      <c r="A7922" s="184">
        <v>43775</v>
      </c>
      <c r="B7922" s="184">
        <v>43775</v>
      </c>
      <c r="C7922" s="43">
        <v>2019</v>
      </c>
      <c r="D7922" s="24" t="s">
        <v>141</v>
      </c>
      <c r="E7922" s="30" t="s">
        <v>142</v>
      </c>
      <c r="F7922" s="7" t="s">
        <v>56</v>
      </c>
      <c r="G7922" s="33" t="s">
        <v>56</v>
      </c>
      <c r="H7922" s="33" t="s">
        <v>10841</v>
      </c>
      <c r="I7922" s="304">
        <v>0</v>
      </c>
      <c r="J7922" s="305">
        <v>8</v>
      </c>
      <c r="K7922" s="142">
        <v>0</v>
      </c>
      <c r="L7922" s="142">
        <v>0</v>
      </c>
      <c r="M7922" s="142">
        <v>0</v>
      </c>
      <c r="N7922" s="142">
        <v>0</v>
      </c>
      <c r="O7922" s="142">
        <v>0</v>
      </c>
      <c r="P7922" s="306">
        <v>1.2282666</v>
      </c>
      <c r="Q7922" s="157" t="s">
        <v>154</v>
      </c>
      <c r="R7922" s="303"/>
    </row>
    <row r="7923" spans="1:18" s="162" customFormat="1" ht="96" x14ac:dyDescent="0.25">
      <c r="A7923" s="184">
        <v>43777</v>
      </c>
      <c r="B7923" s="184">
        <v>43777</v>
      </c>
      <c r="C7923" s="138">
        <v>2019</v>
      </c>
      <c r="D7923" s="24" t="s">
        <v>141</v>
      </c>
      <c r="E7923" s="30" t="s">
        <v>142</v>
      </c>
      <c r="F7923" s="7" t="s">
        <v>65</v>
      </c>
      <c r="G7923" s="33" t="s">
        <v>1868</v>
      </c>
      <c r="H7923" s="33" t="s">
        <v>10842</v>
      </c>
      <c r="I7923" s="304">
        <v>2</v>
      </c>
      <c r="J7923" s="305">
        <v>2</v>
      </c>
      <c r="K7923" s="142">
        <v>0</v>
      </c>
      <c r="L7923" s="142">
        <v>0</v>
      </c>
      <c r="M7923" s="142">
        <v>0</v>
      </c>
      <c r="N7923" s="142">
        <v>0</v>
      </c>
      <c r="O7923" s="142">
        <v>0</v>
      </c>
      <c r="P7923" s="306">
        <v>4.93897570761753</v>
      </c>
      <c r="Q7923" s="157" t="s">
        <v>154</v>
      </c>
      <c r="R7923" s="303"/>
    </row>
    <row r="7924" spans="1:18" s="162" customFormat="1" ht="84" x14ac:dyDescent="0.25">
      <c r="A7924" s="184">
        <v>43783</v>
      </c>
      <c r="B7924" s="184">
        <v>43783</v>
      </c>
      <c r="C7924" s="43">
        <v>2019</v>
      </c>
      <c r="D7924" s="24" t="s">
        <v>141</v>
      </c>
      <c r="E7924" s="49" t="s">
        <v>1600</v>
      </c>
      <c r="F7924" s="7" t="s">
        <v>60</v>
      </c>
      <c r="G7924" s="33" t="s">
        <v>908</v>
      </c>
      <c r="H7924" s="33" t="s">
        <v>10843</v>
      </c>
      <c r="I7924" s="304">
        <v>0</v>
      </c>
      <c r="J7924" s="305">
        <v>13</v>
      </c>
      <c r="K7924" s="142">
        <v>0</v>
      </c>
      <c r="L7924" s="142">
        <v>0</v>
      </c>
      <c r="M7924" s="142">
        <v>0</v>
      </c>
      <c r="N7924" s="142">
        <v>0</v>
      </c>
      <c r="O7924" s="142">
        <v>0</v>
      </c>
      <c r="P7924" s="306">
        <v>1.2870000000000001E-2</v>
      </c>
      <c r="Q7924" s="157" t="s">
        <v>154</v>
      </c>
      <c r="R7924" s="303"/>
    </row>
    <row r="7925" spans="1:18" s="162" customFormat="1" ht="168" x14ac:dyDescent="0.25">
      <c r="A7925" s="184">
        <v>43784</v>
      </c>
      <c r="B7925" s="184">
        <v>43784</v>
      </c>
      <c r="C7925" s="138">
        <v>2019</v>
      </c>
      <c r="D7925" s="35" t="s">
        <v>28</v>
      </c>
      <c r="E7925" s="6" t="s">
        <v>149</v>
      </c>
      <c r="F7925" s="28" t="s">
        <v>157</v>
      </c>
      <c r="G7925" s="33" t="s">
        <v>1062</v>
      </c>
      <c r="H7925" s="33" t="s">
        <v>10844</v>
      </c>
      <c r="I7925" s="304">
        <v>0</v>
      </c>
      <c r="J7925" s="305">
        <v>163</v>
      </c>
      <c r="K7925" s="142">
        <v>2</v>
      </c>
      <c r="L7925" s="142">
        <v>0</v>
      </c>
      <c r="M7925" s="142">
        <v>0</v>
      </c>
      <c r="N7925" s="142">
        <v>1</v>
      </c>
      <c r="O7925" s="142">
        <v>0</v>
      </c>
      <c r="P7925" s="306">
        <v>0.26400000000000001</v>
      </c>
      <c r="Q7925" s="157" t="s">
        <v>154</v>
      </c>
      <c r="R7925" s="303"/>
    </row>
    <row r="7926" spans="1:18" s="162" customFormat="1" ht="72" x14ac:dyDescent="0.25">
      <c r="A7926" s="184">
        <v>43783</v>
      </c>
      <c r="B7926" s="184">
        <v>43784</v>
      </c>
      <c r="C7926" s="43">
        <v>2019</v>
      </c>
      <c r="D7926" s="351" t="s">
        <v>23</v>
      </c>
      <c r="E7926" s="22" t="s">
        <v>86</v>
      </c>
      <c r="F7926" s="25" t="s">
        <v>781</v>
      </c>
      <c r="G7926" s="33" t="s">
        <v>1580</v>
      </c>
      <c r="H7926" s="33" t="s">
        <v>10845</v>
      </c>
      <c r="I7926" s="304">
        <v>0</v>
      </c>
      <c r="J7926" s="305">
        <v>15688</v>
      </c>
      <c r="K7926" s="142">
        <v>3922</v>
      </c>
      <c r="L7926" s="142">
        <v>0</v>
      </c>
      <c r="M7926" s="142">
        <v>0</v>
      </c>
      <c r="N7926" s="142">
        <v>0</v>
      </c>
      <c r="O7926" s="142">
        <v>0</v>
      </c>
      <c r="P7926" s="306">
        <v>36.257340618800001</v>
      </c>
      <c r="Q7926" s="157" t="s">
        <v>7883</v>
      </c>
      <c r="R7926" s="303"/>
    </row>
    <row r="7927" spans="1:18" s="162" customFormat="1" ht="108" x14ac:dyDescent="0.25">
      <c r="A7927" s="184">
        <v>43786</v>
      </c>
      <c r="B7927" s="184">
        <v>43786</v>
      </c>
      <c r="C7927" s="138">
        <v>2019</v>
      </c>
      <c r="D7927" s="24" t="s">
        <v>141</v>
      </c>
      <c r="E7927" s="30" t="s">
        <v>142</v>
      </c>
      <c r="F7927" s="7" t="s">
        <v>53</v>
      </c>
      <c r="G7927" s="33" t="s">
        <v>2975</v>
      </c>
      <c r="H7927" s="33" t="s">
        <v>10846</v>
      </c>
      <c r="I7927" s="304">
        <v>1</v>
      </c>
      <c r="J7927" s="305">
        <v>7</v>
      </c>
      <c r="K7927" s="142">
        <v>0</v>
      </c>
      <c r="L7927" s="142">
        <v>0</v>
      </c>
      <c r="M7927" s="142">
        <v>0</v>
      </c>
      <c r="N7927" s="142">
        <v>0</v>
      </c>
      <c r="O7927" s="142">
        <v>0</v>
      </c>
      <c r="P7927" s="306">
        <v>0.18231170000000002</v>
      </c>
      <c r="Q7927" s="157" t="s">
        <v>154</v>
      </c>
      <c r="R7927" s="303"/>
    </row>
    <row r="7928" spans="1:18" s="162" customFormat="1" ht="120" x14ac:dyDescent="0.25">
      <c r="A7928" s="184">
        <v>43786</v>
      </c>
      <c r="B7928" s="184">
        <v>43787</v>
      </c>
      <c r="C7928" s="43">
        <v>2019</v>
      </c>
      <c r="D7928" s="24" t="s">
        <v>141</v>
      </c>
      <c r="E7928" s="30" t="s">
        <v>142</v>
      </c>
      <c r="F7928" s="7" t="s">
        <v>49</v>
      </c>
      <c r="G7928" s="33" t="s">
        <v>49</v>
      </c>
      <c r="H7928" s="33" t="s">
        <v>10847</v>
      </c>
      <c r="I7928" s="304">
        <v>0</v>
      </c>
      <c r="J7928" s="305">
        <v>6</v>
      </c>
      <c r="K7928" s="142">
        <v>0</v>
      </c>
      <c r="L7928" s="142">
        <v>0</v>
      </c>
      <c r="M7928" s="142">
        <v>0</v>
      </c>
      <c r="N7928" s="142">
        <v>0</v>
      </c>
      <c r="O7928" s="142">
        <v>0</v>
      </c>
      <c r="P7928" s="306">
        <v>0.20387170000000002</v>
      </c>
      <c r="Q7928" s="157" t="s">
        <v>154</v>
      </c>
      <c r="R7928" s="303"/>
    </row>
    <row r="7929" spans="1:18" s="162" customFormat="1" ht="120" x14ac:dyDescent="0.25">
      <c r="A7929" s="184">
        <v>43787</v>
      </c>
      <c r="B7929" s="184">
        <v>43787</v>
      </c>
      <c r="C7929" s="138">
        <v>2019</v>
      </c>
      <c r="D7929" s="24" t="s">
        <v>141</v>
      </c>
      <c r="E7929" s="30" t="s">
        <v>142</v>
      </c>
      <c r="F7929" s="7" t="s">
        <v>60</v>
      </c>
      <c r="G7929" s="33" t="s">
        <v>2508</v>
      </c>
      <c r="H7929" s="33" t="s">
        <v>10848</v>
      </c>
      <c r="I7929" s="304">
        <v>0</v>
      </c>
      <c r="J7929" s="305">
        <v>15</v>
      </c>
      <c r="K7929" s="142">
        <v>0</v>
      </c>
      <c r="L7929" s="142">
        <v>0</v>
      </c>
      <c r="M7929" s="142">
        <v>0</v>
      </c>
      <c r="N7929" s="142">
        <v>0</v>
      </c>
      <c r="O7929" s="142">
        <v>0</v>
      </c>
      <c r="P7929" s="306">
        <v>0.36623169999999999</v>
      </c>
      <c r="Q7929" s="157" t="s">
        <v>154</v>
      </c>
      <c r="R7929" s="303"/>
    </row>
    <row r="7930" spans="1:18" s="162" customFormat="1" ht="132" x14ac:dyDescent="0.25">
      <c r="A7930" s="184">
        <v>43787</v>
      </c>
      <c r="B7930" s="184">
        <v>43787</v>
      </c>
      <c r="C7930" s="43">
        <v>2019</v>
      </c>
      <c r="D7930" s="24" t="s">
        <v>141</v>
      </c>
      <c r="E7930" s="30" t="s">
        <v>142</v>
      </c>
      <c r="F7930" s="7" t="s">
        <v>53</v>
      </c>
      <c r="G7930" s="33" t="s">
        <v>2776</v>
      </c>
      <c r="H7930" s="33" t="s">
        <v>10849</v>
      </c>
      <c r="I7930" s="304">
        <v>0</v>
      </c>
      <c r="J7930" s="305">
        <v>10</v>
      </c>
      <c r="K7930" s="142">
        <v>0</v>
      </c>
      <c r="L7930" s="142">
        <v>0</v>
      </c>
      <c r="M7930" s="142">
        <v>0</v>
      </c>
      <c r="N7930" s="142">
        <v>0</v>
      </c>
      <c r="O7930" s="142">
        <v>0</v>
      </c>
      <c r="P7930" s="306">
        <v>0.36623169999999999</v>
      </c>
      <c r="Q7930" s="157" t="s">
        <v>154</v>
      </c>
      <c r="R7930" s="303"/>
    </row>
    <row r="7931" spans="1:18" s="162" customFormat="1" ht="312" x14ac:dyDescent="0.25">
      <c r="A7931" s="184">
        <v>43787</v>
      </c>
      <c r="B7931" s="184">
        <v>43787</v>
      </c>
      <c r="C7931" s="138">
        <v>2019</v>
      </c>
      <c r="D7931" s="24" t="s">
        <v>141</v>
      </c>
      <c r="E7931" s="30" t="s">
        <v>142</v>
      </c>
      <c r="F7931" s="7" t="s">
        <v>53</v>
      </c>
      <c r="G7931" s="33" t="s">
        <v>5966</v>
      </c>
      <c r="H7931" s="33" t="s">
        <v>10850</v>
      </c>
      <c r="I7931" s="304">
        <v>13</v>
      </c>
      <c r="J7931" s="305">
        <v>42</v>
      </c>
      <c r="K7931" s="142">
        <v>0</v>
      </c>
      <c r="L7931" s="142">
        <v>0</v>
      </c>
      <c r="M7931" s="142">
        <v>0</v>
      </c>
      <c r="N7931" s="142">
        <v>0</v>
      </c>
      <c r="O7931" s="142">
        <v>0</v>
      </c>
      <c r="P7931" s="306">
        <v>2.2707069</v>
      </c>
      <c r="Q7931" s="157" t="s">
        <v>154</v>
      </c>
      <c r="R7931" s="303"/>
    </row>
    <row r="7932" spans="1:18" s="162" customFormat="1" ht="108" x14ac:dyDescent="0.25">
      <c r="A7932" s="184">
        <v>43788</v>
      </c>
      <c r="B7932" s="184">
        <v>43788</v>
      </c>
      <c r="C7932" s="43">
        <v>2019</v>
      </c>
      <c r="D7932" s="24" t="s">
        <v>141</v>
      </c>
      <c r="E7932" s="49" t="s">
        <v>1600</v>
      </c>
      <c r="F7932" s="7" t="s">
        <v>25</v>
      </c>
      <c r="G7932" s="33" t="s">
        <v>10851</v>
      </c>
      <c r="H7932" s="33" t="s">
        <v>10852</v>
      </c>
      <c r="I7932" s="304">
        <v>0</v>
      </c>
      <c r="J7932" s="305">
        <v>3</v>
      </c>
      <c r="K7932" s="142">
        <v>0</v>
      </c>
      <c r="L7932" s="142">
        <v>0</v>
      </c>
      <c r="M7932" s="142">
        <v>0</v>
      </c>
      <c r="N7932" s="142">
        <v>1</v>
      </c>
      <c r="O7932" s="142">
        <v>0</v>
      </c>
      <c r="P7932" s="306">
        <v>2.9700000000000004E-3</v>
      </c>
      <c r="Q7932" s="157" t="s">
        <v>154</v>
      </c>
      <c r="R7932" s="303"/>
    </row>
    <row r="7933" spans="1:18" s="162" customFormat="1" ht="156" x14ac:dyDescent="0.25">
      <c r="A7933" s="184">
        <v>43788</v>
      </c>
      <c r="B7933" s="184">
        <v>43788</v>
      </c>
      <c r="C7933" s="138">
        <v>2019</v>
      </c>
      <c r="D7933" s="24" t="s">
        <v>141</v>
      </c>
      <c r="E7933" s="30" t="s">
        <v>142</v>
      </c>
      <c r="F7933" s="28" t="s">
        <v>210</v>
      </c>
      <c r="G7933" s="33" t="s">
        <v>924</v>
      </c>
      <c r="H7933" s="33" t="s">
        <v>10853</v>
      </c>
      <c r="I7933" s="304">
        <v>0</v>
      </c>
      <c r="J7933" s="305">
        <v>9</v>
      </c>
      <c r="K7933" s="142">
        <v>0</v>
      </c>
      <c r="L7933" s="142">
        <v>0</v>
      </c>
      <c r="M7933" s="142">
        <v>0</v>
      </c>
      <c r="N7933" s="142">
        <v>0</v>
      </c>
      <c r="O7933" s="142">
        <v>0</v>
      </c>
      <c r="P7933" s="306">
        <v>0.71808000000000005</v>
      </c>
      <c r="Q7933" s="157" t="s">
        <v>154</v>
      </c>
      <c r="R7933" s="303"/>
    </row>
    <row r="7934" spans="1:18" s="162" customFormat="1" ht="156" x14ac:dyDescent="0.25">
      <c r="A7934" s="184">
        <v>43790</v>
      </c>
      <c r="B7934" s="184">
        <v>43790</v>
      </c>
      <c r="C7934" s="43">
        <v>2019</v>
      </c>
      <c r="D7934" s="35" t="s">
        <v>28</v>
      </c>
      <c r="E7934" s="30" t="s">
        <v>125</v>
      </c>
      <c r="F7934" s="7" t="s">
        <v>68</v>
      </c>
      <c r="G7934" s="33" t="s">
        <v>5096</v>
      </c>
      <c r="H7934" s="33" t="s">
        <v>10854</v>
      </c>
      <c r="I7934" s="304">
        <v>0</v>
      </c>
      <c r="J7934" s="305">
        <v>1837</v>
      </c>
      <c r="K7934" s="142">
        <v>0</v>
      </c>
      <c r="L7934" s="142">
        <v>0</v>
      </c>
      <c r="M7934" s="142">
        <v>0</v>
      </c>
      <c r="N7934" s="142">
        <v>0</v>
      </c>
      <c r="O7934" s="142">
        <v>0</v>
      </c>
      <c r="P7934" s="306">
        <v>3.9600000000000008E-3</v>
      </c>
      <c r="Q7934" s="157" t="s">
        <v>154</v>
      </c>
      <c r="R7934" s="303"/>
    </row>
    <row r="7935" spans="1:18" s="162" customFormat="1" ht="180" x14ac:dyDescent="0.25">
      <c r="A7935" s="184">
        <v>43790</v>
      </c>
      <c r="B7935" s="184">
        <v>43791</v>
      </c>
      <c r="C7935" s="138">
        <v>2019</v>
      </c>
      <c r="D7935" s="24" t="s">
        <v>141</v>
      </c>
      <c r="E7935" s="30" t="s">
        <v>142</v>
      </c>
      <c r="F7935" s="7" t="s">
        <v>36</v>
      </c>
      <c r="G7935" s="33" t="s">
        <v>1830</v>
      </c>
      <c r="H7935" s="33" t="s">
        <v>10855</v>
      </c>
      <c r="I7935" s="304">
        <v>4</v>
      </c>
      <c r="J7935" s="305">
        <v>39</v>
      </c>
      <c r="K7935" s="142">
        <v>0</v>
      </c>
      <c r="L7935" s="142">
        <v>0</v>
      </c>
      <c r="M7935" s="142">
        <v>0</v>
      </c>
      <c r="N7935" s="142">
        <v>0</v>
      </c>
      <c r="O7935" s="142">
        <v>0</v>
      </c>
      <c r="P7935" s="306">
        <v>1.0474144999999999</v>
      </c>
      <c r="Q7935" s="157" t="s">
        <v>154</v>
      </c>
      <c r="R7935" s="303"/>
    </row>
    <row r="7936" spans="1:18" s="162" customFormat="1" ht="120" x14ac:dyDescent="0.25">
      <c r="A7936" s="184">
        <v>43791</v>
      </c>
      <c r="B7936" s="184">
        <v>43791</v>
      </c>
      <c r="C7936" s="43">
        <v>2019</v>
      </c>
      <c r="D7936" s="24" t="s">
        <v>141</v>
      </c>
      <c r="E7936" s="30" t="s">
        <v>142</v>
      </c>
      <c r="F7936" s="7" t="s">
        <v>75</v>
      </c>
      <c r="G7936" s="33" t="s">
        <v>1119</v>
      </c>
      <c r="H7936" s="33" t="s">
        <v>10856</v>
      </c>
      <c r="I7936" s="304">
        <v>1</v>
      </c>
      <c r="J7936" s="305">
        <v>12</v>
      </c>
      <c r="K7936" s="142">
        <v>0</v>
      </c>
      <c r="L7936" s="142">
        <v>0</v>
      </c>
      <c r="M7936" s="142">
        <v>0</v>
      </c>
      <c r="N7936" s="142">
        <v>0</v>
      </c>
      <c r="O7936" s="142">
        <v>0</v>
      </c>
      <c r="P7936" s="306">
        <v>0.31681604000000002</v>
      </c>
      <c r="Q7936" s="157" t="s">
        <v>154</v>
      </c>
      <c r="R7936" s="303"/>
    </row>
    <row r="7937" spans="1:18" s="162" customFormat="1" ht="96" x14ac:dyDescent="0.25">
      <c r="A7937" s="184">
        <v>43793</v>
      </c>
      <c r="B7937" s="184">
        <v>43793</v>
      </c>
      <c r="C7937" s="138">
        <v>2019</v>
      </c>
      <c r="D7937" s="24" t="s">
        <v>141</v>
      </c>
      <c r="E7937" s="30" t="s">
        <v>142</v>
      </c>
      <c r="F7937" s="7" t="s">
        <v>80</v>
      </c>
      <c r="G7937" s="33" t="s">
        <v>10857</v>
      </c>
      <c r="H7937" s="33" t="s">
        <v>10858</v>
      </c>
      <c r="I7937" s="304">
        <v>1</v>
      </c>
      <c r="J7937" s="305">
        <v>8</v>
      </c>
      <c r="K7937" s="142">
        <v>0</v>
      </c>
      <c r="L7937" s="142">
        <v>0</v>
      </c>
      <c r="M7937" s="142">
        <v>0</v>
      </c>
      <c r="N7937" s="142">
        <v>0</v>
      </c>
      <c r="O7937" s="142">
        <v>0</v>
      </c>
      <c r="P7937" s="306">
        <v>0.42299060000000005</v>
      </c>
      <c r="Q7937" s="157" t="s">
        <v>154</v>
      </c>
      <c r="R7937" s="303"/>
    </row>
    <row r="7938" spans="1:18" s="162" customFormat="1" ht="108" x14ac:dyDescent="0.25">
      <c r="A7938" s="184">
        <v>43793</v>
      </c>
      <c r="B7938" s="184">
        <v>43793</v>
      </c>
      <c r="C7938" s="43">
        <v>2019</v>
      </c>
      <c r="D7938" s="24" t="s">
        <v>141</v>
      </c>
      <c r="E7938" s="30" t="s">
        <v>142</v>
      </c>
      <c r="F7938" s="7" t="s">
        <v>47</v>
      </c>
      <c r="G7938" s="33" t="s">
        <v>47</v>
      </c>
      <c r="H7938" s="33" t="s">
        <v>10859</v>
      </c>
      <c r="I7938" s="304">
        <v>1</v>
      </c>
      <c r="J7938" s="305">
        <v>16</v>
      </c>
      <c r="K7938" s="142">
        <v>0</v>
      </c>
      <c r="L7938" s="142">
        <v>0</v>
      </c>
      <c r="M7938" s="142">
        <v>0</v>
      </c>
      <c r="N7938" s="142">
        <v>0</v>
      </c>
      <c r="O7938" s="142">
        <v>0</v>
      </c>
      <c r="P7938" s="306">
        <v>0.85696050000000001</v>
      </c>
      <c r="Q7938" s="157" t="s">
        <v>154</v>
      </c>
      <c r="R7938" s="303"/>
    </row>
    <row r="7939" spans="1:18" s="162" customFormat="1" ht="252" x14ac:dyDescent="0.25">
      <c r="A7939" s="184">
        <v>43793</v>
      </c>
      <c r="B7939" s="184">
        <v>43794</v>
      </c>
      <c r="C7939" s="138">
        <v>2019</v>
      </c>
      <c r="D7939" s="24" t="s">
        <v>141</v>
      </c>
      <c r="E7939" s="30" t="s">
        <v>142</v>
      </c>
      <c r="F7939" s="28" t="s">
        <v>163</v>
      </c>
      <c r="G7939" s="33" t="s">
        <v>10860</v>
      </c>
      <c r="H7939" s="33" t="s">
        <v>10861</v>
      </c>
      <c r="I7939" s="304">
        <v>2</v>
      </c>
      <c r="J7939" s="305">
        <v>3</v>
      </c>
      <c r="K7939" s="142">
        <v>0</v>
      </c>
      <c r="L7939" s="142">
        <v>0</v>
      </c>
      <c r="M7939" s="142">
        <v>0</v>
      </c>
      <c r="N7939" s="142">
        <v>0</v>
      </c>
      <c r="O7939" s="142">
        <v>0</v>
      </c>
      <c r="P7939" s="306">
        <v>1.8055400000000003E-2</v>
      </c>
      <c r="Q7939" s="157" t="s">
        <v>154</v>
      </c>
      <c r="R7939" s="303"/>
    </row>
    <row r="7940" spans="1:18" s="162" customFormat="1" ht="108" x14ac:dyDescent="0.25">
      <c r="A7940" s="184">
        <v>43796</v>
      </c>
      <c r="B7940" s="184">
        <v>43796</v>
      </c>
      <c r="C7940" s="43">
        <v>2019</v>
      </c>
      <c r="D7940" s="35" t="s">
        <v>28</v>
      </c>
      <c r="E7940" s="6" t="s">
        <v>149</v>
      </c>
      <c r="F7940" s="28" t="s">
        <v>157</v>
      </c>
      <c r="G7940" s="33" t="s">
        <v>526</v>
      </c>
      <c r="H7940" s="33" t="s">
        <v>10862</v>
      </c>
      <c r="I7940" s="304">
        <v>0</v>
      </c>
      <c r="J7940" s="305">
        <v>32</v>
      </c>
      <c r="K7940" s="142">
        <v>1</v>
      </c>
      <c r="L7940" s="142">
        <v>0</v>
      </c>
      <c r="M7940" s="142">
        <v>0</v>
      </c>
      <c r="N7940" s="142">
        <v>0</v>
      </c>
      <c r="O7940" s="142">
        <v>0</v>
      </c>
      <c r="P7940" s="306">
        <v>0.13299</v>
      </c>
      <c r="Q7940" s="157" t="s">
        <v>154</v>
      </c>
      <c r="R7940" s="303"/>
    </row>
    <row r="7941" spans="1:18" s="162" customFormat="1" ht="120" x14ac:dyDescent="0.25">
      <c r="A7941" s="184">
        <v>43796</v>
      </c>
      <c r="B7941" s="184">
        <v>43796</v>
      </c>
      <c r="C7941" s="138">
        <v>2019</v>
      </c>
      <c r="D7941" s="24" t="s">
        <v>141</v>
      </c>
      <c r="E7941" s="30" t="s">
        <v>142</v>
      </c>
      <c r="F7941" s="28" t="s">
        <v>210</v>
      </c>
      <c r="G7941" s="33" t="s">
        <v>10863</v>
      </c>
      <c r="H7941" s="33" t="s">
        <v>10864</v>
      </c>
      <c r="I7941" s="304">
        <v>0</v>
      </c>
      <c r="J7941" s="305">
        <v>10</v>
      </c>
      <c r="K7941" s="142">
        <v>0</v>
      </c>
      <c r="L7941" s="142">
        <v>0</v>
      </c>
      <c r="M7941" s="142">
        <v>0</v>
      </c>
      <c r="N7941" s="142">
        <v>0</v>
      </c>
      <c r="O7941" s="142">
        <v>0</v>
      </c>
      <c r="P7941" s="306">
        <v>0.43331199999999997</v>
      </c>
      <c r="Q7941" s="157" t="s">
        <v>154</v>
      </c>
      <c r="R7941" s="303"/>
    </row>
    <row r="7942" spans="1:18" s="162" customFormat="1" ht="409.5" x14ac:dyDescent="0.25">
      <c r="A7942" s="184">
        <v>43797</v>
      </c>
      <c r="B7942" s="184">
        <v>43797</v>
      </c>
      <c r="C7942" s="43">
        <v>2019</v>
      </c>
      <c r="D7942" s="351" t="s">
        <v>23</v>
      </c>
      <c r="E7942" s="22" t="s">
        <v>86</v>
      </c>
      <c r="F7942" s="7" t="s">
        <v>49</v>
      </c>
      <c r="G7942" s="33" t="s">
        <v>10865</v>
      </c>
      <c r="H7942" s="33" t="s">
        <v>10866</v>
      </c>
      <c r="I7942" s="304">
        <v>0</v>
      </c>
      <c r="J7942" s="305">
        <v>1941</v>
      </c>
      <c r="K7942" s="142">
        <v>223</v>
      </c>
      <c r="L7942" s="142">
        <v>0</v>
      </c>
      <c r="M7942" s="142">
        <v>0</v>
      </c>
      <c r="N7942" s="142">
        <v>0</v>
      </c>
      <c r="O7942" s="142">
        <v>0</v>
      </c>
      <c r="P7942" s="306">
        <v>393.19275185280003</v>
      </c>
      <c r="Q7942" s="157" t="s">
        <v>7883</v>
      </c>
      <c r="R7942" s="303"/>
    </row>
    <row r="7943" spans="1:18" s="162" customFormat="1" ht="132" x14ac:dyDescent="0.25">
      <c r="A7943" s="184">
        <v>43796</v>
      </c>
      <c r="B7943" s="184">
        <v>43797</v>
      </c>
      <c r="C7943" s="138">
        <v>2019</v>
      </c>
      <c r="D7943" s="351" t="s">
        <v>23</v>
      </c>
      <c r="E7943" s="22" t="s">
        <v>86</v>
      </c>
      <c r="F7943" s="7" t="s">
        <v>40</v>
      </c>
      <c r="G7943" s="33" t="s">
        <v>10867</v>
      </c>
      <c r="H7943" s="33" t="s">
        <v>10868</v>
      </c>
      <c r="I7943" s="304">
        <v>0</v>
      </c>
      <c r="J7943" s="305">
        <v>7</v>
      </c>
      <c r="K7943" s="142">
        <v>0</v>
      </c>
      <c r="L7943" s="142">
        <v>0</v>
      </c>
      <c r="M7943" s="142">
        <v>0</v>
      </c>
      <c r="N7943" s="142">
        <v>0</v>
      </c>
      <c r="O7943" s="142">
        <v>0</v>
      </c>
      <c r="P7943" s="306">
        <v>162.06441247999999</v>
      </c>
      <c r="Q7943" s="157" t="s">
        <v>7883</v>
      </c>
      <c r="R7943" s="303"/>
    </row>
    <row r="7944" spans="1:18" s="162" customFormat="1" ht="60" x14ac:dyDescent="0.25">
      <c r="A7944" s="17">
        <v>43796</v>
      </c>
      <c r="B7944" s="17">
        <v>43798</v>
      </c>
      <c r="C7944" s="43">
        <v>2019</v>
      </c>
      <c r="D7944" s="351" t="s">
        <v>23</v>
      </c>
      <c r="E7944" s="14" t="s">
        <v>24</v>
      </c>
      <c r="F7944" s="7" t="s">
        <v>87</v>
      </c>
      <c r="G7944" s="146" t="s">
        <v>10869</v>
      </c>
      <c r="H7944" s="307" t="s">
        <v>10870</v>
      </c>
      <c r="I7944" s="304">
        <v>0</v>
      </c>
      <c r="J7944" s="305">
        <v>0</v>
      </c>
      <c r="K7944" s="142">
        <v>0</v>
      </c>
      <c r="L7944" s="142">
        <v>0</v>
      </c>
      <c r="M7944" s="142">
        <v>0</v>
      </c>
      <c r="N7944" s="142">
        <v>0</v>
      </c>
      <c r="O7944" s="46">
        <v>3958</v>
      </c>
      <c r="P7944" s="306">
        <v>482.49742089999995</v>
      </c>
      <c r="Q7944" s="99" t="s">
        <v>4663</v>
      </c>
      <c r="R7944" s="303"/>
    </row>
    <row r="7945" spans="1:18" s="162" customFormat="1" ht="24" x14ac:dyDescent="0.25">
      <c r="A7945" s="21">
        <v>43796</v>
      </c>
      <c r="B7945" s="184"/>
      <c r="C7945" s="138">
        <v>2019</v>
      </c>
      <c r="D7945" s="351" t="s">
        <v>23</v>
      </c>
      <c r="E7945" s="22" t="s">
        <v>86</v>
      </c>
      <c r="F7945" s="7" t="s">
        <v>33</v>
      </c>
      <c r="G7945" s="33"/>
      <c r="H7945" s="44" t="s">
        <v>10871</v>
      </c>
      <c r="I7945" s="157">
        <v>0</v>
      </c>
      <c r="J7945" s="308">
        <v>0</v>
      </c>
      <c r="K7945" s="142">
        <v>0</v>
      </c>
      <c r="L7945" s="142">
        <v>0</v>
      </c>
      <c r="M7945" s="142">
        <v>0</v>
      </c>
      <c r="N7945" s="142">
        <v>0</v>
      </c>
      <c r="O7945" s="142">
        <v>0</v>
      </c>
      <c r="P7945" s="306">
        <v>13.098771390399998</v>
      </c>
      <c r="Q7945" s="157" t="s">
        <v>186</v>
      </c>
      <c r="R7945" s="303"/>
    </row>
    <row r="7946" spans="1:18" s="162" customFormat="1" ht="72" x14ac:dyDescent="0.25">
      <c r="A7946" s="184">
        <v>43797</v>
      </c>
      <c r="B7946" s="184">
        <v>43797</v>
      </c>
      <c r="C7946" s="43">
        <v>2019</v>
      </c>
      <c r="D7946" s="351" t="s">
        <v>23</v>
      </c>
      <c r="E7946" s="22" t="s">
        <v>86</v>
      </c>
      <c r="F7946" s="7" t="s">
        <v>84</v>
      </c>
      <c r="G7946" s="33" t="s">
        <v>1453</v>
      </c>
      <c r="H7946" s="33" t="s">
        <v>10872</v>
      </c>
      <c r="I7946" s="304">
        <v>0</v>
      </c>
      <c r="J7946" s="305">
        <v>600</v>
      </c>
      <c r="K7946" s="142">
        <v>150</v>
      </c>
      <c r="L7946" s="142">
        <v>0</v>
      </c>
      <c r="M7946" s="142">
        <v>0</v>
      </c>
      <c r="N7946" s="142">
        <v>0</v>
      </c>
      <c r="O7946" s="142">
        <v>0</v>
      </c>
      <c r="P7946" s="306">
        <v>1.7982083999999992</v>
      </c>
      <c r="Q7946" s="157" t="s">
        <v>7883</v>
      </c>
      <c r="R7946" s="303"/>
    </row>
    <row r="7947" spans="1:18" s="162" customFormat="1" ht="60" x14ac:dyDescent="0.25">
      <c r="A7947" s="184">
        <v>43798</v>
      </c>
      <c r="B7947" s="184">
        <v>43798</v>
      </c>
      <c r="C7947" s="138">
        <v>2019</v>
      </c>
      <c r="D7947" s="35" t="s">
        <v>28</v>
      </c>
      <c r="E7947" s="30" t="s">
        <v>133</v>
      </c>
      <c r="F7947" s="7" t="s">
        <v>53</v>
      </c>
      <c r="G7947" s="33" t="s">
        <v>451</v>
      </c>
      <c r="H7947" s="33" t="s">
        <v>10873</v>
      </c>
      <c r="I7947" s="304">
        <v>3</v>
      </c>
      <c r="J7947" s="305">
        <v>3</v>
      </c>
      <c r="K7947" s="142">
        <v>0</v>
      </c>
      <c r="L7947" s="142">
        <v>0</v>
      </c>
      <c r="M7947" s="142">
        <v>0</v>
      </c>
      <c r="N7947" s="142">
        <v>0</v>
      </c>
      <c r="O7947" s="142">
        <v>0</v>
      </c>
      <c r="P7947" s="306">
        <v>0</v>
      </c>
      <c r="Q7947" s="157" t="s">
        <v>154</v>
      </c>
      <c r="R7947" s="303"/>
    </row>
    <row r="7948" spans="1:18" s="162" customFormat="1" ht="96" x14ac:dyDescent="0.25">
      <c r="A7948" s="184">
        <v>43799</v>
      </c>
      <c r="B7948" s="184">
        <v>43799</v>
      </c>
      <c r="C7948" s="43">
        <v>2019</v>
      </c>
      <c r="D7948" s="24" t="s">
        <v>141</v>
      </c>
      <c r="E7948" s="30" t="s">
        <v>142</v>
      </c>
      <c r="F7948" s="7" t="s">
        <v>58</v>
      </c>
      <c r="G7948" s="33" t="s">
        <v>5572</v>
      </c>
      <c r="H7948" s="33" t="s">
        <v>10874</v>
      </c>
      <c r="I7948" s="304">
        <v>0</v>
      </c>
      <c r="J7948" s="305">
        <v>8</v>
      </c>
      <c r="K7948" s="142">
        <v>0</v>
      </c>
      <c r="L7948" s="142">
        <v>0</v>
      </c>
      <c r="M7948" s="142">
        <v>0</v>
      </c>
      <c r="N7948" s="142">
        <v>0</v>
      </c>
      <c r="O7948" s="142">
        <v>0</v>
      </c>
      <c r="P7948" s="306">
        <v>0.2596637</v>
      </c>
      <c r="Q7948" s="157" t="s">
        <v>154</v>
      </c>
      <c r="R7948" s="303"/>
    </row>
    <row r="7949" spans="1:18" s="162" customFormat="1" ht="156" x14ac:dyDescent="0.25">
      <c r="A7949" s="184">
        <v>43799</v>
      </c>
      <c r="B7949" s="184">
        <v>43799</v>
      </c>
      <c r="C7949" s="138">
        <v>2019</v>
      </c>
      <c r="D7949" s="24" t="s">
        <v>141</v>
      </c>
      <c r="E7949" s="30" t="s">
        <v>142</v>
      </c>
      <c r="F7949" s="7" t="s">
        <v>97</v>
      </c>
      <c r="G7949" s="33" t="s">
        <v>9824</v>
      </c>
      <c r="H7949" s="33" t="s">
        <v>10875</v>
      </c>
      <c r="I7949" s="304">
        <v>5</v>
      </c>
      <c r="J7949" s="305">
        <v>15</v>
      </c>
      <c r="K7949" s="142">
        <v>0</v>
      </c>
      <c r="L7949" s="142">
        <v>0</v>
      </c>
      <c r="M7949" s="142">
        <v>0</v>
      </c>
      <c r="N7949" s="142">
        <v>0</v>
      </c>
      <c r="O7949" s="142">
        <v>0</v>
      </c>
      <c r="P7949" s="306">
        <v>1.1962820000000001</v>
      </c>
      <c r="Q7949" s="157" t="s">
        <v>154</v>
      </c>
      <c r="R7949" s="303"/>
    </row>
    <row r="7950" spans="1:18" s="162" customFormat="1" ht="96" x14ac:dyDescent="0.25">
      <c r="A7950" s="184">
        <v>43801</v>
      </c>
      <c r="B7950" s="184">
        <v>43801</v>
      </c>
      <c r="C7950" s="43">
        <v>2019</v>
      </c>
      <c r="D7950" s="24" t="s">
        <v>141</v>
      </c>
      <c r="E7950" s="30" t="s">
        <v>142</v>
      </c>
      <c r="F7950" s="7" t="s">
        <v>62</v>
      </c>
      <c r="G7950" s="33" t="s">
        <v>10876</v>
      </c>
      <c r="H7950" s="33" t="s">
        <v>10877</v>
      </c>
      <c r="I7950" s="304">
        <v>2</v>
      </c>
      <c r="J7950" s="305">
        <v>17</v>
      </c>
      <c r="K7950" s="142">
        <v>0</v>
      </c>
      <c r="L7950" s="142">
        <v>0</v>
      </c>
      <c r="M7950" s="142">
        <v>0</v>
      </c>
      <c r="N7950" s="142">
        <v>0</v>
      </c>
      <c r="O7950" s="142">
        <v>0</v>
      </c>
      <c r="P7950" s="306">
        <v>1.8460533837209303</v>
      </c>
      <c r="Q7950" s="157" t="s">
        <v>154</v>
      </c>
      <c r="R7950" s="303"/>
    </row>
    <row r="7951" spans="1:18" s="162" customFormat="1" ht="288" x14ac:dyDescent="0.25">
      <c r="A7951" s="184">
        <v>43801</v>
      </c>
      <c r="B7951" s="184">
        <v>43801</v>
      </c>
      <c r="C7951" s="138">
        <v>2019</v>
      </c>
      <c r="D7951" s="35" t="s">
        <v>28</v>
      </c>
      <c r="E7951" s="30" t="s">
        <v>125</v>
      </c>
      <c r="F7951" s="28" t="s">
        <v>160</v>
      </c>
      <c r="G7951" s="33" t="s">
        <v>10878</v>
      </c>
      <c r="H7951" s="33" t="s">
        <v>10879</v>
      </c>
      <c r="I7951" s="304">
        <v>0</v>
      </c>
      <c r="J7951" s="305">
        <v>67</v>
      </c>
      <c r="K7951" s="142">
        <v>0</v>
      </c>
      <c r="L7951" s="142">
        <v>0</v>
      </c>
      <c r="M7951" s="142">
        <v>0</v>
      </c>
      <c r="N7951" s="142">
        <v>0</v>
      </c>
      <c r="O7951" s="142">
        <v>0</v>
      </c>
      <c r="P7951" s="306">
        <v>0</v>
      </c>
      <c r="Q7951" s="157" t="s">
        <v>154</v>
      </c>
      <c r="R7951" s="303"/>
    </row>
    <row r="7952" spans="1:18" s="162" customFormat="1" ht="408" x14ac:dyDescent="0.25">
      <c r="A7952" s="184">
        <v>43797</v>
      </c>
      <c r="B7952" s="184">
        <v>43802</v>
      </c>
      <c r="C7952" s="43">
        <v>2019</v>
      </c>
      <c r="D7952" s="351" t="s">
        <v>23</v>
      </c>
      <c r="E7952" s="22" t="s">
        <v>86</v>
      </c>
      <c r="F7952" s="7" t="s">
        <v>87</v>
      </c>
      <c r="G7952" s="33" t="s">
        <v>10880</v>
      </c>
      <c r="H7952" s="33" t="s">
        <v>10881</v>
      </c>
      <c r="I7952" s="304">
        <v>1</v>
      </c>
      <c r="J7952" s="305">
        <v>7725</v>
      </c>
      <c r="K7952" s="142">
        <v>0</v>
      </c>
      <c r="L7952" s="142">
        <v>146</v>
      </c>
      <c r="M7952" s="142">
        <v>0</v>
      </c>
      <c r="N7952" s="142">
        <v>0</v>
      </c>
      <c r="O7952" s="142">
        <v>0</v>
      </c>
      <c r="P7952" s="306">
        <v>393.08512660700001</v>
      </c>
      <c r="Q7952" s="157" t="s">
        <v>7883</v>
      </c>
      <c r="R7952" s="303"/>
    </row>
    <row r="7953" spans="1:18" s="162" customFormat="1" ht="276" x14ac:dyDescent="0.25">
      <c r="A7953" s="184">
        <v>43802</v>
      </c>
      <c r="B7953" s="184">
        <v>43803</v>
      </c>
      <c r="C7953" s="138">
        <v>2019</v>
      </c>
      <c r="D7953" s="35" t="s">
        <v>28</v>
      </c>
      <c r="E7953" s="30" t="s">
        <v>125</v>
      </c>
      <c r="F7953" s="7" t="s">
        <v>75</v>
      </c>
      <c r="G7953" s="33" t="s">
        <v>75</v>
      </c>
      <c r="H7953" s="33" t="s">
        <v>10882</v>
      </c>
      <c r="I7953" s="304">
        <v>1</v>
      </c>
      <c r="J7953" s="305">
        <v>81</v>
      </c>
      <c r="K7953" s="142">
        <v>0</v>
      </c>
      <c r="L7953" s="142">
        <v>0</v>
      </c>
      <c r="M7953" s="142">
        <v>0</v>
      </c>
      <c r="N7953" s="142">
        <v>0</v>
      </c>
      <c r="O7953" s="142">
        <v>0</v>
      </c>
      <c r="P7953" s="306">
        <v>0</v>
      </c>
      <c r="Q7953" s="157" t="s">
        <v>154</v>
      </c>
      <c r="R7953" s="303"/>
    </row>
    <row r="7954" spans="1:18" s="162" customFormat="1" ht="156" x14ac:dyDescent="0.25">
      <c r="A7954" s="184">
        <v>43804</v>
      </c>
      <c r="B7954" s="184">
        <v>43804</v>
      </c>
      <c r="C7954" s="43">
        <v>2019</v>
      </c>
      <c r="D7954" s="35" t="s">
        <v>28</v>
      </c>
      <c r="E7954" s="30" t="s">
        <v>133</v>
      </c>
      <c r="F7954" s="28" t="s">
        <v>157</v>
      </c>
      <c r="G7954" s="33" t="s">
        <v>1062</v>
      </c>
      <c r="H7954" s="33" t="s">
        <v>10883</v>
      </c>
      <c r="I7954" s="304">
        <v>0</v>
      </c>
      <c r="J7954" s="305">
        <v>10</v>
      </c>
      <c r="K7954" s="142">
        <v>0</v>
      </c>
      <c r="L7954" s="142">
        <v>0</v>
      </c>
      <c r="M7954" s="142">
        <v>0</v>
      </c>
      <c r="N7954" s="142">
        <v>0</v>
      </c>
      <c r="O7954" s="142">
        <v>0</v>
      </c>
      <c r="P7954" s="306">
        <v>3.9600000000000008E-3</v>
      </c>
      <c r="Q7954" s="157" t="s">
        <v>154</v>
      </c>
      <c r="R7954" s="303"/>
    </row>
    <row r="7955" spans="1:18" s="162" customFormat="1" ht="96" x14ac:dyDescent="0.25">
      <c r="A7955" s="184">
        <v>43804</v>
      </c>
      <c r="B7955" s="184">
        <v>43804</v>
      </c>
      <c r="C7955" s="138">
        <v>2019</v>
      </c>
      <c r="D7955" s="24" t="s">
        <v>141</v>
      </c>
      <c r="E7955" s="30" t="s">
        <v>142</v>
      </c>
      <c r="F7955" s="7" t="s">
        <v>40</v>
      </c>
      <c r="G7955" s="33" t="s">
        <v>10884</v>
      </c>
      <c r="H7955" s="33" t="s">
        <v>10885</v>
      </c>
      <c r="I7955" s="304">
        <v>10</v>
      </c>
      <c r="J7955" s="305">
        <v>41</v>
      </c>
      <c r="K7955" s="142">
        <v>0</v>
      </c>
      <c r="L7955" s="142">
        <v>0</v>
      </c>
      <c r="M7955" s="142">
        <v>0</v>
      </c>
      <c r="N7955" s="142">
        <v>0</v>
      </c>
      <c r="O7955" s="142">
        <v>0</v>
      </c>
      <c r="P7955" s="306">
        <v>0.74480999999999997</v>
      </c>
      <c r="Q7955" s="157" t="s">
        <v>154</v>
      </c>
      <c r="R7955" s="303"/>
    </row>
    <row r="7956" spans="1:18" s="162" customFormat="1" ht="96" x14ac:dyDescent="0.25">
      <c r="A7956" s="184">
        <v>43804</v>
      </c>
      <c r="B7956" s="184">
        <v>43804</v>
      </c>
      <c r="C7956" s="43">
        <v>2019</v>
      </c>
      <c r="D7956" s="24" t="s">
        <v>141</v>
      </c>
      <c r="E7956" s="30" t="s">
        <v>142</v>
      </c>
      <c r="F7956" s="7" t="s">
        <v>60</v>
      </c>
      <c r="G7956" s="33" t="s">
        <v>1605</v>
      </c>
      <c r="H7956" s="33" t="s">
        <v>10886</v>
      </c>
      <c r="I7956" s="304">
        <v>4</v>
      </c>
      <c r="J7956" s="305">
        <v>28</v>
      </c>
      <c r="K7956" s="142">
        <v>0</v>
      </c>
      <c r="L7956" s="142">
        <v>0</v>
      </c>
      <c r="M7956" s="142">
        <v>0</v>
      </c>
      <c r="N7956" s="142">
        <v>0</v>
      </c>
      <c r="O7956" s="142">
        <v>0</v>
      </c>
      <c r="P7956" s="306">
        <v>0.73787999999999998</v>
      </c>
      <c r="Q7956" s="157" t="s">
        <v>154</v>
      </c>
      <c r="R7956" s="303"/>
    </row>
    <row r="7957" spans="1:18" s="162" customFormat="1" ht="72" x14ac:dyDescent="0.25">
      <c r="A7957" s="184">
        <v>43805</v>
      </c>
      <c r="B7957" s="184">
        <v>43805</v>
      </c>
      <c r="C7957" s="138">
        <v>2019</v>
      </c>
      <c r="D7957" s="35" t="s">
        <v>28</v>
      </c>
      <c r="E7957" s="30" t="s">
        <v>133</v>
      </c>
      <c r="F7957" s="7" t="s">
        <v>75</v>
      </c>
      <c r="G7957" s="33" t="s">
        <v>5046</v>
      </c>
      <c r="H7957" s="33" t="s">
        <v>10887</v>
      </c>
      <c r="I7957" s="304">
        <v>4</v>
      </c>
      <c r="J7957" s="305">
        <v>11</v>
      </c>
      <c r="K7957" s="142">
        <v>0</v>
      </c>
      <c r="L7957" s="142">
        <v>0</v>
      </c>
      <c r="M7957" s="142">
        <v>0</v>
      </c>
      <c r="N7957" s="142">
        <v>0</v>
      </c>
      <c r="O7957" s="142">
        <v>0</v>
      </c>
      <c r="P7957" s="306">
        <v>6.9300000000000013E-3</v>
      </c>
      <c r="Q7957" s="157" t="s">
        <v>154</v>
      </c>
      <c r="R7957" s="303"/>
    </row>
    <row r="7958" spans="1:18" s="162" customFormat="1" ht="312" x14ac:dyDescent="0.25">
      <c r="A7958" s="184">
        <v>43805</v>
      </c>
      <c r="B7958" s="184">
        <v>43805</v>
      </c>
      <c r="C7958" s="43">
        <v>2019</v>
      </c>
      <c r="D7958" s="35" t="s">
        <v>28</v>
      </c>
      <c r="E7958" s="6" t="s">
        <v>369</v>
      </c>
      <c r="F7958" s="7" t="s">
        <v>62</v>
      </c>
      <c r="G7958" s="33" t="s">
        <v>1920</v>
      </c>
      <c r="H7958" s="33" t="s">
        <v>10888</v>
      </c>
      <c r="I7958" s="304">
        <v>7</v>
      </c>
      <c r="J7958" s="305">
        <v>1536</v>
      </c>
      <c r="K7958" s="142">
        <v>0</v>
      </c>
      <c r="L7958" s="142">
        <v>0</v>
      </c>
      <c r="M7958" s="142">
        <v>0</v>
      </c>
      <c r="N7958" s="142">
        <v>0</v>
      </c>
      <c r="O7958" s="142">
        <v>0</v>
      </c>
      <c r="P7958" s="306">
        <v>2.4643280985294114</v>
      </c>
      <c r="Q7958" s="157" t="s">
        <v>154</v>
      </c>
      <c r="R7958" s="303"/>
    </row>
    <row r="7959" spans="1:18" s="162" customFormat="1" ht="156" x14ac:dyDescent="0.25">
      <c r="A7959" s="184">
        <v>43806</v>
      </c>
      <c r="B7959" s="184">
        <v>43806</v>
      </c>
      <c r="C7959" s="138">
        <v>2019</v>
      </c>
      <c r="D7959" s="35" t="s">
        <v>28</v>
      </c>
      <c r="E7959" s="30" t="s">
        <v>133</v>
      </c>
      <c r="F7959" s="7" t="s">
        <v>53</v>
      </c>
      <c r="G7959" s="33" t="s">
        <v>5966</v>
      </c>
      <c r="H7959" s="33" t="s">
        <v>10889</v>
      </c>
      <c r="I7959" s="304">
        <v>1</v>
      </c>
      <c r="J7959" s="305">
        <v>14</v>
      </c>
      <c r="K7959" s="142">
        <v>0</v>
      </c>
      <c r="L7959" s="142">
        <v>0</v>
      </c>
      <c r="M7959" s="142">
        <v>0</v>
      </c>
      <c r="N7959" s="142">
        <v>0</v>
      </c>
      <c r="O7959" s="142">
        <v>0</v>
      </c>
      <c r="P7959" s="306">
        <v>3.9600000000000008E-3</v>
      </c>
      <c r="Q7959" s="157" t="s">
        <v>154</v>
      </c>
      <c r="R7959" s="303"/>
    </row>
    <row r="7960" spans="1:18" s="162" customFormat="1" ht="108" x14ac:dyDescent="0.25">
      <c r="A7960" s="184">
        <v>43808</v>
      </c>
      <c r="B7960" s="184">
        <v>43809</v>
      </c>
      <c r="C7960" s="43">
        <v>2019</v>
      </c>
      <c r="D7960" s="24" t="s">
        <v>141</v>
      </c>
      <c r="E7960" s="30" t="s">
        <v>142</v>
      </c>
      <c r="F7960" s="7" t="s">
        <v>77</v>
      </c>
      <c r="G7960" s="33" t="s">
        <v>77</v>
      </c>
      <c r="H7960" s="33" t="s">
        <v>10890</v>
      </c>
      <c r="I7960" s="304">
        <v>0</v>
      </c>
      <c r="J7960" s="305">
        <v>17</v>
      </c>
      <c r="K7960" s="142">
        <v>0</v>
      </c>
      <c r="L7960" s="142">
        <v>0</v>
      </c>
      <c r="M7960" s="142">
        <v>0</v>
      </c>
      <c r="N7960" s="142">
        <v>0</v>
      </c>
      <c r="O7960" s="142">
        <v>0</v>
      </c>
      <c r="P7960" s="306">
        <v>1.1813582</v>
      </c>
      <c r="Q7960" s="157" t="s">
        <v>154</v>
      </c>
      <c r="R7960" s="303"/>
    </row>
    <row r="7961" spans="1:18" s="162" customFormat="1" ht="108" x14ac:dyDescent="0.25">
      <c r="A7961" s="184">
        <v>43809</v>
      </c>
      <c r="B7961" s="184">
        <v>43809</v>
      </c>
      <c r="C7961" s="138">
        <v>2019</v>
      </c>
      <c r="D7961" s="24" t="s">
        <v>141</v>
      </c>
      <c r="E7961" s="30" t="s">
        <v>142</v>
      </c>
      <c r="F7961" s="7" t="s">
        <v>72</v>
      </c>
      <c r="G7961" s="33" t="s">
        <v>6976</v>
      </c>
      <c r="H7961" s="33" t="s">
        <v>10891</v>
      </c>
      <c r="I7961" s="304">
        <v>2</v>
      </c>
      <c r="J7961" s="305">
        <v>45</v>
      </c>
      <c r="K7961" s="142">
        <v>0</v>
      </c>
      <c r="L7961" s="142">
        <v>0</v>
      </c>
      <c r="M7961" s="142">
        <v>0</v>
      </c>
      <c r="N7961" s="142">
        <v>0</v>
      </c>
      <c r="O7961" s="142">
        <v>0</v>
      </c>
      <c r="P7961" s="306">
        <v>0.71411999999999998</v>
      </c>
      <c r="Q7961" s="157" t="s">
        <v>154</v>
      </c>
      <c r="R7961" s="303"/>
    </row>
    <row r="7962" spans="1:18" s="162" customFormat="1" ht="108" x14ac:dyDescent="0.25">
      <c r="A7962" s="184">
        <v>43809</v>
      </c>
      <c r="B7962" s="184">
        <v>43809</v>
      </c>
      <c r="C7962" s="43">
        <v>2019</v>
      </c>
      <c r="D7962" s="24" t="s">
        <v>141</v>
      </c>
      <c r="E7962" s="30" t="s">
        <v>142</v>
      </c>
      <c r="F7962" s="7" t="s">
        <v>53</v>
      </c>
      <c r="G7962" s="33" t="s">
        <v>2997</v>
      </c>
      <c r="H7962" s="33" t="s">
        <v>10892</v>
      </c>
      <c r="I7962" s="304">
        <v>0</v>
      </c>
      <c r="J7962" s="305">
        <v>5</v>
      </c>
      <c r="K7962" s="142">
        <v>0</v>
      </c>
      <c r="L7962" s="142">
        <v>0</v>
      </c>
      <c r="M7962" s="142">
        <v>0</v>
      </c>
      <c r="N7962" s="142">
        <v>0</v>
      </c>
      <c r="O7962" s="142">
        <v>0</v>
      </c>
      <c r="P7962" s="306">
        <v>0.2537237</v>
      </c>
      <c r="Q7962" s="157" t="s">
        <v>154</v>
      </c>
      <c r="R7962" s="303"/>
    </row>
    <row r="7963" spans="1:18" s="162" customFormat="1" ht="108" x14ac:dyDescent="0.25">
      <c r="A7963" s="184">
        <v>43809</v>
      </c>
      <c r="B7963" s="184">
        <v>43809</v>
      </c>
      <c r="C7963" s="138">
        <v>2019</v>
      </c>
      <c r="D7963" s="24" t="s">
        <v>141</v>
      </c>
      <c r="E7963" s="30" t="s">
        <v>142</v>
      </c>
      <c r="F7963" s="7" t="s">
        <v>56</v>
      </c>
      <c r="G7963" s="33" t="s">
        <v>5704</v>
      </c>
      <c r="H7963" s="33" t="s">
        <v>10893</v>
      </c>
      <c r="I7963" s="304">
        <v>0</v>
      </c>
      <c r="J7963" s="305">
        <v>26</v>
      </c>
      <c r="K7963" s="142">
        <v>0</v>
      </c>
      <c r="L7963" s="142">
        <v>0</v>
      </c>
      <c r="M7963" s="142">
        <v>0</v>
      </c>
      <c r="N7963" s="142">
        <v>0</v>
      </c>
      <c r="O7963" s="142">
        <v>0</v>
      </c>
      <c r="P7963" s="306">
        <v>0.18312033837209304</v>
      </c>
      <c r="Q7963" s="157" t="s">
        <v>154</v>
      </c>
      <c r="R7963" s="303"/>
    </row>
    <row r="7964" spans="1:18" s="162" customFormat="1" ht="84" x14ac:dyDescent="0.25">
      <c r="A7964" s="184">
        <v>43810</v>
      </c>
      <c r="B7964" s="184">
        <v>43810</v>
      </c>
      <c r="C7964" s="43">
        <v>2019</v>
      </c>
      <c r="D7964" s="35" t="s">
        <v>28</v>
      </c>
      <c r="E7964" s="6" t="s">
        <v>149</v>
      </c>
      <c r="F7964" s="28" t="s">
        <v>157</v>
      </c>
      <c r="G7964" s="33" t="s">
        <v>716</v>
      </c>
      <c r="H7964" s="33" t="s">
        <v>10894</v>
      </c>
      <c r="I7964" s="304">
        <v>0</v>
      </c>
      <c r="J7964" s="305">
        <v>21</v>
      </c>
      <c r="K7964" s="142">
        <v>1</v>
      </c>
      <c r="L7964" s="142">
        <v>0</v>
      </c>
      <c r="M7964" s="142">
        <v>0</v>
      </c>
      <c r="N7964" s="142">
        <v>0</v>
      </c>
      <c r="O7964" s="142">
        <v>0</v>
      </c>
      <c r="P7964" s="306">
        <v>0.13200000000000001</v>
      </c>
      <c r="Q7964" s="157" t="s">
        <v>154</v>
      </c>
      <c r="R7964" s="303"/>
    </row>
    <row r="7965" spans="1:18" s="162" customFormat="1" ht="144" x14ac:dyDescent="0.25">
      <c r="A7965" s="184">
        <v>43805</v>
      </c>
      <c r="B7965" s="184">
        <v>43811</v>
      </c>
      <c r="C7965" s="138">
        <v>2019</v>
      </c>
      <c r="D7965" s="24" t="s">
        <v>141</v>
      </c>
      <c r="E7965" s="42" t="s">
        <v>447</v>
      </c>
      <c r="F7965" s="28" t="s">
        <v>157</v>
      </c>
      <c r="G7965" s="33" t="s">
        <v>526</v>
      </c>
      <c r="H7965" s="33" t="s">
        <v>10895</v>
      </c>
      <c r="I7965" s="304">
        <v>1</v>
      </c>
      <c r="J7965" s="305">
        <v>8236</v>
      </c>
      <c r="K7965" s="142">
        <v>0</v>
      </c>
      <c r="L7965" s="142">
        <v>0</v>
      </c>
      <c r="M7965" s="142">
        <v>0</v>
      </c>
      <c r="N7965" s="142">
        <v>0</v>
      </c>
      <c r="O7965" s="142">
        <v>0</v>
      </c>
      <c r="P7965" s="306">
        <v>2.0790000000000003E-2</v>
      </c>
      <c r="Q7965" s="157" t="s">
        <v>154</v>
      </c>
      <c r="R7965" s="303"/>
    </row>
    <row r="7966" spans="1:18" s="162" customFormat="1" x14ac:dyDescent="0.25">
      <c r="A7966" s="184">
        <v>43810</v>
      </c>
      <c r="B7966" s="184">
        <v>43810</v>
      </c>
      <c r="C7966" s="43">
        <v>2019</v>
      </c>
      <c r="D7966" s="351" t="s">
        <v>23</v>
      </c>
      <c r="E7966" s="22" t="s">
        <v>86</v>
      </c>
      <c r="F7966" s="7" t="s">
        <v>36</v>
      </c>
      <c r="G7966" s="33"/>
      <c r="H7966" s="44" t="s">
        <v>10896</v>
      </c>
      <c r="I7966" s="304">
        <v>0</v>
      </c>
      <c r="J7966" s="305">
        <v>0</v>
      </c>
      <c r="K7966" s="142">
        <v>0</v>
      </c>
      <c r="L7966" s="142">
        <v>0</v>
      </c>
      <c r="M7966" s="142">
        <v>0</v>
      </c>
      <c r="N7966" s="142">
        <v>0</v>
      </c>
      <c r="O7966" s="142">
        <v>0</v>
      </c>
      <c r="P7966" s="306">
        <v>10.617805008600001</v>
      </c>
      <c r="Q7966" s="157" t="s">
        <v>186</v>
      </c>
      <c r="R7966" s="303"/>
    </row>
    <row r="7967" spans="1:18" s="162" customFormat="1" ht="156" x14ac:dyDescent="0.25">
      <c r="A7967" s="184">
        <v>43811</v>
      </c>
      <c r="B7967" s="184">
        <v>43811</v>
      </c>
      <c r="C7967" s="138">
        <v>2019</v>
      </c>
      <c r="D7967" s="24" t="s">
        <v>141</v>
      </c>
      <c r="E7967" s="42" t="s">
        <v>447</v>
      </c>
      <c r="F7967" s="28" t="s">
        <v>160</v>
      </c>
      <c r="G7967" s="33" t="s">
        <v>10897</v>
      </c>
      <c r="H7967" s="33" t="s">
        <v>10898</v>
      </c>
      <c r="I7967" s="304">
        <v>0</v>
      </c>
      <c r="J7967" s="305">
        <v>6</v>
      </c>
      <c r="K7967" s="142">
        <v>0</v>
      </c>
      <c r="L7967" s="142">
        <v>0</v>
      </c>
      <c r="M7967" s="142">
        <v>0</v>
      </c>
      <c r="N7967" s="142">
        <v>0</v>
      </c>
      <c r="O7967" s="142">
        <v>0</v>
      </c>
      <c r="P7967" s="306">
        <v>0.24838160000000001</v>
      </c>
      <c r="Q7967" s="157" t="s">
        <v>154</v>
      </c>
      <c r="R7967" s="303"/>
    </row>
    <row r="7968" spans="1:18" s="162" customFormat="1" ht="84" x14ac:dyDescent="0.25">
      <c r="A7968" s="184">
        <v>43811</v>
      </c>
      <c r="B7968" s="184">
        <v>43812</v>
      </c>
      <c r="C7968" s="43">
        <v>2019</v>
      </c>
      <c r="D7968" s="24" t="s">
        <v>141</v>
      </c>
      <c r="E7968" s="30" t="s">
        <v>142</v>
      </c>
      <c r="F7968" s="7" t="s">
        <v>67</v>
      </c>
      <c r="G7968" s="33" t="s">
        <v>5164</v>
      </c>
      <c r="H7968" s="33" t="s">
        <v>10899</v>
      </c>
      <c r="I7968" s="304">
        <v>1</v>
      </c>
      <c r="J7968" s="305">
        <v>6</v>
      </c>
      <c r="K7968" s="142">
        <v>0</v>
      </c>
      <c r="L7968" s="142">
        <v>0</v>
      </c>
      <c r="M7968" s="142">
        <v>0</v>
      </c>
      <c r="N7968" s="142">
        <v>0</v>
      </c>
      <c r="O7968" s="142">
        <v>0</v>
      </c>
      <c r="P7968" s="306">
        <v>0.71411999999999998</v>
      </c>
      <c r="Q7968" s="157" t="s">
        <v>154</v>
      </c>
      <c r="R7968" s="303"/>
    </row>
    <row r="7969" spans="1:18" s="162" customFormat="1" ht="96" x14ac:dyDescent="0.25">
      <c r="A7969" s="184">
        <v>43812</v>
      </c>
      <c r="B7969" s="184">
        <v>43812</v>
      </c>
      <c r="C7969" s="138">
        <v>2019</v>
      </c>
      <c r="D7969" s="24" t="s">
        <v>141</v>
      </c>
      <c r="E7969" s="30" t="s">
        <v>142</v>
      </c>
      <c r="F7969" s="28" t="s">
        <v>160</v>
      </c>
      <c r="G7969" s="33" t="s">
        <v>2606</v>
      </c>
      <c r="H7969" s="33" t="s">
        <v>10900</v>
      </c>
      <c r="I7969" s="304">
        <v>0</v>
      </c>
      <c r="J7969" s="305">
        <v>30</v>
      </c>
      <c r="K7969" s="142">
        <v>0</v>
      </c>
      <c r="L7969" s="142">
        <v>0</v>
      </c>
      <c r="M7969" s="142">
        <v>0</v>
      </c>
      <c r="N7969" s="142">
        <v>0</v>
      </c>
      <c r="O7969" s="142">
        <v>0</v>
      </c>
      <c r="P7969" s="306">
        <v>2.2770000000000002E-2</v>
      </c>
      <c r="Q7969" s="157" t="s">
        <v>154</v>
      </c>
      <c r="R7969" s="303"/>
    </row>
    <row r="7970" spans="1:18" s="162" customFormat="1" ht="96" x14ac:dyDescent="0.25">
      <c r="A7970" s="184">
        <v>43813</v>
      </c>
      <c r="B7970" s="184">
        <v>43813</v>
      </c>
      <c r="C7970" s="43">
        <v>2019</v>
      </c>
      <c r="D7970" s="24" t="s">
        <v>141</v>
      </c>
      <c r="E7970" s="30" t="s">
        <v>142</v>
      </c>
      <c r="F7970" s="28" t="s">
        <v>157</v>
      </c>
      <c r="G7970" s="33" t="s">
        <v>4820</v>
      </c>
      <c r="H7970" s="33" t="s">
        <v>10901</v>
      </c>
      <c r="I7970" s="304">
        <v>0</v>
      </c>
      <c r="J7970" s="305">
        <v>5</v>
      </c>
      <c r="K7970" s="142">
        <v>0</v>
      </c>
      <c r="L7970" s="142">
        <v>0</v>
      </c>
      <c r="M7970" s="142">
        <v>0</v>
      </c>
      <c r="N7970" s="142">
        <v>0</v>
      </c>
      <c r="O7970" s="142">
        <v>0</v>
      </c>
      <c r="P7970" s="306">
        <v>2.2983169999999997E-2</v>
      </c>
      <c r="Q7970" s="157" t="s">
        <v>154</v>
      </c>
      <c r="R7970" s="303"/>
    </row>
    <row r="7971" spans="1:18" s="162" customFormat="1" ht="108" x14ac:dyDescent="0.25">
      <c r="A7971" s="184">
        <v>43813</v>
      </c>
      <c r="B7971" s="184">
        <v>43814</v>
      </c>
      <c r="C7971" s="138">
        <v>2019</v>
      </c>
      <c r="D7971" s="24" t="s">
        <v>141</v>
      </c>
      <c r="E7971" s="30" t="s">
        <v>142</v>
      </c>
      <c r="F7971" s="7" t="s">
        <v>62</v>
      </c>
      <c r="G7971" s="33" t="s">
        <v>10902</v>
      </c>
      <c r="H7971" s="33" t="s">
        <v>10903</v>
      </c>
      <c r="I7971" s="304">
        <v>1</v>
      </c>
      <c r="J7971" s="305">
        <v>6</v>
      </c>
      <c r="K7971" s="142">
        <v>0</v>
      </c>
      <c r="L7971" s="142">
        <v>0</v>
      </c>
      <c r="M7971" s="142">
        <v>0</v>
      </c>
      <c r="N7971" s="142">
        <v>0</v>
      </c>
      <c r="O7971" s="142">
        <v>0</v>
      </c>
      <c r="P7971" s="306">
        <v>0.13533200000000004</v>
      </c>
      <c r="Q7971" s="157" t="s">
        <v>154</v>
      </c>
      <c r="R7971" s="303"/>
    </row>
    <row r="7972" spans="1:18" s="162" customFormat="1" ht="96" x14ac:dyDescent="0.25">
      <c r="A7972" s="184">
        <v>43814</v>
      </c>
      <c r="B7972" s="184">
        <v>43814</v>
      </c>
      <c r="C7972" s="43">
        <v>2019</v>
      </c>
      <c r="D7972" s="24" t="s">
        <v>141</v>
      </c>
      <c r="E7972" s="30" t="s">
        <v>142</v>
      </c>
      <c r="F7972" s="7" t="s">
        <v>62</v>
      </c>
      <c r="G7972" s="33" t="s">
        <v>10904</v>
      </c>
      <c r="H7972" s="33" t="s">
        <v>10905</v>
      </c>
      <c r="I7972" s="304">
        <v>1</v>
      </c>
      <c r="J7972" s="305">
        <v>8</v>
      </c>
      <c r="K7972" s="142">
        <v>0</v>
      </c>
      <c r="L7972" s="142">
        <v>0</v>
      </c>
      <c r="M7972" s="142">
        <v>0</v>
      </c>
      <c r="N7972" s="142">
        <v>0</v>
      </c>
      <c r="O7972" s="142">
        <v>0</v>
      </c>
      <c r="P7972" s="306">
        <v>2.453E-2</v>
      </c>
      <c r="Q7972" s="157" t="s">
        <v>154</v>
      </c>
      <c r="R7972" s="303"/>
    </row>
    <row r="7973" spans="1:18" s="162" customFormat="1" ht="144" x14ac:dyDescent="0.25">
      <c r="A7973" s="184">
        <v>43814</v>
      </c>
      <c r="B7973" s="184">
        <v>43814</v>
      </c>
      <c r="C7973" s="138">
        <v>2019</v>
      </c>
      <c r="D7973" s="24" t="s">
        <v>141</v>
      </c>
      <c r="E7973" s="30" t="s">
        <v>142</v>
      </c>
      <c r="F7973" s="7" t="s">
        <v>53</v>
      </c>
      <c r="G7973" s="33" t="s">
        <v>2776</v>
      </c>
      <c r="H7973" s="33" t="s">
        <v>10906</v>
      </c>
      <c r="I7973" s="304">
        <v>0</v>
      </c>
      <c r="J7973" s="305">
        <v>14</v>
      </c>
      <c r="K7973" s="142">
        <v>0</v>
      </c>
      <c r="L7973" s="142">
        <v>0</v>
      </c>
      <c r="M7973" s="142">
        <v>0</v>
      </c>
      <c r="N7973" s="142">
        <v>0</v>
      </c>
      <c r="O7973" s="142">
        <v>0</v>
      </c>
      <c r="P7973" s="306">
        <v>0.62700409999999995</v>
      </c>
      <c r="Q7973" s="157" t="s">
        <v>154</v>
      </c>
      <c r="R7973" s="303"/>
    </row>
    <row r="7974" spans="1:18" s="162" customFormat="1" ht="132" x14ac:dyDescent="0.25">
      <c r="A7974" s="184">
        <v>43815</v>
      </c>
      <c r="B7974" s="184">
        <v>43815</v>
      </c>
      <c r="C7974" s="43">
        <v>2019</v>
      </c>
      <c r="D7974" s="24" t="s">
        <v>141</v>
      </c>
      <c r="E7974" s="30" t="s">
        <v>142</v>
      </c>
      <c r="F7974" s="7" t="s">
        <v>101</v>
      </c>
      <c r="G7974" s="33" t="s">
        <v>174</v>
      </c>
      <c r="H7974" s="33" t="s">
        <v>10907</v>
      </c>
      <c r="I7974" s="304">
        <v>0</v>
      </c>
      <c r="J7974" s="305">
        <v>18</v>
      </c>
      <c r="K7974" s="142">
        <v>0</v>
      </c>
      <c r="L7974" s="142">
        <v>0</v>
      </c>
      <c r="M7974" s="142">
        <v>0</v>
      </c>
      <c r="N7974" s="142">
        <v>0</v>
      </c>
      <c r="O7974" s="142">
        <v>0</v>
      </c>
      <c r="P7974" s="306">
        <v>0.71609999999999996</v>
      </c>
      <c r="Q7974" s="157" t="s">
        <v>154</v>
      </c>
      <c r="R7974" s="303"/>
    </row>
    <row r="7975" spans="1:18" s="162" customFormat="1" ht="144" x14ac:dyDescent="0.25">
      <c r="A7975" s="184">
        <v>43817</v>
      </c>
      <c r="B7975" s="184">
        <v>43817</v>
      </c>
      <c r="C7975" s="138">
        <v>2019</v>
      </c>
      <c r="D7975" s="24" t="s">
        <v>141</v>
      </c>
      <c r="E7975" s="30" t="s">
        <v>142</v>
      </c>
      <c r="F7975" s="7" t="s">
        <v>60</v>
      </c>
      <c r="G7975" s="33" t="s">
        <v>1993</v>
      </c>
      <c r="H7975" s="33" t="s">
        <v>10908</v>
      </c>
      <c r="I7975" s="304">
        <v>14</v>
      </c>
      <c r="J7975" s="305">
        <v>26</v>
      </c>
      <c r="K7975" s="142">
        <v>0</v>
      </c>
      <c r="L7975" s="142">
        <v>0</v>
      </c>
      <c r="M7975" s="142">
        <v>0</v>
      </c>
      <c r="N7975" s="142">
        <v>0</v>
      </c>
      <c r="O7975" s="142">
        <v>0</v>
      </c>
      <c r="P7975" s="306">
        <v>0.71819873837209303</v>
      </c>
      <c r="Q7975" s="157" t="s">
        <v>154</v>
      </c>
      <c r="R7975" s="303"/>
    </row>
    <row r="7976" spans="1:18" s="162" customFormat="1" ht="72" x14ac:dyDescent="0.25">
      <c r="A7976" s="184">
        <v>43817</v>
      </c>
      <c r="B7976" s="184">
        <v>43817</v>
      </c>
      <c r="C7976" s="43">
        <v>2019</v>
      </c>
      <c r="D7976" s="351" t="s">
        <v>23</v>
      </c>
      <c r="E7976" s="22" t="s">
        <v>42</v>
      </c>
      <c r="F7976" s="7" t="s">
        <v>77</v>
      </c>
      <c r="G7976" s="33" t="s">
        <v>77</v>
      </c>
      <c r="H7976" s="33" t="s">
        <v>10909</v>
      </c>
      <c r="I7976" s="304">
        <v>1</v>
      </c>
      <c r="J7976" s="305">
        <v>1</v>
      </c>
      <c r="K7976" s="142">
        <v>0</v>
      </c>
      <c r="L7976" s="142">
        <v>0</v>
      </c>
      <c r="M7976" s="142">
        <v>0</v>
      </c>
      <c r="N7976" s="142">
        <v>0</v>
      </c>
      <c r="O7976" s="142">
        <v>0</v>
      </c>
      <c r="P7976" s="306">
        <v>0</v>
      </c>
      <c r="Q7976" s="157" t="s">
        <v>154</v>
      </c>
      <c r="R7976" s="303"/>
    </row>
    <row r="7977" spans="1:18" s="162" customFormat="1" ht="72" x14ac:dyDescent="0.25">
      <c r="A7977" s="184">
        <v>43817</v>
      </c>
      <c r="B7977" s="184">
        <v>43817</v>
      </c>
      <c r="C7977" s="138">
        <v>2019</v>
      </c>
      <c r="D7977" s="351" t="s">
        <v>23</v>
      </c>
      <c r="E7977" s="22" t="s">
        <v>42</v>
      </c>
      <c r="F7977" s="7" t="s">
        <v>45</v>
      </c>
      <c r="G7977" s="33" t="s">
        <v>577</v>
      </c>
      <c r="H7977" s="33" t="s">
        <v>10910</v>
      </c>
      <c r="I7977" s="304">
        <v>1</v>
      </c>
      <c r="J7977" s="305">
        <v>1</v>
      </c>
      <c r="K7977" s="142">
        <v>0</v>
      </c>
      <c r="L7977" s="142">
        <v>0</v>
      </c>
      <c r="M7977" s="142">
        <v>0</v>
      </c>
      <c r="N7977" s="142">
        <v>0</v>
      </c>
      <c r="O7977" s="142">
        <v>0</v>
      </c>
      <c r="P7977" s="306">
        <v>0</v>
      </c>
      <c r="Q7977" s="157" t="s">
        <v>154</v>
      </c>
      <c r="R7977" s="303"/>
    </row>
    <row r="7978" spans="1:18" s="162" customFormat="1" x14ac:dyDescent="0.25">
      <c r="A7978" s="184">
        <v>43817</v>
      </c>
      <c r="B7978" s="184">
        <v>43817</v>
      </c>
      <c r="C7978" s="43">
        <v>2019</v>
      </c>
      <c r="D7978" s="351" t="s">
        <v>23</v>
      </c>
      <c r="E7978" s="22" t="s">
        <v>86</v>
      </c>
      <c r="F7978" s="7" t="s">
        <v>36</v>
      </c>
      <c r="G7978" s="33"/>
      <c r="H7978" s="44" t="s">
        <v>10911</v>
      </c>
      <c r="I7978" s="304">
        <v>0</v>
      </c>
      <c r="J7978" s="305">
        <v>0</v>
      </c>
      <c r="K7978" s="142">
        <v>0</v>
      </c>
      <c r="L7978" s="142">
        <v>0</v>
      </c>
      <c r="M7978" s="142">
        <v>0</v>
      </c>
      <c r="N7978" s="142">
        <v>0</v>
      </c>
      <c r="O7978" s="142">
        <v>0</v>
      </c>
      <c r="P7978" s="306">
        <v>17.521260800999993</v>
      </c>
      <c r="Q7978" s="157" t="s">
        <v>186</v>
      </c>
      <c r="R7978" s="303"/>
    </row>
    <row r="7979" spans="1:18" s="162" customFormat="1" ht="144" x14ac:dyDescent="0.25">
      <c r="A7979" s="184">
        <v>43818</v>
      </c>
      <c r="B7979" s="184">
        <v>43818</v>
      </c>
      <c r="C7979" s="138">
        <v>2019</v>
      </c>
      <c r="D7979" s="35" t="s">
        <v>28</v>
      </c>
      <c r="E7979" s="6" t="s">
        <v>149</v>
      </c>
      <c r="F7979" s="7" t="s">
        <v>56</v>
      </c>
      <c r="G7979" s="33" t="s">
        <v>1160</v>
      </c>
      <c r="H7979" s="33" t="s">
        <v>10912</v>
      </c>
      <c r="I7979" s="304">
        <v>0</v>
      </c>
      <c r="J7979" s="305">
        <v>19</v>
      </c>
      <c r="K7979" s="142">
        <v>1</v>
      </c>
      <c r="L7979" s="142">
        <v>0</v>
      </c>
      <c r="M7979" s="142">
        <v>0</v>
      </c>
      <c r="N7979" s="142">
        <v>0</v>
      </c>
      <c r="O7979" s="142">
        <v>0</v>
      </c>
      <c r="P7979" s="306">
        <v>6.0500000000000007E-3</v>
      </c>
      <c r="Q7979" s="157" t="s">
        <v>154</v>
      </c>
      <c r="R7979" s="303"/>
    </row>
    <row r="7980" spans="1:18" s="162" customFormat="1" ht="144" x14ac:dyDescent="0.25">
      <c r="A7980" s="184">
        <v>43819</v>
      </c>
      <c r="B7980" s="184">
        <v>43819</v>
      </c>
      <c r="C7980" s="43">
        <v>2019</v>
      </c>
      <c r="D7980" s="24" t="s">
        <v>130</v>
      </c>
      <c r="E7980" s="30" t="s">
        <v>136</v>
      </c>
      <c r="F7980" s="28" t="s">
        <v>157</v>
      </c>
      <c r="G7980" s="33" t="s">
        <v>1062</v>
      </c>
      <c r="H7980" s="33" t="s">
        <v>10913</v>
      </c>
      <c r="I7980" s="304">
        <v>0</v>
      </c>
      <c r="J7980" s="305">
        <v>20</v>
      </c>
      <c r="K7980" s="142">
        <v>0</v>
      </c>
      <c r="L7980" s="142">
        <v>0</v>
      </c>
      <c r="M7980" s="142">
        <v>0</v>
      </c>
      <c r="N7980" s="142">
        <v>0</v>
      </c>
      <c r="O7980" s="142">
        <v>0</v>
      </c>
      <c r="P7980" s="306">
        <v>9.9000000000000025E-3</v>
      </c>
      <c r="Q7980" s="157" t="s">
        <v>154</v>
      </c>
      <c r="R7980" s="303"/>
    </row>
    <row r="7981" spans="1:18" s="162" customFormat="1" ht="96" x14ac:dyDescent="0.25">
      <c r="A7981" s="184">
        <v>43820</v>
      </c>
      <c r="B7981" s="184">
        <v>43820</v>
      </c>
      <c r="C7981" s="138">
        <v>2019</v>
      </c>
      <c r="D7981" s="24" t="s">
        <v>141</v>
      </c>
      <c r="E7981" s="30" t="s">
        <v>142</v>
      </c>
      <c r="F7981" s="7" t="s">
        <v>82</v>
      </c>
      <c r="G7981" s="33" t="s">
        <v>10914</v>
      </c>
      <c r="H7981" s="33" t="s">
        <v>10915</v>
      </c>
      <c r="I7981" s="304">
        <v>1</v>
      </c>
      <c r="J7981" s="305">
        <v>11</v>
      </c>
      <c r="K7981" s="142">
        <v>0</v>
      </c>
      <c r="L7981" s="142">
        <v>0</v>
      </c>
      <c r="M7981" s="142">
        <v>0</v>
      </c>
      <c r="N7981" s="142">
        <v>0</v>
      </c>
      <c r="O7981" s="142">
        <v>0</v>
      </c>
      <c r="P7981" s="306">
        <v>0.72402</v>
      </c>
      <c r="Q7981" s="157" t="s">
        <v>154</v>
      </c>
      <c r="R7981" s="303"/>
    </row>
    <row r="7982" spans="1:18" s="162" customFormat="1" ht="192" x14ac:dyDescent="0.25">
      <c r="A7982" s="184">
        <v>43821</v>
      </c>
      <c r="B7982" s="184">
        <v>43821</v>
      </c>
      <c r="C7982" s="43">
        <v>2019</v>
      </c>
      <c r="D7982" s="35" t="s">
        <v>28</v>
      </c>
      <c r="E7982" s="6" t="s">
        <v>149</v>
      </c>
      <c r="F7982" s="28" t="s">
        <v>157</v>
      </c>
      <c r="G7982" s="33" t="s">
        <v>1062</v>
      </c>
      <c r="H7982" s="33" t="s">
        <v>10916</v>
      </c>
      <c r="I7982" s="304">
        <v>0</v>
      </c>
      <c r="J7982" s="305">
        <v>150</v>
      </c>
      <c r="K7982" s="142">
        <v>0</v>
      </c>
      <c r="L7982" s="142">
        <v>0</v>
      </c>
      <c r="M7982" s="142">
        <v>0</v>
      </c>
      <c r="N7982" s="142">
        <v>181</v>
      </c>
      <c r="O7982" s="142">
        <v>0</v>
      </c>
      <c r="P7982" s="306">
        <v>0</v>
      </c>
      <c r="Q7982" s="157" t="s">
        <v>154</v>
      </c>
      <c r="R7982" s="303"/>
    </row>
    <row r="7983" spans="1:18" s="162" customFormat="1" ht="192" x14ac:dyDescent="0.25">
      <c r="A7983" s="184">
        <v>43823</v>
      </c>
      <c r="B7983" s="184">
        <v>43823</v>
      </c>
      <c r="C7983" s="138">
        <v>2019</v>
      </c>
      <c r="D7983" s="35" t="s">
        <v>28</v>
      </c>
      <c r="E7983" s="6" t="s">
        <v>149</v>
      </c>
      <c r="F7983" s="28" t="s">
        <v>157</v>
      </c>
      <c r="G7983" s="33" t="s">
        <v>716</v>
      </c>
      <c r="H7983" s="33" t="s">
        <v>10917</v>
      </c>
      <c r="I7983" s="304">
        <v>2</v>
      </c>
      <c r="J7983" s="305">
        <v>10</v>
      </c>
      <c r="K7983" s="142">
        <v>0</v>
      </c>
      <c r="L7983" s="142">
        <v>0</v>
      </c>
      <c r="M7983" s="142">
        <v>0</v>
      </c>
      <c r="N7983" s="142">
        <v>600</v>
      </c>
      <c r="O7983" s="142">
        <v>0</v>
      </c>
      <c r="P7983" s="306">
        <v>7.9200000000000017E-3</v>
      </c>
      <c r="Q7983" s="157" t="s">
        <v>154</v>
      </c>
      <c r="R7983" s="303"/>
    </row>
    <row r="7984" spans="1:18" s="162" customFormat="1" ht="84" x14ac:dyDescent="0.25">
      <c r="A7984" s="184">
        <v>43824</v>
      </c>
      <c r="B7984" s="184">
        <v>43824</v>
      </c>
      <c r="C7984" s="43">
        <v>2019</v>
      </c>
      <c r="D7984" s="24" t="s">
        <v>141</v>
      </c>
      <c r="E7984" s="30" t="s">
        <v>142</v>
      </c>
      <c r="F7984" s="28" t="s">
        <v>210</v>
      </c>
      <c r="G7984" s="33" t="s">
        <v>10918</v>
      </c>
      <c r="H7984" s="33" t="s">
        <v>10919</v>
      </c>
      <c r="I7984" s="304">
        <v>0</v>
      </c>
      <c r="J7984" s="305">
        <v>14</v>
      </c>
      <c r="K7984" s="142">
        <v>0</v>
      </c>
      <c r="L7984" s="142">
        <v>0</v>
      </c>
      <c r="M7984" s="142">
        <v>0</v>
      </c>
      <c r="N7984" s="142">
        <v>0</v>
      </c>
      <c r="O7984" s="142">
        <v>0</v>
      </c>
      <c r="P7984" s="306">
        <v>8.5272000000000001E-2</v>
      </c>
      <c r="Q7984" s="157" t="s">
        <v>154</v>
      </c>
      <c r="R7984" s="303"/>
    </row>
    <row r="7985" spans="1:18" s="162" customFormat="1" ht="96" x14ac:dyDescent="0.25">
      <c r="A7985" s="184">
        <v>43825</v>
      </c>
      <c r="B7985" s="184">
        <v>43825</v>
      </c>
      <c r="C7985" s="138">
        <v>2019</v>
      </c>
      <c r="D7985" s="24" t="s">
        <v>141</v>
      </c>
      <c r="E7985" s="49" t="s">
        <v>1600</v>
      </c>
      <c r="F7985" s="7" t="s">
        <v>40</v>
      </c>
      <c r="G7985" s="33" t="s">
        <v>2097</v>
      </c>
      <c r="H7985" s="33" t="s">
        <v>10920</v>
      </c>
      <c r="I7985" s="304">
        <v>2</v>
      </c>
      <c r="J7985" s="305">
        <v>8</v>
      </c>
      <c r="K7985" s="142">
        <v>1</v>
      </c>
      <c r="L7985" s="142">
        <v>0</v>
      </c>
      <c r="M7985" s="142">
        <v>0</v>
      </c>
      <c r="N7985" s="142">
        <v>0</v>
      </c>
      <c r="O7985" s="142">
        <v>0</v>
      </c>
      <c r="P7985" s="306">
        <v>5.9400000000000008E-3</v>
      </c>
      <c r="Q7985" s="157" t="s">
        <v>154</v>
      </c>
      <c r="R7985" s="303"/>
    </row>
    <row r="7986" spans="1:18" s="162" customFormat="1" ht="192" x14ac:dyDescent="0.25">
      <c r="A7986" s="184">
        <v>43825</v>
      </c>
      <c r="B7986" s="184">
        <v>43825</v>
      </c>
      <c r="C7986" s="43">
        <v>2019</v>
      </c>
      <c r="D7986" s="24" t="s">
        <v>141</v>
      </c>
      <c r="E7986" s="30" t="s">
        <v>142</v>
      </c>
      <c r="F7986" s="7" t="s">
        <v>87</v>
      </c>
      <c r="G7986" s="33" t="s">
        <v>2608</v>
      </c>
      <c r="H7986" s="33" t="s">
        <v>10921</v>
      </c>
      <c r="I7986" s="304">
        <v>1</v>
      </c>
      <c r="J7986" s="305">
        <v>1</v>
      </c>
      <c r="K7986" s="142">
        <v>0</v>
      </c>
      <c r="L7986" s="142">
        <v>0</v>
      </c>
      <c r="M7986" s="142">
        <v>0</v>
      </c>
      <c r="N7986" s="142">
        <v>0</v>
      </c>
      <c r="O7986" s="142">
        <v>0</v>
      </c>
      <c r="P7986" s="306">
        <v>4.93897570761753</v>
      </c>
      <c r="Q7986" s="157" t="s">
        <v>154</v>
      </c>
      <c r="R7986" s="303"/>
    </row>
    <row r="7987" spans="1:18" s="162" customFormat="1" ht="156" x14ac:dyDescent="0.25">
      <c r="A7987" s="184">
        <v>43827</v>
      </c>
      <c r="B7987" s="184">
        <v>43827</v>
      </c>
      <c r="C7987" s="138">
        <v>2019</v>
      </c>
      <c r="D7987" s="35" t="s">
        <v>28</v>
      </c>
      <c r="E7987" s="6" t="s">
        <v>149</v>
      </c>
      <c r="F7987" s="28" t="s">
        <v>157</v>
      </c>
      <c r="G7987" s="33" t="s">
        <v>857</v>
      </c>
      <c r="H7987" s="33" t="s">
        <v>10922</v>
      </c>
      <c r="I7987" s="304">
        <v>0</v>
      </c>
      <c r="J7987" s="305">
        <v>53</v>
      </c>
      <c r="K7987" s="142">
        <v>0</v>
      </c>
      <c r="L7987" s="142">
        <v>0</v>
      </c>
      <c r="M7987" s="142">
        <v>0</v>
      </c>
      <c r="N7987" s="142">
        <v>1</v>
      </c>
      <c r="O7987" s="142">
        <v>0</v>
      </c>
      <c r="P7987" s="306">
        <v>0</v>
      </c>
      <c r="Q7987" s="157" t="s">
        <v>154</v>
      </c>
      <c r="R7987" s="303"/>
    </row>
    <row r="7988" spans="1:18" s="162" customFormat="1" ht="132" x14ac:dyDescent="0.25">
      <c r="A7988" s="184">
        <v>43828</v>
      </c>
      <c r="B7988" s="184">
        <v>43828</v>
      </c>
      <c r="C7988" s="43">
        <v>2019</v>
      </c>
      <c r="D7988" s="24" t="s">
        <v>141</v>
      </c>
      <c r="E7988" s="30" t="s">
        <v>142</v>
      </c>
      <c r="F7988" s="7" t="s">
        <v>75</v>
      </c>
      <c r="G7988" s="33" t="s">
        <v>4418</v>
      </c>
      <c r="H7988" s="33" t="s">
        <v>10923</v>
      </c>
      <c r="I7988" s="304">
        <v>0</v>
      </c>
      <c r="J7988" s="305">
        <v>12</v>
      </c>
      <c r="K7988" s="142">
        <v>0</v>
      </c>
      <c r="L7988" s="142">
        <v>0</v>
      </c>
      <c r="M7988" s="142">
        <v>0</v>
      </c>
      <c r="N7988" s="142">
        <v>0</v>
      </c>
      <c r="O7988" s="142">
        <v>0</v>
      </c>
      <c r="P7988" s="306">
        <v>0.72599999999999998</v>
      </c>
      <c r="Q7988" s="157" t="s">
        <v>154</v>
      </c>
      <c r="R7988" s="303"/>
    </row>
    <row r="7989" spans="1:18" s="162" customFormat="1" ht="132" x14ac:dyDescent="0.25">
      <c r="A7989" s="184">
        <v>43829</v>
      </c>
      <c r="B7989" s="184">
        <v>43829</v>
      </c>
      <c r="C7989" s="138">
        <v>2019</v>
      </c>
      <c r="D7989" s="24" t="s">
        <v>141</v>
      </c>
      <c r="E7989" s="30" t="s">
        <v>142</v>
      </c>
      <c r="F7989" s="7" t="s">
        <v>60</v>
      </c>
      <c r="G7989" s="33" t="s">
        <v>10040</v>
      </c>
      <c r="H7989" s="33" t="s">
        <v>10924</v>
      </c>
      <c r="I7989" s="304">
        <v>0</v>
      </c>
      <c r="J7989" s="305">
        <v>15</v>
      </c>
      <c r="K7989" s="142">
        <v>0</v>
      </c>
      <c r="L7989" s="142">
        <v>0</v>
      </c>
      <c r="M7989" s="142">
        <v>0</v>
      </c>
      <c r="N7989" s="142">
        <v>1</v>
      </c>
      <c r="O7989" s="142">
        <v>0</v>
      </c>
      <c r="P7989" s="306">
        <v>0.46968496235294116</v>
      </c>
      <c r="Q7989" s="157" t="s">
        <v>154</v>
      </c>
      <c r="R7989" s="303"/>
    </row>
    <row r="7990" spans="1:18" s="162" customFormat="1" ht="108" x14ac:dyDescent="0.25">
      <c r="A7990" s="184">
        <v>43830</v>
      </c>
      <c r="B7990" s="184">
        <v>43830</v>
      </c>
      <c r="C7990" s="43">
        <v>2019</v>
      </c>
      <c r="D7990" s="24" t="s">
        <v>141</v>
      </c>
      <c r="E7990" s="30" t="s">
        <v>142</v>
      </c>
      <c r="F7990" s="7" t="s">
        <v>49</v>
      </c>
      <c r="G7990" s="33" t="s">
        <v>49</v>
      </c>
      <c r="H7990" s="33" t="s">
        <v>10925</v>
      </c>
      <c r="I7990" s="304">
        <v>1</v>
      </c>
      <c r="J7990" s="305">
        <v>31</v>
      </c>
      <c r="K7990" s="142">
        <v>0</v>
      </c>
      <c r="L7990" s="142">
        <v>0</v>
      </c>
      <c r="M7990" s="142">
        <v>0</v>
      </c>
      <c r="N7990" s="142">
        <v>0</v>
      </c>
      <c r="O7990" s="142">
        <v>0</v>
      </c>
      <c r="P7990" s="306">
        <v>0.74382000000000004</v>
      </c>
      <c r="Q7990" s="157" t="s">
        <v>154</v>
      </c>
      <c r="R7990" s="303"/>
    </row>
    <row r="7991" spans="1:18" s="162" customFormat="1" ht="156" x14ac:dyDescent="0.25">
      <c r="A7991" s="184">
        <v>43830</v>
      </c>
      <c r="B7991" s="184">
        <v>43830</v>
      </c>
      <c r="C7991" s="138">
        <v>2019</v>
      </c>
      <c r="D7991" s="35" t="s">
        <v>28</v>
      </c>
      <c r="E7991" s="6" t="s">
        <v>149</v>
      </c>
      <c r="F7991" s="7" t="s">
        <v>56</v>
      </c>
      <c r="G7991" s="33" t="s">
        <v>358</v>
      </c>
      <c r="H7991" s="33" t="s">
        <v>10926</v>
      </c>
      <c r="I7991" s="304">
        <v>0</v>
      </c>
      <c r="J7991" s="305">
        <v>8</v>
      </c>
      <c r="K7991" s="142">
        <v>1</v>
      </c>
      <c r="L7991" s="142">
        <v>0</v>
      </c>
      <c r="M7991" s="142">
        <v>0</v>
      </c>
      <c r="N7991" s="142">
        <v>0</v>
      </c>
      <c r="O7991" s="142">
        <v>0</v>
      </c>
      <c r="P7991" s="306">
        <v>3.9302147741363078E-2</v>
      </c>
      <c r="Q7991" s="157" t="s">
        <v>154</v>
      </c>
      <c r="R7991" s="303"/>
    </row>
    <row r="7992" spans="1:18" s="162" customFormat="1" ht="48" x14ac:dyDescent="0.25">
      <c r="A7992" s="21">
        <v>43466</v>
      </c>
      <c r="B7992" s="21">
        <v>43830</v>
      </c>
      <c r="C7992" s="43">
        <v>2019</v>
      </c>
      <c r="D7992" s="35" t="s">
        <v>28</v>
      </c>
      <c r="E7992" s="14" t="s">
        <v>29</v>
      </c>
      <c r="F7992" s="7" t="s">
        <v>25</v>
      </c>
      <c r="G7992" s="146" t="s">
        <v>2109</v>
      </c>
      <c r="H7992" s="201" t="s">
        <v>10927</v>
      </c>
      <c r="I7992" s="304">
        <v>0</v>
      </c>
      <c r="J7992" s="305">
        <v>0</v>
      </c>
      <c r="K7992" s="142">
        <v>0</v>
      </c>
      <c r="L7992" s="142">
        <v>0</v>
      </c>
      <c r="M7992" s="142">
        <v>0</v>
      </c>
      <c r="N7992" s="142">
        <v>0</v>
      </c>
      <c r="O7992" s="305">
        <v>4943</v>
      </c>
      <c r="P7992" s="306">
        <v>6.9028006399999997</v>
      </c>
      <c r="Q7992" s="157" t="s">
        <v>3556</v>
      </c>
      <c r="R7992" s="303"/>
    </row>
    <row r="7993" spans="1:18" s="162" customFormat="1" ht="36" x14ac:dyDescent="0.25">
      <c r="A7993" s="21">
        <v>43466</v>
      </c>
      <c r="B7993" s="21">
        <v>43830</v>
      </c>
      <c r="C7993" s="138">
        <v>2019</v>
      </c>
      <c r="D7993" s="35" t="s">
        <v>28</v>
      </c>
      <c r="E7993" s="14" t="s">
        <v>29</v>
      </c>
      <c r="F7993" s="7" t="s">
        <v>33</v>
      </c>
      <c r="G7993" s="146" t="s">
        <v>2109</v>
      </c>
      <c r="H7993" s="201" t="s">
        <v>10928</v>
      </c>
      <c r="I7993" s="304">
        <v>0</v>
      </c>
      <c r="J7993" s="305">
        <v>0</v>
      </c>
      <c r="K7993" s="142">
        <v>0</v>
      </c>
      <c r="L7993" s="142">
        <v>0</v>
      </c>
      <c r="M7993" s="142">
        <v>0</v>
      </c>
      <c r="N7993" s="142">
        <v>0</v>
      </c>
      <c r="O7993" s="305">
        <v>78</v>
      </c>
      <c r="P7993" s="306">
        <v>0.10892544</v>
      </c>
      <c r="Q7993" s="157" t="s">
        <v>3556</v>
      </c>
      <c r="R7993" s="303"/>
    </row>
    <row r="7994" spans="1:18" s="162" customFormat="1" ht="48" x14ac:dyDescent="0.25">
      <c r="A7994" s="21">
        <v>43466</v>
      </c>
      <c r="B7994" s="21">
        <v>43830</v>
      </c>
      <c r="C7994" s="43">
        <v>2019</v>
      </c>
      <c r="D7994" s="35" t="s">
        <v>28</v>
      </c>
      <c r="E7994" s="14" t="s">
        <v>29</v>
      </c>
      <c r="F7994" s="28" t="s">
        <v>151</v>
      </c>
      <c r="G7994" s="146" t="s">
        <v>2109</v>
      </c>
      <c r="H7994" s="201" t="s">
        <v>10929</v>
      </c>
      <c r="I7994" s="304">
        <v>0</v>
      </c>
      <c r="J7994" s="305">
        <v>0</v>
      </c>
      <c r="K7994" s="142">
        <v>0</v>
      </c>
      <c r="L7994" s="142">
        <v>0</v>
      </c>
      <c r="M7994" s="142">
        <v>0</v>
      </c>
      <c r="N7994" s="142">
        <v>0</v>
      </c>
      <c r="O7994" s="305">
        <v>14647</v>
      </c>
      <c r="P7994" s="306">
        <v>20.454242559999997</v>
      </c>
      <c r="Q7994" s="157" t="s">
        <v>3556</v>
      </c>
      <c r="R7994" s="303"/>
    </row>
    <row r="7995" spans="1:18" s="162" customFormat="1" ht="48" x14ac:dyDescent="0.25">
      <c r="A7995" s="21">
        <v>43466</v>
      </c>
      <c r="B7995" s="21">
        <v>43830</v>
      </c>
      <c r="C7995" s="138">
        <v>2019</v>
      </c>
      <c r="D7995" s="35" t="s">
        <v>28</v>
      </c>
      <c r="E7995" s="14" t="s">
        <v>29</v>
      </c>
      <c r="F7995" s="7" t="s">
        <v>36</v>
      </c>
      <c r="G7995" s="146" t="s">
        <v>2109</v>
      </c>
      <c r="H7995" s="201" t="s">
        <v>10930</v>
      </c>
      <c r="I7995" s="304">
        <v>0</v>
      </c>
      <c r="J7995" s="305">
        <v>197002</v>
      </c>
      <c r="K7995" s="142">
        <v>0</v>
      </c>
      <c r="L7995" s="142">
        <v>0</v>
      </c>
      <c r="M7995" s="142">
        <v>0</v>
      </c>
      <c r="N7995" s="142">
        <v>0</v>
      </c>
      <c r="O7995" s="305">
        <v>31197</v>
      </c>
      <c r="P7995" s="306">
        <v>67.548662020000009</v>
      </c>
      <c r="Q7995" s="157" t="s">
        <v>10931</v>
      </c>
      <c r="R7995" s="303"/>
    </row>
    <row r="7996" spans="1:18" s="162" customFormat="1" ht="48" x14ac:dyDescent="0.25">
      <c r="A7996" s="21">
        <v>43466</v>
      </c>
      <c r="B7996" s="21">
        <v>43830</v>
      </c>
      <c r="C7996" s="43">
        <v>2019</v>
      </c>
      <c r="D7996" s="35" t="s">
        <v>28</v>
      </c>
      <c r="E7996" s="14" t="s">
        <v>29</v>
      </c>
      <c r="F7996" s="7" t="s">
        <v>40</v>
      </c>
      <c r="G7996" s="146" t="s">
        <v>2109</v>
      </c>
      <c r="H7996" s="201" t="s">
        <v>10932</v>
      </c>
      <c r="I7996" s="304">
        <v>0</v>
      </c>
      <c r="J7996" s="305">
        <v>0</v>
      </c>
      <c r="K7996" s="142">
        <v>0</v>
      </c>
      <c r="L7996" s="142">
        <v>0</v>
      </c>
      <c r="M7996" s="142">
        <v>0</v>
      </c>
      <c r="N7996" s="142">
        <v>0</v>
      </c>
      <c r="O7996" s="305">
        <v>41639</v>
      </c>
      <c r="P7996" s="306">
        <v>58.148030720000001</v>
      </c>
      <c r="Q7996" s="157" t="s">
        <v>3556</v>
      </c>
      <c r="R7996" s="303"/>
    </row>
    <row r="7997" spans="1:18" s="162" customFormat="1" ht="48" x14ac:dyDescent="0.25">
      <c r="A7997" s="21">
        <v>43466</v>
      </c>
      <c r="B7997" s="21">
        <v>43830</v>
      </c>
      <c r="C7997" s="138">
        <v>2019</v>
      </c>
      <c r="D7997" s="35" t="s">
        <v>28</v>
      </c>
      <c r="E7997" s="14" t="s">
        <v>29</v>
      </c>
      <c r="F7997" s="7" t="s">
        <v>45</v>
      </c>
      <c r="G7997" s="146" t="s">
        <v>2109</v>
      </c>
      <c r="H7997" s="201" t="s">
        <v>10933</v>
      </c>
      <c r="I7997" s="304">
        <v>0</v>
      </c>
      <c r="J7997" s="305">
        <v>0</v>
      </c>
      <c r="K7997" s="142">
        <v>0</v>
      </c>
      <c r="L7997" s="142">
        <v>0</v>
      </c>
      <c r="M7997" s="142">
        <v>0</v>
      </c>
      <c r="N7997" s="142">
        <v>0</v>
      </c>
      <c r="O7997" s="305">
        <v>6847</v>
      </c>
      <c r="P7997" s="306">
        <v>9.56169856</v>
      </c>
      <c r="Q7997" s="157" t="s">
        <v>3556</v>
      </c>
      <c r="R7997" s="303"/>
    </row>
    <row r="7998" spans="1:18" s="162" customFormat="1" ht="36" x14ac:dyDescent="0.25">
      <c r="A7998" s="21">
        <v>43466</v>
      </c>
      <c r="B7998" s="21">
        <v>43830</v>
      </c>
      <c r="C7998" s="43">
        <v>2019</v>
      </c>
      <c r="D7998" s="35" t="s">
        <v>28</v>
      </c>
      <c r="E7998" s="14" t="s">
        <v>29</v>
      </c>
      <c r="F7998" s="7" t="s">
        <v>47</v>
      </c>
      <c r="G7998" s="146" t="s">
        <v>2109</v>
      </c>
      <c r="H7998" s="201" t="s">
        <v>10934</v>
      </c>
      <c r="I7998" s="304">
        <v>0</v>
      </c>
      <c r="J7998" s="305">
        <v>0</v>
      </c>
      <c r="K7998" s="142">
        <v>0</v>
      </c>
      <c r="L7998" s="142">
        <v>0</v>
      </c>
      <c r="M7998" s="142">
        <v>0</v>
      </c>
      <c r="N7998" s="142">
        <v>0</v>
      </c>
      <c r="O7998" s="305">
        <v>5279</v>
      </c>
      <c r="P7998" s="306">
        <v>7.3720179200000002</v>
      </c>
      <c r="Q7998" s="157" t="s">
        <v>3556</v>
      </c>
      <c r="R7998" s="303"/>
    </row>
    <row r="7999" spans="1:18" s="162" customFormat="1" ht="48" x14ac:dyDescent="0.25">
      <c r="A7999" s="21">
        <v>43466</v>
      </c>
      <c r="B7999" s="21">
        <v>43830</v>
      </c>
      <c r="C7999" s="138">
        <v>2019</v>
      </c>
      <c r="D7999" s="35" t="s">
        <v>28</v>
      </c>
      <c r="E7999" s="14" t="s">
        <v>29</v>
      </c>
      <c r="F7999" s="28" t="s">
        <v>157</v>
      </c>
      <c r="G7999" s="146" t="s">
        <v>2109</v>
      </c>
      <c r="H7999" s="201" t="s">
        <v>10935</v>
      </c>
      <c r="I7999" s="304">
        <v>0</v>
      </c>
      <c r="J7999" s="305">
        <v>0</v>
      </c>
      <c r="K7999" s="142">
        <v>0</v>
      </c>
      <c r="L7999" s="142">
        <v>0</v>
      </c>
      <c r="M7999" s="142">
        <v>0</v>
      </c>
      <c r="N7999" s="142">
        <v>0</v>
      </c>
      <c r="O7999" s="305">
        <v>3246</v>
      </c>
      <c r="P7999" s="306">
        <v>4.5329740799999998</v>
      </c>
      <c r="Q7999" s="157" t="s">
        <v>3556</v>
      </c>
      <c r="R7999" s="303"/>
    </row>
    <row r="8000" spans="1:18" s="162" customFormat="1" ht="48" x14ac:dyDescent="0.25">
      <c r="A8000" s="21">
        <v>43466</v>
      </c>
      <c r="B8000" s="21">
        <v>43830</v>
      </c>
      <c r="C8000" s="43">
        <v>2019</v>
      </c>
      <c r="D8000" s="35" t="s">
        <v>28</v>
      </c>
      <c r="E8000" s="14" t="s">
        <v>29</v>
      </c>
      <c r="F8000" s="7" t="s">
        <v>49</v>
      </c>
      <c r="G8000" s="146" t="s">
        <v>2109</v>
      </c>
      <c r="H8000" s="201" t="s">
        <v>10936</v>
      </c>
      <c r="I8000" s="304">
        <v>0</v>
      </c>
      <c r="J8000" s="305">
        <v>18752</v>
      </c>
      <c r="K8000" s="142">
        <v>0</v>
      </c>
      <c r="L8000" s="142">
        <v>0</v>
      </c>
      <c r="M8000" s="142">
        <v>0</v>
      </c>
      <c r="N8000" s="142">
        <v>0</v>
      </c>
      <c r="O8000" s="305">
        <v>64670</v>
      </c>
      <c r="P8000" s="306">
        <v>96.222421634</v>
      </c>
      <c r="Q8000" s="157" t="s">
        <v>10937</v>
      </c>
      <c r="R8000" s="303"/>
    </row>
    <row r="8001" spans="1:18" s="162" customFormat="1" ht="48" x14ac:dyDescent="0.25">
      <c r="A8001" s="21">
        <v>43466</v>
      </c>
      <c r="B8001" s="21">
        <v>43830</v>
      </c>
      <c r="C8001" s="138">
        <v>2019</v>
      </c>
      <c r="D8001" s="35" t="s">
        <v>28</v>
      </c>
      <c r="E8001" s="14" t="s">
        <v>29</v>
      </c>
      <c r="F8001" s="7" t="s">
        <v>56</v>
      </c>
      <c r="G8001" s="146" t="s">
        <v>2109</v>
      </c>
      <c r="H8001" s="201" t="s">
        <v>10938</v>
      </c>
      <c r="I8001" s="304">
        <v>0</v>
      </c>
      <c r="J8001" s="305">
        <v>0</v>
      </c>
      <c r="K8001" s="142">
        <v>0</v>
      </c>
      <c r="L8001" s="142">
        <v>0</v>
      </c>
      <c r="M8001" s="142">
        <v>0</v>
      </c>
      <c r="N8001" s="142">
        <v>0</v>
      </c>
      <c r="O8001" s="305">
        <v>19174</v>
      </c>
      <c r="P8001" s="306">
        <v>26.77610752</v>
      </c>
      <c r="Q8001" s="157" t="s">
        <v>3556</v>
      </c>
      <c r="R8001" s="303"/>
    </row>
    <row r="8002" spans="1:18" s="162" customFormat="1" ht="48" x14ac:dyDescent="0.25">
      <c r="A8002" s="21">
        <v>43466</v>
      </c>
      <c r="B8002" s="21">
        <v>43830</v>
      </c>
      <c r="C8002" s="43">
        <v>2019</v>
      </c>
      <c r="D8002" s="35" t="s">
        <v>28</v>
      </c>
      <c r="E8002" s="14" t="s">
        <v>29</v>
      </c>
      <c r="F8002" s="28" t="s">
        <v>160</v>
      </c>
      <c r="G8002" s="146" t="s">
        <v>2109</v>
      </c>
      <c r="H8002" s="201" t="s">
        <v>10939</v>
      </c>
      <c r="I8002" s="304">
        <v>0</v>
      </c>
      <c r="J8002" s="305">
        <v>0</v>
      </c>
      <c r="K8002" s="142">
        <v>0</v>
      </c>
      <c r="L8002" s="142">
        <v>0</v>
      </c>
      <c r="M8002" s="142">
        <v>0</v>
      </c>
      <c r="N8002" s="142">
        <v>0</v>
      </c>
      <c r="O8002" s="305">
        <v>1732</v>
      </c>
      <c r="P8002" s="306">
        <v>2.4187033599999999</v>
      </c>
      <c r="Q8002" s="157" t="s">
        <v>3556</v>
      </c>
      <c r="R8002" s="303"/>
    </row>
    <row r="8003" spans="1:18" s="162" customFormat="1" ht="48" x14ac:dyDescent="0.25">
      <c r="A8003" s="21">
        <v>43466</v>
      </c>
      <c r="B8003" s="21">
        <v>43830</v>
      </c>
      <c r="C8003" s="138">
        <v>2019</v>
      </c>
      <c r="D8003" s="35" t="s">
        <v>28</v>
      </c>
      <c r="E8003" s="14" t="s">
        <v>29</v>
      </c>
      <c r="F8003" s="7" t="s">
        <v>60</v>
      </c>
      <c r="G8003" s="146" t="s">
        <v>2109</v>
      </c>
      <c r="H8003" s="201" t="s">
        <v>10940</v>
      </c>
      <c r="I8003" s="304">
        <v>0</v>
      </c>
      <c r="J8003" s="305">
        <v>0</v>
      </c>
      <c r="K8003" s="142">
        <v>0</v>
      </c>
      <c r="L8003" s="142">
        <v>0</v>
      </c>
      <c r="M8003" s="142">
        <v>0</v>
      </c>
      <c r="N8003" s="142">
        <v>0</v>
      </c>
      <c r="O8003" s="305">
        <v>72268</v>
      </c>
      <c r="P8003" s="306">
        <v>100.92081664</v>
      </c>
      <c r="Q8003" s="157" t="s">
        <v>3556</v>
      </c>
      <c r="R8003" s="303"/>
    </row>
    <row r="8004" spans="1:18" s="162" customFormat="1" ht="48" x14ac:dyDescent="0.25">
      <c r="A8004" s="21">
        <v>43466</v>
      </c>
      <c r="B8004" s="21">
        <v>43830</v>
      </c>
      <c r="C8004" s="43">
        <v>2019</v>
      </c>
      <c r="D8004" s="35" t="s">
        <v>28</v>
      </c>
      <c r="E8004" s="14" t="s">
        <v>29</v>
      </c>
      <c r="F8004" s="7" t="s">
        <v>53</v>
      </c>
      <c r="G8004" s="146" t="s">
        <v>2109</v>
      </c>
      <c r="H8004" s="201" t="s">
        <v>10941</v>
      </c>
      <c r="I8004" s="304">
        <v>0</v>
      </c>
      <c r="J8004" s="305">
        <v>0</v>
      </c>
      <c r="K8004" s="142">
        <v>0</v>
      </c>
      <c r="L8004" s="142">
        <v>0</v>
      </c>
      <c r="M8004" s="142">
        <v>0</v>
      </c>
      <c r="N8004" s="142">
        <v>0</v>
      </c>
      <c r="O8004" s="305">
        <v>13498</v>
      </c>
      <c r="P8004" s="306">
        <v>18.849687039999999</v>
      </c>
      <c r="Q8004" s="157" t="s">
        <v>3556</v>
      </c>
      <c r="R8004" s="303"/>
    </row>
    <row r="8005" spans="1:18" s="162" customFormat="1" ht="48" x14ac:dyDescent="0.25">
      <c r="A8005" s="21">
        <v>43466</v>
      </c>
      <c r="B8005" s="21">
        <v>43830</v>
      </c>
      <c r="C8005" s="138">
        <v>2019</v>
      </c>
      <c r="D8005" s="35" t="s">
        <v>28</v>
      </c>
      <c r="E8005" s="14" t="s">
        <v>29</v>
      </c>
      <c r="F8005" s="7" t="s">
        <v>62</v>
      </c>
      <c r="G8005" s="146" t="s">
        <v>2109</v>
      </c>
      <c r="H8005" s="201" t="s">
        <v>10942</v>
      </c>
      <c r="I8005" s="304">
        <v>0</v>
      </c>
      <c r="J8005" s="305">
        <v>0</v>
      </c>
      <c r="K8005" s="142">
        <v>0</v>
      </c>
      <c r="L8005" s="142">
        <v>0</v>
      </c>
      <c r="M8005" s="142">
        <v>0</v>
      </c>
      <c r="N8005" s="142">
        <v>0</v>
      </c>
      <c r="O8005" s="305">
        <v>14353</v>
      </c>
      <c r="P8005" s="306">
        <v>20.04367744</v>
      </c>
      <c r="Q8005" s="157" t="s">
        <v>3556</v>
      </c>
      <c r="R8005" s="303"/>
    </row>
    <row r="8006" spans="1:18" s="162" customFormat="1" ht="48" x14ac:dyDescent="0.25">
      <c r="A8006" s="21">
        <v>43466</v>
      </c>
      <c r="B8006" s="21">
        <v>43830</v>
      </c>
      <c r="C8006" s="43">
        <v>2019</v>
      </c>
      <c r="D8006" s="35" t="s">
        <v>28</v>
      </c>
      <c r="E8006" s="14" t="s">
        <v>29</v>
      </c>
      <c r="F8006" s="7" t="s">
        <v>65</v>
      </c>
      <c r="G8006" s="146" t="s">
        <v>2109</v>
      </c>
      <c r="H8006" s="201" t="s">
        <v>10943</v>
      </c>
      <c r="I8006" s="304">
        <v>0</v>
      </c>
      <c r="J8006" s="305">
        <v>0</v>
      </c>
      <c r="K8006" s="142">
        <v>0</v>
      </c>
      <c r="L8006" s="142">
        <v>0</v>
      </c>
      <c r="M8006" s="142">
        <v>0</v>
      </c>
      <c r="N8006" s="142">
        <v>0</v>
      </c>
      <c r="O8006" s="305">
        <v>3618</v>
      </c>
      <c r="P8006" s="306">
        <v>5.0524646399999993</v>
      </c>
      <c r="Q8006" s="157" t="s">
        <v>3556</v>
      </c>
      <c r="R8006" s="303"/>
    </row>
    <row r="8007" spans="1:18" s="162" customFormat="1" ht="48" x14ac:dyDescent="0.25">
      <c r="A8007" s="21">
        <v>43466</v>
      </c>
      <c r="B8007" s="21">
        <v>43830</v>
      </c>
      <c r="C8007" s="138">
        <v>2019</v>
      </c>
      <c r="D8007" s="35" t="s">
        <v>28</v>
      </c>
      <c r="E8007" s="14" t="s">
        <v>29</v>
      </c>
      <c r="F8007" s="7" t="s">
        <v>67</v>
      </c>
      <c r="G8007" s="146" t="s">
        <v>2109</v>
      </c>
      <c r="H8007" s="201" t="s">
        <v>10944</v>
      </c>
      <c r="I8007" s="304">
        <v>0</v>
      </c>
      <c r="J8007" s="305">
        <v>0</v>
      </c>
      <c r="K8007" s="142">
        <v>0</v>
      </c>
      <c r="L8007" s="142">
        <v>0</v>
      </c>
      <c r="M8007" s="142">
        <v>0</v>
      </c>
      <c r="N8007" s="142">
        <v>0</v>
      </c>
      <c r="O8007" s="305">
        <v>49568</v>
      </c>
      <c r="P8007" s="306">
        <v>69.220720639999996</v>
      </c>
      <c r="Q8007" s="157" t="s">
        <v>3556</v>
      </c>
      <c r="R8007" s="303"/>
    </row>
    <row r="8008" spans="1:18" s="162" customFormat="1" ht="36" x14ac:dyDescent="0.25">
      <c r="A8008" s="21">
        <v>43466</v>
      </c>
      <c r="B8008" s="21">
        <v>43830</v>
      </c>
      <c r="C8008" s="43">
        <v>2019</v>
      </c>
      <c r="D8008" s="35" t="s">
        <v>28</v>
      </c>
      <c r="E8008" s="14" t="s">
        <v>29</v>
      </c>
      <c r="F8008" s="7" t="s">
        <v>68</v>
      </c>
      <c r="G8008" s="146" t="s">
        <v>2109</v>
      </c>
      <c r="H8008" s="201" t="s">
        <v>10945</v>
      </c>
      <c r="I8008" s="304">
        <v>0</v>
      </c>
      <c r="J8008" s="305">
        <v>0</v>
      </c>
      <c r="K8008" s="142">
        <v>0</v>
      </c>
      <c r="L8008" s="142">
        <v>0</v>
      </c>
      <c r="M8008" s="142">
        <v>0</v>
      </c>
      <c r="N8008" s="142">
        <v>0</v>
      </c>
      <c r="O8008" s="305">
        <v>946</v>
      </c>
      <c r="P8008" s="306">
        <v>1.3210700800000001</v>
      </c>
      <c r="Q8008" s="157" t="s">
        <v>3556</v>
      </c>
      <c r="R8008" s="303"/>
    </row>
    <row r="8009" spans="1:18" s="162" customFormat="1" ht="48" x14ac:dyDescent="0.25">
      <c r="A8009" s="21">
        <v>43466</v>
      </c>
      <c r="B8009" s="21">
        <v>43830</v>
      </c>
      <c r="C8009" s="138">
        <v>2019</v>
      </c>
      <c r="D8009" s="35" t="s">
        <v>28</v>
      </c>
      <c r="E8009" s="14" t="s">
        <v>29</v>
      </c>
      <c r="F8009" s="7" t="s">
        <v>72</v>
      </c>
      <c r="G8009" s="146" t="s">
        <v>2109</v>
      </c>
      <c r="H8009" s="201" t="s">
        <v>10946</v>
      </c>
      <c r="I8009" s="304">
        <v>0</v>
      </c>
      <c r="J8009" s="305">
        <v>11566</v>
      </c>
      <c r="K8009" s="142">
        <v>0</v>
      </c>
      <c r="L8009" s="142">
        <v>0</v>
      </c>
      <c r="M8009" s="142">
        <v>0</v>
      </c>
      <c r="N8009" s="142">
        <v>0</v>
      </c>
      <c r="O8009" s="305">
        <v>68624</v>
      </c>
      <c r="P8009" s="306">
        <v>113.2195483636</v>
      </c>
      <c r="Q8009" s="157" t="s">
        <v>10937</v>
      </c>
      <c r="R8009" s="303"/>
    </row>
    <row r="8010" spans="1:18" s="162" customFormat="1" ht="48" x14ac:dyDescent="0.25">
      <c r="A8010" s="21">
        <v>43466</v>
      </c>
      <c r="B8010" s="21">
        <v>43830</v>
      </c>
      <c r="C8010" s="43">
        <v>2019</v>
      </c>
      <c r="D8010" s="35" t="s">
        <v>28</v>
      </c>
      <c r="E8010" s="14" t="s">
        <v>29</v>
      </c>
      <c r="F8010" s="7" t="s">
        <v>75</v>
      </c>
      <c r="G8010" s="146" t="s">
        <v>2109</v>
      </c>
      <c r="H8010" s="201" t="s">
        <v>10947</v>
      </c>
      <c r="I8010" s="304">
        <v>0</v>
      </c>
      <c r="J8010" s="305">
        <v>0</v>
      </c>
      <c r="K8010" s="142">
        <v>0</v>
      </c>
      <c r="L8010" s="142">
        <v>0</v>
      </c>
      <c r="M8010" s="142">
        <v>0</v>
      </c>
      <c r="N8010" s="142">
        <v>0</v>
      </c>
      <c r="O8010" s="305">
        <v>18727</v>
      </c>
      <c r="P8010" s="306">
        <v>26.15188096</v>
      </c>
      <c r="Q8010" s="157" t="s">
        <v>3556</v>
      </c>
      <c r="R8010" s="303"/>
    </row>
    <row r="8011" spans="1:18" s="162" customFormat="1" ht="48" x14ac:dyDescent="0.25">
      <c r="A8011" s="21">
        <v>43466</v>
      </c>
      <c r="B8011" s="21">
        <v>43830</v>
      </c>
      <c r="C8011" s="138">
        <v>2019</v>
      </c>
      <c r="D8011" s="35" t="s">
        <v>28</v>
      </c>
      <c r="E8011" s="14" t="s">
        <v>29</v>
      </c>
      <c r="F8011" s="7" t="s">
        <v>77</v>
      </c>
      <c r="G8011" s="146" t="s">
        <v>2109</v>
      </c>
      <c r="H8011" s="201" t="s">
        <v>10948</v>
      </c>
      <c r="I8011" s="304">
        <v>0</v>
      </c>
      <c r="J8011" s="305">
        <v>0</v>
      </c>
      <c r="K8011" s="142">
        <v>0</v>
      </c>
      <c r="L8011" s="142">
        <v>0</v>
      </c>
      <c r="M8011" s="142">
        <v>0</v>
      </c>
      <c r="N8011" s="142">
        <v>0</v>
      </c>
      <c r="O8011" s="305">
        <v>4877</v>
      </c>
      <c r="P8011" s="306">
        <v>6.8106329600000004</v>
      </c>
      <c r="Q8011" s="157" t="s">
        <v>3556</v>
      </c>
      <c r="R8011" s="303"/>
    </row>
    <row r="8012" spans="1:18" s="162" customFormat="1" ht="48" x14ac:dyDescent="0.25">
      <c r="A8012" s="21">
        <v>43466</v>
      </c>
      <c r="B8012" s="21">
        <v>43830</v>
      </c>
      <c r="C8012" s="43">
        <v>2019</v>
      </c>
      <c r="D8012" s="35" t="s">
        <v>28</v>
      </c>
      <c r="E8012" s="14" t="s">
        <v>29</v>
      </c>
      <c r="F8012" s="7" t="s">
        <v>80</v>
      </c>
      <c r="G8012" s="146" t="s">
        <v>2109</v>
      </c>
      <c r="H8012" s="201" t="s">
        <v>10949</v>
      </c>
      <c r="I8012" s="304">
        <v>0</v>
      </c>
      <c r="J8012" s="305">
        <v>0</v>
      </c>
      <c r="K8012" s="142">
        <v>0</v>
      </c>
      <c r="L8012" s="142">
        <v>0</v>
      </c>
      <c r="M8012" s="142">
        <v>0</v>
      </c>
      <c r="N8012" s="142">
        <v>0</v>
      </c>
      <c r="O8012" s="305">
        <v>12795</v>
      </c>
      <c r="P8012" s="306">
        <v>17.867961600000001</v>
      </c>
      <c r="Q8012" s="157" t="s">
        <v>3556</v>
      </c>
      <c r="R8012" s="303"/>
    </row>
    <row r="8013" spans="1:18" s="162" customFormat="1" ht="48" x14ac:dyDescent="0.25">
      <c r="A8013" s="21">
        <v>43466</v>
      </c>
      <c r="B8013" s="21">
        <v>43830</v>
      </c>
      <c r="C8013" s="138">
        <v>2019</v>
      </c>
      <c r="D8013" s="35" t="s">
        <v>28</v>
      </c>
      <c r="E8013" s="14" t="s">
        <v>29</v>
      </c>
      <c r="F8013" s="7" t="s">
        <v>82</v>
      </c>
      <c r="G8013" s="146" t="s">
        <v>2109</v>
      </c>
      <c r="H8013" s="201" t="s">
        <v>10950</v>
      </c>
      <c r="I8013" s="304">
        <v>0</v>
      </c>
      <c r="J8013" s="305">
        <v>0</v>
      </c>
      <c r="K8013" s="142">
        <v>0</v>
      </c>
      <c r="L8013" s="142">
        <v>0</v>
      </c>
      <c r="M8013" s="142">
        <v>0</v>
      </c>
      <c r="N8013" s="142">
        <v>0</v>
      </c>
      <c r="O8013" s="305">
        <v>23932</v>
      </c>
      <c r="P8013" s="306">
        <v>33.420559359999999</v>
      </c>
      <c r="Q8013" s="157" t="s">
        <v>3556</v>
      </c>
      <c r="R8013" s="303"/>
    </row>
    <row r="8014" spans="1:18" s="162" customFormat="1" ht="36" x14ac:dyDescent="0.25">
      <c r="A8014" s="21">
        <v>43466</v>
      </c>
      <c r="B8014" s="21">
        <v>43830</v>
      </c>
      <c r="C8014" s="43">
        <v>2019</v>
      </c>
      <c r="D8014" s="35" t="s">
        <v>28</v>
      </c>
      <c r="E8014" s="14" t="s">
        <v>29</v>
      </c>
      <c r="F8014" s="7" t="s">
        <v>84</v>
      </c>
      <c r="G8014" s="146" t="s">
        <v>2109</v>
      </c>
      <c r="H8014" s="201" t="s">
        <v>10951</v>
      </c>
      <c r="I8014" s="304">
        <v>0</v>
      </c>
      <c r="J8014" s="305">
        <v>0</v>
      </c>
      <c r="K8014" s="142">
        <v>0</v>
      </c>
      <c r="L8014" s="142">
        <v>0</v>
      </c>
      <c r="M8014" s="142">
        <v>0</v>
      </c>
      <c r="N8014" s="142">
        <v>0</v>
      </c>
      <c r="O8014" s="305">
        <v>7850</v>
      </c>
      <c r="P8014" s="306">
        <v>10.962368</v>
      </c>
      <c r="Q8014" s="157" t="s">
        <v>3556</v>
      </c>
      <c r="R8014" s="303"/>
    </row>
    <row r="8015" spans="1:18" s="162" customFormat="1" ht="48" x14ac:dyDescent="0.25">
      <c r="A8015" s="21">
        <v>43466</v>
      </c>
      <c r="B8015" s="21">
        <v>43830</v>
      </c>
      <c r="C8015" s="138">
        <v>2019</v>
      </c>
      <c r="D8015" s="35" t="s">
        <v>28</v>
      </c>
      <c r="E8015" s="14" t="s">
        <v>29</v>
      </c>
      <c r="F8015" s="7" t="s">
        <v>87</v>
      </c>
      <c r="G8015" s="146" t="s">
        <v>2109</v>
      </c>
      <c r="H8015" s="201" t="s">
        <v>10952</v>
      </c>
      <c r="I8015" s="304">
        <v>0</v>
      </c>
      <c r="J8015" s="305">
        <v>0</v>
      </c>
      <c r="K8015" s="142">
        <v>0</v>
      </c>
      <c r="L8015" s="142">
        <v>0</v>
      </c>
      <c r="M8015" s="142">
        <v>0</v>
      </c>
      <c r="N8015" s="142">
        <v>0</v>
      </c>
      <c r="O8015" s="305">
        <v>24373</v>
      </c>
      <c r="P8015" s="306">
        <v>34.03640704</v>
      </c>
      <c r="Q8015" s="157" t="s">
        <v>3556</v>
      </c>
      <c r="R8015" s="303"/>
    </row>
    <row r="8016" spans="1:18" s="162" customFormat="1" ht="36" x14ac:dyDescent="0.25">
      <c r="A8016" s="21">
        <v>43466</v>
      </c>
      <c r="B8016" s="21">
        <v>43830</v>
      </c>
      <c r="C8016" s="43">
        <v>2019</v>
      </c>
      <c r="D8016" s="35" t="s">
        <v>28</v>
      </c>
      <c r="E8016" s="14" t="s">
        <v>29</v>
      </c>
      <c r="F8016" s="25" t="s">
        <v>781</v>
      </c>
      <c r="G8016" s="146" t="s">
        <v>2109</v>
      </c>
      <c r="H8016" s="201" t="s">
        <v>10953</v>
      </c>
      <c r="I8016" s="304">
        <v>0</v>
      </c>
      <c r="J8016" s="305">
        <v>0</v>
      </c>
      <c r="K8016" s="142">
        <v>0</v>
      </c>
      <c r="L8016" s="142">
        <v>0</v>
      </c>
      <c r="M8016" s="142">
        <v>0</v>
      </c>
      <c r="N8016" s="142">
        <v>0</v>
      </c>
      <c r="O8016" s="305">
        <v>5844</v>
      </c>
      <c r="P8016" s="306">
        <v>8.1610291200000002</v>
      </c>
      <c r="Q8016" s="157" t="s">
        <v>3556</v>
      </c>
      <c r="R8016" s="303"/>
    </row>
    <row r="8017" spans="1:18" s="162" customFormat="1" ht="48" x14ac:dyDescent="0.25">
      <c r="A8017" s="21">
        <v>43466</v>
      </c>
      <c r="B8017" s="21">
        <v>43830</v>
      </c>
      <c r="C8017" s="138">
        <v>2019</v>
      </c>
      <c r="D8017" s="35" t="s">
        <v>28</v>
      </c>
      <c r="E8017" s="14" t="s">
        <v>29</v>
      </c>
      <c r="F8017" s="7" t="s">
        <v>91</v>
      </c>
      <c r="G8017" s="146" t="s">
        <v>2109</v>
      </c>
      <c r="H8017" s="201" t="s">
        <v>10954</v>
      </c>
      <c r="I8017" s="304">
        <v>0</v>
      </c>
      <c r="J8017" s="305">
        <v>0</v>
      </c>
      <c r="K8017" s="142">
        <v>0</v>
      </c>
      <c r="L8017" s="142">
        <v>0</v>
      </c>
      <c r="M8017" s="142">
        <v>0</v>
      </c>
      <c r="N8017" s="142">
        <v>0</v>
      </c>
      <c r="O8017" s="305">
        <v>6221</v>
      </c>
      <c r="P8017" s="306">
        <v>8.6875020799999998</v>
      </c>
      <c r="Q8017" s="157" t="s">
        <v>3556</v>
      </c>
      <c r="R8017" s="303"/>
    </row>
    <row r="8018" spans="1:18" s="162" customFormat="1" ht="48" x14ac:dyDescent="0.25">
      <c r="A8018" s="21">
        <v>43466</v>
      </c>
      <c r="B8018" s="21">
        <v>43830</v>
      </c>
      <c r="C8018" s="43">
        <v>2019</v>
      </c>
      <c r="D8018" s="35" t="s">
        <v>28</v>
      </c>
      <c r="E8018" s="14" t="s">
        <v>29</v>
      </c>
      <c r="F8018" s="7" t="s">
        <v>97</v>
      </c>
      <c r="G8018" s="146" t="s">
        <v>2109</v>
      </c>
      <c r="H8018" s="201" t="s">
        <v>10955</v>
      </c>
      <c r="I8018" s="304">
        <v>0</v>
      </c>
      <c r="J8018" s="305">
        <v>0</v>
      </c>
      <c r="K8018" s="142">
        <v>0</v>
      </c>
      <c r="L8018" s="142">
        <v>0</v>
      </c>
      <c r="M8018" s="142">
        <v>0</v>
      </c>
      <c r="N8018" s="142">
        <v>0</v>
      </c>
      <c r="O8018" s="305">
        <v>3340</v>
      </c>
      <c r="P8018" s="306">
        <v>4.6642432000000005</v>
      </c>
      <c r="Q8018" s="157" t="s">
        <v>3556</v>
      </c>
      <c r="R8018" s="303"/>
    </row>
    <row r="8019" spans="1:18" s="162" customFormat="1" ht="48" x14ac:dyDescent="0.25">
      <c r="A8019" s="21">
        <v>43466</v>
      </c>
      <c r="B8019" s="21">
        <v>43830</v>
      </c>
      <c r="C8019" s="138">
        <v>2019</v>
      </c>
      <c r="D8019" s="35" t="s">
        <v>28</v>
      </c>
      <c r="E8019" s="14" t="s">
        <v>29</v>
      </c>
      <c r="F8019" s="28" t="s">
        <v>163</v>
      </c>
      <c r="G8019" s="146" t="s">
        <v>2109</v>
      </c>
      <c r="H8019" s="201" t="s">
        <v>10956</v>
      </c>
      <c r="I8019" s="304">
        <v>0</v>
      </c>
      <c r="J8019" s="305">
        <v>0</v>
      </c>
      <c r="K8019" s="142">
        <v>0</v>
      </c>
      <c r="L8019" s="142">
        <v>0</v>
      </c>
      <c r="M8019" s="142">
        <v>0</v>
      </c>
      <c r="N8019" s="142">
        <v>0</v>
      </c>
      <c r="O8019" s="305">
        <v>5691</v>
      </c>
      <c r="P8019" s="306">
        <v>7.9473676799999993</v>
      </c>
      <c r="Q8019" s="157" t="s">
        <v>3556</v>
      </c>
      <c r="R8019" s="303"/>
    </row>
    <row r="8020" spans="1:18" s="162" customFormat="1" ht="48" x14ac:dyDescent="0.25">
      <c r="A8020" s="21">
        <v>43466</v>
      </c>
      <c r="B8020" s="21">
        <v>43830</v>
      </c>
      <c r="C8020" s="43">
        <v>2019</v>
      </c>
      <c r="D8020" s="35" t="s">
        <v>28</v>
      </c>
      <c r="E8020" s="14" t="s">
        <v>29</v>
      </c>
      <c r="F8020" s="7" t="s">
        <v>101</v>
      </c>
      <c r="G8020" s="146" t="s">
        <v>2109</v>
      </c>
      <c r="H8020" s="201" t="s">
        <v>10957</v>
      </c>
      <c r="I8020" s="304">
        <v>0</v>
      </c>
      <c r="J8020" s="305">
        <v>0</v>
      </c>
      <c r="K8020" s="142">
        <v>0</v>
      </c>
      <c r="L8020" s="142">
        <v>0</v>
      </c>
      <c r="M8020" s="142">
        <v>0</v>
      </c>
      <c r="N8020" s="142">
        <v>0</v>
      </c>
      <c r="O8020" s="305">
        <v>9709</v>
      </c>
      <c r="P8020" s="306">
        <v>13.55842432</v>
      </c>
      <c r="Q8020" s="157" t="s">
        <v>3556</v>
      </c>
      <c r="R8020" s="303"/>
    </row>
    <row r="8021" spans="1:18" s="162" customFormat="1" ht="36" x14ac:dyDescent="0.25">
      <c r="A8021" s="277">
        <v>43466</v>
      </c>
      <c r="B8021" s="277">
        <v>43830</v>
      </c>
      <c r="C8021" s="138">
        <v>2019</v>
      </c>
      <c r="D8021" s="351" t="s">
        <v>23</v>
      </c>
      <c r="E8021" s="22" t="s">
        <v>42</v>
      </c>
      <c r="F8021" s="7" t="s">
        <v>30</v>
      </c>
      <c r="G8021" s="146" t="s">
        <v>2109</v>
      </c>
      <c r="H8021" s="206" t="s">
        <v>10958</v>
      </c>
      <c r="I8021" s="304">
        <v>0</v>
      </c>
      <c r="J8021" s="305">
        <v>9</v>
      </c>
      <c r="K8021" s="142">
        <v>0</v>
      </c>
      <c r="L8021" s="142">
        <v>0</v>
      </c>
      <c r="M8021" s="142">
        <v>0</v>
      </c>
      <c r="N8021" s="142">
        <v>0</v>
      </c>
      <c r="O8021" s="142">
        <v>0</v>
      </c>
      <c r="P8021" s="306">
        <v>0</v>
      </c>
      <c r="Q8021" s="157" t="s">
        <v>2218</v>
      </c>
      <c r="R8021" s="303"/>
    </row>
    <row r="8022" spans="1:18" s="162" customFormat="1" ht="48" x14ac:dyDescent="0.25">
      <c r="A8022" s="277">
        <v>43466</v>
      </c>
      <c r="B8022" s="277">
        <v>43830</v>
      </c>
      <c r="C8022" s="43">
        <v>2019</v>
      </c>
      <c r="D8022" s="351" t="s">
        <v>23</v>
      </c>
      <c r="E8022" s="22" t="s">
        <v>42</v>
      </c>
      <c r="F8022" s="7" t="s">
        <v>40</v>
      </c>
      <c r="G8022" s="146" t="s">
        <v>2109</v>
      </c>
      <c r="H8022" s="206" t="s">
        <v>10959</v>
      </c>
      <c r="I8022" s="304">
        <v>18</v>
      </c>
      <c r="J8022" s="305">
        <v>148</v>
      </c>
      <c r="K8022" s="142">
        <v>0</v>
      </c>
      <c r="L8022" s="142">
        <v>0</v>
      </c>
      <c r="M8022" s="142">
        <v>0</v>
      </c>
      <c r="N8022" s="142">
        <v>0</v>
      </c>
      <c r="O8022" s="142">
        <v>0</v>
      </c>
      <c r="P8022" s="306">
        <v>0</v>
      </c>
      <c r="Q8022" s="157" t="s">
        <v>2218</v>
      </c>
      <c r="R8022" s="303"/>
    </row>
    <row r="8023" spans="1:18" s="162" customFormat="1" ht="36" x14ac:dyDescent="0.25">
      <c r="A8023" s="277">
        <v>43466</v>
      </c>
      <c r="B8023" s="277">
        <v>43830</v>
      </c>
      <c r="C8023" s="138">
        <v>2019</v>
      </c>
      <c r="D8023" s="351" t="s">
        <v>23</v>
      </c>
      <c r="E8023" s="22" t="s">
        <v>42</v>
      </c>
      <c r="F8023" s="7" t="s">
        <v>87</v>
      </c>
      <c r="G8023" s="146" t="s">
        <v>2109</v>
      </c>
      <c r="H8023" s="206" t="s">
        <v>10960</v>
      </c>
      <c r="I8023" s="304">
        <v>2</v>
      </c>
      <c r="J8023" s="305">
        <v>9</v>
      </c>
      <c r="K8023" s="142">
        <v>0</v>
      </c>
      <c r="L8023" s="142">
        <v>0</v>
      </c>
      <c r="M8023" s="142">
        <v>0</v>
      </c>
      <c r="N8023" s="142">
        <v>0</v>
      </c>
      <c r="O8023" s="142">
        <v>0</v>
      </c>
      <c r="P8023" s="306">
        <v>0</v>
      </c>
      <c r="Q8023" s="157" t="s">
        <v>2218</v>
      </c>
      <c r="R8023" s="303"/>
    </row>
    <row r="8024" spans="1:18" s="162" customFormat="1" ht="36" x14ac:dyDescent="0.25">
      <c r="A8024" s="277">
        <v>43466</v>
      </c>
      <c r="B8024" s="277">
        <v>43830</v>
      </c>
      <c r="C8024" s="43">
        <v>2019</v>
      </c>
      <c r="D8024" s="351" t="s">
        <v>23</v>
      </c>
      <c r="E8024" s="22" t="s">
        <v>42</v>
      </c>
      <c r="F8024" s="7" t="s">
        <v>49</v>
      </c>
      <c r="G8024" s="146" t="s">
        <v>2109</v>
      </c>
      <c r="H8024" s="206" t="s">
        <v>10961</v>
      </c>
      <c r="I8024" s="304">
        <v>4</v>
      </c>
      <c r="J8024" s="305">
        <v>11</v>
      </c>
      <c r="K8024" s="142">
        <v>0</v>
      </c>
      <c r="L8024" s="142">
        <v>0</v>
      </c>
      <c r="M8024" s="142">
        <v>0</v>
      </c>
      <c r="N8024" s="142">
        <v>0</v>
      </c>
      <c r="O8024" s="142">
        <v>0</v>
      </c>
      <c r="P8024" s="306">
        <v>0</v>
      </c>
      <c r="Q8024" s="157" t="s">
        <v>2218</v>
      </c>
      <c r="R8024" s="303"/>
    </row>
    <row r="8025" spans="1:18" s="162" customFormat="1" ht="24" x14ac:dyDescent="0.25">
      <c r="A8025" s="277">
        <v>43466</v>
      </c>
      <c r="B8025" s="277">
        <v>43830</v>
      </c>
      <c r="C8025" s="138">
        <v>2019</v>
      </c>
      <c r="D8025" s="351" t="s">
        <v>23</v>
      </c>
      <c r="E8025" s="22" t="s">
        <v>42</v>
      </c>
      <c r="F8025" s="7" t="s">
        <v>68</v>
      </c>
      <c r="G8025" s="146" t="s">
        <v>2109</v>
      </c>
      <c r="H8025" s="206" t="s">
        <v>10962</v>
      </c>
      <c r="I8025" s="304">
        <v>0</v>
      </c>
      <c r="J8025" s="305">
        <v>2</v>
      </c>
      <c r="K8025" s="142">
        <v>0</v>
      </c>
      <c r="L8025" s="142">
        <v>0</v>
      </c>
      <c r="M8025" s="142">
        <v>0</v>
      </c>
      <c r="N8025" s="142">
        <v>0</v>
      </c>
      <c r="O8025" s="142">
        <v>0</v>
      </c>
      <c r="P8025" s="306">
        <v>0</v>
      </c>
      <c r="Q8025" s="157" t="s">
        <v>2218</v>
      </c>
      <c r="R8025" s="303"/>
    </row>
    <row r="8026" spans="1:18" s="162" customFormat="1" ht="24" x14ac:dyDescent="0.25">
      <c r="A8026" s="277">
        <v>43466</v>
      </c>
      <c r="B8026" s="277">
        <v>43830</v>
      </c>
      <c r="C8026" s="43">
        <v>2019</v>
      </c>
      <c r="D8026" s="351" t="s">
        <v>23</v>
      </c>
      <c r="E8026" s="22" t="s">
        <v>42</v>
      </c>
      <c r="F8026" s="7" t="s">
        <v>91</v>
      </c>
      <c r="G8026" s="146" t="s">
        <v>2109</v>
      </c>
      <c r="H8026" s="206" t="s">
        <v>10963</v>
      </c>
      <c r="I8026" s="304">
        <v>0</v>
      </c>
      <c r="J8026" s="305">
        <v>2</v>
      </c>
      <c r="K8026" s="142">
        <v>0</v>
      </c>
      <c r="L8026" s="142">
        <v>0</v>
      </c>
      <c r="M8026" s="142">
        <v>0</v>
      </c>
      <c r="N8026" s="142">
        <v>0</v>
      </c>
      <c r="O8026" s="142">
        <v>0</v>
      </c>
      <c r="P8026" s="306">
        <v>0</v>
      </c>
      <c r="Q8026" s="157" t="s">
        <v>2218</v>
      </c>
      <c r="R8026" s="303"/>
    </row>
    <row r="8027" spans="1:18" s="162" customFormat="1" ht="36" x14ac:dyDescent="0.25">
      <c r="A8027" s="277">
        <v>43466</v>
      </c>
      <c r="B8027" s="277">
        <v>43830</v>
      </c>
      <c r="C8027" s="138">
        <v>2019</v>
      </c>
      <c r="D8027" s="351" t="s">
        <v>23</v>
      </c>
      <c r="E8027" s="22" t="s">
        <v>42</v>
      </c>
      <c r="F8027" s="7" t="s">
        <v>82</v>
      </c>
      <c r="G8027" s="146" t="s">
        <v>2109</v>
      </c>
      <c r="H8027" s="206" t="s">
        <v>10964</v>
      </c>
      <c r="I8027" s="304">
        <v>2</v>
      </c>
      <c r="J8027" s="305">
        <v>14</v>
      </c>
      <c r="K8027" s="142">
        <v>0</v>
      </c>
      <c r="L8027" s="142">
        <v>0</v>
      </c>
      <c r="M8027" s="142">
        <v>0</v>
      </c>
      <c r="N8027" s="142">
        <v>0</v>
      </c>
      <c r="O8027" s="142">
        <v>0</v>
      </c>
      <c r="P8027" s="306">
        <v>0</v>
      </c>
      <c r="Q8027" s="157" t="s">
        <v>2218</v>
      </c>
      <c r="R8027" s="303"/>
    </row>
    <row r="8028" spans="1:18" s="162" customFormat="1" ht="24" x14ac:dyDescent="0.25">
      <c r="A8028" s="277">
        <v>43466</v>
      </c>
      <c r="B8028" s="277">
        <v>43830</v>
      </c>
      <c r="C8028" s="43">
        <v>2019</v>
      </c>
      <c r="D8028" s="351" t="s">
        <v>23</v>
      </c>
      <c r="E8028" s="22" t="s">
        <v>42</v>
      </c>
      <c r="F8028" s="28" t="s">
        <v>160</v>
      </c>
      <c r="G8028" s="146" t="s">
        <v>2109</v>
      </c>
      <c r="H8028" s="206" t="s">
        <v>10965</v>
      </c>
      <c r="I8028" s="304">
        <v>0</v>
      </c>
      <c r="J8028" s="305">
        <v>5</v>
      </c>
      <c r="K8028" s="142">
        <v>0</v>
      </c>
      <c r="L8028" s="142">
        <v>0</v>
      </c>
      <c r="M8028" s="142">
        <v>0</v>
      </c>
      <c r="N8028" s="142">
        <v>0</v>
      </c>
      <c r="O8028" s="142">
        <v>0</v>
      </c>
      <c r="P8028" s="306">
        <v>0</v>
      </c>
      <c r="Q8028" s="157" t="s">
        <v>2218</v>
      </c>
      <c r="R8028" s="303"/>
    </row>
    <row r="8029" spans="1:18" s="162" customFormat="1" x14ac:dyDescent="0.25">
      <c r="A8029" s="277">
        <v>43466</v>
      </c>
      <c r="B8029" s="277">
        <v>43830</v>
      </c>
      <c r="C8029" s="138">
        <v>2019</v>
      </c>
      <c r="D8029" s="351" t="s">
        <v>23</v>
      </c>
      <c r="E8029" s="22" t="s">
        <v>42</v>
      </c>
      <c r="F8029" s="7" t="s">
        <v>101</v>
      </c>
      <c r="G8029" s="146" t="s">
        <v>2109</v>
      </c>
      <c r="H8029" s="206" t="s">
        <v>10966</v>
      </c>
      <c r="I8029" s="304">
        <v>0</v>
      </c>
      <c r="J8029" s="305">
        <v>1</v>
      </c>
      <c r="K8029" s="142">
        <v>0</v>
      </c>
      <c r="L8029" s="142">
        <v>0</v>
      </c>
      <c r="M8029" s="142">
        <v>0</v>
      </c>
      <c r="N8029" s="142">
        <v>0</v>
      </c>
      <c r="O8029" s="142">
        <v>0</v>
      </c>
      <c r="P8029" s="306">
        <v>0</v>
      </c>
      <c r="Q8029" s="157" t="s">
        <v>2218</v>
      </c>
      <c r="R8029" s="303"/>
    </row>
    <row r="8030" spans="1:18" s="162" customFormat="1" x14ac:dyDescent="0.25">
      <c r="A8030" s="277">
        <v>43466</v>
      </c>
      <c r="B8030" s="277">
        <v>43830</v>
      </c>
      <c r="C8030" s="43">
        <v>2019</v>
      </c>
      <c r="D8030" s="351" t="s">
        <v>23</v>
      </c>
      <c r="E8030" s="22" t="s">
        <v>42</v>
      </c>
      <c r="F8030" s="7" t="s">
        <v>65</v>
      </c>
      <c r="G8030" s="146" t="s">
        <v>2109</v>
      </c>
      <c r="H8030" s="206" t="s">
        <v>10967</v>
      </c>
      <c r="I8030" s="304">
        <v>0</v>
      </c>
      <c r="J8030" s="305">
        <v>1</v>
      </c>
      <c r="K8030" s="142">
        <v>0</v>
      </c>
      <c r="L8030" s="142">
        <v>0</v>
      </c>
      <c r="M8030" s="142">
        <v>0</v>
      </c>
      <c r="N8030" s="142">
        <v>0</v>
      </c>
      <c r="O8030" s="142">
        <v>0</v>
      </c>
      <c r="P8030" s="306">
        <v>0</v>
      </c>
      <c r="Q8030" s="157" t="s">
        <v>2218</v>
      </c>
      <c r="R8030" s="303"/>
    </row>
    <row r="8031" spans="1:18" s="162" customFormat="1" ht="24" x14ac:dyDescent="0.25">
      <c r="A8031" s="277">
        <v>43466</v>
      </c>
      <c r="B8031" s="277">
        <v>43830</v>
      </c>
      <c r="C8031" s="138">
        <v>2019</v>
      </c>
      <c r="D8031" s="351" t="s">
        <v>23</v>
      </c>
      <c r="E8031" s="22" t="s">
        <v>42</v>
      </c>
      <c r="F8031" s="7" t="s">
        <v>60</v>
      </c>
      <c r="G8031" s="146" t="s">
        <v>2109</v>
      </c>
      <c r="H8031" s="206" t="s">
        <v>10968</v>
      </c>
      <c r="I8031" s="304">
        <v>0</v>
      </c>
      <c r="J8031" s="305">
        <v>3</v>
      </c>
      <c r="K8031" s="142">
        <v>0</v>
      </c>
      <c r="L8031" s="142">
        <v>0</v>
      </c>
      <c r="M8031" s="142">
        <v>0</v>
      </c>
      <c r="N8031" s="142">
        <v>0</v>
      </c>
      <c r="O8031" s="142">
        <v>0</v>
      </c>
      <c r="P8031" s="306">
        <v>0</v>
      </c>
      <c r="Q8031" s="157" t="s">
        <v>2218</v>
      </c>
      <c r="R8031" s="303"/>
    </row>
    <row r="8032" spans="1:18" s="162" customFormat="1" ht="48" x14ac:dyDescent="0.25">
      <c r="A8032" s="277">
        <v>43466</v>
      </c>
      <c r="B8032" s="277">
        <v>43830</v>
      </c>
      <c r="C8032" s="43">
        <v>2019</v>
      </c>
      <c r="D8032" s="351" t="s">
        <v>23</v>
      </c>
      <c r="E8032" s="28" t="s">
        <v>327</v>
      </c>
      <c r="F8032" s="7" t="s">
        <v>87</v>
      </c>
      <c r="G8032" s="146" t="s">
        <v>2109</v>
      </c>
      <c r="H8032" s="206" t="s">
        <v>10969</v>
      </c>
      <c r="I8032" s="304">
        <v>10</v>
      </c>
      <c r="J8032" s="305">
        <v>337</v>
      </c>
      <c r="K8032" s="142">
        <v>0</v>
      </c>
      <c r="L8032" s="142">
        <v>0</v>
      </c>
      <c r="M8032" s="142">
        <v>0</v>
      </c>
      <c r="N8032" s="142">
        <v>0</v>
      </c>
      <c r="O8032" s="142">
        <v>0</v>
      </c>
      <c r="P8032" s="306">
        <v>0</v>
      </c>
      <c r="Q8032" s="157" t="s">
        <v>2218</v>
      </c>
      <c r="R8032" s="303"/>
    </row>
    <row r="8033" spans="1:18" s="162" customFormat="1" ht="36" x14ac:dyDescent="0.25">
      <c r="A8033" s="277">
        <v>43466</v>
      </c>
      <c r="B8033" s="277">
        <v>43830</v>
      </c>
      <c r="C8033" s="138">
        <v>2019</v>
      </c>
      <c r="D8033" s="351" t="s">
        <v>23</v>
      </c>
      <c r="E8033" s="28" t="s">
        <v>327</v>
      </c>
      <c r="F8033" s="25" t="s">
        <v>781</v>
      </c>
      <c r="G8033" s="146" t="s">
        <v>2109</v>
      </c>
      <c r="H8033" s="206" t="s">
        <v>10970</v>
      </c>
      <c r="I8033" s="304">
        <v>0</v>
      </c>
      <c r="J8033" s="305">
        <v>62</v>
      </c>
      <c r="K8033" s="142">
        <v>0</v>
      </c>
      <c r="L8033" s="142">
        <v>0</v>
      </c>
      <c r="M8033" s="142">
        <v>0</v>
      </c>
      <c r="N8033" s="142">
        <v>0</v>
      </c>
      <c r="O8033" s="142">
        <v>0</v>
      </c>
      <c r="P8033" s="306">
        <v>0</v>
      </c>
      <c r="Q8033" s="157" t="s">
        <v>2218</v>
      </c>
      <c r="R8033" s="303"/>
    </row>
    <row r="8034" spans="1:18" s="162" customFormat="1" ht="36" x14ac:dyDescent="0.25">
      <c r="A8034" s="277">
        <v>43466</v>
      </c>
      <c r="B8034" s="277">
        <v>43830</v>
      </c>
      <c r="C8034" s="43">
        <v>2019</v>
      </c>
      <c r="D8034" s="351" t="s">
        <v>23</v>
      </c>
      <c r="E8034" s="28" t="s">
        <v>327</v>
      </c>
      <c r="F8034" s="28" t="s">
        <v>210</v>
      </c>
      <c r="G8034" s="146" t="s">
        <v>2109</v>
      </c>
      <c r="H8034" s="206" t="s">
        <v>10971</v>
      </c>
      <c r="I8034" s="304">
        <v>0</v>
      </c>
      <c r="J8034" s="305">
        <v>56</v>
      </c>
      <c r="K8034" s="142">
        <v>0</v>
      </c>
      <c r="L8034" s="142">
        <v>0</v>
      </c>
      <c r="M8034" s="142">
        <v>0</v>
      </c>
      <c r="N8034" s="142">
        <v>0</v>
      </c>
      <c r="O8034" s="142">
        <v>0</v>
      </c>
      <c r="P8034" s="306">
        <v>0</v>
      </c>
      <c r="Q8034" s="157" t="s">
        <v>2218</v>
      </c>
      <c r="R8034" s="303"/>
    </row>
    <row r="8035" spans="1:18" s="162" customFormat="1" ht="48" x14ac:dyDescent="0.25">
      <c r="A8035" s="277">
        <v>43466</v>
      </c>
      <c r="B8035" s="277">
        <v>43830</v>
      </c>
      <c r="C8035" s="138">
        <v>2019</v>
      </c>
      <c r="D8035" s="351" t="s">
        <v>23</v>
      </c>
      <c r="E8035" s="28" t="s">
        <v>327</v>
      </c>
      <c r="F8035" s="7" t="s">
        <v>30</v>
      </c>
      <c r="G8035" s="146" t="s">
        <v>2109</v>
      </c>
      <c r="H8035" s="206" t="s">
        <v>10972</v>
      </c>
      <c r="I8035" s="304">
        <v>13</v>
      </c>
      <c r="J8035" s="305">
        <v>69</v>
      </c>
      <c r="K8035" s="142">
        <v>0</v>
      </c>
      <c r="L8035" s="142">
        <v>0</v>
      </c>
      <c r="M8035" s="142">
        <v>0</v>
      </c>
      <c r="N8035" s="142">
        <v>0</v>
      </c>
      <c r="O8035" s="142">
        <v>0</v>
      </c>
      <c r="P8035" s="306">
        <v>0</v>
      </c>
      <c r="Q8035" s="157" t="s">
        <v>2218</v>
      </c>
      <c r="R8035" s="303"/>
    </row>
    <row r="8036" spans="1:18" s="162" customFormat="1" ht="48" x14ac:dyDescent="0.25">
      <c r="A8036" s="277">
        <v>43466</v>
      </c>
      <c r="B8036" s="277">
        <v>43830</v>
      </c>
      <c r="C8036" s="43">
        <v>2019</v>
      </c>
      <c r="D8036" s="351" t="s">
        <v>23</v>
      </c>
      <c r="E8036" s="28" t="s">
        <v>327</v>
      </c>
      <c r="F8036" s="7" t="s">
        <v>40</v>
      </c>
      <c r="G8036" s="146" t="s">
        <v>2109</v>
      </c>
      <c r="H8036" s="206" t="s">
        <v>10973</v>
      </c>
      <c r="I8036" s="304">
        <v>1</v>
      </c>
      <c r="J8036" s="305">
        <v>56</v>
      </c>
      <c r="K8036" s="142">
        <v>0</v>
      </c>
      <c r="L8036" s="142">
        <v>0</v>
      </c>
      <c r="M8036" s="142">
        <v>0</v>
      </c>
      <c r="N8036" s="142">
        <v>0</v>
      </c>
      <c r="O8036" s="142">
        <v>0</v>
      </c>
      <c r="P8036" s="306">
        <v>0</v>
      </c>
      <c r="Q8036" s="157" t="s">
        <v>2218</v>
      </c>
      <c r="R8036" s="303"/>
    </row>
    <row r="8037" spans="1:18" s="162" customFormat="1" ht="48" x14ac:dyDescent="0.25">
      <c r="A8037" s="277">
        <v>43466</v>
      </c>
      <c r="B8037" s="277">
        <v>43830</v>
      </c>
      <c r="C8037" s="138">
        <v>2019</v>
      </c>
      <c r="D8037" s="351" t="s">
        <v>23</v>
      </c>
      <c r="E8037" s="28" t="s">
        <v>327</v>
      </c>
      <c r="F8037" s="7" t="s">
        <v>91</v>
      </c>
      <c r="G8037" s="146" t="s">
        <v>2109</v>
      </c>
      <c r="H8037" s="206" t="s">
        <v>10974</v>
      </c>
      <c r="I8037" s="304">
        <v>1</v>
      </c>
      <c r="J8037" s="305">
        <v>49</v>
      </c>
      <c r="K8037" s="142">
        <v>0</v>
      </c>
      <c r="L8037" s="142">
        <v>0</v>
      </c>
      <c r="M8037" s="142">
        <v>0</v>
      </c>
      <c r="N8037" s="142">
        <v>0</v>
      </c>
      <c r="O8037" s="142">
        <v>0</v>
      </c>
      <c r="P8037" s="306">
        <v>0</v>
      </c>
      <c r="Q8037" s="157" t="s">
        <v>2218</v>
      </c>
      <c r="R8037" s="303"/>
    </row>
    <row r="8038" spans="1:18" s="162" customFormat="1" ht="48" x14ac:dyDescent="0.25">
      <c r="A8038" s="277">
        <v>43466</v>
      </c>
      <c r="B8038" s="277">
        <v>43830</v>
      </c>
      <c r="C8038" s="43">
        <v>2019</v>
      </c>
      <c r="D8038" s="351" t="s">
        <v>23</v>
      </c>
      <c r="E8038" s="28" t="s">
        <v>327</v>
      </c>
      <c r="F8038" s="7" t="s">
        <v>72</v>
      </c>
      <c r="G8038" s="146" t="s">
        <v>2109</v>
      </c>
      <c r="H8038" s="206" t="s">
        <v>10975</v>
      </c>
      <c r="I8038" s="304">
        <v>2</v>
      </c>
      <c r="J8038" s="305">
        <v>49</v>
      </c>
      <c r="K8038" s="142">
        <v>0</v>
      </c>
      <c r="L8038" s="142">
        <v>0</v>
      </c>
      <c r="M8038" s="142">
        <v>0</v>
      </c>
      <c r="N8038" s="142">
        <v>0</v>
      </c>
      <c r="O8038" s="142">
        <v>0</v>
      </c>
      <c r="P8038" s="306">
        <v>0</v>
      </c>
      <c r="Q8038" s="157" t="s">
        <v>2218</v>
      </c>
      <c r="R8038" s="303"/>
    </row>
    <row r="8039" spans="1:18" s="162" customFormat="1" ht="48" x14ac:dyDescent="0.25">
      <c r="A8039" s="277">
        <v>43466</v>
      </c>
      <c r="B8039" s="277">
        <v>43830</v>
      </c>
      <c r="C8039" s="138">
        <v>2019</v>
      </c>
      <c r="D8039" s="351" t="s">
        <v>23</v>
      </c>
      <c r="E8039" s="28" t="s">
        <v>327</v>
      </c>
      <c r="F8039" s="7" t="s">
        <v>84</v>
      </c>
      <c r="G8039" s="146" t="s">
        <v>2109</v>
      </c>
      <c r="H8039" s="206" t="s">
        <v>10976</v>
      </c>
      <c r="I8039" s="304">
        <v>1</v>
      </c>
      <c r="J8039" s="305">
        <v>42</v>
      </c>
      <c r="K8039" s="142">
        <v>0</v>
      </c>
      <c r="L8039" s="142">
        <v>0</v>
      </c>
      <c r="M8039" s="142">
        <v>0</v>
      </c>
      <c r="N8039" s="142">
        <v>0</v>
      </c>
      <c r="O8039" s="142">
        <v>0</v>
      </c>
      <c r="P8039" s="306">
        <v>0</v>
      </c>
      <c r="Q8039" s="157" t="s">
        <v>2218</v>
      </c>
      <c r="R8039" s="303"/>
    </row>
    <row r="8040" spans="1:18" s="162" customFormat="1" ht="48" x14ac:dyDescent="0.25">
      <c r="A8040" s="277">
        <v>43466</v>
      </c>
      <c r="B8040" s="277">
        <v>43830</v>
      </c>
      <c r="C8040" s="43">
        <v>2019</v>
      </c>
      <c r="D8040" s="351" t="s">
        <v>23</v>
      </c>
      <c r="E8040" s="28" t="s">
        <v>327</v>
      </c>
      <c r="F8040" s="7" t="s">
        <v>80</v>
      </c>
      <c r="G8040" s="146" t="s">
        <v>2109</v>
      </c>
      <c r="H8040" s="206" t="s">
        <v>10977</v>
      </c>
      <c r="I8040" s="304">
        <v>7</v>
      </c>
      <c r="J8040" s="305">
        <v>36</v>
      </c>
      <c r="K8040" s="142">
        <v>0</v>
      </c>
      <c r="L8040" s="142">
        <v>0</v>
      </c>
      <c r="M8040" s="142">
        <v>0</v>
      </c>
      <c r="N8040" s="142">
        <v>0</v>
      </c>
      <c r="O8040" s="142">
        <v>0</v>
      </c>
      <c r="P8040" s="306">
        <v>0</v>
      </c>
      <c r="Q8040" s="157" t="s">
        <v>2218</v>
      </c>
      <c r="R8040" s="303"/>
    </row>
    <row r="8041" spans="1:18" s="162" customFormat="1" ht="48" x14ac:dyDescent="0.25">
      <c r="A8041" s="277">
        <v>43466</v>
      </c>
      <c r="B8041" s="277">
        <v>43830</v>
      </c>
      <c r="C8041" s="138">
        <v>2019</v>
      </c>
      <c r="D8041" s="351" t="s">
        <v>23</v>
      </c>
      <c r="E8041" s="28" t="s">
        <v>327</v>
      </c>
      <c r="F8041" s="7" t="s">
        <v>82</v>
      </c>
      <c r="G8041" s="146" t="s">
        <v>2109</v>
      </c>
      <c r="H8041" s="206" t="s">
        <v>10978</v>
      </c>
      <c r="I8041" s="304">
        <v>1</v>
      </c>
      <c r="J8041" s="305">
        <v>24</v>
      </c>
      <c r="K8041" s="142">
        <v>0</v>
      </c>
      <c r="L8041" s="142">
        <v>0</v>
      </c>
      <c r="M8041" s="142">
        <v>0</v>
      </c>
      <c r="N8041" s="142">
        <v>0</v>
      </c>
      <c r="O8041" s="142">
        <v>0</v>
      </c>
      <c r="P8041" s="306">
        <v>0</v>
      </c>
      <c r="Q8041" s="157" t="s">
        <v>2218</v>
      </c>
      <c r="R8041" s="303"/>
    </row>
    <row r="8042" spans="1:18" s="162" customFormat="1" ht="36" x14ac:dyDescent="0.25">
      <c r="A8042" s="277">
        <v>43466</v>
      </c>
      <c r="B8042" s="277">
        <v>43830</v>
      </c>
      <c r="C8042" s="43">
        <v>2019</v>
      </c>
      <c r="D8042" s="351" t="s">
        <v>23</v>
      </c>
      <c r="E8042" s="28" t="s">
        <v>327</v>
      </c>
      <c r="F8042" s="7" t="s">
        <v>60</v>
      </c>
      <c r="G8042" s="146" t="s">
        <v>2109</v>
      </c>
      <c r="H8042" s="206" t="s">
        <v>10979</v>
      </c>
      <c r="I8042" s="304">
        <v>0</v>
      </c>
      <c r="J8042" s="305">
        <v>19</v>
      </c>
      <c r="K8042" s="142">
        <v>0</v>
      </c>
      <c r="L8042" s="142">
        <v>0</v>
      </c>
      <c r="M8042" s="142">
        <v>0</v>
      </c>
      <c r="N8042" s="142">
        <v>0</v>
      </c>
      <c r="O8042" s="142">
        <v>0</v>
      </c>
      <c r="P8042" s="306">
        <v>0</v>
      </c>
      <c r="Q8042" s="157" t="s">
        <v>2218</v>
      </c>
      <c r="R8042" s="303"/>
    </row>
    <row r="8043" spans="1:18" s="162" customFormat="1" ht="48" x14ac:dyDescent="0.25">
      <c r="A8043" s="277">
        <v>43466</v>
      </c>
      <c r="B8043" s="277">
        <v>43830</v>
      </c>
      <c r="C8043" s="138">
        <v>2019</v>
      </c>
      <c r="D8043" s="351" t="s">
        <v>23</v>
      </c>
      <c r="E8043" s="28" t="s">
        <v>327</v>
      </c>
      <c r="F8043" s="28" t="s">
        <v>163</v>
      </c>
      <c r="G8043" s="146" t="s">
        <v>2109</v>
      </c>
      <c r="H8043" s="206" t="s">
        <v>10980</v>
      </c>
      <c r="I8043" s="304">
        <v>1</v>
      </c>
      <c r="J8043" s="305">
        <v>18</v>
      </c>
      <c r="K8043" s="142">
        <v>0</v>
      </c>
      <c r="L8043" s="142">
        <v>0</v>
      </c>
      <c r="M8043" s="142">
        <v>0</v>
      </c>
      <c r="N8043" s="142">
        <v>0</v>
      </c>
      <c r="O8043" s="142">
        <v>0</v>
      </c>
      <c r="P8043" s="306">
        <v>0</v>
      </c>
      <c r="Q8043" s="157" t="s">
        <v>2218</v>
      </c>
      <c r="R8043" s="303"/>
    </row>
    <row r="8044" spans="1:18" s="162" customFormat="1" ht="48" x14ac:dyDescent="0.25">
      <c r="A8044" s="277">
        <v>43466</v>
      </c>
      <c r="B8044" s="277">
        <v>43830</v>
      </c>
      <c r="C8044" s="43">
        <v>2019</v>
      </c>
      <c r="D8044" s="351" t="s">
        <v>23</v>
      </c>
      <c r="E8044" s="28" t="s">
        <v>327</v>
      </c>
      <c r="F8044" s="7" t="s">
        <v>33</v>
      </c>
      <c r="G8044" s="146" t="s">
        <v>2109</v>
      </c>
      <c r="H8044" s="206" t="s">
        <v>10981</v>
      </c>
      <c r="I8044" s="304">
        <v>2</v>
      </c>
      <c r="J8044" s="305">
        <v>16</v>
      </c>
      <c r="K8044" s="142">
        <v>0</v>
      </c>
      <c r="L8044" s="142">
        <v>0</v>
      </c>
      <c r="M8044" s="142">
        <v>0</v>
      </c>
      <c r="N8044" s="142">
        <v>0</v>
      </c>
      <c r="O8044" s="142">
        <v>0</v>
      </c>
      <c r="P8044" s="306">
        <v>0</v>
      </c>
      <c r="Q8044" s="157" t="s">
        <v>2218</v>
      </c>
      <c r="R8044" s="303"/>
    </row>
    <row r="8045" spans="1:18" s="162" customFormat="1" ht="48" x14ac:dyDescent="0.25">
      <c r="A8045" s="277">
        <v>43466</v>
      </c>
      <c r="B8045" s="277">
        <v>43830</v>
      </c>
      <c r="C8045" s="138">
        <v>2019</v>
      </c>
      <c r="D8045" s="351" t="s">
        <v>23</v>
      </c>
      <c r="E8045" s="28" t="s">
        <v>327</v>
      </c>
      <c r="F8045" s="7" t="s">
        <v>62</v>
      </c>
      <c r="G8045" s="146" t="s">
        <v>2109</v>
      </c>
      <c r="H8045" s="206" t="s">
        <v>10982</v>
      </c>
      <c r="I8045" s="304">
        <v>1</v>
      </c>
      <c r="J8045" s="305">
        <v>12</v>
      </c>
      <c r="K8045" s="142">
        <v>0</v>
      </c>
      <c r="L8045" s="142">
        <v>0</v>
      </c>
      <c r="M8045" s="142">
        <v>0</v>
      </c>
      <c r="N8045" s="142">
        <v>0</v>
      </c>
      <c r="O8045" s="142">
        <v>0</v>
      </c>
      <c r="P8045" s="306">
        <v>0</v>
      </c>
      <c r="Q8045" s="157" t="s">
        <v>2218</v>
      </c>
      <c r="R8045" s="303"/>
    </row>
    <row r="8046" spans="1:18" s="162" customFormat="1" ht="36" x14ac:dyDescent="0.25">
      <c r="A8046" s="277">
        <v>43466</v>
      </c>
      <c r="B8046" s="277">
        <v>43830</v>
      </c>
      <c r="C8046" s="43">
        <v>2019</v>
      </c>
      <c r="D8046" s="351" t="s">
        <v>23</v>
      </c>
      <c r="E8046" s="28" t="s">
        <v>327</v>
      </c>
      <c r="F8046" s="7" t="s">
        <v>67</v>
      </c>
      <c r="G8046" s="146" t="s">
        <v>2109</v>
      </c>
      <c r="H8046" s="206" t="s">
        <v>10983</v>
      </c>
      <c r="I8046" s="304">
        <v>0</v>
      </c>
      <c r="J8046" s="305">
        <v>7</v>
      </c>
      <c r="K8046" s="142">
        <v>0</v>
      </c>
      <c r="L8046" s="142">
        <v>0</v>
      </c>
      <c r="M8046" s="142">
        <v>0</v>
      </c>
      <c r="N8046" s="142">
        <v>0</v>
      </c>
      <c r="O8046" s="142">
        <v>0</v>
      </c>
      <c r="P8046" s="306">
        <v>0</v>
      </c>
      <c r="Q8046" s="157" t="s">
        <v>2218</v>
      </c>
      <c r="R8046" s="303"/>
    </row>
    <row r="8047" spans="1:18" s="162" customFormat="1" ht="24" x14ac:dyDescent="0.25">
      <c r="A8047" s="277">
        <v>43466</v>
      </c>
      <c r="B8047" s="277">
        <v>43830</v>
      </c>
      <c r="C8047" s="138">
        <v>2019</v>
      </c>
      <c r="D8047" s="351" t="s">
        <v>23</v>
      </c>
      <c r="E8047" s="28" t="s">
        <v>327</v>
      </c>
      <c r="F8047" s="7" t="s">
        <v>36</v>
      </c>
      <c r="G8047" s="146" t="s">
        <v>2109</v>
      </c>
      <c r="H8047" s="206" t="s">
        <v>10984</v>
      </c>
      <c r="I8047" s="304">
        <v>0</v>
      </c>
      <c r="J8047" s="305">
        <v>5</v>
      </c>
      <c r="K8047" s="142">
        <v>0</v>
      </c>
      <c r="L8047" s="142">
        <v>0</v>
      </c>
      <c r="M8047" s="142">
        <v>0</v>
      </c>
      <c r="N8047" s="142">
        <v>0</v>
      </c>
      <c r="O8047" s="142">
        <v>0</v>
      </c>
      <c r="P8047" s="306">
        <v>0</v>
      </c>
      <c r="Q8047" s="157" t="s">
        <v>2218</v>
      </c>
      <c r="R8047" s="303"/>
    </row>
    <row r="8048" spans="1:18" s="162" customFormat="1" ht="36" x14ac:dyDescent="0.25">
      <c r="A8048" s="277">
        <v>43466</v>
      </c>
      <c r="B8048" s="277">
        <v>43830</v>
      </c>
      <c r="C8048" s="43">
        <v>2019</v>
      </c>
      <c r="D8048" s="351" t="s">
        <v>23</v>
      </c>
      <c r="E8048" s="28" t="s">
        <v>327</v>
      </c>
      <c r="F8048" s="7" t="s">
        <v>68</v>
      </c>
      <c r="G8048" s="146" t="s">
        <v>2109</v>
      </c>
      <c r="H8048" s="206" t="s">
        <v>10985</v>
      </c>
      <c r="I8048" s="304">
        <v>3</v>
      </c>
      <c r="J8048" s="305">
        <v>7</v>
      </c>
      <c r="K8048" s="142">
        <v>0</v>
      </c>
      <c r="L8048" s="142">
        <v>0</v>
      </c>
      <c r="M8048" s="142">
        <v>0</v>
      </c>
      <c r="N8048" s="142">
        <v>0</v>
      </c>
      <c r="O8048" s="142">
        <v>0</v>
      </c>
      <c r="P8048" s="306">
        <v>0</v>
      </c>
      <c r="Q8048" s="157" t="s">
        <v>2218</v>
      </c>
      <c r="R8048" s="303"/>
    </row>
    <row r="8049" spans="1:18" s="162" customFormat="1" ht="36" x14ac:dyDescent="0.25">
      <c r="A8049" s="277">
        <v>43466</v>
      </c>
      <c r="B8049" s="277">
        <v>43830</v>
      </c>
      <c r="C8049" s="138">
        <v>2019</v>
      </c>
      <c r="D8049" s="351" t="s">
        <v>23</v>
      </c>
      <c r="E8049" s="28" t="s">
        <v>327</v>
      </c>
      <c r="F8049" s="7" t="s">
        <v>58</v>
      </c>
      <c r="G8049" s="146" t="s">
        <v>2109</v>
      </c>
      <c r="H8049" s="206" t="s">
        <v>10986</v>
      </c>
      <c r="I8049" s="304">
        <v>0</v>
      </c>
      <c r="J8049" s="305">
        <v>3</v>
      </c>
      <c r="K8049" s="142">
        <v>0</v>
      </c>
      <c r="L8049" s="142">
        <v>0</v>
      </c>
      <c r="M8049" s="142">
        <v>0</v>
      </c>
      <c r="N8049" s="142">
        <v>0</v>
      </c>
      <c r="O8049" s="142">
        <v>0</v>
      </c>
      <c r="P8049" s="306">
        <v>0</v>
      </c>
      <c r="Q8049" s="157" t="s">
        <v>2218</v>
      </c>
      <c r="R8049" s="303"/>
    </row>
    <row r="8050" spans="1:18" s="162" customFormat="1" ht="36" x14ac:dyDescent="0.25">
      <c r="A8050" s="277">
        <v>43466</v>
      </c>
      <c r="B8050" s="277">
        <v>43830</v>
      </c>
      <c r="C8050" s="43">
        <v>2019</v>
      </c>
      <c r="D8050" s="351" t="s">
        <v>23</v>
      </c>
      <c r="E8050" s="28" t="s">
        <v>327</v>
      </c>
      <c r="F8050" s="28" t="s">
        <v>160</v>
      </c>
      <c r="G8050" s="146" t="s">
        <v>2109</v>
      </c>
      <c r="H8050" s="206" t="s">
        <v>10987</v>
      </c>
      <c r="I8050" s="304">
        <v>0</v>
      </c>
      <c r="J8050" s="305">
        <v>3</v>
      </c>
      <c r="K8050" s="142">
        <v>0</v>
      </c>
      <c r="L8050" s="142">
        <v>0</v>
      </c>
      <c r="M8050" s="142">
        <v>0</v>
      </c>
      <c r="N8050" s="142">
        <v>0</v>
      </c>
      <c r="O8050" s="142">
        <v>0</v>
      </c>
      <c r="P8050" s="306">
        <v>0</v>
      </c>
      <c r="Q8050" s="157" t="s">
        <v>2218</v>
      </c>
      <c r="R8050" s="303"/>
    </row>
    <row r="8051" spans="1:18" s="162" customFormat="1" ht="36" x14ac:dyDescent="0.25">
      <c r="A8051" s="277">
        <v>43466</v>
      </c>
      <c r="B8051" s="277">
        <v>43830</v>
      </c>
      <c r="C8051" s="138">
        <v>2019</v>
      </c>
      <c r="D8051" s="351" t="s">
        <v>23</v>
      </c>
      <c r="E8051" s="28" t="s">
        <v>327</v>
      </c>
      <c r="F8051" s="7" t="s">
        <v>56</v>
      </c>
      <c r="G8051" s="146" t="s">
        <v>2109</v>
      </c>
      <c r="H8051" s="206" t="s">
        <v>10988</v>
      </c>
      <c r="I8051" s="304">
        <v>0</v>
      </c>
      <c r="J8051" s="305">
        <v>3</v>
      </c>
      <c r="K8051" s="142">
        <v>0</v>
      </c>
      <c r="L8051" s="142">
        <v>0</v>
      </c>
      <c r="M8051" s="142">
        <v>0</v>
      </c>
      <c r="N8051" s="142">
        <v>0</v>
      </c>
      <c r="O8051" s="142">
        <v>0</v>
      </c>
      <c r="P8051" s="306">
        <v>0</v>
      </c>
      <c r="Q8051" s="157" t="s">
        <v>2218</v>
      </c>
      <c r="R8051" s="303"/>
    </row>
    <row r="8052" spans="1:18" s="162" customFormat="1" ht="36" x14ac:dyDescent="0.25">
      <c r="A8052" s="277">
        <v>43466</v>
      </c>
      <c r="B8052" s="277">
        <v>43830</v>
      </c>
      <c r="C8052" s="43">
        <v>2019</v>
      </c>
      <c r="D8052" s="351" t="s">
        <v>23</v>
      </c>
      <c r="E8052" s="28" t="s">
        <v>327</v>
      </c>
      <c r="F8052" s="28" t="s">
        <v>151</v>
      </c>
      <c r="G8052" s="146" t="s">
        <v>2109</v>
      </c>
      <c r="H8052" s="206" t="s">
        <v>10989</v>
      </c>
      <c r="I8052" s="304">
        <v>0</v>
      </c>
      <c r="J8052" s="305">
        <v>3</v>
      </c>
      <c r="K8052" s="142">
        <v>0</v>
      </c>
      <c r="L8052" s="142">
        <v>0</v>
      </c>
      <c r="M8052" s="142">
        <v>0</v>
      </c>
      <c r="N8052" s="142">
        <v>0</v>
      </c>
      <c r="O8052" s="142">
        <v>0</v>
      </c>
      <c r="P8052" s="306">
        <v>0</v>
      </c>
      <c r="Q8052" s="157" t="s">
        <v>2218</v>
      </c>
      <c r="R8052" s="303"/>
    </row>
    <row r="8053" spans="1:18" s="162" customFormat="1" ht="24" x14ac:dyDescent="0.25">
      <c r="A8053" s="277">
        <v>43466</v>
      </c>
      <c r="B8053" s="277">
        <v>43830</v>
      </c>
      <c r="C8053" s="138">
        <v>2019</v>
      </c>
      <c r="D8053" s="351" t="s">
        <v>23</v>
      </c>
      <c r="E8053" s="28" t="s">
        <v>327</v>
      </c>
      <c r="F8053" s="28" t="s">
        <v>157</v>
      </c>
      <c r="G8053" s="146" t="s">
        <v>2109</v>
      </c>
      <c r="H8053" s="206" t="s">
        <v>10990</v>
      </c>
      <c r="I8053" s="304">
        <v>0</v>
      </c>
      <c r="J8053" s="305">
        <v>1</v>
      </c>
      <c r="K8053" s="142">
        <v>0</v>
      </c>
      <c r="L8053" s="142">
        <v>0</v>
      </c>
      <c r="M8053" s="142">
        <v>0</v>
      </c>
      <c r="N8053" s="142">
        <v>0</v>
      </c>
      <c r="O8053" s="142">
        <v>0</v>
      </c>
      <c r="P8053" s="306">
        <v>0</v>
      </c>
      <c r="Q8053" s="157" t="s">
        <v>2218</v>
      </c>
      <c r="R8053" s="303"/>
    </row>
    <row r="8054" spans="1:18" s="162" customFormat="1" ht="24" x14ac:dyDescent="0.25">
      <c r="A8054" s="277">
        <v>43466</v>
      </c>
      <c r="B8054" s="277">
        <v>43830</v>
      </c>
      <c r="C8054" s="43">
        <v>2019</v>
      </c>
      <c r="D8054" s="351" t="s">
        <v>23</v>
      </c>
      <c r="E8054" s="28" t="s">
        <v>327</v>
      </c>
      <c r="F8054" s="7" t="s">
        <v>97</v>
      </c>
      <c r="G8054" s="146" t="s">
        <v>2109</v>
      </c>
      <c r="H8054" s="206" t="s">
        <v>10990</v>
      </c>
      <c r="I8054" s="304">
        <v>0</v>
      </c>
      <c r="J8054" s="305">
        <v>1</v>
      </c>
      <c r="K8054" s="142">
        <v>0</v>
      </c>
      <c r="L8054" s="142">
        <v>0</v>
      </c>
      <c r="M8054" s="142">
        <v>0</v>
      </c>
      <c r="N8054" s="142">
        <v>0</v>
      </c>
      <c r="O8054" s="142">
        <v>0</v>
      </c>
      <c r="P8054" s="306">
        <v>0</v>
      </c>
      <c r="Q8054" s="157" t="s">
        <v>2218</v>
      </c>
      <c r="R8054" s="303"/>
    </row>
    <row r="8055" spans="1:18" s="162" customFormat="1" ht="24" x14ac:dyDescent="0.25">
      <c r="A8055" s="277">
        <v>43466</v>
      </c>
      <c r="B8055" s="277">
        <v>43830</v>
      </c>
      <c r="C8055" s="138">
        <v>2019</v>
      </c>
      <c r="D8055" s="351" t="s">
        <v>23</v>
      </c>
      <c r="E8055" s="28" t="s">
        <v>327</v>
      </c>
      <c r="F8055" s="7" t="s">
        <v>75</v>
      </c>
      <c r="G8055" s="146" t="s">
        <v>2109</v>
      </c>
      <c r="H8055" s="206" t="s">
        <v>10991</v>
      </c>
      <c r="I8055" s="304">
        <v>0</v>
      </c>
      <c r="J8055" s="305">
        <v>1</v>
      </c>
      <c r="K8055" s="142">
        <v>0</v>
      </c>
      <c r="L8055" s="142">
        <v>0</v>
      </c>
      <c r="M8055" s="142">
        <v>0</v>
      </c>
      <c r="N8055" s="142">
        <v>0</v>
      </c>
      <c r="O8055" s="142">
        <v>0</v>
      </c>
      <c r="P8055" s="306">
        <v>0</v>
      </c>
      <c r="Q8055" s="157" t="s">
        <v>2218</v>
      </c>
      <c r="R8055" s="303"/>
    </row>
    <row r="8056" spans="1:18" s="162" customFormat="1" ht="24" x14ac:dyDescent="0.25">
      <c r="A8056" s="277">
        <v>43466</v>
      </c>
      <c r="B8056" s="277">
        <v>43830</v>
      </c>
      <c r="C8056" s="43">
        <v>2019</v>
      </c>
      <c r="D8056" s="351" t="s">
        <v>23</v>
      </c>
      <c r="E8056" s="28" t="s">
        <v>327</v>
      </c>
      <c r="F8056" s="7" t="s">
        <v>65</v>
      </c>
      <c r="G8056" s="146" t="s">
        <v>2109</v>
      </c>
      <c r="H8056" s="206" t="s">
        <v>10991</v>
      </c>
      <c r="I8056" s="304">
        <v>0</v>
      </c>
      <c r="J8056" s="305">
        <v>1</v>
      </c>
      <c r="K8056" s="142">
        <v>0</v>
      </c>
      <c r="L8056" s="142">
        <v>0</v>
      </c>
      <c r="M8056" s="142">
        <v>0</v>
      </c>
      <c r="N8056" s="142">
        <v>0</v>
      </c>
      <c r="O8056" s="142">
        <v>0</v>
      </c>
      <c r="P8056" s="306">
        <v>0</v>
      </c>
      <c r="Q8056" s="157" t="s">
        <v>2218</v>
      </c>
      <c r="R8056" s="303"/>
    </row>
    <row r="8057" spans="1:18" s="162" customFormat="1" ht="36" x14ac:dyDescent="0.25">
      <c r="A8057" s="277">
        <v>43466</v>
      </c>
      <c r="B8057" s="277">
        <v>43830</v>
      </c>
      <c r="C8057" s="138">
        <v>2019</v>
      </c>
      <c r="D8057" s="351" t="s">
        <v>23</v>
      </c>
      <c r="E8057" s="28" t="s">
        <v>327</v>
      </c>
      <c r="F8057" s="7" t="s">
        <v>45</v>
      </c>
      <c r="G8057" s="146" t="s">
        <v>2109</v>
      </c>
      <c r="H8057" s="206" t="s">
        <v>10992</v>
      </c>
      <c r="I8057" s="304">
        <v>1</v>
      </c>
      <c r="J8057" s="305">
        <v>1</v>
      </c>
      <c r="K8057" s="142">
        <v>0</v>
      </c>
      <c r="L8057" s="142">
        <v>0</v>
      </c>
      <c r="M8057" s="142">
        <v>0</v>
      </c>
      <c r="N8057" s="142">
        <v>0</v>
      </c>
      <c r="O8057" s="142">
        <v>0</v>
      </c>
      <c r="P8057" s="306">
        <v>0</v>
      </c>
      <c r="Q8057" s="157" t="s">
        <v>2218</v>
      </c>
      <c r="R8057" s="303"/>
    </row>
    <row r="8058" spans="1:18" s="162" customFormat="1" ht="24" x14ac:dyDescent="0.25">
      <c r="A8058" s="277">
        <v>43466</v>
      </c>
      <c r="B8058" s="277">
        <v>43830</v>
      </c>
      <c r="C8058" s="43">
        <v>2019</v>
      </c>
      <c r="D8058" s="351" t="s">
        <v>23</v>
      </c>
      <c r="E8058" s="28" t="s">
        <v>327</v>
      </c>
      <c r="F8058" s="7" t="s">
        <v>25</v>
      </c>
      <c r="G8058" s="146" t="s">
        <v>2109</v>
      </c>
      <c r="H8058" s="206" t="s">
        <v>10991</v>
      </c>
      <c r="I8058" s="304">
        <v>0</v>
      </c>
      <c r="J8058" s="305">
        <v>1</v>
      </c>
      <c r="K8058" s="142">
        <v>0</v>
      </c>
      <c r="L8058" s="142">
        <v>0</v>
      </c>
      <c r="M8058" s="142">
        <v>0</v>
      </c>
      <c r="N8058" s="142">
        <v>0</v>
      </c>
      <c r="O8058" s="142">
        <v>0</v>
      </c>
      <c r="P8058" s="306">
        <v>0</v>
      </c>
      <c r="Q8058" s="157" t="s">
        <v>2218</v>
      </c>
      <c r="R8058" s="303"/>
    </row>
    <row r="8059" spans="1:18" s="162" customFormat="1" ht="24" x14ac:dyDescent="0.25">
      <c r="A8059" s="184">
        <v>43830</v>
      </c>
      <c r="B8059" s="184">
        <v>43832</v>
      </c>
      <c r="C8059" s="138">
        <v>2020</v>
      </c>
      <c r="D8059" s="351" t="s">
        <v>23</v>
      </c>
      <c r="E8059" s="22" t="s">
        <v>2689</v>
      </c>
      <c r="F8059" s="7" t="s">
        <v>49</v>
      </c>
      <c r="G8059" s="206" t="s">
        <v>26</v>
      </c>
      <c r="H8059" s="44" t="s">
        <v>10993</v>
      </c>
      <c r="I8059" s="157">
        <v>0</v>
      </c>
      <c r="J8059" s="305">
        <v>1180</v>
      </c>
      <c r="K8059" s="142">
        <v>0</v>
      </c>
      <c r="L8059" s="142">
        <v>0</v>
      </c>
      <c r="M8059" s="142">
        <v>0</v>
      </c>
      <c r="N8059" s="142">
        <v>0</v>
      </c>
      <c r="O8059" s="305">
        <v>0</v>
      </c>
      <c r="P8059" s="306">
        <v>14.285515326000001</v>
      </c>
      <c r="Q8059" s="157" t="s">
        <v>7883</v>
      </c>
      <c r="R8059" s="303"/>
    </row>
    <row r="8060" spans="1:18" s="162" customFormat="1" ht="120" x14ac:dyDescent="0.25">
      <c r="A8060" s="184">
        <v>43831</v>
      </c>
      <c r="B8060" s="184">
        <v>43831</v>
      </c>
      <c r="C8060" s="138">
        <v>2020</v>
      </c>
      <c r="D8060" s="35" t="s">
        <v>28</v>
      </c>
      <c r="E8060" s="30" t="s">
        <v>133</v>
      </c>
      <c r="F8060" s="7" t="s">
        <v>68</v>
      </c>
      <c r="G8060" s="33" t="s">
        <v>1121</v>
      </c>
      <c r="H8060" s="33" t="s">
        <v>10994</v>
      </c>
      <c r="I8060" s="157">
        <v>0</v>
      </c>
      <c r="J8060" s="305">
        <v>6</v>
      </c>
      <c r="K8060" s="142">
        <v>1</v>
      </c>
      <c r="L8060" s="142">
        <v>0</v>
      </c>
      <c r="M8060" s="142">
        <v>0</v>
      </c>
      <c r="N8060" s="142">
        <v>0</v>
      </c>
      <c r="O8060" s="305">
        <v>0</v>
      </c>
      <c r="P8060" s="306">
        <v>0.142956</v>
      </c>
      <c r="Q8060" s="157" t="s">
        <v>154</v>
      </c>
      <c r="R8060" s="303"/>
    </row>
    <row r="8061" spans="1:18" s="162" customFormat="1" ht="36" x14ac:dyDescent="0.25">
      <c r="A8061" s="21">
        <v>43831</v>
      </c>
      <c r="B8061" s="21">
        <v>44196</v>
      </c>
      <c r="C8061" s="138">
        <v>2020</v>
      </c>
      <c r="D8061" s="35" t="s">
        <v>28</v>
      </c>
      <c r="E8061" s="14" t="s">
        <v>29</v>
      </c>
      <c r="F8061" s="7" t="s">
        <v>25</v>
      </c>
      <c r="G8061" s="146" t="s">
        <v>2109</v>
      </c>
      <c r="H8061" s="201" t="s">
        <v>10995</v>
      </c>
      <c r="I8061" s="309">
        <v>0</v>
      </c>
      <c r="J8061" s="305">
        <v>0</v>
      </c>
      <c r="K8061" s="142">
        <v>0</v>
      </c>
      <c r="L8061" s="142">
        <v>0</v>
      </c>
      <c r="M8061" s="142">
        <v>0</v>
      </c>
      <c r="N8061" s="142">
        <v>0</v>
      </c>
      <c r="O8061" s="305">
        <v>522</v>
      </c>
      <c r="P8061" s="306">
        <v>0.72896256000000004</v>
      </c>
      <c r="Q8061" s="157" t="s">
        <v>3556</v>
      </c>
      <c r="R8061" s="303"/>
    </row>
    <row r="8062" spans="1:18" s="162" customFormat="1" ht="48" x14ac:dyDescent="0.25">
      <c r="A8062" s="21">
        <v>43831</v>
      </c>
      <c r="B8062" s="21">
        <v>44196</v>
      </c>
      <c r="C8062" s="138">
        <v>2020</v>
      </c>
      <c r="D8062" s="35" t="s">
        <v>28</v>
      </c>
      <c r="E8062" s="14" t="s">
        <v>29</v>
      </c>
      <c r="F8062" s="7" t="s">
        <v>30</v>
      </c>
      <c r="G8062" s="146" t="s">
        <v>2109</v>
      </c>
      <c r="H8062" s="201" t="s">
        <v>10996</v>
      </c>
      <c r="I8062" s="309">
        <v>2</v>
      </c>
      <c r="J8062" s="305">
        <v>107</v>
      </c>
      <c r="K8062" s="142">
        <v>0</v>
      </c>
      <c r="L8062" s="142">
        <v>0</v>
      </c>
      <c r="M8062" s="142">
        <v>0</v>
      </c>
      <c r="N8062" s="142">
        <v>0</v>
      </c>
      <c r="O8062" s="305">
        <v>79299</v>
      </c>
      <c r="P8062" s="306">
        <v>110.74055652</v>
      </c>
      <c r="Q8062" s="157" t="s">
        <v>3556</v>
      </c>
      <c r="R8062" s="303"/>
    </row>
    <row r="8063" spans="1:18" s="162" customFormat="1" ht="36" x14ac:dyDescent="0.25">
      <c r="A8063" s="21">
        <v>43831</v>
      </c>
      <c r="B8063" s="21">
        <v>44196</v>
      </c>
      <c r="C8063" s="138">
        <v>2020</v>
      </c>
      <c r="D8063" s="35" t="s">
        <v>28</v>
      </c>
      <c r="E8063" s="14" t="s">
        <v>29</v>
      </c>
      <c r="F8063" s="7" t="s">
        <v>33</v>
      </c>
      <c r="G8063" s="146" t="s">
        <v>2109</v>
      </c>
      <c r="H8063" s="201" t="s">
        <v>10997</v>
      </c>
      <c r="I8063" s="309">
        <v>0</v>
      </c>
      <c r="J8063" s="305">
        <v>0</v>
      </c>
      <c r="K8063" s="142">
        <v>0</v>
      </c>
      <c r="L8063" s="142">
        <v>0</v>
      </c>
      <c r="M8063" s="142">
        <v>0</v>
      </c>
      <c r="N8063" s="142">
        <v>0</v>
      </c>
      <c r="O8063" s="305">
        <v>30</v>
      </c>
      <c r="P8063" s="306">
        <v>4.1894399999999998E-2</v>
      </c>
      <c r="Q8063" s="157" t="s">
        <v>3556</v>
      </c>
      <c r="R8063" s="303"/>
    </row>
    <row r="8064" spans="1:18" s="162" customFormat="1" ht="48" x14ac:dyDescent="0.25">
      <c r="A8064" s="21">
        <v>43831</v>
      </c>
      <c r="B8064" s="21">
        <v>44196</v>
      </c>
      <c r="C8064" s="138">
        <v>2020</v>
      </c>
      <c r="D8064" s="35" t="s">
        <v>28</v>
      </c>
      <c r="E8064" s="14" t="s">
        <v>29</v>
      </c>
      <c r="F8064" s="28" t="s">
        <v>151</v>
      </c>
      <c r="G8064" s="146" t="s">
        <v>2109</v>
      </c>
      <c r="H8064" s="201" t="s">
        <v>10998</v>
      </c>
      <c r="I8064" s="309">
        <v>0</v>
      </c>
      <c r="J8064" s="305">
        <v>0</v>
      </c>
      <c r="K8064" s="142">
        <v>0</v>
      </c>
      <c r="L8064" s="142">
        <v>0</v>
      </c>
      <c r="M8064" s="142">
        <v>0</v>
      </c>
      <c r="N8064" s="142">
        <v>0</v>
      </c>
      <c r="O8064" s="305">
        <v>10945</v>
      </c>
      <c r="P8064" s="306">
        <v>15.2844736</v>
      </c>
      <c r="Q8064" s="157" t="s">
        <v>3556</v>
      </c>
      <c r="R8064" s="303"/>
    </row>
    <row r="8065" spans="1:18" s="162" customFormat="1" ht="48" x14ac:dyDescent="0.25">
      <c r="A8065" s="21">
        <v>43831</v>
      </c>
      <c r="B8065" s="21">
        <v>44196</v>
      </c>
      <c r="C8065" s="138">
        <v>2020</v>
      </c>
      <c r="D8065" s="35" t="s">
        <v>28</v>
      </c>
      <c r="E8065" s="14" t="s">
        <v>29</v>
      </c>
      <c r="F8065" s="7" t="s">
        <v>36</v>
      </c>
      <c r="G8065" s="146" t="s">
        <v>2109</v>
      </c>
      <c r="H8065" s="201" t="s">
        <v>10999</v>
      </c>
      <c r="I8065" s="309">
        <v>0</v>
      </c>
      <c r="J8065" s="305">
        <v>0</v>
      </c>
      <c r="K8065" s="142">
        <v>0</v>
      </c>
      <c r="L8065" s="142">
        <v>0</v>
      </c>
      <c r="M8065" s="142">
        <v>0</v>
      </c>
      <c r="N8065" s="142">
        <v>0</v>
      </c>
      <c r="O8065" s="305">
        <v>17927</v>
      </c>
      <c r="P8065" s="306">
        <v>25.034696960000002</v>
      </c>
      <c r="Q8065" s="157" t="s">
        <v>3556</v>
      </c>
      <c r="R8065" s="303"/>
    </row>
    <row r="8066" spans="1:18" s="162" customFormat="1" ht="48" x14ac:dyDescent="0.25">
      <c r="A8066" s="21">
        <v>43831</v>
      </c>
      <c r="B8066" s="21">
        <v>44196</v>
      </c>
      <c r="C8066" s="138">
        <v>2020</v>
      </c>
      <c r="D8066" s="35" t="s">
        <v>28</v>
      </c>
      <c r="E8066" s="14" t="s">
        <v>29</v>
      </c>
      <c r="F8066" s="7" t="s">
        <v>40</v>
      </c>
      <c r="G8066" s="146" t="s">
        <v>2109</v>
      </c>
      <c r="H8066" s="201" t="s">
        <v>11000</v>
      </c>
      <c r="I8066" s="309">
        <v>0</v>
      </c>
      <c r="J8066" s="305">
        <v>0</v>
      </c>
      <c r="K8066" s="142">
        <v>0</v>
      </c>
      <c r="L8066" s="142">
        <v>0</v>
      </c>
      <c r="M8066" s="142">
        <v>0</v>
      </c>
      <c r="N8066" s="142">
        <v>0</v>
      </c>
      <c r="O8066" s="305">
        <v>8910</v>
      </c>
      <c r="P8066" s="306">
        <v>12.442636800000001</v>
      </c>
      <c r="Q8066" s="157" t="s">
        <v>3556</v>
      </c>
      <c r="R8066" s="303"/>
    </row>
    <row r="8067" spans="1:18" s="162" customFormat="1" ht="48" x14ac:dyDescent="0.25">
      <c r="A8067" s="21">
        <v>43831</v>
      </c>
      <c r="B8067" s="21">
        <v>44196</v>
      </c>
      <c r="C8067" s="138">
        <v>2020</v>
      </c>
      <c r="D8067" s="35" t="s">
        <v>28</v>
      </c>
      <c r="E8067" s="14" t="s">
        <v>29</v>
      </c>
      <c r="F8067" s="7" t="s">
        <v>45</v>
      </c>
      <c r="G8067" s="146" t="s">
        <v>2109</v>
      </c>
      <c r="H8067" s="201" t="s">
        <v>11001</v>
      </c>
      <c r="I8067" s="309">
        <v>0</v>
      </c>
      <c r="J8067" s="305">
        <v>0</v>
      </c>
      <c r="K8067" s="142">
        <v>0</v>
      </c>
      <c r="L8067" s="142">
        <v>0</v>
      </c>
      <c r="M8067" s="142">
        <v>0</v>
      </c>
      <c r="N8067" s="142">
        <v>0</v>
      </c>
      <c r="O8067" s="305">
        <v>5284</v>
      </c>
      <c r="P8067" s="306">
        <v>7.3790003200000003</v>
      </c>
      <c r="Q8067" s="157" t="s">
        <v>3556</v>
      </c>
      <c r="R8067" s="303"/>
    </row>
    <row r="8068" spans="1:18" s="162" customFormat="1" ht="48" x14ac:dyDescent="0.25">
      <c r="A8068" s="21">
        <v>43831</v>
      </c>
      <c r="B8068" s="21">
        <v>44196</v>
      </c>
      <c r="C8068" s="138">
        <v>2020</v>
      </c>
      <c r="D8068" s="35" t="s">
        <v>28</v>
      </c>
      <c r="E8068" s="14" t="s">
        <v>29</v>
      </c>
      <c r="F8068" s="7" t="s">
        <v>47</v>
      </c>
      <c r="G8068" s="146" t="s">
        <v>2109</v>
      </c>
      <c r="H8068" s="201" t="s">
        <v>11002</v>
      </c>
      <c r="I8068" s="309">
        <v>0</v>
      </c>
      <c r="J8068" s="305">
        <v>0</v>
      </c>
      <c r="K8068" s="142">
        <v>0</v>
      </c>
      <c r="L8068" s="142">
        <v>0</v>
      </c>
      <c r="M8068" s="142">
        <v>0</v>
      </c>
      <c r="N8068" s="142">
        <v>0</v>
      </c>
      <c r="O8068" s="305">
        <v>3500</v>
      </c>
      <c r="P8068" s="306">
        <v>4.8876799999999996</v>
      </c>
      <c r="Q8068" s="157" t="s">
        <v>3556</v>
      </c>
      <c r="R8068" s="303"/>
    </row>
    <row r="8069" spans="1:18" s="162" customFormat="1" ht="48" x14ac:dyDescent="0.25">
      <c r="A8069" s="21">
        <v>43831</v>
      </c>
      <c r="B8069" s="21">
        <v>44196</v>
      </c>
      <c r="C8069" s="138">
        <v>2020</v>
      </c>
      <c r="D8069" s="35" t="s">
        <v>28</v>
      </c>
      <c r="E8069" s="14" t="s">
        <v>29</v>
      </c>
      <c r="F8069" s="28" t="s">
        <v>157</v>
      </c>
      <c r="G8069" s="146" t="s">
        <v>2109</v>
      </c>
      <c r="H8069" s="201" t="s">
        <v>11003</v>
      </c>
      <c r="I8069" s="309">
        <v>0</v>
      </c>
      <c r="J8069" s="305">
        <v>0</v>
      </c>
      <c r="K8069" s="142">
        <v>0</v>
      </c>
      <c r="L8069" s="142">
        <v>0</v>
      </c>
      <c r="M8069" s="142">
        <v>0</v>
      </c>
      <c r="N8069" s="142">
        <v>0</v>
      </c>
      <c r="O8069" s="305">
        <v>1806</v>
      </c>
      <c r="P8069" s="306">
        <v>2.5220428799999999</v>
      </c>
      <c r="Q8069" s="157" t="s">
        <v>3556</v>
      </c>
      <c r="R8069" s="303"/>
    </row>
    <row r="8070" spans="1:18" s="162" customFormat="1" ht="48" x14ac:dyDescent="0.25">
      <c r="A8070" s="21">
        <v>43831</v>
      </c>
      <c r="B8070" s="21">
        <v>44196</v>
      </c>
      <c r="C8070" s="138">
        <v>2020</v>
      </c>
      <c r="D8070" s="35" t="s">
        <v>28</v>
      </c>
      <c r="E8070" s="14" t="s">
        <v>29</v>
      </c>
      <c r="F8070" s="7" t="s">
        <v>49</v>
      </c>
      <c r="G8070" s="146" t="s">
        <v>2109</v>
      </c>
      <c r="H8070" s="201" t="s">
        <v>11004</v>
      </c>
      <c r="I8070" s="309">
        <v>0</v>
      </c>
      <c r="J8070" s="305">
        <v>0</v>
      </c>
      <c r="K8070" s="142">
        <v>0</v>
      </c>
      <c r="L8070" s="142">
        <v>0</v>
      </c>
      <c r="M8070" s="142">
        <v>0</v>
      </c>
      <c r="N8070" s="142">
        <v>0</v>
      </c>
      <c r="O8070" s="305">
        <v>12901</v>
      </c>
      <c r="P8070" s="306">
        <v>18.015988480000001</v>
      </c>
      <c r="Q8070" s="157" t="s">
        <v>3556</v>
      </c>
      <c r="R8070" s="303"/>
    </row>
    <row r="8071" spans="1:18" s="162" customFormat="1" ht="36" x14ac:dyDescent="0.25">
      <c r="A8071" s="21">
        <v>43831</v>
      </c>
      <c r="B8071" s="21">
        <v>44196</v>
      </c>
      <c r="C8071" s="138">
        <v>2020</v>
      </c>
      <c r="D8071" s="35" t="s">
        <v>28</v>
      </c>
      <c r="E8071" s="14" t="s">
        <v>29</v>
      </c>
      <c r="F8071" s="7" t="s">
        <v>56</v>
      </c>
      <c r="G8071" s="146" t="s">
        <v>2109</v>
      </c>
      <c r="H8071" s="201" t="s">
        <v>11005</v>
      </c>
      <c r="I8071" s="309">
        <v>0</v>
      </c>
      <c r="J8071" s="305">
        <v>0</v>
      </c>
      <c r="K8071" s="142">
        <v>0</v>
      </c>
      <c r="L8071" s="142">
        <v>0</v>
      </c>
      <c r="M8071" s="142">
        <v>0</v>
      </c>
      <c r="N8071" s="142">
        <v>0</v>
      </c>
      <c r="O8071" s="305">
        <v>903</v>
      </c>
      <c r="P8071" s="306">
        <v>1.2610214399999999</v>
      </c>
      <c r="Q8071" s="157" t="s">
        <v>3556</v>
      </c>
      <c r="R8071" s="303"/>
    </row>
    <row r="8072" spans="1:18" s="162" customFormat="1" ht="48" x14ac:dyDescent="0.25">
      <c r="A8072" s="21">
        <v>43831</v>
      </c>
      <c r="B8072" s="21">
        <v>44196</v>
      </c>
      <c r="C8072" s="138">
        <v>2020</v>
      </c>
      <c r="D8072" s="35" t="s">
        <v>28</v>
      </c>
      <c r="E8072" s="14" t="s">
        <v>29</v>
      </c>
      <c r="F8072" s="7" t="s">
        <v>58</v>
      </c>
      <c r="G8072" s="146" t="s">
        <v>2109</v>
      </c>
      <c r="H8072" s="201" t="s">
        <v>11006</v>
      </c>
      <c r="I8072" s="309">
        <v>0</v>
      </c>
      <c r="J8072" s="305">
        <v>0</v>
      </c>
      <c r="K8072" s="142">
        <v>0</v>
      </c>
      <c r="L8072" s="142">
        <v>0</v>
      </c>
      <c r="M8072" s="142">
        <v>0</v>
      </c>
      <c r="N8072" s="142">
        <v>0</v>
      </c>
      <c r="O8072" s="305">
        <v>49413</v>
      </c>
      <c r="P8072" s="306">
        <v>69.004266239999993</v>
      </c>
      <c r="Q8072" s="157" t="s">
        <v>3556</v>
      </c>
      <c r="R8072" s="303"/>
    </row>
    <row r="8073" spans="1:18" s="162" customFormat="1" ht="36" x14ac:dyDescent="0.25">
      <c r="A8073" s="21">
        <v>43831</v>
      </c>
      <c r="B8073" s="21">
        <v>44196</v>
      </c>
      <c r="C8073" s="138">
        <v>2020</v>
      </c>
      <c r="D8073" s="35" t="s">
        <v>28</v>
      </c>
      <c r="E8073" s="14" t="s">
        <v>29</v>
      </c>
      <c r="F8073" s="28" t="s">
        <v>160</v>
      </c>
      <c r="G8073" s="146" t="s">
        <v>2109</v>
      </c>
      <c r="H8073" s="201" t="s">
        <v>11007</v>
      </c>
      <c r="I8073" s="309">
        <v>0</v>
      </c>
      <c r="J8073" s="305">
        <v>200</v>
      </c>
      <c r="K8073" s="142">
        <v>0</v>
      </c>
      <c r="L8073" s="142">
        <v>0</v>
      </c>
      <c r="M8073" s="142">
        <v>0</v>
      </c>
      <c r="N8073" s="142">
        <v>0</v>
      </c>
      <c r="O8073" s="305">
        <v>2065</v>
      </c>
      <c r="P8073" s="306">
        <v>2.8837312000000002</v>
      </c>
      <c r="Q8073" s="157" t="s">
        <v>3556</v>
      </c>
      <c r="R8073" s="303"/>
    </row>
    <row r="8074" spans="1:18" s="162" customFormat="1" ht="48" x14ac:dyDescent="0.25">
      <c r="A8074" s="21">
        <v>43831</v>
      </c>
      <c r="B8074" s="21">
        <v>44196</v>
      </c>
      <c r="C8074" s="138">
        <v>2020</v>
      </c>
      <c r="D8074" s="35" t="s">
        <v>28</v>
      </c>
      <c r="E8074" s="14" t="s">
        <v>29</v>
      </c>
      <c r="F8074" s="7" t="s">
        <v>60</v>
      </c>
      <c r="G8074" s="146" t="s">
        <v>2109</v>
      </c>
      <c r="H8074" s="201" t="s">
        <v>11008</v>
      </c>
      <c r="I8074" s="309">
        <v>0</v>
      </c>
      <c r="J8074" s="305">
        <v>0</v>
      </c>
      <c r="K8074" s="142">
        <v>0</v>
      </c>
      <c r="L8074" s="142">
        <v>0</v>
      </c>
      <c r="M8074" s="142">
        <v>0</v>
      </c>
      <c r="N8074" s="142">
        <v>0</v>
      </c>
      <c r="O8074" s="305">
        <v>29677</v>
      </c>
      <c r="P8074" s="306">
        <v>41.443336960000003</v>
      </c>
      <c r="Q8074" s="157" t="s">
        <v>3556</v>
      </c>
      <c r="R8074" s="303"/>
    </row>
    <row r="8075" spans="1:18" s="162" customFormat="1" ht="48" x14ac:dyDescent="0.25">
      <c r="A8075" s="21">
        <v>43831</v>
      </c>
      <c r="B8075" s="21">
        <v>44196</v>
      </c>
      <c r="C8075" s="138">
        <v>2020</v>
      </c>
      <c r="D8075" s="35" t="s">
        <v>28</v>
      </c>
      <c r="E8075" s="14" t="s">
        <v>29</v>
      </c>
      <c r="F8075" s="7" t="s">
        <v>53</v>
      </c>
      <c r="G8075" s="146" t="s">
        <v>2109</v>
      </c>
      <c r="H8075" s="201" t="s">
        <v>11009</v>
      </c>
      <c r="I8075" s="309">
        <v>0</v>
      </c>
      <c r="J8075" s="305">
        <v>0</v>
      </c>
      <c r="K8075" s="142">
        <v>0</v>
      </c>
      <c r="L8075" s="142">
        <v>0</v>
      </c>
      <c r="M8075" s="142">
        <v>0</v>
      </c>
      <c r="N8075" s="142">
        <v>0</v>
      </c>
      <c r="O8075" s="305">
        <v>10095</v>
      </c>
      <c r="P8075" s="306">
        <v>14.0974656</v>
      </c>
      <c r="Q8075" s="157" t="s">
        <v>3556</v>
      </c>
      <c r="R8075" s="303"/>
    </row>
    <row r="8076" spans="1:18" s="162" customFormat="1" ht="48" x14ac:dyDescent="0.25">
      <c r="A8076" s="21">
        <v>43831</v>
      </c>
      <c r="B8076" s="21">
        <v>44196</v>
      </c>
      <c r="C8076" s="138">
        <v>2020</v>
      </c>
      <c r="D8076" s="35" t="s">
        <v>28</v>
      </c>
      <c r="E8076" s="14" t="s">
        <v>29</v>
      </c>
      <c r="F8076" s="7" t="s">
        <v>62</v>
      </c>
      <c r="G8076" s="146" t="s">
        <v>2109</v>
      </c>
      <c r="H8076" s="201" t="s">
        <v>11010</v>
      </c>
      <c r="I8076" s="309">
        <v>0</v>
      </c>
      <c r="J8076" s="305">
        <v>0</v>
      </c>
      <c r="K8076" s="142">
        <v>0</v>
      </c>
      <c r="L8076" s="142">
        <v>0</v>
      </c>
      <c r="M8076" s="142">
        <v>0</v>
      </c>
      <c r="N8076" s="142">
        <v>0</v>
      </c>
      <c r="O8076" s="305">
        <v>19767</v>
      </c>
      <c r="P8076" s="306">
        <v>27.604220160000001</v>
      </c>
      <c r="Q8076" s="157" t="s">
        <v>3556</v>
      </c>
      <c r="R8076" s="303"/>
    </row>
    <row r="8077" spans="1:18" s="162" customFormat="1" ht="48" x14ac:dyDescent="0.25">
      <c r="A8077" s="21">
        <v>43831</v>
      </c>
      <c r="B8077" s="21">
        <v>44196</v>
      </c>
      <c r="C8077" s="138">
        <v>2020</v>
      </c>
      <c r="D8077" s="35" t="s">
        <v>28</v>
      </c>
      <c r="E8077" s="14" t="s">
        <v>29</v>
      </c>
      <c r="F8077" s="7" t="s">
        <v>65</v>
      </c>
      <c r="G8077" s="146" t="s">
        <v>2109</v>
      </c>
      <c r="H8077" s="201" t="s">
        <v>11011</v>
      </c>
      <c r="I8077" s="309">
        <v>0</v>
      </c>
      <c r="J8077" s="305">
        <v>60</v>
      </c>
      <c r="K8077" s="142">
        <v>0</v>
      </c>
      <c r="L8077" s="142">
        <v>0</v>
      </c>
      <c r="M8077" s="142">
        <v>0</v>
      </c>
      <c r="N8077" s="142">
        <v>0</v>
      </c>
      <c r="O8077" s="305">
        <v>1908</v>
      </c>
      <c r="P8077" s="306">
        <v>2.6644838399999999</v>
      </c>
      <c r="Q8077" s="157" t="s">
        <v>3556</v>
      </c>
      <c r="R8077" s="303"/>
    </row>
    <row r="8078" spans="1:18" s="162" customFormat="1" ht="48" x14ac:dyDescent="0.25">
      <c r="A8078" s="21">
        <v>43831</v>
      </c>
      <c r="B8078" s="21">
        <v>44196</v>
      </c>
      <c r="C8078" s="138">
        <v>2020</v>
      </c>
      <c r="D8078" s="35" t="s">
        <v>28</v>
      </c>
      <c r="E8078" s="14" t="s">
        <v>29</v>
      </c>
      <c r="F8078" s="7" t="s">
        <v>67</v>
      </c>
      <c r="G8078" s="146" t="s">
        <v>2109</v>
      </c>
      <c r="H8078" s="201" t="s">
        <v>11012</v>
      </c>
      <c r="I8078" s="309">
        <v>0</v>
      </c>
      <c r="J8078" s="305">
        <v>0</v>
      </c>
      <c r="K8078" s="142">
        <v>0</v>
      </c>
      <c r="L8078" s="142">
        <v>0</v>
      </c>
      <c r="M8078" s="142">
        <v>0</v>
      </c>
      <c r="N8078" s="142">
        <v>0</v>
      </c>
      <c r="O8078" s="305">
        <v>11740</v>
      </c>
      <c r="P8078" s="306">
        <v>16.394675200000002</v>
      </c>
      <c r="Q8078" s="157" t="s">
        <v>3556</v>
      </c>
      <c r="R8078" s="303"/>
    </row>
    <row r="8079" spans="1:18" s="162" customFormat="1" ht="36" x14ac:dyDescent="0.25">
      <c r="A8079" s="21">
        <v>43831</v>
      </c>
      <c r="B8079" s="21">
        <v>44196</v>
      </c>
      <c r="C8079" s="138">
        <v>2020</v>
      </c>
      <c r="D8079" s="35" t="s">
        <v>28</v>
      </c>
      <c r="E8079" s="14" t="s">
        <v>29</v>
      </c>
      <c r="F8079" s="7" t="s">
        <v>68</v>
      </c>
      <c r="G8079" s="146" t="s">
        <v>2109</v>
      </c>
      <c r="H8079" s="201" t="s">
        <v>11013</v>
      </c>
      <c r="I8079" s="309">
        <v>0</v>
      </c>
      <c r="J8079" s="305">
        <v>0</v>
      </c>
      <c r="K8079" s="142">
        <v>0</v>
      </c>
      <c r="L8079" s="142">
        <v>0</v>
      </c>
      <c r="M8079" s="142">
        <v>0</v>
      </c>
      <c r="N8079" s="142">
        <v>0</v>
      </c>
      <c r="O8079" s="305">
        <v>1520</v>
      </c>
      <c r="P8079" s="306">
        <v>2.1226495999999999</v>
      </c>
      <c r="Q8079" s="157" t="s">
        <v>3556</v>
      </c>
      <c r="R8079" s="303"/>
    </row>
    <row r="8080" spans="1:18" s="162" customFormat="1" ht="48" x14ac:dyDescent="0.25">
      <c r="A8080" s="21">
        <v>43831</v>
      </c>
      <c r="B8080" s="21">
        <v>44196</v>
      </c>
      <c r="C8080" s="138">
        <v>2020</v>
      </c>
      <c r="D8080" s="35" t="s">
        <v>28</v>
      </c>
      <c r="E8080" s="14" t="s">
        <v>29</v>
      </c>
      <c r="F8080" s="7" t="s">
        <v>72</v>
      </c>
      <c r="G8080" s="146" t="s">
        <v>2109</v>
      </c>
      <c r="H8080" s="201" t="s">
        <v>11014</v>
      </c>
      <c r="I8080" s="157">
        <v>9</v>
      </c>
      <c r="J8080" s="305">
        <v>2212</v>
      </c>
      <c r="K8080" s="142">
        <v>0</v>
      </c>
      <c r="L8080" s="142">
        <v>0</v>
      </c>
      <c r="M8080" s="142">
        <v>0</v>
      </c>
      <c r="N8080" s="142">
        <v>0</v>
      </c>
      <c r="O8080" s="305">
        <v>20693</v>
      </c>
      <c r="P8080" s="306">
        <v>41.265493023200008</v>
      </c>
      <c r="Q8080" s="157" t="s">
        <v>7883</v>
      </c>
      <c r="R8080" s="303"/>
    </row>
    <row r="8081" spans="1:18" s="162" customFormat="1" ht="48" x14ac:dyDescent="0.25">
      <c r="A8081" s="21">
        <v>43831</v>
      </c>
      <c r="B8081" s="21">
        <v>44196</v>
      </c>
      <c r="C8081" s="138">
        <v>2020</v>
      </c>
      <c r="D8081" s="35" t="s">
        <v>28</v>
      </c>
      <c r="E8081" s="14" t="s">
        <v>29</v>
      </c>
      <c r="F8081" s="7" t="s">
        <v>75</v>
      </c>
      <c r="G8081" s="146" t="s">
        <v>2109</v>
      </c>
      <c r="H8081" s="201" t="s">
        <v>11015</v>
      </c>
      <c r="I8081" s="309">
        <v>0</v>
      </c>
      <c r="J8081" s="305">
        <v>0</v>
      </c>
      <c r="K8081" s="142">
        <v>0</v>
      </c>
      <c r="L8081" s="142">
        <v>0</v>
      </c>
      <c r="M8081" s="142">
        <v>0</v>
      </c>
      <c r="N8081" s="142">
        <v>0</v>
      </c>
      <c r="O8081" s="305">
        <v>10634</v>
      </c>
      <c r="P8081" s="306">
        <v>14.85016832</v>
      </c>
      <c r="Q8081" s="157" t="s">
        <v>3556</v>
      </c>
      <c r="R8081" s="303"/>
    </row>
    <row r="8082" spans="1:18" s="162" customFormat="1" ht="36" x14ac:dyDescent="0.25">
      <c r="A8082" s="21">
        <v>43831</v>
      </c>
      <c r="B8082" s="21">
        <v>44196</v>
      </c>
      <c r="C8082" s="138">
        <v>2020</v>
      </c>
      <c r="D8082" s="35" t="s">
        <v>28</v>
      </c>
      <c r="E8082" s="14" t="s">
        <v>29</v>
      </c>
      <c r="F8082" s="7" t="s">
        <v>77</v>
      </c>
      <c r="G8082" s="146" t="s">
        <v>2109</v>
      </c>
      <c r="H8082" s="201" t="s">
        <v>11016</v>
      </c>
      <c r="I8082" s="309">
        <v>0</v>
      </c>
      <c r="J8082" s="305">
        <v>0</v>
      </c>
      <c r="K8082" s="142">
        <v>0</v>
      </c>
      <c r="L8082" s="142">
        <v>0</v>
      </c>
      <c r="M8082" s="142">
        <v>0</v>
      </c>
      <c r="N8082" s="142">
        <v>0</v>
      </c>
      <c r="O8082" s="305">
        <v>488</v>
      </c>
      <c r="P8082" s="306">
        <v>0.68148224000000002</v>
      </c>
      <c r="Q8082" s="157" t="s">
        <v>3556</v>
      </c>
      <c r="R8082" s="303"/>
    </row>
    <row r="8083" spans="1:18" s="162" customFormat="1" ht="48" x14ac:dyDescent="0.25">
      <c r="A8083" s="21">
        <v>43831</v>
      </c>
      <c r="B8083" s="21">
        <v>44196</v>
      </c>
      <c r="C8083" s="138">
        <v>2020</v>
      </c>
      <c r="D8083" s="35" t="s">
        <v>28</v>
      </c>
      <c r="E8083" s="14" t="s">
        <v>29</v>
      </c>
      <c r="F8083" s="7" t="s">
        <v>80</v>
      </c>
      <c r="G8083" s="146" t="s">
        <v>2109</v>
      </c>
      <c r="H8083" s="201" t="s">
        <v>11017</v>
      </c>
      <c r="I8083" s="309">
        <v>0</v>
      </c>
      <c r="J8083" s="305">
        <v>0</v>
      </c>
      <c r="K8083" s="142">
        <v>0</v>
      </c>
      <c r="L8083" s="142">
        <v>0</v>
      </c>
      <c r="M8083" s="142">
        <v>0</v>
      </c>
      <c r="N8083" s="142">
        <v>0</v>
      </c>
      <c r="O8083" s="305">
        <v>41678</v>
      </c>
      <c r="P8083" s="306">
        <v>58.202493439999998</v>
      </c>
      <c r="Q8083" s="157" t="s">
        <v>3556</v>
      </c>
      <c r="R8083" s="303"/>
    </row>
    <row r="8084" spans="1:18" s="162" customFormat="1" ht="48" x14ac:dyDescent="0.25">
      <c r="A8084" s="21">
        <v>43831</v>
      </c>
      <c r="B8084" s="21">
        <v>44196</v>
      </c>
      <c r="C8084" s="138">
        <v>2020</v>
      </c>
      <c r="D8084" s="35" t="s">
        <v>28</v>
      </c>
      <c r="E8084" s="14" t="s">
        <v>29</v>
      </c>
      <c r="F8084" s="7" t="s">
        <v>82</v>
      </c>
      <c r="G8084" s="146" t="s">
        <v>2109</v>
      </c>
      <c r="H8084" s="201" t="s">
        <v>11018</v>
      </c>
      <c r="I8084" s="309">
        <v>0</v>
      </c>
      <c r="J8084" s="305">
        <v>0</v>
      </c>
      <c r="K8084" s="142">
        <v>0</v>
      </c>
      <c r="L8084" s="142">
        <v>0</v>
      </c>
      <c r="M8084" s="142">
        <v>0</v>
      </c>
      <c r="N8084" s="142">
        <v>0</v>
      </c>
      <c r="O8084" s="305">
        <v>2398</v>
      </c>
      <c r="P8084" s="306">
        <v>3.34875904</v>
      </c>
      <c r="Q8084" s="157" t="s">
        <v>3556</v>
      </c>
      <c r="R8084" s="303"/>
    </row>
    <row r="8085" spans="1:18" s="162" customFormat="1" ht="36" x14ac:dyDescent="0.25">
      <c r="A8085" s="21">
        <v>43831</v>
      </c>
      <c r="B8085" s="21">
        <v>44196</v>
      </c>
      <c r="C8085" s="138">
        <v>2020</v>
      </c>
      <c r="D8085" s="35" t="s">
        <v>28</v>
      </c>
      <c r="E8085" s="14" t="s">
        <v>29</v>
      </c>
      <c r="F8085" s="7" t="s">
        <v>84</v>
      </c>
      <c r="G8085" s="146" t="s">
        <v>2109</v>
      </c>
      <c r="H8085" s="201" t="s">
        <v>11019</v>
      </c>
      <c r="I8085" s="309">
        <v>0</v>
      </c>
      <c r="J8085" s="305">
        <v>0</v>
      </c>
      <c r="K8085" s="142">
        <v>0</v>
      </c>
      <c r="L8085" s="142">
        <v>0</v>
      </c>
      <c r="M8085" s="142">
        <v>0</v>
      </c>
      <c r="N8085" s="142">
        <v>0</v>
      </c>
      <c r="O8085" s="305">
        <v>1543</v>
      </c>
      <c r="P8085" s="306">
        <v>2.1547686400000003</v>
      </c>
      <c r="Q8085" s="157" t="s">
        <v>3556</v>
      </c>
      <c r="R8085" s="303"/>
    </row>
    <row r="8086" spans="1:18" s="162" customFormat="1" ht="48" x14ac:dyDescent="0.25">
      <c r="A8086" s="21">
        <v>43831</v>
      </c>
      <c r="B8086" s="21">
        <v>44196</v>
      </c>
      <c r="C8086" s="138">
        <v>2020</v>
      </c>
      <c r="D8086" s="35" t="s">
        <v>28</v>
      </c>
      <c r="E8086" s="14" t="s">
        <v>29</v>
      </c>
      <c r="F8086" s="7" t="s">
        <v>87</v>
      </c>
      <c r="G8086" s="146" t="s">
        <v>2109</v>
      </c>
      <c r="H8086" s="201" t="s">
        <v>11020</v>
      </c>
      <c r="I8086" s="309">
        <v>0</v>
      </c>
      <c r="J8086" s="305">
        <v>0</v>
      </c>
      <c r="K8086" s="142">
        <v>0</v>
      </c>
      <c r="L8086" s="142">
        <v>0</v>
      </c>
      <c r="M8086" s="142">
        <v>0</v>
      </c>
      <c r="N8086" s="142">
        <v>0</v>
      </c>
      <c r="O8086" s="305">
        <v>10819</v>
      </c>
      <c r="P8086" s="306">
        <v>15.108517120000002</v>
      </c>
      <c r="Q8086" s="157" t="s">
        <v>3556</v>
      </c>
      <c r="R8086" s="303"/>
    </row>
    <row r="8087" spans="1:18" s="162" customFormat="1" ht="36" x14ac:dyDescent="0.25">
      <c r="A8087" s="21">
        <v>43831</v>
      </c>
      <c r="B8087" s="21">
        <v>44196</v>
      </c>
      <c r="C8087" s="138">
        <v>2020</v>
      </c>
      <c r="D8087" s="35" t="s">
        <v>28</v>
      </c>
      <c r="E8087" s="14" t="s">
        <v>29</v>
      </c>
      <c r="F8087" s="25" t="s">
        <v>781</v>
      </c>
      <c r="G8087" s="146" t="s">
        <v>2109</v>
      </c>
      <c r="H8087" s="201" t="s">
        <v>11021</v>
      </c>
      <c r="I8087" s="309">
        <v>0</v>
      </c>
      <c r="J8087" s="305">
        <v>0</v>
      </c>
      <c r="K8087" s="142">
        <v>0</v>
      </c>
      <c r="L8087" s="142">
        <v>0</v>
      </c>
      <c r="M8087" s="142">
        <v>0</v>
      </c>
      <c r="N8087" s="142">
        <v>0</v>
      </c>
      <c r="O8087" s="305">
        <v>1458</v>
      </c>
      <c r="P8087" s="306">
        <v>2.0360678400000003</v>
      </c>
      <c r="Q8087" s="157" t="s">
        <v>3556</v>
      </c>
      <c r="R8087" s="303"/>
    </row>
    <row r="8088" spans="1:18" s="162" customFormat="1" ht="36" x14ac:dyDescent="0.25">
      <c r="A8088" s="21">
        <v>43831</v>
      </c>
      <c r="B8088" s="21">
        <v>44196</v>
      </c>
      <c r="C8088" s="138">
        <v>2020</v>
      </c>
      <c r="D8088" s="35" t="s">
        <v>28</v>
      </c>
      <c r="E8088" s="14" t="s">
        <v>29</v>
      </c>
      <c r="F8088" s="7" t="s">
        <v>91</v>
      </c>
      <c r="G8088" s="146" t="s">
        <v>2109</v>
      </c>
      <c r="H8088" s="201" t="s">
        <v>11022</v>
      </c>
      <c r="I8088" s="309">
        <v>0</v>
      </c>
      <c r="J8088" s="305">
        <v>0</v>
      </c>
      <c r="K8088" s="142">
        <v>0</v>
      </c>
      <c r="L8088" s="142">
        <v>0</v>
      </c>
      <c r="M8088" s="142">
        <v>0</v>
      </c>
      <c r="N8088" s="142">
        <v>0</v>
      </c>
      <c r="O8088" s="305">
        <v>357</v>
      </c>
      <c r="P8088" s="306">
        <v>0.49854335999999999</v>
      </c>
      <c r="Q8088" s="157" t="s">
        <v>3556</v>
      </c>
      <c r="R8088" s="303"/>
    </row>
    <row r="8089" spans="1:18" s="162" customFormat="1" ht="48" x14ac:dyDescent="0.25">
      <c r="A8089" s="21">
        <v>43831</v>
      </c>
      <c r="B8089" s="21">
        <v>44196</v>
      </c>
      <c r="C8089" s="138">
        <v>2020</v>
      </c>
      <c r="D8089" s="35" t="s">
        <v>28</v>
      </c>
      <c r="E8089" s="14" t="s">
        <v>29</v>
      </c>
      <c r="F8089" s="7" t="s">
        <v>97</v>
      </c>
      <c r="G8089" s="146" t="s">
        <v>2109</v>
      </c>
      <c r="H8089" s="201" t="s">
        <v>11023</v>
      </c>
      <c r="I8089" s="309">
        <v>0</v>
      </c>
      <c r="J8089" s="305">
        <v>0</v>
      </c>
      <c r="K8089" s="142">
        <v>0</v>
      </c>
      <c r="L8089" s="142">
        <v>0</v>
      </c>
      <c r="M8089" s="142">
        <v>0</v>
      </c>
      <c r="N8089" s="142">
        <v>0</v>
      </c>
      <c r="O8089" s="305">
        <v>2436</v>
      </c>
      <c r="P8089" s="306">
        <v>3.4018252800000002</v>
      </c>
      <c r="Q8089" s="157" t="s">
        <v>3556</v>
      </c>
      <c r="R8089" s="303"/>
    </row>
    <row r="8090" spans="1:18" s="162" customFormat="1" ht="48" x14ac:dyDescent="0.25">
      <c r="A8090" s="21">
        <v>43831</v>
      </c>
      <c r="B8090" s="21">
        <v>44196</v>
      </c>
      <c r="C8090" s="138">
        <v>2020</v>
      </c>
      <c r="D8090" s="35" t="s">
        <v>28</v>
      </c>
      <c r="E8090" s="14" t="s">
        <v>29</v>
      </c>
      <c r="F8090" s="28" t="s">
        <v>210</v>
      </c>
      <c r="G8090" s="146" t="s">
        <v>2109</v>
      </c>
      <c r="H8090" s="201" t="s">
        <v>11024</v>
      </c>
      <c r="I8090" s="309">
        <v>0</v>
      </c>
      <c r="J8090" s="305">
        <v>130</v>
      </c>
      <c r="K8090" s="142">
        <v>0</v>
      </c>
      <c r="L8090" s="142">
        <v>0</v>
      </c>
      <c r="M8090" s="142">
        <v>0</v>
      </c>
      <c r="N8090" s="142">
        <v>0</v>
      </c>
      <c r="O8090" s="305">
        <v>3253</v>
      </c>
      <c r="P8090" s="306">
        <v>4.5427494400000006</v>
      </c>
      <c r="Q8090" s="157" t="s">
        <v>3556</v>
      </c>
      <c r="R8090" s="303"/>
    </row>
    <row r="8091" spans="1:18" s="162" customFormat="1" ht="48" x14ac:dyDescent="0.25">
      <c r="A8091" s="21">
        <v>43831</v>
      </c>
      <c r="B8091" s="21">
        <v>44196</v>
      </c>
      <c r="C8091" s="138">
        <v>2020</v>
      </c>
      <c r="D8091" s="35" t="s">
        <v>28</v>
      </c>
      <c r="E8091" s="14" t="s">
        <v>29</v>
      </c>
      <c r="F8091" s="28" t="s">
        <v>163</v>
      </c>
      <c r="G8091" s="146" t="s">
        <v>2109</v>
      </c>
      <c r="H8091" s="201" t="s">
        <v>11025</v>
      </c>
      <c r="I8091" s="309">
        <v>0</v>
      </c>
      <c r="J8091" s="305">
        <v>0</v>
      </c>
      <c r="K8091" s="142">
        <v>0</v>
      </c>
      <c r="L8091" s="142">
        <v>0</v>
      </c>
      <c r="M8091" s="142">
        <v>0</v>
      </c>
      <c r="N8091" s="142">
        <v>0</v>
      </c>
      <c r="O8091" s="305">
        <v>10015</v>
      </c>
      <c r="P8091" s="306">
        <v>13.985747199999999</v>
      </c>
      <c r="Q8091" s="157" t="s">
        <v>3556</v>
      </c>
      <c r="R8091" s="303"/>
    </row>
    <row r="8092" spans="1:18" s="162" customFormat="1" ht="36" x14ac:dyDescent="0.25">
      <c r="A8092" s="21">
        <v>43831</v>
      </c>
      <c r="B8092" s="21">
        <v>44196</v>
      </c>
      <c r="C8092" s="138">
        <v>2020</v>
      </c>
      <c r="D8092" s="35" t="s">
        <v>28</v>
      </c>
      <c r="E8092" s="14" t="s">
        <v>29</v>
      </c>
      <c r="F8092" s="7" t="s">
        <v>101</v>
      </c>
      <c r="G8092" s="146" t="s">
        <v>2109</v>
      </c>
      <c r="H8092" s="201" t="s">
        <v>11026</v>
      </c>
      <c r="I8092" s="309">
        <v>0</v>
      </c>
      <c r="J8092" s="305">
        <v>0</v>
      </c>
      <c r="K8092" s="142">
        <v>0</v>
      </c>
      <c r="L8092" s="142">
        <v>0</v>
      </c>
      <c r="M8092" s="142">
        <v>0</v>
      </c>
      <c r="N8092" s="142">
        <v>0</v>
      </c>
      <c r="O8092" s="305">
        <v>4944</v>
      </c>
      <c r="P8092" s="306">
        <v>6.9041971200000001</v>
      </c>
      <c r="Q8092" s="157" t="s">
        <v>3556</v>
      </c>
      <c r="R8092" s="303"/>
    </row>
    <row r="8093" spans="1:18" s="162" customFormat="1" ht="24" x14ac:dyDescent="0.25">
      <c r="A8093" s="277">
        <v>43831</v>
      </c>
      <c r="B8093" s="277">
        <v>44196</v>
      </c>
      <c r="C8093" s="138">
        <v>2020</v>
      </c>
      <c r="D8093" s="351" t="s">
        <v>23</v>
      </c>
      <c r="E8093" s="22" t="s">
        <v>42</v>
      </c>
      <c r="F8093" s="7" t="s">
        <v>30</v>
      </c>
      <c r="G8093" s="206" t="s">
        <v>26</v>
      </c>
      <c r="H8093" s="206" t="s">
        <v>11027</v>
      </c>
      <c r="I8093" s="309">
        <v>0</v>
      </c>
      <c r="J8093" s="305">
        <v>6</v>
      </c>
      <c r="K8093" s="142">
        <v>0</v>
      </c>
      <c r="L8093" s="142">
        <v>0</v>
      </c>
      <c r="M8093" s="142">
        <v>0</v>
      </c>
      <c r="N8093" s="142">
        <v>0</v>
      </c>
      <c r="O8093" s="305">
        <v>0</v>
      </c>
      <c r="P8093" s="306">
        <v>0</v>
      </c>
      <c r="Q8093" s="157" t="s">
        <v>2218</v>
      </c>
      <c r="R8093" s="303"/>
    </row>
    <row r="8094" spans="1:18" s="162" customFormat="1" ht="48" x14ac:dyDescent="0.25">
      <c r="A8094" s="277">
        <v>43831</v>
      </c>
      <c r="B8094" s="277">
        <v>44196</v>
      </c>
      <c r="C8094" s="138">
        <v>2020</v>
      </c>
      <c r="D8094" s="351" t="s">
        <v>23</v>
      </c>
      <c r="E8094" s="22" t="s">
        <v>42</v>
      </c>
      <c r="F8094" s="7" t="s">
        <v>40</v>
      </c>
      <c r="G8094" s="206" t="s">
        <v>26</v>
      </c>
      <c r="H8094" s="206" t="s">
        <v>11028</v>
      </c>
      <c r="I8094" s="157">
        <v>7</v>
      </c>
      <c r="J8094" s="305">
        <v>79</v>
      </c>
      <c r="K8094" s="142">
        <v>0</v>
      </c>
      <c r="L8094" s="142">
        <v>0</v>
      </c>
      <c r="M8094" s="142">
        <v>0</v>
      </c>
      <c r="N8094" s="142">
        <v>0</v>
      </c>
      <c r="O8094" s="305">
        <v>0</v>
      </c>
      <c r="P8094" s="306">
        <v>0</v>
      </c>
      <c r="Q8094" s="157" t="s">
        <v>2218</v>
      </c>
      <c r="R8094" s="303"/>
    </row>
    <row r="8095" spans="1:18" s="162" customFormat="1" ht="48" x14ac:dyDescent="0.25">
      <c r="A8095" s="277">
        <v>43831</v>
      </c>
      <c r="B8095" s="277">
        <v>44196</v>
      </c>
      <c r="C8095" s="138">
        <v>2020</v>
      </c>
      <c r="D8095" s="351" t="s">
        <v>23</v>
      </c>
      <c r="E8095" s="22" t="s">
        <v>42</v>
      </c>
      <c r="F8095" s="7" t="s">
        <v>87</v>
      </c>
      <c r="G8095" s="206" t="s">
        <v>26</v>
      </c>
      <c r="H8095" s="206" t="s">
        <v>11029</v>
      </c>
      <c r="I8095" s="157">
        <v>8</v>
      </c>
      <c r="J8095" s="305">
        <v>68</v>
      </c>
      <c r="K8095" s="142">
        <v>0</v>
      </c>
      <c r="L8095" s="142">
        <v>0</v>
      </c>
      <c r="M8095" s="142">
        <v>0</v>
      </c>
      <c r="N8095" s="142">
        <v>0</v>
      </c>
      <c r="O8095" s="305">
        <v>0</v>
      </c>
      <c r="P8095" s="306">
        <v>0</v>
      </c>
      <c r="Q8095" s="157" t="s">
        <v>2218</v>
      </c>
      <c r="R8095" s="303"/>
    </row>
    <row r="8096" spans="1:18" s="162" customFormat="1" ht="24" x14ac:dyDescent="0.25">
      <c r="A8096" s="277">
        <v>43831</v>
      </c>
      <c r="B8096" s="277">
        <v>44196</v>
      </c>
      <c r="C8096" s="138">
        <v>2020</v>
      </c>
      <c r="D8096" s="351" t="s">
        <v>23</v>
      </c>
      <c r="E8096" s="22" t="s">
        <v>42</v>
      </c>
      <c r="F8096" s="7" t="s">
        <v>49</v>
      </c>
      <c r="G8096" s="206" t="s">
        <v>26</v>
      </c>
      <c r="H8096" s="206" t="s">
        <v>11030</v>
      </c>
      <c r="I8096" s="157">
        <v>0</v>
      </c>
      <c r="J8096" s="305">
        <v>3</v>
      </c>
      <c r="K8096" s="142">
        <v>0</v>
      </c>
      <c r="L8096" s="142">
        <v>0</v>
      </c>
      <c r="M8096" s="142">
        <v>0</v>
      </c>
      <c r="N8096" s="142">
        <v>0</v>
      </c>
      <c r="O8096" s="305">
        <v>0</v>
      </c>
      <c r="P8096" s="306">
        <v>0</v>
      </c>
      <c r="Q8096" s="157" t="s">
        <v>2218</v>
      </c>
      <c r="R8096" s="303"/>
    </row>
    <row r="8097" spans="1:18" s="162" customFormat="1" ht="24" x14ac:dyDescent="0.25">
      <c r="A8097" s="277">
        <v>43831</v>
      </c>
      <c r="B8097" s="277">
        <v>44196</v>
      </c>
      <c r="C8097" s="138">
        <v>2020</v>
      </c>
      <c r="D8097" s="351" t="s">
        <v>23</v>
      </c>
      <c r="E8097" s="22" t="s">
        <v>42</v>
      </c>
      <c r="F8097" s="7" t="s">
        <v>91</v>
      </c>
      <c r="G8097" s="206" t="s">
        <v>26</v>
      </c>
      <c r="H8097" s="206" t="s">
        <v>11031</v>
      </c>
      <c r="I8097" s="157">
        <v>0</v>
      </c>
      <c r="J8097" s="305">
        <v>2</v>
      </c>
      <c r="K8097" s="142">
        <v>0</v>
      </c>
      <c r="L8097" s="142">
        <v>0</v>
      </c>
      <c r="M8097" s="142">
        <v>0</v>
      </c>
      <c r="N8097" s="142">
        <v>0</v>
      </c>
      <c r="O8097" s="305">
        <v>0</v>
      </c>
      <c r="P8097" s="306">
        <v>0</v>
      </c>
      <c r="Q8097" s="157" t="s">
        <v>2218</v>
      </c>
      <c r="R8097" s="303"/>
    </row>
    <row r="8098" spans="1:18" s="162" customFormat="1" ht="24" x14ac:dyDescent="0.25">
      <c r="A8098" s="277">
        <v>43831</v>
      </c>
      <c r="B8098" s="277">
        <v>44196</v>
      </c>
      <c r="C8098" s="138">
        <v>2020</v>
      </c>
      <c r="D8098" s="351" t="s">
        <v>23</v>
      </c>
      <c r="E8098" s="22" t="s">
        <v>42</v>
      </c>
      <c r="F8098" s="28" t="s">
        <v>160</v>
      </c>
      <c r="G8098" s="206" t="s">
        <v>26</v>
      </c>
      <c r="H8098" s="206" t="s">
        <v>11032</v>
      </c>
      <c r="I8098" s="157">
        <v>1</v>
      </c>
      <c r="J8098" s="305">
        <v>5</v>
      </c>
      <c r="K8098" s="142">
        <v>0</v>
      </c>
      <c r="L8098" s="142">
        <v>0</v>
      </c>
      <c r="M8098" s="142">
        <v>0</v>
      </c>
      <c r="N8098" s="142">
        <v>0</v>
      </c>
      <c r="O8098" s="305">
        <v>0</v>
      </c>
      <c r="P8098" s="306">
        <v>0</v>
      </c>
      <c r="Q8098" s="157" t="s">
        <v>2218</v>
      </c>
      <c r="R8098" s="303"/>
    </row>
    <row r="8099" spans="1:18" s="162" customFormat="1" ht="24" x14ac:dyDescent="0.25">
      <c r="A8099" s="277">
        <v>43831</v>
      </c>
      <c r="B8099" s="277">
        <v>44196</v>
      </c>
      <c r="C8099" s="138">
        <v>2020</v>
      </c>
      <c r="D8099" s="351" t="s">
        <v>23</v>
      </c>
      <c r="E8099" s="22" t="s">
        <v>42</v>
      </c>
      <c r="F8099" s="7" t="s">
        <v>101</v>
      </c>
      <c r="G8099" s="206" t="s">
        <v>26</v>
      </c>
      <c r="H8099" s="206" t="s">
        <v>11033</v>
      </c>
      <c r="I8099" s="157">
        <v>0</v>
      </c>
      <c r="J8099" s="305">
        <v>3</v>
      </c>
      <c r="K8099" s="142">
        <v>0</v>
      </c>
      <c r="L8099" s="142">
        <v>0</v>
      </c>
      <c r="M8099" s="142">
        <v>0</v>
      </c>
      <c r="N8099" s="142">
        <v>0</v>
      </c>
      <c r="O8099" s="305">
        <v>0</v>
      </c>
      <c r="P8099" s="306">
        <v>0</v>
      </c>
      <c r="Q8099" s="157" t="s">
        <v>2218</v>
      </c>
      <c r="R8099" s="303"/>
    </row>
    <row r="8100" spans="1:18" s="162" customFormat="1" ht="24" x14ac:dyDescent="0.25">
      <c r="A8100" s="277">
        <v>43831</v>
      </c>
      <c r="B8100" s="277">
        <v>44196</v>
      </c>
      <c r="C8100" s="138">
        <v>2020</v>
      </c>
      <c r="D8100" s="351" t="s">
        <v>23</v>
      </c>
      <c r="E8100" s="22" t="s">
        <v>42</v>
      </c>
      <c r="F8100" s="7" t="s">
        <v>72</v>
      </c>
      <c r="G8100" s="206" t="s">
        <v>26</v>
      </c>
      <c r="H8100" s="206" t="s">
        <v>11034</v>
      </c>
      <c r="I8100" s="157">
        <v>0</v>
      </c>
      <c r="J8100" s="305">
        <v>2</v>
      </c>
      <c r="K8100" s="142">
        <v>0</v>
      </c>
      <c r="L8100" s="142">
        <v>0</v>
      </c>
      <c r="M8100" s="142">
        <v>0</v>
      </c>
      <c r="N8100" s="142">
        <v>0</v>
      </c>
      <c r="O8100" s="305">
        <v>0</v>
      </c>
      <c r="P8100" s="306">
        <v>0</v>
      </c>
      <c r="Q8100" s="157" t="s">
        <v>2218</v>
      </c>
      <c r="R8100" s="303"/>
    </row>
    <row r="8101" spans="1:18" s="162" customFormat="1" ht="36" x14ac:dyDescent="0.25">
      <c r="A8101" s="277">
        <v>43831</v>
      </c>
      <c r="B8101" s="277">
        <v>44196</v>
      </c>
      <c r="C8101" s="138">
        <v>2020</v>
      </c>
      <c r="D8101" s="351" t="s">
        <v>23</v>
      </c>
      <c r="E8101" s="22" t="s">
        <v>42</v>
      </c>
      <c r="F8101" s="7" t="s">
        <v>75</v>
      </c>
      <c r="G8101" s="206" t="s">
        <v>26</v>
      </c>
      <c r="H8101" s="206" t="s">
        <v>11035</v>
      </c>
      <c r="I8101" s="157">
        <v>3</v>
      </c>
      <c r="J8101" s="305">
        <v>23</v>
      </c>
      <c r="K8101" s="142">
        <v>0</v>
      </c>
      <c r="L8101" s="142">
        <v>0</v>
      </c>
      <c r="M8101" s="142">
        <v>0</v>
      </c>
      <c r="N8101" s="142">
        <v>0</v>
      </c>
      <c r="O8101" s="305">
        <v>0</v>
      </c>
      <c r="P8101" s="306">
        <v>0</v>
      </c>
      <c r="Q8101" s="157" t="s">
        <v>2218</v>
      </c>
      <c r="R8101" s="303"/>
    </row>
    <row r="8102" spans="1:18" s="162" customFormat="1" x14ac:dyDescent="0.25">
      <c r="A8102" s="277">
        <v>43831</v>
      </c>
      <c r="B8102" s="277">
        <v>44196</v>
      </c>
      <c r="C8102" s="138">
        <v>2020</v>
      </c>
      <c r="D8102" s="351" t="s">
        <v>23</v>
      </c>
      <c r="E8102" s="22" t="s">
        <v>42</v>
      </c>
      <c r="F8102" s="7" t="s">
        <v>45</v>
      </c>
      <c r="G8102" s="206" t="s">
        <v>26</v>
      </c>
      <c r="H8102" s="206" t="s">
        <v>11036</v>
      </c>
      <c r="I8102" s="157">
        <v>0</v>
      </c>
      <c r="J8102" s="305">
        <v>1</v>
      </c>
      <c r="K8102" s="142">
        <v>0</v>
      </c>
      <c r="L8102" s="142">
        <v>0</v>
      </c>
      <c r="M8102" s="142">
        <v>0</v>
      </c>
      <c r="N8102" s="142">
        <v>0</v>
      </c>
      <c r="O8102" s="305">
        <v>0</v>
      </c>
      <c r="P8102" s="306">
        <v>0</v>
      </c>
      <c r="Q8102" s="157" t="s">
        <v>2218</v>
      </c>
      <c r="R8102" s="303"/>
    </row>
    <row r="8103" spans="1:18" s="162" customFormat="1" ht="48" x14ac:dyDescent="0.25">
      <c r="A8103" s="277">
        <v>43831</v>
      </c>
      <c r="B8103" s="277">
        <v>44196</v>
      </c>
      <c r="C8103" s="138">
        <v>2020</v>
      </c>
      <c r="D8103" s="351" t="s">
        <v>23</v>
      </c>
      <c r="E8103" s="28" t="s">
        <v>327</v>
      </c>
      <c r="F8103" s="7" t="s">
        <v>30</v>
      </c>
      <c r="G8103" s="206" t="s">
        <v>26</v>
      </c>
      <c r="H8103" s="206" t="s">
        <v>11037</v>
      </c>
      <c r="I8103" s="157">
        <v>12</v>
      </c>
      <c r="J8103" s="305">
        <v>57</v>
      </c>
      <c r="K8103" s="142">
        <v>0</v>
      </c>
      <c r="L8103" s="142">
        <v>0</v>
      </c>
      <c r="M8103" s="142">
        <v>0</v>
      </c>
      <c r="N8103" s="142">
        <v>0</v>
      </c>
      <c r="O8103" s="305">
        <v>0</v>
      </c>
      <c r="P8103" s="306">
        <v>0</v>
      </c>
      <c r="Q8103" s="157" t="s">
        <v>2218</v>
      </c>
      <c r="R8103" s="303"/>
    </row>
    <row r="8104" spans="1:18" s="162" customFormat="1" ht="24" x14ac:dyDescent="0.25">
      <c r="A8104" s="277">
        <v>43831</v>
      </c>
      <c r="B8104" s="277">
        <v>44196</v>
      </c>
      <c r="C8104" s="138">
        <v>2020</v>
      </c>
      <c r="D8104" s="351" t="s">
        <v>23</v>
      </c>
      <c r="E8104" s="28" t="s">
        <v>327</v>
      </c>
      <c r="F8104" s="7" t="s">
        <v>33</v>
      </c>
      <c r="G8104" s="206" t="s">
        <v>26</v>
      </c>
      <c r="H8104" s="206" t="s">
        <v>11038</v>
      </c>
      <c r="I8104" s="157">
        <v>0</v>
      </c>
      <c r="J8104" s="305">
        <v>3</v>
      </c>
      <c r="K8104" s="142">
        <v>0</v>
      </c>
      <c r="L8104" s="142">
        <v>0</v>
      </c>
      <c r="M8104" s="142">
        <v>0</v>
      </c>
      <c r="N8104" s="142">
        <v>0</v>
      </c>
      <c r="O8104" s="305">
        <v>0</v>
      </c>
      <c r="P8104" s="306">
        <v>0</v>
      </c>
      <c r="Q8104" s="157" t="s">
        <v>2218</v>
      </c>
      <c r="R8104" s="303"/>
    </row>
    <row r="8105" spans="1:18" s="162" customFormat="1" x14ac:dyDescent="0.25">
      <c r="A8105" s="277">
        <v>43831</v>
      </c>
      <c r="B8105" s="277">
        <v>44196</v>
      </c>
      <c r="C8105" s="138">
        <v>2020</v>
      </c>
      <c r="D8105" s="351" t="s">
        <v>23</v>
      </c>
      <c r="E8105" s="28" t="s">
        <v>327</v>
      </c>
      <c r="F8105" s="28" t="s">
        <v>151</v>
      </c>
      <c r="G8105" s="206" t="s">
        <v>26</v>
      </c>
      <c r="H8105" s="206" t="s">
        <v>11039</v>
      </c>
      <c r="I8105" s="157">
        <v>0</v>
      </c>
      <c r="J8105" s="305">
        <v>1</v>
      </c>
      <c r="K8105" s="142">
        <v>0</v>
      </c>
      <c r="L8105" s="142">
        <v>0</v>
      </c>
      <c r="M8105" s="142">
        <v>0</v>
      </c>
      <c r="N8105" s="142">
        <v>0</v>
      </c>
      <c r="O8105" s="305">
        <v>0</v>
      </c>
      <c r="P8105" s="306">
        <v>0</v>
      </c>
      <c r="Q8105" s="157" t="s">
        <v>2218</v>
      </c>
      <c r="R8105" s="303"/>
    </row>
    <row r="8106" spans="1:18" s="162" customFormat="1" x14ac:dyDescent="0.25">
      <c r="A8106" s="277">
        <v>43831</v>
      </c>
      <c r="B8106" s="277">
        <v>44196</v>
      </c>
      <c r="C8106" s="138">
        <v>2020</v>
      </c>
      <c r="D8106" s="351" t="s">
        <v>23</v>
      </c>
      <c r="E8106" s="28" t="s">
        <v>327</v>
      </c>
      <c r="F8106" s="7" t="s">
        <v>36</v>
      </c>
      <c r="G8106" s="206" t="s">
        <v>26</v>
      </c>
      <c r="H8106" s="206" t="s">
        <v>11039</v>
      </c>
      <c r="I8106" s="157">
        <v>0</v>
      </c>
      <c r="J8106" s="305">
        <v>1</v>
      </c>
      <c r="K8106" s="142">
        <v>0</v>
      </c>
      <c r="L8106" s="142">
        <v>0</v>
      </c>
      <c r="M8106" s="142">
        <v>0</v>
      </c>
      <c r="N8106" s="142">
        <v>0</v>
      </c>
      <c r="O8106" s="305">
        <v>0</v>
      </c>
      <c r="P8106" s="306">
        <v>0</v>
      </c>
      <c r="Q8106" s="157" t="s">
        <v>2218</v>
      </c>
      <c r="R8106" s="303"/>
    </row>
    <row r="8107" spans="1:18" s="162" customFormat="1" ht="36" x14ac:dyDescent="0.25">
      <c r="A8107" s="277">
        <v>43831</v>
      </c>
      <c r="B8107" s="277">
        <v>44196</v>
      </c>
      <c r="C8107" s="138">
        <v>2020</v>
      </c>
      <c r="D8107" s="351" t="s">
        <v>23</v>
      </c>
      <c r="E8107" s="28" t="s">
        <v>327</v>
      </c>
      <c r="F8107" s="7" t="s">
        <v>40</v>
      </c>
      <c r="G8107" s="206" t="s">
        <v>26</v>
      </c>
      <c r="H8107" s="206" t="s">
        <v>11040</v>
      </c>
      <c r="I8107" s="157">
        <v>4</v>
      </c>
      <c r="J8107" s="305">
        <v>19</v>
      </c>
      <c r="K8107" s="142">
        <v>0</v>
      </c>
      <c r="L8107" s="142">
        <v>0</v>
      </c>
      <c r="M8107" s="142">
        <v>0</v>
      </c>
      <c r="N8107" s="142">
        <v>0</v>
      </c>
      <c r="O8107" s="305">
        <v>0</v>
      </c>
      <c r="P8107" s="306">
        <v>0</v>
      </c>
      <c r="Q8107" s="157" t="s">
        <v>2218</v>
      </c>
      <c r="R8107" s="303"/>
    </row>
    <row r="8108" spans="1:18" s="162" customFormat="1" ht="24" x14ac:dyDescent="0.25">
      <c r="A8108" s="277">
        <v>43831</v>
      </c>
      <c r="B8108" s="277">
        <v>44196</v>
      </c>
      <c r="C8108" s="138">
        <v>2020</v>
      </c>
      <c r="D8108" s="351" t="s">
        <v>23</v>
      </c>
      <c r="E8108" s="28" t="s">
        <v>327</v>
      </c>
      <c r="F8108" s="7" t="s">
        <v>45</v>
      </c>
      <c r="G8108" s="206" t="s">
        <v>26</v>
      </c>
      <c r="H8108" s="206" t="s">
        <v>11041</v>
      </c>
      <c r="I8108" s="157">
        <v>0</v>
      </c>
      <c r="J8108" s="305">
        <v>1</v>
      </c>
      <c r="K8108" s="142">
        <v>0</v>
      </c>
      <c r="L8108" s="142">
        <v>0</v>
      </c>
      <c r="M8108" s="142">
        <v>0</v>
      </c>
      <c r="N8108" s="142">
        <v>0</v>
      </c>
      <c r="O8108" s="305">
        <v>0</v>
      </c>
      <c r="P8108" s="306">
        <v>0</v>
      </c>
      <c r="Q8108" s="157" t="s">
        <v>2218</v>
      </c>
      <c r="R8108" s="303"/>
    </row>
    <row r="8109" spans="1:18" s="162" customFormat="1" ht="24" x14ac:dyDescent="0.25">
      <c r="A8109" s="277">
        <v>43831</v>
      </c>
      <c r="B8109" s="277">
        <v>44196</v>
      </c>
      <c r="C8109" s="138">
        <v>2020</v>
      </c>
      <c r="D8109" s="351" t="s">
        <v>23</v>
      </c>
      <c r="E8109" s="28" t="s">
        <v>327</v>
      </c>
      <c r="F8109" s="7" t="s">
        <v>60</v>
      </c>
      <c r="G8109" s="206" t="s">
        <v>26</v>
      </c>
      <c r="H8109" s="206" t="s">
        <v>11042</v>
      </c>
      <c r="I8109" s="157">
        <v>0</v>
      </c>
      <c r="J8109" s="305">
        <v>4</v>
      </c>
      <c r="K8109" s="142">
        <v>0</v>
      </c>
      <c r="L8109" s="142">
        <v>0</v>
      </c>
      <c r="M8109" s="142">
        <v>0</v>
      </c>
      <c r="N8109" s="142">
        <v>0</v>
      </c>
      <c r="O8109" s="305">
        <v>0</v>
      </c>
      <c r="P8109" s="306">
        <v>0</v>
      </c>
      <c r="Q8109" s="157" t="s">
        <v>2218</v>
      </c>
      <c r="R8109" s="303"/>
    </row>
    <row r="8110" spans="1:18" s="162" customFormat="1" ht="36" x14ac:dyDescent="0.25">
      <c r="A8110" s="277">
        <v>43831</v>
      </c>
      <c r="B8110" s="277">
        <v>44196</v>
      </c>
      <c r="C8110" s="138">
        <v>2020</v>
      </c>
      <c r="D8110" s="351" t="s">
        <v>23</v>
      </c>
      <c r="E8110" s="28" t="s">
        <v>327</v>
      </c>
      <c r="F8110" s="7" t="s">
        <v>67</v>
      </c>
      <c r="G8110" s="206" t="s">
        <v>26</v>
      </c>
      <c r="H8110" s="206" t="s">
        <v>11043</v>
      </c>
      <c r="I8110" s="157">
        <v>0</v>
      </c>
      <c r="J8110" s="305">
        <v>9</v>
      </c>
      <c r="K8110" s="142">
        <v>0</v>
      </c>
      <c r="L8110" s="142">
        <v>0</v>
      </c>
      <c r="M8110" s="142">
        <v>0</v>
      </c>
      <c r="N8110" s="142">
        <v>0</v>
      </c>
      <c r="O8110" s="305">
        <v>0</v>
      </c>
      <c r="P8110" s="306">
        <v>0</v>
      </c>
      <c r="Q8110" s="157" t="s">
        <v>2218</v>
      </c>
      <c r="R8110" s="303"/>
    </row>
    <row r="8111" spans="1:18" s="162" customFormat="1" ht="24" x14ac:dyDescent="0.25">
      <c r="A8111" s="277">
        <v>43831</v>
      </c>
      <c r="B8111" s="277">
        <v>44196</v>
      </c>
      <c r="C8111" s="138">
        <v>2020</v>
      </c>
      <c r="D8111" s="351" t="s">
        <v>23</v>
      </c>
      <c r="E8111" s="28" t="s">
        <v>327</v>
      </c>
      <c r="F8111" s="7" t="s">
        <v>68</v>
      </c>
      <c r="G8111" s="206" t="s">
        <v>26</v>
      </c>
      <c r="H8111" s="206" t="s">
        <v>11041</v>
      </c>
      <c r="I8111" s="157">
        <v>0</v>
      </c>
      <c r="J8111" s="305">
        <v>1</v>
      </c>
      <c r="K8111" s="142">
        <v>0</v>
      </c>
      <c r="L8111" s="142">
        <v>0</v>
      </c>
      <c r="M8111" s="142">
        <v>0</v>
      </c>
      <c r="N8111" s="142">
        <v>0</v>
      </c>
      <c r="O8111" s="305">
        <v>0</v>
      </c>
      <c r="P8111" s="306">
        <v>0</v>
      </c>
      <c r="Q8111" s="157" t="s">
        <v>2218</v>
      </c>
      <c r="R8111" s="303"/>
    </row>
    <row r="8112" spans="1:18" s="162" customFormat="1" ht="48" x14ac:dyDescent="0.25">
      <c r="A8112" s="277">
        <v>43831</v>
      </c>
      <c r="B8112" s="277">
        <v>44196</v>
      </c>
      <c r="C8112" s="138">
        <v>2020</v>
      </c>
      <c r="D8112" s="351" t="s">
        <v>23</v>
      </c>
      <c r="E8112" s="28" t="s">
        <v>327</v>
      </c>
      <c r="F8112" s="7" t="s">
        <v>80</v>
      </c>
      <c r="G8112" s="206" t="s">
        <v>26</v>
      </c>
      <c r="H8112" s="206" t="s">
        <v>11044</v>
      </c>
      <c r="I8112" s="157">
        <v>3</v>
      </c>
      <c r="J8112" s="305">
        <v>13</v>
      </c>
      <c r="K8112" s="142">
        <v>0</v>
      </c>
      <c r="L8112" s="142">
        <v>0</v>
      </c>
      <c r="M8112" s="142">
        <v>0</v>
      </c>
      <c r="N8112" s="142">
        <v>0</v>
      </c>
      <c r="O8112" s="305">
        <v>0</v>
      </c>
      <c r="P8112" s="306">
        <v>0</v>
      </c>
      <c r="Q8112" s="157" t="s">
        <v>2218</v>
      </c>
      <c r="R8112" s="303"/>
    </row>
    <row r="8113" spans="1:18" s="162" customFormat="1" ht="24" x14ac:dyDescent="0.25">
      <c r="A8113" s="277">
        <v>43831</v>
      </c>
      <c r="B8113" s="277">
        <v>44196</v>
      </c>
      <c r="C8113" s="138">
        <v>2020</v>
      </c>
      <c r="D8113" s="351" t="s">
        <v>23</v>
      </c>
      <c r="E8113" s="28" t="s">
        <v>327</v>
      </c>
      <c r="F8113" s="7" t="s">
        <v>82</v>
      </c>
      <c r="G8113" s="206" t="s">
        <v>26</v>
      </c>
      <c r="H8113" s="206" t="s">
        <v>11041</v>
      </c>
      <c r="I8113" s="157">
        <v>0</v>
      </c>
      <c r="J8113" s="305">
        <v>1</v>
      </c>
      <c r="K8113" s="142">
        <v>0</v>
      </c>
      <c r="L8113" s="142">
        <v>0</v>
      </c>
      <c r="M8113" s="142">
        <v>0</v>
      </c>
      <c r="N8113" s="142">
        <v>0</v>
      </c>
      <c r="O8113" s="305">
        <v>0</v>
      </c>
      <c r="P8113" s="306">
        <v>0</v>
      </c>
      <c r="Q8113" s="157" t="s">
        <v>2218</v>
      </c>
      <c r="R8113" s="303"/>
    </row>
    <row r="8114" spans="1:18" s="162" customFormat="1" ht="24" x14ac:dyDescent="0.25">
      <c r="A8114" s="277">
        <v>43831</v>
      </c>
      <c r="B8114" s="277">
        <v>44196</v>
      </c>
      <c r="C8114" s="138">
        <v>2020</v>
      </c>
      <c r="D8114" s="351" t="s">
        <v>23</v>
      </c>
      <c r="E8114" s="28" t="s">
        <v>327</v>
      </c>
      <c r="F8114" s="7" t="s">
        <v>84</v>
      </c>
      <c r="G8114" s="206" t="s">
        <v>26</v>
      </c>
      <c r="H8114" s="206" t="s">
        <v>11045</v>
      </c>
      <c r="I8114" s="157">
        <v>0</v>
      </c>
      <c r="J8114" s="305">
        <v>4</v>
      </c>
      <c r="K8114" s="142">
        <v>0</v>
      </c>
      <c r="L8114" s="142">
        <v>0</v>
      </c>
      <c r="M8114" s="142">
        <v>0</v>
      </c>
      <c r="N8114" s="142">
        <v>0</v>
      </c>
      <c r="O8114" s="305">
        <v>0</v>
      </c>
      <c r="P8114" s="306">
        <v>0</v>
      </c>
      <c r="Q8114" s="157" t="s">
        <v>2218</v>
      </c>
      <c r="R8114" s="303"/>
    </row>
    <row r="8115" spans="1:18" s="162" customFormat="1" ht="48" x14ac:dyDescent="0.25">
      <c r="A8115" s="277">
        <v>43831</v>
      </c>
      <c r="B8115" s="277">
        <v>44196</v>
      </c>
      <c r="C8115" s="138">
        <v>2020</v>
      </c>
      <c r="D8115" s="351" t="s">
        <v>23</v>
      </c>
      <c r="E8115" s="28" t="s">
        <v>327</v>
      </c>
      <c r="F8115" s="7" t="s">
        <v>87</v>
      </c>
      <c r="G8115" s="206" t="s">
        <v>26</v>
      </c>
      <c r="H8115" s="206" t="s">
        <v>11046</v>
      </c>
      <c r="I8115" s="157">
        <v>16</v>
      </c>
      <c r="J8115" s="305">
        <v>88</v>
      </c>
      <c r="K8115" s="142">
        <v>0</v>
      </c>
      <c r="L8115" s="142">
        <v>0</v>
      </c>
      <c r="M8115" s="142">
        <v>0</v>
      </c>
      <c r="N8115" s="142">
        <v>0</v>
      </c>
      <c r="O8115" s="305">
        <v>0</v>
      </c>
      <c r="P8115" s="306">
        <v>0</v>
      </c>
      <c r="Q8115" s="157" t="s">
        <v>2218</v>
      </c>
      <c r="R8115" s="303"/>
    </row>
    <row r="8116" spans="1:18" s="162" customFormat="1" ht="36" x14ac:dyDescent="0.25">
      <c r="A8116" s="277">
        <v>43831</v>
      </c>
      <c r="B8116" s="277">
        <v>44196</v>
      </c>
      <c r="C8116" s="138">
        <v>2020</v>
      </c>
      <c r="D8116" s="351" t="s">
        <v>23</v>
      </c>
      <c r="E8116" s="28" t="s">
        <v>327</v>
      </c>
      <c r="F8116" s="25" t="s">
        <v>781</v>
      </c>
      <c r="G8116" s="206" t="s">
        <v>26</v>
      </c>
      <c r="H8116" s="206" t="s">
        <v>11047</v>
      </c>
      <c r="I8116" s="157">
        <v>1</v>
      </c>
      <c r="J8116" s="305">
        <v>4</v>
      </c>
      <c r="K8116" s="142">
        <v>0</v>
      </c>
      <c r="L8116" s="142">
        <v>0</v>
      </c>
      <c r="M8116" s="142">
        <v>0</v>
      </c>
      <c r="N8116" s="142">
        <v>0</v>
      </c>
      <c r="O8116" s="305">
        <v>0</v>
      </c>
      <c r="P8116" s="306">
        <v>0</v>
      </c>
      <c r="Q8116" s="157" t="s">
        <v>2218</v>
      </c>
      <c r="R8116" s="303"/>
    </row>
    <row r="8117" spans="1:18" s="162" customFormat="1" ht="24" x14ac:dyDescent="0.25">
      <c r="A8117" s="277">
        <v>43831</v>
      </c>
      <c r="B8117" s="277">
        <v>44196</v>
      </c>
      <c r="C8117" s="138">
        <v>2020</v>
      </c>
      <c r="D8117" s="351" t="s">
        <v>23</v>
      </c>
      <c r="E8117" s="28" t="s">
        <v>327</v>
      </c>
      <c r="F8117" s="7" t="s">
        <v>91</v>
      </c>
      <c r="G8117" s="206" t="s">
        <v>26</v>
      </c>
      <c r="H8117" s="206" t="s">
        <v>11048</v>
      </c>
      <c r="I8117" s="157">
        <v>0</v>
      </c>
      <c r="J8117" s="305">
        <v>2</v>
      </c>
      <c r="K8117" s="142">
        <v>0</v>
      </c>
      <c r="L8117" s="142">
        <v>0</v>
      </c>
      <c r="M8117" s="142">
        <v>0</v>
      </c>
      <c r="N8117" s="142">
        <v>0</v>
      </c>
      <c r="O8117" s="305">
        <v>0</v>
      </c>
      <c r="P8117" s="306">
        <v>0</v>
      </c>
      <c r="Q8117" s="157" t="s">
        <v>2218</v>
      </c>
      <c r="R8117" s="303"/>
    </row>
    <row r="8118" spans="1:18" s="162" customFormat="1" ht="36" x14ac:dyDescent="0.25">
      <c r="A8118" s="277">
        <v>43831</v>
      </c>
      <c r="B8118" s="277">
        <v>44196</v>
      </c>
      <c r="C8118" s="138">
        <v>2020</v>
      </c>
      <c r="D8118" s="351" t="s">
        <v>23</v>
      </c>
      <c r="E8118" s="28" t="s">
        <v>327</v>
      </c>
      <c r="F8118" s="28" t="s">
        <v>210</v>
      </c>
      <c r="G8118" s="206" t="s">
        <v>26</v>
      </c>
      <c r="H8118" s="206" t="s">
        <v>11049</v>
      </c>
      <c r="I8118" s="157">
        <v>0</v>
      </c>
      <c r="J8118" s="305">
        <v>18</v>
      </c>
      <c r="K8118" s="142">
        <v>0</v>
      </c>
      <c r="L8118" s="142">
        <v>0</v>
      </c>
      <c r="M8118" s="142">
        <v>0</v>
      </c>
      <c r="N8118" s="142">
        <v>0</v>
      </c>
      <c r="O8118" s="305">
        <v>0</v>
      </c>
      <c r="P8118" s="306">
        <v>0</v>
      </c>
      <c r="Q8118" s="157" t="s">
        <v>2218</v>
      </c>
      <c r="R8118" s="303"/>
    </row>
    <row r="8119" spans="1:18" s="162" customFormat="1" ht="36" x14ac:dyDescent="0.25">
      <c r="A8119" s="277">
        <v>43831</v>
      </c>
      <c r="B8119" s="277">
        <v>44196</v>
      </c>
      <c r="C8119" s="138">
        <v>2020</v>
      </c>
      <c r="D8119" s="351" t="s">
        <v>23</v>
      </c>
      <c r="E8119" s="28" t="s">
        <v>327</v>
      </c>
      <c r="F8119" s="28" t="s">
        <v>163</v>
      </c>
      <c r="G8119" s="206" t="s">
        <v>26</v>
      </c>
      <c r="H8119" s="206" t="s">
        <v>11047</v>
      </c>
      <c r="I8119" s="157">
        <v>1</v>
      </c>
      <c r="J8119" s="305">
        <v>4</v>
      </c>
      <c r="K8119" s="142">
        <v>0</v>
      </c>
      <c r="L8119" s="142">
        <v>0</v>
      </c>
      <c r="M8119" s="142">
        <v>0</v>
      </c>
      <c r="N8119" s="142">
        <v>0</v>
      </c>
      <c r="O8119" s="305">
        <v>0</v>
      </c>
      <c r="P8119" s="306">
        <v>0</v>
      </c>
      <c r="Q8119" s="157" t="s">
        <v>2218</v>
      </c>
      <c r="R8119" s="303"/>
    </row>
    <row r="8120" spans="1:18" s="162" customFormat="1" ht="24" x14ac:dyDescent="0.25">
      <c r="A8120" s="184">
        <v>43833</v>
      </c>
      <c r="B8120" s="184">
        <v>43835</v>
      </c>
      <c r="C8120" s="138">
        <v>2020</v>
      </c>
      <c r="D8120" s="351" t="s">
        <v>23</v>
      </c>
      <c r="E8120" s="22" t="s">
        <v>2689</v>
      </c>
      <c r="F8120" s="7" t="s">
        <v>40</v>
      </c>
      <c r="G8120" s="206" t="s">
        <v>26</v>
      </c>
      <c r="H8120" s="44" t="s">
        <v>11050</v>
      </c>
      <c r="I8120" s="157">
        <v>0</v>
      </c>
      <c r="J8120" s="305">
        <v>5463</v>
      </c>
      <c r="K8120" s="142">
        <v>0</v>
      </c>
      <c r="L8120" s="142">
        <v>0</v>
      </c>
      <c r="M8120" s="142">
        <v>0</v>
      </c>
      <c r="N8120" s="142">
        <v>0</v>
      </c>
      <c r="O8120" s="305">
        <v>0</v>
      </c>
      <c r="P8120" s="306">
        <v>3.8564660000000002</v>
      </c>
      <c r="Q8120" s="157" t="s">
        <v>7883</v>
      </c>
      <c r="R8120" s="303"/>
    </row>
    <row r="8121" spans="1:18" s="162" customFormat="1" ht="132" x14ac:dyDescent="0.25">
      <c r="A8121" s="184">
        <v>43834</v>
      </c>
      <c r="B8121" s="184">
        <v>43834</v>
      </c>
      <c r="C8121" s="138">
        <v>2020</v>
      </c>
      <c r="D8121" s="24" t="s">
        <v>141</v>
      </c>
      <c r="E8121" s="30" t="s">
        <v>142</v>
      </c>
      <c r="F8121" s="7" t="s">
        <v>65</v>
      </c>
      <c r="G8121" s="33" t="s">
        <v>2627</v>
      </c>
      <c r="H8121" s="33" t="s">
        <v>11051</v>
      </c>
      <c r="I8121" s="157">
        <v>1</v>
      </c>
      <c r="J8121" s="305">
        <v>2</v>
      </c>
      <c r="K8121" s="142">
        <v>0</v>
      </c>
      <c r="L8121" s="142">
        <v>0</v>
      </c>
      <c r="M8121" s="142">
        <v>0</v>
      </c>
      <c r="N8121" s="142">
        <v>0</v>
      </c>
      <c r="O8121" s="305">
        <v>0</v>
      </c>
      <c r="P8121" s="306">
        <v>5.591420788379283</v>
      </c>
      <c r="Q8121" s="157" t="s">
        <v>154</v>
      </c>
      <c r="R8121" s="303"/>
    </row>
    <row r="8122" spans="1:18" s="162" customFormat="1" ht="108" x14ac:dyDescent="0.25">
      <c r="A8122" s="184">
        <v>43834</v>
      </c>
      <c r="B8122" s="184">
        <v>43834</v>
      </c>
      <c r="C8122" s="138">
        <v>2020</v>
      </c>
      <c r="D8122" s="35" t="s">
        <v>17</v>
      </c>
      <c r="E8122" s="30" t="s">
        <v>122</v>
      </c>
      <c r="F8122" s="7" t="s">
        <v>36</v>
      </c>
      <c r="G8122" s="33" t="s">
        <v>2797</v>
      </c>
      <c r="H8122" s="33" t="s">
        <v>11052</v>
      </c>
      <c r="I8122" s="157">
        <v>0</v>
      </c>
      <c r="J8122" s="305">
        <v>0</v>
      </c>
      <c r="K8122" s="142">
        <v>0</v>
      </c>
      <c r="L8122" s="142">
        <v>0</v>
      </c>
      <c r="M8122" s="142">
        <v>0</v>
      </c>
      <c r="N8122" s="142">
        <v>0</v>
      </c>
      <c r="O8122" s="305">
        <v>0</v>
      </c>
      <c r="P8122" s="306">
        <v>0</v>
      </c>
      <c r="Q8122" s="157" t="s">
        <v>154</v>
      </c>
      <c r="R8122" s="303"/>
    </row>
    <row r="8123" spans="1:18" s="162" customFormat="1" ht="252" x14ac:dyDescent="0.25">
      <c r="A8123" s="184">
        <v>43834</v>
      </c>
      <c r="B8123" s="184">
        <v>43834</v>
      </c>
      <c r="C8123" s="138">
        <v>2020</v>
      </c>
      <c r="D8123" s="35" t="s">
        <v>17</v>
      </c>
      <c r="E8123" s="30" t="s">
        <v>122</v>
      </c>
      <c r="F8123" s="7" t="s">
        <v>72</v>
      </c>
      <c r="G8123" s="33" t="s">
        <v>11053</v>
      </c>
      <c r="H8123" s="33" t="s">
        <v>11054</v>
      </c>
      <c r="I8123" s="157">
        <v>0</v>
      </c>
      <c r="J8123" s="305">
        <v>1068</v>
      </c>
      <c r="K8123" s="142">
        <v>7</v>
      </c>
      <c r="L8123" s="142">
        <v>0</v>
      </c>
      <c r="M8123" s="142">
        <v>1</v>
      </c>
      <c r="N8123" s="142">
        <v>0</v>
      </c>
      <c r="O8123" s="305">
        <v>0</v>
      </c>
      <c r="P8123" s="306">
        <v>13.358869197400001</v>
      </c>
      <c r="Q8123" s="157" t="s">
        <v>7883</v>
      </c>
      <c r="R8123" s="303"/>
    </row>
    <row r="8124" spans="1:18" s="162" customFormat="1" ht="120" x14ac:dyDescent="0.25">
      <c r="A8124" s="184">
        <v>43837</v>
      </c>
      <c r="B8124" s="184">
        <v>43837</v>
      </c>
      <c r="C8124" s="138">
        <v>2020</v>
      </c>
      <c r="D8124" s="24" t="s">
        <v>141</v>
      </c>
      <c r="E8124" s="30" t="s">
        <v>142</v>
      </c>
      <c r="F8124" s="7" t="s">
        <v>87</v>
      </c>
      <c r="G8124" s="33" t="s">
        <v>936</v>
      </c>
      <c r="H8124" s="33" t="s">
        <v>11055</v>
      </c>
      <c r="I8124" s="157">
        <v>6</v>
      </c>
      <c r="J8124" s="305">
        <v>38</v>
      </c>
      <c r="K8124" s="142">
        <v>0</v>
      </c>
      <c r="L8124" s="142">
        <v>0</v>
      </c>
      <c r="M8124" s="142">
        <v>0</v>
      </c>
      <c r="N8124" s="142">
        <v>0</v>
      </c>
      <c r="O8124" s="305">
        <v>0</v>
      </c>
      <c r="P8124" s="306">
        <v>0.8063971722093024</v>
      </c>
      <c r="Q8124" s="157" t="s">
        <v>154</v>
      </c>
      <c r="R8124" s="303"/>
    </row>
    <row r="8125" spans="1:18" s="162" customFormat="1" ht="108" x14ac:dyDescent="0.25">
      <c r="A8125" s="184">
        <v>43838</v>
      </c>
      <c r="B8125" s="184">
        <v>43838</v>
      </c>
      <c r="C8125" s="138">
        <v>2020</v>
      </c>
      <c r="D8125" s="24" t="s">
        <v>141</v>
      </c>
      <c r="E8125" s="30" t="s">
        <v>142</v>
      </c>
      <c r="F8125" s="7" t="s">
        <v>36</v>
      </c>
      <c r="G8125" s="33" t="s">
        <v>11056</v>
      </c>
      <c r="H8125" s="33" t="s">
        <v>11057</v>
      </c>
      <c r="I8125" s="157">
        <v>2</v>
      </c>
      <c r="J8125" s="305">
        <v>15</v>
      </c>
      <c r="K8125" s="142">
        <v>0</v>
      </c>
      <c r="L8125" s="142">
        <v>0</v>
      </c>
      <c r="M8125" s="142">
        <v>0</v>
      </c>
      <c r="N8125" s="142">
        <v>0</v>
      </c>
      <c r="O8125" s="305">
        <v>0</v>
      </c>
      <c r="P8125" s="306">
        <v>0.25006575000000003</v>
      </c>
      <c r="Q8125" s="157" t="s">
        <v>154</v>
      </c>
      <c r="R8125" s="303"/>
    </row>
    <row r="8126" spans="1:18" s="162" customFormat="1" ht="204" x14ac:dyDescent="0.25">
      <c r="A8126" s="184">
        <v>43838</v>
      </c>
      <c r="B8126" s="184">
        <v>43838</v>
      </c>
      <c r="C8126" s="138">
        <v>2020</v>
      </c>
      <c r="D8126" s="35" t="s">
        <v>28</v>
      </c>
      <c r="E8126" s="30" t="s">
        <v>125</v>
      </c>
      <c r="F8126" s="7" t="s">
        <v>40</v>
      </c>
      <c r="G8126" s="33" t="s">
        <v>40</v>
      </c>
      <c r="H8126" s="33" t="s">
        <v>11058</v>
      </c>
      <c r="I8126" s="157">
        <v>0</v>
      </c>
      <c r="J8126" s="305">
        <v>1450</v>
      </c>
      <c r="K8126" s="142">
        <v>0</v>
      </c>
      <c r="L8126" s="142">
        <v>0</v>
      </c>
      <c r="M8126" s="142">
        <v>0</v>
      </c>
      <c r="N8126" s="142">
        <v>0</v>
      </c>
      <c r="O8126" s="305">
        <v>0</v>
      </c>
      <c r="P8126" s="306">
        <v>0</v>
      </c>
      <c r="Q8126" s="157" t="s">
        <v>154</v>
      </c>
      <c r="R8126" s="303"/>
    </row>
    <row r="8127" spans="1:18" s="162" customFormat="1" ht="120" x14ac:dyDescent="0.25">
      <c r="A8127" s="184">
        <v>43839</v>
      </c>
      <c r="B8127" s="184">
        <v>43839</v>
      </c>
      <c r="C8127" s="138">
        <v>2020</v>
      </c>
      <c r="D8127" s="24" t="s">
        <v>141</v>
      </c>
      <c r="E8127" s="30" t="s">
        <v>142</v>
      </c>
      <c r="F8127" s="28" t="s">
        <v>210</v>
      </c>
      <c r="G8127" s="33" t="s">
        <v>11059</v>
      </c>
      <c r="H8127" s="33" t="s">
        <v>11060</v>
      </c>
      <c r="I8127" s="157">
        <v>1</v>
      </c>
      <c r="J8127" s="305">
        <v>3</v>
      </c>
      <c r="K8127" s="142">
        <v>0</v>
      </c>
      <c r="L8127" s="142">
        <v>0</v>
      </c>
      <c r="M8127" s="142">
        <v>0</v>
      </c>
      <c r="N8127" s="142">
        <v>0</v>
      </c>
      <c r="O8127" s="305">
        <v>0</v>
      </c>
      <c r="P8127" s="306">
        <v>0.21931481000000003</v>
      </c>
      <c r="Q8127" s="157" t="s">
        <v>154</v>
      </c>
      <c r="R8127" s="303"/>
    </row>
    <row r="8128" spans="1:18" s="162" customFormat="1" ht="132" x14ac:dyDescent="0.25">
      <c r="A8128" s="184">
        <v>43840</v>
      </c>
      <c r="B8128" s="184">
        <v>43840</v>
      </c>
      <c r="C8128" s="138">
        <v>2020</v>
      </c>
      <c r="D8128" s="24" t="s">
        <v>141</v>
      </c>
      <c r="E8128" s="22" t="s">
        <v>420</v>
      </c>
      <c r="F8128" s="28" t="s">
        <v>160</v>
      </c>
      <c r="G8128" s="33" t="s">
        <v>3424</v>
      </c>
      <c r="H8128" s="33" t="s">
        <v>11061</v>
      </c>
      <c r="I8128" s="157">
        <v>0</v>
      </c>
      <c r="J8128" s="305">
        <v>0</v>
      </c>
      <c r="K8128" s="142">
        <v>0</v>
      </c>
      <c r="L8128" s="142">
        <v>0</v>
      </c>
      <c r="M8128" s="142">
        <v>0</v>
      </c>
      <c r="N8128" s="142">
        <v>0</v>
      </c>
      <c r="O8128" s="305">
        <v>0</v>
      </c>
      <c r="P8128" s="306">
        <v>1.105912549883721</v>
      </c>
      <c r="Q8128" s="157" t="s">
        <v>154</v>
      </c>
      <c r="R8128" s="303"/>
    </row>
    <row r="8129" spans="1:18" s="162" customFormat="1" ht="84" x14ac:dyDescent="0.25">
      <c r="A8129" s="184">
        <v>43840</v>
      </c>
      <c r="B8129" s="184">
        <v>43840</v>
      </c>
      <c r="C8129" s="138">
        <v>2020</v>
      </c>
      <c r="D8129" s="35" t="s">
        <v>28</v>
      </c>
      <c r="E8129" s="30" t="s">
        <v>133</v>
      </c>
      <c r="F8129" s="7" t="s">
        <v>53</v>
      </c>
      <c r="G8129" s="33" t="s">
        <v>11062</v>
      </c>
      <c r="H8129" s="33" t="s">
        <v>11063</v>
      </c>
      <c r="I8129" s="157">
        <v>1</v>
      </c>
      <c r="J8129" s="305">
        <v>1</v>
      </c>
      <c r="K8129" s="142">
        <v>0</v>
      </c>
      <c r="L8129" s="142">
        <v>0</v>
      </c>
      <c r="M8129" s="142">
        <v>0</v>
      </c>
      <c r="N8129" s="142">
        <v>0</v>
      </c>
      <c r="O8129" s="305">
        <v>0</v>
      </c>
      <c r="P8129" s="306">
        <v>1.0890000000000001E-3</v>
      </c>
      <c r="Q8129" s="157" t="s">
        <v>154</v>
      </c>
      <c r="R8129" s="303"/>
    </row>
    <row r="8130" spans="1:18" s="162" customFormat="1" ht="132" x14ac:dyDescent="0.25">
      <c r="A8130" s="184">
        <v>43840</v>
      </c>
      <c r="B8130" s="184">
        <v>43840</v>
      </c>
      <c r="C8130" s="138">
        <v>2020</v>
      </c>
      <c r="D8130" s="35" t="s">
        <v>28</v>
      </c>
      <c r="E8130" s="6" t="s">
        <v>149</v>
      </c>
      <c r="F8130" s="7" t="s">
        <v>53</v>
      </c>
      <c r="G8130" s="33" t="s">
        <v>4816</v>
      </c>
      <c r="H8130" s="33" t="s">
        <v>11064</v>
      </c>
      <c r="I8130" s="157">
        <v>0</v>
      </c>
      <c r="J8130" s="305">
        <v>2000</v>
      </c>
      <c r="K8130" s="142">
        <v>0</v>
      </c>
      <c r="L8130" s="142">
        <v>0</v>
      </c>
      <c r="M8130" s="142">
        <v>0</v>
      </c>
      <c r="N8130" s="142">
        <v>1</v>
      </c>
      <c r="O8130" s="305">
        <v>0</v>
      </c>
      <c r="P8130" s="306">
        <v>0.01</v>
      </c>
      <c r="Q8130" s="157" t="s">
        <v>154</v>
      </c>
      <c r="R8130" s="303"/>
    </row>
    <row r="8131" spans="1:18" s="162" customFormat="1" ht="60" x14ac:dyDescent="0.25">
      <c r="A8131" s="184">
        <v>43844</v>
      </c>
      <c r="B8131" s="184">
        <v>43844</v>
      </c>
      <c r="C8131" s="138">
        <v>2020</v>
      </c>
      <c r="D8131" s="24" t="s">
        <v>141</v>
      </c>
      <c r="E8131" s="30" t="s">
        <v>142</v>
      </c>
      <c r="F8131" s="7" t="s">
        <v>91</v>
      </c>
      <c r="G8131" s="33" t="s">
        <v>2315</v>
      </c>
      <c r="H8131" s="33" t="s">
        <v>11065</v>
      </c>
      <c r="I8131" s="157">
        <v>5</v>
      </c>
      <c r="J8131" s="305">
        <v>5</v>
      </c>
      <c r="K8131" s="142">
        <v>0</v>
      </c>
      <c r="L8131" s="142">
        <v>0</v>
      </c>
      <c r="M8131" s="142">
        <v>0</v>
      </c>
      <c r="N8131" s="142">
        <v>0</v>
      </c>
      <c r="O8131" s="305">
        <v>0</v>
      </c>
      <c r="P8131" s="306">
        <v>0.78553200000000001</v>
      </c>
      <c r="Q8131" s="157" t="s">
        <v>154</v>
      </c>
      <c r="R8131" s="303"/>
    </row>
    <row r="8132" spans="1:18" s="162" customFormat="1" ht="108" x14ac:dyDescent="0.25">
      <c r="A8132" s="184">
        <v>43845</v>
      </c>
      <c r="B8132" s="184">
        <v>43845</v>
      </c>
      <c r="C8132" s="138">
        <v>2020</v>
      </c>
      <c r="D8132" s="35" t="s">
        <v>28</v>
      </c>
      <c r="E8132" s="30" t="s">
        <v>125</v>
      </c>
      <c r="F8132" s="7" t="s">
        <v>75</v>
      </c>
      <c r="G8132" s="33" t="s">
        <v>75</v>
      </c>
      <c r="H8132" s="33" t="s">
        <v>11066</v>
      </c>
      <c r="I8132" s="157">
        <v>0</v>
      </c>
      <c r="J8132" s="305">
        <v>20</v>
      </c>
      <c r="K8132" s="142">
        <v>1</v>
      </c>
      <c r="L8132" s="142">
        <v>0</v>
      </c>
      <c r="M8132" s="142">
        <v>0</v>
      </c>
      <c r="N8132" s="142">
        <v>0</v>
      </c>
      <c r="O8132" s="305">
        <v>0</v>
      </c>
      <c r="P8132" s="306">
        <v>5.2113008588235303E-2</v>
      </c>
      <c r="Q8132" s="157" t="s">
        <v>154</v>
      </c>
      <c r="R8132" s="303"/>
    </row>
    <row r="8133" spans="1:18" s="162" customFormat="1" ht="120" x14ac:dyDescent="0.25">
      <c r="A8133" s="184">
        <v>43845</v>
      </c>
      <c r="B8133" s="184">
        <v>43845</v>
      </c>
      <c r="C8133" s="138">
        <v>2020</v>
      </c>
      <c r="D8133" s="24" t="s">
        <v>141</v>
      </c>
      <c r="E8133" s="30" t="s">
        <v>142</v>
      </c>
      <c r="F8133" s="7" t="s">
        <v>56</v>
      </c>
      <c r="G8133" s="33" t="s">
        <v>351</v>
      </c>
      <c r="H8133" s="33" t="s">
        <v>11067</v>
      </c>
      <c r="I8133" s="157">
        <v>0</v>
      </c>
      <c r="J8133" s="305">
        <v>13</v>
      </c>
      <c r="K8133" s="142">
        <v>0</v>
      </c>
      <c r="L8133" s="142">
        <v>0</v>
      </c>
      <c r="M8133" s="142">
        <v>0</v>
      </c>
      <c r="N8133" s="142">
        <v>0</v>
      </c>
      <c r="O8133" s="305">
        <v>0</v>
      </c>
      <c r="P8133" s="306">
        <v>4.4028973999999992E-2</v>
      </c>
      <c r="Q8133" s="157" t="s">
        <v>154</v>
      </c>
      <c r="R8133" s="303"/>
    </row>
    <row r="8134" spans="1:18" s="162" customFormat="1" ht="192" x14ac:dyDescent="0.25">
      <c r="A8134" s="184">
        <v>43845</v>
      </c>
      <c r="B8134" s="184">
        <v>43845</v>
      </c>
      <c r="C8134" s="138">
        <v>2020</v>
      </c>
      <c r="D8134" s="35" t="s">
        <v>28</v>
      </c>
      <c r="E8134" s="6" t="s">
        <v>149</v>
      </c>
      <c r="F8134" s="28" t="s">
        <v>157</v>
      </c>
      <c r="G8134" s="33" t="s">
        <v>716</v>
      </c>
      <c r="H8134" s="33" t="s">
        <v>11068</v>
      </c>
      <c r="I8134" s="157">
        <v>0</v>
      </c>
      <c r="J8134" s="305">
        <v>200</v>
      </c>
      <c r="K8134" s="142">
        <v>0</v>
      </c>
      <c r="L8134" s="142">
        <v>0</v>
      </c>
      <c r="M8134" s="142">
        <v>0</v>
      </c>
      <c r="N8134" s="142">
        <v>12</v>
      </c>
      <c r="O8134" s="305">
        <v>0</v>
      </c>
      <c r="P8134" s="306">
        <v>0.12</v>
      </c>
      <c r="Q8134" s="157" t="s">
        <v>154</v>
      </c>
      <c r="R8134" s="303"/>
    </row>
    <row r="8135" spans="1:18" s="162" customFormat="1" ht="84" x14ac:dyDescent="0.25">
      <c r="A8135" s="184">
        <v>43846</v>
      </c>
      <c r="B8135" s="184">
        <v>43846</v>
      </c>
      <c r="C8135" s="138">
        <v>2020</v>
      </c>
      <c r="D8135" s="35" t="s">
        <v>28</v>
      </c>
      <c r="E8135" s="30" t="s">
        <v>133</v>
      </c>
      <c r="F8135" s="7" t="s">
        <v>53</v>
      </c>
      <c r="G8135" s="33" t="s">
        <v>2776</v>
      </c>
      <c r="H8135" s="33" t="s">
        <v>11069</v>
      </c>
      <c r="I8135" s="157">
        <v>2</v>
      </c>
      <c r="J8135" s="305">
        <v>2</v>
      </c>
      <c r="K8135" s="142">
        <v>0</v>
      </c>
      <c r="L8135" s="142">
        <v>0</v>
      </c>
      <c r="M8135" s="142">
        <v>0</v>
      </c>
      <c r="N8135" s="142">
        <v>0</v>
      </c>
      <c r="O8135" s="305">
        <v>0</v>
      </c>
      <c r="P8135" s="306">
        <v>1.0890000000000001E-3</v>
      </c>
      <c r="Q8135" s="157" t="s">
        <v>154</v>
      </c>
      <c r="R8135" s="303"/>
    </row>
    <row r="8136" spans="1:18" s="162" customFormat="1" ht="240" x14ac:dyDescent="0.25">
      <c r="A8136" s="184">
        <v>43846</v>
      </c>
      <c r="B8136" s="184">
        <v>43846</v>
      </c>
      <c r="C8136" s="138">
        <v>2020</v>
      </c>
      <c r="D8136" s="35" t="s">
        <v>17</v>
      </c>
      <c r="E8136" s="30" t="s">
        <v>122</v>
      </c>
      <c r="F8136" s="7" t="s">
        <v>72</v>
      </c>
      <c r="G8136" s="33" t="s">
        <v>11070</v>
      </c>
      <c r="H8136" s="33" t="s">
        <v>11071</v>
      </c>
      <c r="I8136" s="157">
        <v>0</v>
      </c>
      <c r="J8136" s="305">
        <v>873</v>
      </c>
      <c r="K8136" s="142">
        <v>5</v>
      </c>
      <c r="L8136" s="142">
        <v>1</v>
      </c>
      <c r="M8136" s="142">
        <v>1</v>
      </c>
      <c r="N8136" s="142">
        <v>0</v>
      </c>
      <c r="O8136" s="305">
        <v>0</v>
      </c>
      <c r="P8136" s="306">
        <v>26.138120089171998</v>
      </c>
      <c r="Q8136" s="157" t="s">
        <v>7883</v>
      </c>
      <c r="R8136" s="303"/>
    </row>
    <row r="8137" spans="1:18" s="162" customFormat="1" ht="132" x14ac:dyDescent="0.25">
      <c r="A8137" s="184">
        <v>43848</v>
      </c>
      <c r="B8137" s="184">
        <v>43849</v>
      </c>
      <c r="C8137" s="138">
        <v>2020</v>
      </c>
      <c r="D8137" s="24" t="s">
        <v>141</v>
      </c>
      <c r="E8137" s="30" t="s">
        <v>142</v>
      </c>
      <c r="F8137" s="7" t="s">
        <v>68</v>
      </c>
      <c r="G8137" s="33" t="s">
        <v>2010</v>
      </c>
      <c r="H8137" s="33" t="s">
        <v>11072</v>
      </c>
      <c r="I8137" s="157">
        <v>0</v>
      </c>
      <c r="J8137" s="305">
        <v>8</v>
      </c>
      <c r="K8137" s="142">
        <v>0</v>
      </c>
      <c r="L8137" s="142">
        <v>0</v>
      </c>
      <c r="M8137" s="142">
        <v>0</v>
      </c>
      <c r="N8137" s="142">
        <v>0</v>
      </c>
      <c r="O8137" s="305">
        <v>0</v>
      </c>
      <c r="P8137" s="306">
        <v>0.20578837220930232</v>
      </c>
      <c r="Q8137" s="157" t="s">
        <v>154</v>
      </c>
      <c r="R8137" s="303"/>
    </row>
    <row r="8138" spans="1:18" s="162" customFormat="1" ht="108" x14ac:dyDescent="0.25">
      <c r="A8138" s="184">
        <v>43850</v>
      </c>
      <c r="B8138" s="184">
        <v>43850</v>
      </c>
      <c r="C8138" s="138">
        <v>2020</v>
      </c>
      <c r="D8138" s="35" t="s">
        <v>28</v>
      </c>
      <c r="E8138" s="30" t="s">
        <v>125</v>
      </c>
      <c r="F8138" s="7" t="s">
        <v>30</v>
      </c>
      <c r="G8138" s="33" t="s">
        <v>1078</v>
      </c>
      <c r="H8138" s="33" t="s">
        <v>11073</v>
      </c>
      <c r="I8138" s="157">
        <v>0</v>
      </c>
      <c r="J8138" s="305">
        <v>30</v>
      </c>
      <c r="K8138" s="142">
        <v>0</v>
      </c>
      <c r="L8138" s="142">
        <v>0</v>
      </c>
      <c r="M8138" s="142">
        <v>0</v>
      </c>
      <c r="N8138" s="142">
        <v>0</v>
      </c>
      <c r="O8138" s="305">
        <v>0</v>
      </c>
      <c r="P8138" s="306">
        <v>1.0117215858823529</v>
      </c>
      <c r="Q8138" s="157" t="s">
        <v>154</v>
      </c>
      <c r="R8138" s="303"/>
    </row>
    <row r="8139" spans="1:18" s="162" customFormat="1" ht="108" x14ac:dyDescent="0.25">
      <c r="A8139" s="184">
        <v>43851</v>
      </c>
      <c r="B8139" s="184">
        <v>43851</v>
      </c>
      <c r="C8139" s="138">
        <v>2020</v>
      </c>
      <c r="D8139" s="24" t="s">
        <v>141</v>
      </c>
      <c r="E8139" s="30" t="s">
        <v>142</v>
      </c>
      <c r="F8139" s="7" t="s">
        <v>36</v>
      </c>
      <c r="G8139" s="33" t="s">
        <v>5671</v>
      </c>
      <c r="H8139" s="33" t="s">
        <v>11074</v>
      </c>
      <c r="I8139" s="157">
        <v>1</v>
      </c>
      <c r="J8139" s="305">
        <v>3</v>
      </c>
      <c r="K8139" s="142">
        <v>0</v>
      </c>
      <c r="L8139" s="142">
        <v>0</v>
      </c>
      <c r="M8139" s="142">
        <v>0</v>
      </c>
      <c r="N8139" s="142">
        <v>0</v>
      </c>
      <c r="O8139" s="305">
        <v>0</v>
      </c>
      <c r="P8139" s="306">
        <v>0.20054287000000001</v>
      </c>
      <c r="Q8139" s="157" t="s">
        <v>154</v>
      </c>
      <c r="R8139" s="303"/>
    </row>
    <row r="8140" spans="1:18" s="162" customFormat="1" ht="60" x14ac:dyDescent="0.25">
      <c r="A8140" s="184">
        <v>43851</v>
      </c>
      <c r="B8140" s="184">
        <v>43851</v>
      </c>
      <c r="C8140" s="138">
        <v>2020</v>
      </c>
      <c r="D8140" s="24" t="s">
        <v>141</v>
      </c>
      <c r="E8140" s="30" t="s">
        <v>142</v>
      </c>
      <c r="F8140" s="7" t="s">
        <v>60</v>
      </c>
      <c r="G8140" s="33" t="s">
        <v>2545</v>
      </c>
      <c r="H8140" s="33" t="s">
        <v>11075</v>
      </c>
      <c r="I8140" s="157">
        <v>5</v>
      </c>
      <c r="J8140" s="305">
        <v>15</v>
      </c>
      <c r="K8140" s="142">
        <v>0</v>
      </c>
      <c r="L8140" s="142">
        <v>0</v>
      </c>
      <c r="M8140" s="142">
        <v>0</v>
      </c>
      <c r="N8140" s="142">
        <v>0</v>
      </c>
      <c r="O8140" s="305">
        <v>0</v>
      </c>
      <c r="P8140" s="306">
        <v>0.99478686999999999</v>
      </c>
      <c r="Q8140" s="157" t="s">
        <v>154</v>
      </c>
      <c r="R8140" s="303"/>
    </row>
    <row r="8141" spans="1:18" s="162" customFormat="1" ht="72" x14ac:dyDescent="0.25">
      <c r="A8141" s="184">
        <v>43853</v>
      </c>
      <c r="B8141" s="184">
        <v>43853</v>
      </c>
      <c r="C8141" s="138">
        <v>2020</v>
      </c>
      <c r="D8141" s="24" t="s">
        <v>141</v>
      </c>
      <c r="E8141" s="30" t="s">
        <v>142</v>
      </c>
      <c r="F8141" s="7" t="s">
        <v>101</v>
      </c>
      <c r="G8141" s="33" t="s">
        <v>174</v>
      </c>
      <c r="H8141" s="33" t="s">
        <v>11076</v>
      </c>
      <c r="I8141" s="157">
        <v>0</v>
      </c>
      <c r="J8141" s="305">
        <v>7</v>
      </c>
      <c r="K8141" s="142">
        <v>0</v>
      </c>
      <c r="L8141" s="142">
        <v>0</v>
      </c>
      <c r="M8141" s="142">
        <v>0</v>
      </c>
      <c r="N8141" s="142">
        <v>0</v>
      </c>
      <c r="O8141" s="305">
        <v>0</v>
      </c>
      <c r="P8141" s="306">
        <v>8.6176199999999994E-2</v>
      </c>
      <c r="Q8141" s="157" t="s">
        <v>154</v>
      </c>
      <c r="R8141" s="303"/>
    </row>
    <row r="8142" spans="1:18" s="162" customFormat="1" ht="60" x14ac:dyDescent="0.25">
      <c r="A8142" s="184">
        <v>43855</v>
      </c>
      <c r="B8142" s="184">
        <v>43855</v>
      </c>
      <c r="C8142" s="138">
        <v>2020</v>
      </c>
      <c r="D8142" s="24" t="s">
        <v>141</v>
      </c>
      <c r="E8142" s="30" t="s">
        <v>142</v>
      </c>
      <c r="F8142" s="7" t="s">
        <v>36</v>
      </c>
      <c r="G8142" s="33" t="s">
        <v>9955</v>
      </c>
      <c r="H8142" s="33" t="s">
        <v>11077</v>
      </c>
      <c r="I8142" s="157">
        <v>1</v>
      </c>
      <c r="J8142" s="305">
        <v>1</v>
      </c>
      <c r="K8142" s="142">
        <v>0</v>
      </c>
      <c r="L8142" s="142">
        <v>0</v>
      </c>
      <c r="M8142" s="142">
        <v>0</v>
      </c>
      <c r="N8142" s="142">
        <v>0</v>
      </c>
      <c r="O8142" s="305">
        <v>0</v>
      </c>
      <c r="P8142" s="306">
        <v>5.432873278379283</v>
      </c>
      <c r="Q8142" s="157" t="s">
        <v>154</v>
      </c>
      <c r="R8142" s="303"/>
    </row>
    <row r="8143" spans="1:18" s="162" customFormat="1" ht="132" x14ac:dyDescent="0.25">
      <c r="A8143" s="184">
        <v>43857</v>
      </c>
      <c r="B8143" s="184">
        <v>43857</v>
      </c>
      <c r="C8143" s="138">
        <v>2020</v>
      </c>
      <c r="D8143" s="24" t="s">
        <v>141</v>
      </c>
      <c r="E8143" s="30" t="s">
        <v>142</v>
      </c>
      <c r="F8143" s="7" t="s">
        <v>72</v>
      </c>
      <c r="G8143" s="33" t="s">
        <v>11078</v>
      </c>
      <c r="H8143" s="33" t="s">
        <v>11079</v>
      </c>
      <c r="I8143" s="157">
        <v>6</v>
      </c>
      <c r="J8143" s="305">
        <v>33</v>
      </c>
      <c r="K8143" s="142">
        <v>0</v>
      </c>
      <c r="L8143" s="142">
        <v>0</v>
      </c>
      <c r="M8143" s="142">
        <v>0</v>
      </c>
      <c r="N8143" s="142">
        <v>0</v>
      </c>
      <c r="O8143" s="305">
        <v>0</v>
      </c>
      <c r="P8143" s="306">
        <v>2.2423767300000002</v>
      </c>
      <c r="Q8143" s="157" t="s">
        <v>154</v>
      </c>
      <c r="R8143" s="303"/>
    </row>
    <row r="8144" spans="1:18" s="162" customFormat="1" ht="84" x14ac:dyDescent="0.25">
      <c r="A8144" s="184">
        <v>43858</v>
      </c>
      <c r="B8144" s="184">
        <v>43858</v>
      </c>
      <c r="C8144" s="138">
        <v>2020</v>
      </c>
      <c r="D8144" s="24" t="s">
        <v>141</v>
      </c>
      <c r="E8144" s="30" t="s">
        <v>142</v>
      </c>
      <c r="F8144" s="7" t="s">
        <v>101</v>
      </c>
      <c r="G8144" s="33" t="s">
        <v>5581</v>
      </c>
      <c r="H8144" s="33" t="s">
        <v>11080</v>
      </c>
      <c r="I8144" s="157">
        <v>0</v>
      </c>
      <c r="J8144" s="305">
        <v>16</v>
      </c>
      <c r="K8144" s="142">
        <v>0</v>
      </c>
      <c r="L8144" s="142">
        <v>0</v>
      </c>
      <c r="M8144" s="142">
        <v>0</v>
      </c>
      <c r="N8144" s="142">
        <v>0</v>
      </c>
      <c r="O8144" s="305">
        <v>0</v>
      </c>
      <c r="P8144" s="306">
        <v>1.10807202</v>
      </c>
      <c r="Q8144" s="157" t="s">
        <v>154</v>
      </c>
      <c r="R8144" s="303"/>
    </row>
    <row r="8145" spans="1:18" s="162" customFormat="1" ht="96" x14ac:dyDescent="0.25">
      <c r="A8145" s="184">
        <v>43860</v>
      </c>
      <c r="B8145" s="184">
        <v>43860</v>
      </c>
      <c r="C8145" s="138">
        <v>2020</v>
      </c>
      <c r="D8145" s="24" t="s">
        <v>141</v>
      </c>
      <c r="E8145" s="30" t="s">
        <v>142</v>
      </c>
      <c r="F8145" s="28" t="s">
        <v>160</v>
      </c>
      <c r="G8145" s="33" t="s">
        <v>428</v>
      </c>
      <c r="H8145" s="33" t="s">
        <v>11081</v>
      </c>
      <c r="I8145" s="157">
        <v>0</v>
      </c>
      <c r="J8145" s="305">
        <v>3</v>
      </c>
      <c r="K8145" s="142">
        <v>0</v>
      </c>
      <c r="L8145" s="142">
        <v>0</v>
      </c>
      <c r="M8145" s="142">
        <v>0</v>
      </c>
      <c r="N8145" s="142">
        <v>0</v>
      </c>
      <c r="O8145" s="305">
        <v>0</v>
      </c>
      <c r="P8145" s="306">
        <v>5.4361402783792832</v>
      </c>
      <c r="Q8145" s="157" t="s">
        <v>154</v>
      </c>
      <c r="R8145" s="303"/>
    </row>
    <row r="8146" spans="1:18" s="162" customFormat="1" ht="120" x14ac:dyDescent="0.25">
      <c r="A8146" s="184">
        <v>43860</v>
      </c>
      <c r="B8146" s="184">
        <v>43860</v>
      </c>
      <c r="C8146" s="138">
        <v>2020</v>
      </c>
      <c r="D8146" s="35" t="s">
        <v>28</v>
      </c>
      <c r="E8146" s="6" t="s">
        <v>149</v>
      </c>
      <c r="F8146" s="7" t="s">
        <v>68</v>
      </c>
      <c r="G8146" s="33" t="s">
        <v>2512</v>
      </c>
      <c r="H8146" s="33" t="s">
        <v>11082</v>
      </c>
      <c r="I8146" s="157">
        <v>0</v>
      </c>
      <c r="J8146" s="305">
        <v>46</v>
      </c>
      <c r="K8146" s="142">
        <v>0</v>
      </c>
      <c r="L8146" s="142">
        <v>0</v>
      </c>
      <c r="M8146" s="142">
        <v>0</v>
      </c>
      <c r="N8146" s="142">
        <v>1</v>
      </c>
      <c r="O8146" s="305">
        <v>0</v>
      </c>
      <c r="P8146" s="306">
        <v>1.4356000000000001E-2</v>
      </c>
      <c r="Q8146" s="157" t="s">
        <v>154</v>
      </c>
      <c r="R8146" s="303"/>
    </row>
    <row r="8147" spans="1:18" s="162" customFormat="1" ht="132" x14ac:dyDescent="0.25">
      <c r="A8147" s="184">
        <v>43861</v>
      </c>
      <c r="B8147" s="184">
        <v>43861</v>
      </c>
      <c r="C8147" s="138">
        <v>2020</v>
      </c>
      <c r="D8147" s="24" t="s">
        <v>141</v>
      </c>
      <c r="E8147" s="30" t="s">
        <v>142</v>
      </c>
      <c r="F8147" s="7" t="s">
        <v>53</v>
      </c>
      <c r="G8147" s="33" t="s">
        <v>11083</v>
      </c>
      <c r="H8147" s="33" t="s">
        <v>11084</v>
      </c>
      <c r="I8147" s="157">
        <v>3</v>
      </c>
      <c r="J8147" s="305">
        <v>15</v>
      </c>
      <c r="K8147" s="142">
        <v>0</v>
      </c>
      <c r="L8147" s="142">
        <v>0</v>
      </c>
      <c r="M8147" s="142">
        <v>0</v>
      </c>
      <c r="N8147" s="142">
        <v>0</v>
      </c>
      <c r="O8147" s="305">
        <v>0</v>
      </c>
      <c r="P8147" s="306">
        <v>0.79859999999999998</v>
      </c>
      <c r="Q8147" s="157" t="s">
        <v>154</v>
      </c>
      <c r="R8147" s="303"/>
    </row>
    <row r="8148" spans="1:18" s="162" customFormat="1" ht="96" x14ac:dyDescent="0.25">
      <c r="A8148" s="184">
        <v>43864</v>
      </c>
      <c r="B8148" s="184">
        <v>43864</v>
      </c>
      <c r="C8148" s="138">
        <v>2020</v>
      </c>
      <c r="D8148" s="35" t="s">
        <v>17</v>
      </c>
      <c r="E8148" s="6" t="s">
        <v>328</v>
      </c>
      <c r="F8148" s="7" t="s">
        <v>72</v>
      </c>
      <c r="G8148" s="33" t="s">
        <v>72</v>
      </c>
      <c r="H8148" s="33" t="s">
        <v>11085</v>
      </c>
      <c r="I8148" s="157">
        <v>0</v>
      </c>
      <c r="J8148" s="305">
        <v>6</v>
      </c>
      <c r="K8148" s="142">
        <v>0</v>
      </c>
      <c r="L8148" s="142">
        <v>0</v>
      </c>
      <c r="M8148" s="142">
        <v>0</v>
      </c>
      <c r="N8148" s="142">
        <v>0</v>
      </c>
      <c r="O8148" s="305">
        <v>0</v>
      </c>
      <c r="P8148" s="306">
        <v>3.5574000000000001E-2</v>
      </c>
      <c r="Q8148" s="157" t="s">
        <v>154</v>
      </c>
      <c r="R8148" s="303"/>
    </row>
    <row r="8149" spans="1:18" s="162" customFormat="1" ht="72" x14ac:dyDescent="0.25">
      <c r="A8149" s="184">
        <v>43865</v>
      </c>
      <c r="B8149" s="184">
        <v>43865</v>
      </c>
      <c r="C8149" s="138">
        <v>2020</v>
      </c>
      <c r="D8149" s="35" t="s">
        <v>28</v>
      </c>
      <c r="E8149" s="6" t="s">
        <v>149</v>
      </c>
      <c r="F8149" s="7" t="s">
        <v>60</v>
      </c>
      <c r="G8149" s="33" t="s">
        <v>2797</v>
      </c>
      <c r="H8149" s="33" t="s">
        <v>11086</v>
      </c>
      <c r="I8149" s="157">
        <v>1</v>
      </c>
      <c r="J8149" s="305">
        <v>1</v>
      </c>
      <c r="K8149" s="142">
        <v>0</v>
      </c>
      <c r="L8149" s="142">
        <v>0</v>
      </c>
      <c r="M8149" s="142">
        <v>0</v>
      </c>
      <c r="N8149" s="142">
        <v>1</v>
      </c>
      <c r="O8149" s="305">
        <v>0</v>
      </c>
      <c r="P8149" s="306">
        <v>0.01</v>
      </c>
      <c r="Q8149" s="157" t="s">
        <v>154</v>
      </c>
      <c r="R8149" s="303"/>
    </row>
    <row r="8150" spans="1:18" s="162" customFormat="1" ht="204" x14ac:dyDescent="0.25">
      <c r="A8150" s="184">
        <v>43866</v>
      </c>
      <c r="B8150" s="184">
        <v>43866</v>
      </c>
      <c r="C8150" s="138">
        <v>2020</v>
      </c>
      <c r="D8150" s="35" t="s">
        <v>28</v>
      </c>
      <c r="E8150" s="30" t="s">
        <v>125</v>
      </c>
      <c r="F8150" s="28" t="s">
        <v>157</v>
      </c>
      <c r="G8150" s="33" t="s">
        <v>716</v>
      </c>
      <c r="H8150" s="33" t="s">
        <v>11087</v>
      </c>
      <c r="I8150" s="157">
        <v>0</v>
      </c>
      <c r="J8150" s="305">
        <v>2005</v>
      </c>
      <c r="K8150" s="142">
        <v>0</v>
      </c>
      <c r="L8150" s="142">
        <v>0</v>
      </c>
      <c r="M8150" s="142">
        <v>0</v>
      </c>
      <c r="N8150" s="142">
        <v>1</v>
      </c>
      <c r="O8150" s="305">
        <v>0</v>
      </c>
      <c r="P8150" s="306">
        <v>2.0415625E-2</v>
      </c>
      <c r="Q8150" s="157" t="s">
        <v>154</v>
      </c>
      <c r="R8150" s="303"/>
    </row>
    <row r="8151" spans="1:18" s="162" customFormat="1" ht="108" x14ac:dyDescent="0.25">
      <c r="A8151" s="184">
        <v>43866</v>
      </c>
      <c r="B8151" s="184">
        <v>43866</v>
      </c>
      <c r="C8151" s="138">
        <v>2020</v>
      </c>
      <c r="D8151" s="24" t="s">
        <v>141</v>
      </c>
      <c r="E8151" s="49" t="s">
        <v>1600</v>
      </c>
      <c r="F8151" s="7" t="s">
        <v>60</v>
      </c>
      <c r="G8151" s="33" t="s">
        <v>1256</v>
      </c>
      <c r="H8151" s="33" t="s">
        <v>11088</v>
      </c>
      <c r="I8151" s="157">
        <v>0</v>
      </c>
      <c r="J8151" s="305">
        <v>2</v>
      </c>
      <c r="K8151" s="142">
        <v>0</v>
      </c>
      <c r="L8151" s="142">
        <v>0</v>
      </c>
      <c r="M8151" s="142">
        <v>0</v>
      </c>
      <c r="N8151" s="142">
        <v>1</v>
      </c>
      <c r="O8151" s="305">
        <v>0</v>
      </c>
      <c r="P8151" s="306">
        <v>0.32709502000000001</v>
      </c>
      <c r="Q8151" s="157" t="s">
        <v>154</v>
      </c>
      <c r="R8151" s="303"/>
    </row>
    <row r="8152" spans="1:18" s="162" customFormat="1" ht="36" x14ac:dyDescent="0.25">
      <c r="A8152" s="184">
        <v>43866</v>
      </c>
      <c r="B8152" s="184">
        <v>43871</v>
      </c>
      <c r="C8152" s="138">
        <v>2020</v>
      </c>
      <c r="D8152" s="351" t="s">
        <v>23</v>
      </c>
      <c r="E8152" s="22" t="s">
        <v>2689</v>
      </c>
      <c r="F8152" s="7" t="s">
        <v>87</v>
      </c>
      <c r="G8152" s="206" t="s">
        <v>26</v>
      </c>
      <c r="H8152" s="44" t="s">
        <v>11089</v>
      </c>
      <c r="I8152" s="157">
        <v>0</v>
      </c>
      <c r="J8152" s="305">
        <v>2483</v>
      </c>
      <c r="K8152" s="142">
        <v>0</v>
      </c>
      <c r="L8152" s="142">
        <v>0</v>
      </c>
      <c r="M8152" s="142">
        <v>0</v>
      </c>
      <c r="N8152" s="142">
        <v>0</v>
      </c>
      <c r="O8152" s="305">
        <v>0</v>
      </c>
      <c r="P8152" s="306">
        <v>1.87090216</v>
      </c>
      <c r="Q8152" s="157" t="s">
        <v>7883</v>
      </c>
      <c r="R8152" s="303"/>
    </row>
    <row r="8153" spans="1:18" s="162" customFormat="1" ht="192" x14ac:dyDescent="0.25">
      <c r="A8153" s="184">
        <v>43867</v>
      </c>
      <c r="B8153" s="184">
        <v>43867</v>
      </c>
      <c r="C8153" s="138">
        <v>2020</v>
      </c>
      <c r="D8153" s="351" t="s">
        <v>23</v>
      </c>
      <c r="E8153" s="49" t="s">
        <v>323</v>
      </c>
      <c r="F8153" s="7" t="s">
        <v>68</v>
      </c>
      <c r="G8153" s="33" t="s">
        <v>11090</v>
      </c>
      <c r="H8153" s="33" t="s">
        <v>11091</v>
      </c>
      <c r="I8153" s="157">
        <v>0</v>
      </c>
      <c r="J8153" s="305">
        <v>117</v>
      </c>
      <c r="K8153" s="142">
        <v>0</v>
      </c>
      <c r="L8153" s="142">
        <v>0</v>
      </c>
      <c r="M8153" s="142">
        <v>0</v>
      </c>
      <c r="N8153" s="142">
        <v>1</v>
      </c>
      <c r="O8153" s="305">
        <v>0</v>
      </c>
      <c r="P8153" s="306">
        <v>0.10680000000000001</v>
      </c>
      <c r="Q8153" s="157" t="s">
        <v>154</v>
      </c>
      <c r="R8153" s="303"/>
    </row>
    <row r="8154" spans="1:18" s="162" customFormat="1" ht="108" x14ac:dyDescent="0.25">
      <c r="A8154" s="184">
        <v>43868</v>
      </c>
      <c r="B8154" s="184">
        <v>43868</v>
      </c>
      <c r="C8154" s="138">
        <v>2020</v>
      </c>
      <c r="D8154" s="24" t="s">
        <v>141</v>
      </c>
      <c r="E8154" s="30" t="s">
        <v>142</v>
      </c>
      <c r="F8154" s="7" t="s">
        <v>33</v>
      </c>
      <c r="G8154" s="33" t="s">
        <v>247</v>
      </c>
      <c r="H8154" s="33" t="s">
        <v>11092</v>
      </c>
      <c r="I8154" s="157">
        <v>0</v>
      </c>
      <c r="J8154" s="305">
        <v>0</v>
      </c>
      <c r="K8154" s="142">
        <v>0</v>
      </c>
      <c r="L8154" s="142">
        <v>0</v>
      </c>
      <c r="M8154" s="142">
        <v>0</v>
      </c>
      <c r="N8154" s="142">
        <v>0</v>
      </c>
      <c r="O8154" s="305">
        <v>0</v>
      </c>
      <c r="P8154" s="306">
        <v>5.0562973999999997E-2</v>
      </c>
      <c r="Q8154" s="157" t="s">
        <v>154</v>
      </c>
      <c r="R8154" s="303"/>
    </row>
    <row r="8155" spans="1:18" s="162" customFormat="1" ht="120" x14ac:dyDescent="0.25">
      <c r="A8155" s="184">
        <v>43869</v>
      </c>
      <c r="B8155" s="184">
        <v>43869</v>
      </c>
      <c r="C8155" s="138">
        <v>2020</v>
      </c>
      <c r="D8155" s="24" t="s">
        <v>141</v>
      </c>
      <c r="E8155" s="30" t="s">
        <v>142</v>
      </c>
      <c r="F8155" s="7" t="s">
        <v>36</v>
      </c>
      <c r="G8155" s="33" t="s">
        <v>11056</v>
      </c>
      <c r="H8155" s="33" t="s">
        <v>11093</v>
      </c>
      <c r="I8155" s="157">
        <v>2</v>
      </c>
      <c r="J8155" s="305">
        <v>15</v>
      </c>
      <c r="K8155" s="142">
        <v>0</v>
      </c>
      <c r="L8155" s="142">
        <v>0</v>
      </c>
      <c r="M8155" s="142">
        <v>0</v>
      </c>
      <c r="N8155" s="142">
        <v>0</v>
      </c>
      <c r="O8155" s="305">
        <v>0</v>
      </c>
      <c r="P8155" s="306">
        <v>0.21252187000000003</v>
      </c>
      <c r="Q8155" s="157" t="s">
        <v>154</v>
      </c>
      <c r="R8155" s="303"/>
    </row>
    <row r="8156" spans="1:18" s="162" customFormat="1" ht="108" x14ac:dyDescent="0.25">
      <c r="A8156" s="184">
        <v>43872</v>
      </c>
      <c r="B8156" s="184">
        <v>43872</v>
      </c>
      <c r="C8156" s="138">
        <v>2020</v>
      </c>
      <c r="D8156" s="24" t="s">
        <v>141</v>
      </c>
      <c r="E8156" s="41" t="s">
        <v>1965</v>
      </c>
      <c r="F8156" s="7" t="s">
        <v>60</v>
      </c>
      <c r="G8156" s="33" t="s">
        <v>2508</v>
      </c>
      <c r="H8156" s="33" t="s">
        <v>11094</v>
      </c>
      <c r="I8156" s="157">
        <v>0</v>
      </c>
      <c r="J8156" s="305">
        <v>51</v>
      </c>
      <c r="K8156" s="142">
        <v>0</v>
      </c>
      <c r="L8156" s="142">
        <v>0</v>
      </c>
      <c r="M8156" s="142">
        <v>0</v>
      </c>
      <c r="N8156" s="142">
        <v>0</v>
      </c>
      <c r="O8156" s="305">
        <v>0</v>
      </c>
      <c r="P8156" s="306">
        <v>5.4450000000000011E-3</v>
      </c>
      <c r="Q8156" s="157" t="s">
        <v>154</v>
      </c>
      <c r="R8156" s="303"/>
    </row>
    <row r="8157" spans="1:18" s="162" customFormat="1" ht="120" x14ac:dyDescent="0.25">
      <c r="A8157" s="184">
        <v>43872</v>
      </c>
      <c r="B8157" s="184">
        <v>43872</v>
      </c>
      <c r="C8157" s="138">
        <v>2020</v>
      </c>
      <c r="D8157" s="35" t="s">
        <v>28</v>
      </c>
      <c r="E8157" s="30" t="s">
        <v>133</v>
      </c>
      <c r="F8157" s="28" t="s">
        <v>157</v>
      </c>
      <c r="G8157" s="33" t="s">
        <v>876</v>
      </c>
      <c r="H8157" s="33" t="s">
        <v>11095</v>
      </c>
      <c r="I8157" s="157">
        <v>0</v>
      </c>
      <c r="J8157" s="305">
        <v>82</v>
      </c>
      <c r="K8157" s="142">
        <v>0</v>
      </c>
      <c r="L8157" s="142">
        <v>0</v>
      </c>
      <c r="M8157" s="142">
        <v>0</v>
      </c>
      <c r="N8157" s="142">
        <v>1</v>
      </c>
      <c r="O8157" s="305">
        <v>0</v>
      </c>
      <c r="P8157" s="306">
        <v>3.0949940000000002E-2</v>
      </c>
      <c r="Q8157" s="157" t="s">
        <v>154</v>
      </c>
      <c r="R8157" s="303"/>
    </row>
    <row r="8158" spans="1:18" s="162" customFormat="1" ht="96" x14ac:dyDescent="0.25">
      <c r="A8158" s="184">
        <v>43873</v>
      </c>
      <c r="B8158" s="184">
        <v>43873</v>
      </c>
      <c r="C8158" s="138">
        <v>2020</v>
      </c>
      <c r="D8158" s="24" t="s">
        <v>141</v>
      </c>
      <c r="E8158" s="30" t="s">
        <v>142</v>
      </c>
      <c r="F8158" s="7" t="s">
        <v>53</v>
      </c>
      <c r="G8158" s="33" t="s">
        <v>847</v>
      </c>
      <c r="H8158" s="33" t="s">
        <v>11096</v>
      </c>
      <c r="I8158" s="157">
        <v>0</v>
      </c>
      <c r="J8158" s="305">
        <v>0</v>
      </c>
      <c r="K8158" s="142">
        <v>0</v>
      </c>
      <c r="L8158" s="142">
        <v>0</v>
      </c>
      <c r="M8158" s="142">
        <v>0</v>
      </c>
      <c r="N8158" s="142">
        <v>0</v>
      </c>
      <c r="O8158" s="305">
        <v>0</v>
      </c>
      <c r="P8158" s="306">
        <v>3.4562000000000002E-2</v>
      </c>
      <c r="Q8158" s="157" t="s">
        <v>154</v>
      </c>
      <c r="R8158" s="303"/>
    </row>
    <row r="8159" spans="1:18" s="162" customFormat="1" ht="84" x14ac:dyDescent="0.25">
      <c r="A8159" s="184">
        <v>43874</v>
      </c>
      <c r="B8159" s="184">
        <v>43874</v>
      </c>
      <c r="C8159" s="138">
        <v>2020</v>
      </c>
      <c r="D8159" s="24" t="s">
        <v>141</v>
      </c>
      <c r="E8159" s="30" t="s">
        <v>142</v>
      </c>
      <c r="F8159" s="7" t="s">
        <v>77</v>
      </c>
      <c r="G8159" s="33" t="s">
        <v>9607</v>
      </c>
      <c r="H8159" s="33" t="s">
        <v>11097</v>
      </c>
      <c r="I8159" s="157">
        <v>0</v>
      </c>
      <c r="J8159" s="305">
        <v>5</v>
      </c>
      <c r="K8159" s="142">
        <v>0</v>
      </c>
      <c r="L8159" s="142">
        <v>0</v>
      </c>
      <c r="M8159" s="142">
        <v>0</v>
      </c>
      <c r="N8159" s="142">
        <v>0</v>
      </c>
      <c r="O8159" s="305">
        <v>0</v>
      </c>
      <c r="P8159" s="306">
        <v>7.8553200000000004E-2</v>
      </c>
      <c r="Q8159" s="157" t="s">
        <v>154</v>
      </c>
      <c r="R8159" s="303"/>
    </row>
    <row r="8160" spans="1:18" s="162" customFormat="1" ht="84" x14ac:dyDescent="0.25">
      <c r="A8160" s="184">
        <v>43876</v>
      </c>
      <c r="B8160" s="184">
        <v>43877</v>
      </c>
      <c r="C8160" s="138">
        <v>2020</v>
      </c>
      <c r="D8160" s="24" t="s">
        <v>141</v>
      </c>
      <c r="E8160" s="30" t="s">
        <v>142</v>
      </c>
      <c r="F8160" s="7" t="s">
        <v>80</v>
      </c>
      <c r="G8160" s="33" t="s">
        <v>10857</v>
      </c>
      <c r="H8160" s="33" t="s">
        <v>11098</v>
      </c>
      <c r="I8160" s="157">
        <v>0</v>
      </c>
      <c r="J8160" s="305">
        <v>13</v>
      </c>
      <c r="K8160" s="142">
        <v>0</v>
      </c>
      <c r="L8160" s="142">
        <v>0</v>
      </c>
      <c r="M8160" s="142">
        <v>0</v>
      </c>
      <c r="N8160" s="142">
        <v>0</v>
      </c>
      <c r="O8160" s="305">
        <v>0</v>
      </c>
      <c r="P8160" s="306">
        <v>3.3993487000000003E-2</v>
      </c>
      <c r="Q8160" s="157" t="s">
        <v>154</v>
      </c>
      <c r="R8160" s="303"/>
    </row>
    <row r="8161" spans="1:18" s="162" customFormat="1" ht="108" x14ac:dyDescent="0.25">
      <c r="A8161" s="184">
        <v>43877</v>
      </c>
      <c r="B8161" s="184">
        <v>43877</v>
      </c>
      <c r="C8161" s="138">
        <v>2020</v>
      </c>
      <c r="D8161" s="24" t="s">
        <v>141</v>
      </c>
      <c r="E8161" s="30" t="s">
        <v>142</v>
      </c>
      <c r="F8161" s="7" t="s">
        <v>53</v>
      </c>
      <c r="G8161" s="33" t="s">
        <v>4464</v>
      </c>
      <c r="H8161" s="33" t="s">
        <v>11099</v>
      </c>
      <c r="I8161" s="157">
        <v>0</v>
      </c>
      <c r="J8161" s="305">
        <v>8</v>
      </c>
      <c r="K8161" s="142">
        <v>0</v>
      </c>
      <c r="L8161" s="142">
        <v>0</v>
      </c>
      <c r="M8161" s="142">
        <v>0</v>
      </c>
      <c r="N8161" s="142">
        <v>0</v>
      </c>
      <c r="O8161" s="305">
        <v>0</v>
      </c>
      <c r="P8161" s="306">
        <v>2.8548487000000001E-2</v>
      </c>
      <c r="Q8161" s="157" t="s">
        <v>154</v>
      </c>
      <c r="R8161" s="303"/>
    </row>
    <row r="8162" spans="1:18" s="162" customFormat="1" ht="84" x14ac:dyDescent="0.25">
      <c r="A8162" s="184">
        <v>43878</v>
      </c>
      <c r="B8162" s="184">
        <v>43878</v>
      </c>
      <c r="C8162" s="138">
        <v>2020</v>
      </c>
      <c r="D8162" s="24" t="s">
        <v>141</v>
      </c>
      <c r="E8162" s="30" t="s">
        <v>142</v>
      </c>
      <c r="F8162" s="7" t="s">
        <v>84</v>
      </c>
      <c r="G8162" s="33" t="s">
        <v>939</v>
      </c>
      <c r="H8162" s="33" t="s">
        <v>11100</v>
      </c>
      <c r="I8162" s="157">
        <v>1</v>
      </c>
      <c r="J8162" s="305">
        <v>6</v>
      </c>
      <c r="K8162" s="142">
        <v>0</v>
      </c>
      <c r="L8162" s="142">
        <v>0</v>
      </c>
      <c r="M8162" s="142">
        <v>0</v>
      </c>
      <c r="N8162" s="142">
        <v>0</v>
      </c>
      <c r="O8162" s="305">
        <v>0</v>
      </c>
      <c r="P8162" s="306">
        <v>7.8553200000000004E-2</v>
      </c>
      <c r="Q8162" s="157" t="s">
        <v>154</v>
      </c>
      <c r="R8162" s="303"/>
    </row>
    <row r="8163" spans="1:18" s="162" customFormat="1" ht="72" x14ac:dyDescent="0.25">
      <c r="A8163" s="184">
        <v>43879</v>
      </c>
      <c r="B8163" s="184">
        <v>43879</v>
      </c>
      <c r="C8163" s="138">
        <v>2020</v>
      </c>
      <c r="D8163" s="35" t="s">
        <v>28</v>
      </c>
      <c r="E8163" s="6" t="s">
        <v>149</v>
      </c>
      <c r="F8163" s="28" t="s">
        <v>157</v>
      </c>
      <c r="G8163" s="33" t="s">
        <v>4820</v>
      </c>
      <c r="H8163" s="33" t="s">
        <v>11101</v>
      </c>
      <c r="I8163" s="157">
        <v>0</v>
      </c>
      <c r="J8163" s="305">
        <v>40</v>
      </c>
      <c r="K8163" s="142">
        <v>1</v>
      </c>
      <c r="L8163" s="142">
        <v>0</v>
      </c>
      <c r="M8163" s="142">
        <v>0</v>
      </c>
      <c r="N8163" s="142">
        <v>0</v>
      </c>
      <c r="O8163" s="305">
        <v>0</v>
      </c>
      <c r="P8163" s="306">
        <v>1.2127500000000001E-3</v>
      </c>
      <c r="Q8163" s="157" t="s">
        <v>154</v>
      </c>
      <c r="R8163" s="303"/>
    </row>
    <row r="8164" spans="1:18" s="162" customFormat="1" ht="132" x14ac:dyDescent="0.25">
      <c r="A8164" s="184">
        <v>43879</v>
      </c>
      <c r="B8164" s="184">
        <v>43879</v>
      </c>
      <c r="C8164" s="138">
        <v>2020</v>
      </c>
      <c r="D8164" s="24" t="s">
        <v>141</v>
      </c>
      <c r="E8164" s="30" t="s">
        <v>142</v>
      </c>
      <c r="F8164" s="28" t="s">
        <v>157</v>
      </c>
      <c r="G8164" s="33" t="s">
        <v>1062</v>
      </c>
      <c r="H8164" s="33" t="s">
        <v>11102</v>
      </c>
      <c r="I8164" s="157">
        <v>0</v>
      </c>
      <c r="J8164" s="305">
        <v>8</v>
      </c>
      <c r="K8164" s="142">
        <v>0</v>
      </c>
      <c r="L8164" s="142">
        <v>0</v>
      </c>
      <c r="M8164" s="142">
        <v>0</v>
      </c>
      <c r="N8164" s="142">
        <v>0</v>
      </c>
      <c r="O8164" s="305">
        <v>0</v>
      </c>
      <c r="P8164" s="306">
        <v>3.1694487E-2</v>
      </c>
      <c r="Q8164" s="157" t="s">
        <v>154</v>
      </c>
      <c r="R8164" s="303"/>
    </row>
    <row r="8165" spans="1:18" s="162" customFormat="1" ht="96" x14ac:dyDescent="0.25">
      <c r="A8165" s="184">
        <v>43880</v>
      </c>
      <c r="B8165" s="184">
        <v>43880</v>
      </c>
      <c r="C8165" s="138">
        <v>2020</v>
      </c>
      <c r="D8165" s="24" t="s">
        <v>141</v>
      </c>
      <c r="E8165" s="30" t="s">
        <v>142</v>
      </c>
      <c r="F8165" s="28" t="s">
        <v>157</v>
      </c>
      <c r="G8165" s="33" t="s">
        <v>11103</v>
      </c>
      <c r="H8165" s="33" t="s">
        <v>11104</v>
      </c>
      <c r="I8165" s="157">
        <v>0</v>
      </c>
      <c r="J8165" s="305">
        <v>16</v>
      </c>
      <c r="K8165" s="142">
        <v>0</v>
      </c>
      <c r="L8165" s="142">
        <v>0</v>
      </c>
      <c r="M8165" s="142">
        <v>0</v>
      </c>
      <c r="N8165" s="142">
        <v>0</v>
      </c>
      <c r="O8165" s="305">
        <v>0</v>
      </c>
      <c r="P8165" s="306">
        <v>7.8553200000000004E-2</v>
      </c>
      <c r="Q8165" s="157" t="s">
        <v>154</v>
      </c>
      <c r="R8165" s="303"/>
    </row>
    <row r="8166" spans="1:18" s="162" customFormat="1" ht="108" x14ac:dyDescent="0.25">
      <c r="A8166" s="184">
        <v>43881</v>
      </c>
      <c r="B8166" s="184">
        <v>43881</v>
      </c>
      <c r="C8166" s="138">
        <v>2020</v>
      </c>
      <c r="D8166" s="35" t="s">
        <v>28</v>
      </c>
      <c r="E8166" s="6" t="s">
        <v>149</v>
      </c>
      <c r="F8166" s="7" t="s">
        <v>30</v>
      </c>
      <c r="G8166" s="33" t="s">
        <v>901</v>
      </c>
      <c r="H8166" s="33" t="s">
        <v>11105</v>
      </c>
      <c r="I8166" s="157">
        <v>0</v>
      </c>
      <c r="J8166" s="305">
        <v>200</v>
      </c>
      <c r="K8166" s="142">
        <v>0</v>
      </c>
      <c r="L8166" s="142">
        <v>0</v>
      </c>
      <c r="M8166" s="142">
        <v>0</v>
      </c>
      <c r="N8166" s="142">
        <v>1</v>
      </c>
      <c r="O8166" s="305">
        <v>0</v>
      </c>
      <c r="P8166" s="306">
        <v>0.01</v>
      </c>
      <c r="Q8166" s="157" t="s">
        <v>154</v>
      </c>
      <c r="R8166" s="303"/>
    </row>
    <row r="8167" spans="1:18" s="162" customFormat="1" ht="120" x14ac:dyDescent="0.25">
      <c r="A8167" s="184">
        <v>43881</v>
      </c>
      <c r="B8167" s="184">
        <v>43881</v>
      </c>
      <c r="C8167" s="138">
        <v>2020</v>
      </c>
      <c r="D8167" s="35" t="s">
        <v>28</v>
      </c>
      <c r="E8167" s="6" t="s">
        <v>149</v>
      </c>
      <c r="F8167" s="7" t="s">
        <v>65</v>
      </c>
      <c r="G8167" s="33" t="s">
        <v>1632</v>
      </c>
      <c r="H8167" s="33" t="s">
        <v>11106</v>
      </c>
      <c r="I8167" s="157">
        <v>0</v>
      </c>
      <c r="J8167" s="305">
        <v>20</v>
      </c>
      <c r="K8167" s="142">
        <v>0</v>
      </c>
      <c r="L8167" s="142">
        <v>0</v>
      </c>
      <c r="M8167" s="142">
        <v>0</v>
      </c>
      <c r="N8167" s="142">
        <v>1</v>
      </c>
      <c r="O8167" s="305">
        <v>0</v>
      </c>
      <c r="P8167" s="306">
        <v>0.01</v>
      </c>
      <c r="Q8167" s="157" t="s">
        <v>154</v>
      </c>
      <c r="R8167" s="303"/>
    </row>
    <row r="8168" spans="1:18" s="162" customFormat="1" ht="108" x14ac:dyDescent="0.25">
      <c r="A8168" s="184">
        <v>43881</v>
      </c>
      <c r="B8168" s="184">
        <v>43881</v>
      </c>
      <c r="C8168" s="138">
        <v>2020</v>
      </c>
      <c r="D8168" s="24" t="s">
        <v>141</v>
      </c>
      <c r="E8168" s="30" t="s">
        <v>142</v>
      </c>
      <c r="F8168" s="7" t="s">
        <v>53</v>
      </c>
      <c r="G8168" s="33" t="s">
        <v>1236</v>
      </c>
      <c r="H8168" s="33" t="s">
        <v>11107</v>
      </c>
      <c r="I8168" s="157">
        <v>0</v>
      </c>
      <c r="J8168" s="305">
        <v>12</v>
      </c>
      <c r="K8168" s="142">
        <v>0</v>
      </c>
      <c r="L8168" s="142">
        <v>0</v>
      </c>
      <c r="M8168" s="142">
        <v>0</v>
      </c>
      <c r="N8168" s="142">
        <v>0</v>
      </c>
      <c r="O8168" s="305">
        <v>0</v>
      </c>
      <c r="P8168" s="306">
        <v>0.1701744</v>
      </c>
      <c r="Q8168" s="157" t="s">
        <v>154</v>
      </c>
      <c r="R8168" s="303"/>
    </row>
    <row r="8169" spans="1:18" s="162" customFormat="1" ht="84" x14ac:dyDescent="0.25">
      <c r="A8169" s="184">
        <v>43882</v>
      </c>
      <c r="B8169" s="184">
        <v>43882</v>
      </c>
      <c r="C8169" s="138">
        <v>2020</v>
      </c>
      <c r="D8169" s="35" t="s">
        <v>28</v>
      </c>
      <c r="E8169" s="6" t="s">
        <v>149</v>
      </c>
      <c r="F8169" s="28" t="s">
        <v>210</v>
      </c>
      <c r="G8169" s="33" t="s">
        <v>893</v>
      </c>
      <c r="H8169" s="33" t="s">
        <v>11108</v>
      </c>
      <c r="I8169" s="157">
        <v>0</v>
      </c>
      <c r="J8169" s="305">
        <v>300</v>
      </c>
      <c r="K8169" s="142">
        <v>0</v>
      </c>
      <c r="L8169" s="142">
        <v>0</v>
      </c>
      <c r="M8169" s="142">
        <v>0</v>
      </c>
      <c r="N8169" s="142">
        <v>1</v>
      </c>
      <c r="O8169" s="305">
        <v>0</v>
      </c>
      <c r="P8169" s="306">
        <v>0.01</v>
      </c>
      <c r="Q8169" s="157" t="s">
        <v>154</v>
      </c>
      <c r="R8169" s="303"/>
    </row>
    <row r="8170" spans="1:18" s="162" customFormat="1" ht="120" x14ac:dyDescent="0.25">
      <c r="A8170" s="184">
        <v>43883</v>
      </c>
      <c r="B8170" s="184">
        <v>43883</v>
      </c>
      <c r="C8170" s="138">
        <v>2020</v>
      </c>
      <c r="D8170" s="24" t="s">
        <v>141</v>
      </c>
      <c r="E8170" s="30" t="s">
        <v>142</v>
      </c>
      <c r="F8170" s="28" t="s">
        <v>210</v>
      </c>
      <c r="G8170" s="33" t="s">
        <v>924</v>
      </c>
      <c r="H8170" s="33" t="s">
        <v>11109</v>
      </c>
      <c r="I8170" s="157">
        <v>1</v>
      </c>
      <c r="J8170" s="305">
        <v>16</v>
      </c>
      <c r="K8170" s="142">
        <v>0</v>
      </c>
      <c r="L8170" s="142">
        <v>0</v>
      </c>
      <c r="M8170" s="142">
        <v>0</v>
      </c>
      <c r="N8170" s="142">
        <v>0</v>
      </c>
      <c r="O8170" s="305">
        <v>0</v>
      </c>
      <c r="P8170" s="306">
        <v>0.78988800000000003</v>
      </c>
      <c r="Q8170" s="157" t="s">
        <v>154</v>
      </c>
      <c r="R8170" s="303"/>
    </row>
    <row r="8171" spans="1:18" s="162" customFormat="1" ht="72" x14ac:dyDescent="0.25">
      <c r="A8171" s="184">
        <v>43884</v>
      </c>
      <c r="B8171" s="184">
        <v>43884</v>
      </c>
      <c r="C8171" s="138">
        <v>2020</v>
      </c>
      <c r="D8171" s="24" t="s">
        <v>141</v>
      </c>
      <c r="E8171" s="30" t="s">
        <v>142</v>
      </c>
      <c r="F8171" s="7" t="s">
        <v>30</v>
      </c>
      <c r="G8171" s="33" t="s">
        <v>395</v>
      </c>
      <c r="H8171" s="33" t="s">
        <v>11110</v>
      </c>
      <c r="I8171" s="157">
        <v>2</v>
      </c>
      <c r="J8171" s="305">
        <v>2</v>
      </c>
      <c r="K8171" s="142">
        <v>0</v>
      </c>
      <c r="L8171" s="142">
        <v>0</v>
      </c>
      <c r="M8171" s="142">
        <v>0</v>
      </c>
      <c r="N8171" s="142">
        <v>0</v>
      </c>
      <c r="O8171" s="305">
        <v>0</v>
      </c>
      <c r="P8171" s="306">
        <v>5.432873278379283</v>
      </c>
      <c r="Q8171" s="157" t="s">
        <v>154</v>
      </c>
      <c r="R8171" s="303"/>
    </row>
    <row r="8172" spans="1:18" s="162" customFormat="1" ht="84" x14ac:dyDescent="0.25">
      <c r="A8172" s="184">
        <v>43887</v>
      </c>
      <c r="B8172" s="184">
        <v>43887</v>
      </c>
      <c r="C8172" s="138">
        <v>2020</v>
      </c>
      <c r="D8172" s="24" t="s">
        <v>141</v>
      </c>
      <c r="E8172" s="30" t="s">
        <v>142</v>
      </c>
      <c r="F8172" s="7" t="s">
        <v>65</v>
      </c>
      <c r="G8172" s="33" t="s">
        <v>418</v>
      </c>
      <c r="H8172" s="33" t="s">
        <v>11111</v>
      </c>
      <c r="I8172" s="157">
        <v>2</v>
      </c>
      <c r="J8172" s="305">
        <v>7</v>
      </c>
      <c r="K8172" s="142">
        <v>0</v>
      </c>
      <c r="L8172" s="142">
        <v>0</v>
      </c>
      <c r="M8172" s="142">
        <v>0</v>
      </c>
      <c r="N8172" s="142">
        <v>0</v>
      </c>
      <c r="O8172" s="305">
        <v>0</v>
      </c>
      <c r="P8172" s="306">
        <v>0.85584400000000005</v>
      </c>
      <c r="Q8172" s="157" t="s">
        <v>154</v>
      </c>
      <c r="R8172" s="303"/>
    </row>
    <row r="8173" spans="1:18" s="162" customFormat="1" ht="120" x14ac:dyDescent="0.25">
      <c r="A8173" s="184">
        <v>43888</v>
      </c>
      <c r="B8173" s="184">
        <v>43888</v>
      </c>
      <c r="C8173" s="138">
        <v>2020</v>
      </c>
      <c r="D8173" s="24" t="s">
        <v>141</v>
      </c>
      <c r="E8173" s="30" t="s">
        <v>142</v>
      </c>
      <c r="F8173" s="28" t="s">
        <v>160</v>
      </c>
      <c r="G8173" s="33" t="s">
        <v>5041</v>
      </c>
      <c r="H8173" s="33" t="s">
        <v>11112</v>
      </c>
      <c r="I8173" s="157">
        <v>0</v>
      </c>
      <c r="J8173" s="305">
        <v>12</v>
      </c>
      <c r="K8173" s="142">
        <v>0</v>
      </c>
      <c r="L8173" s="142">
        <v>0</v>
      </c>
      <c r="M8173" s="142">
        <v>0</v>
      </c>
      <c r="N8173" s="142">
        <v>0</v>
      </c>
      <c r="O8173" s="305">
        <v>0</v>
      </c>
      <c r="P8173" s="306">
        <v>9.16212E-2</v>
      </c>
      <c r="Q8173" s="157" t="s">
        <v>154</v>
      </c>
      <c r="R8173" s="303"/>
    </row>
    <row r="8174" spans="1:18" s="162" customFormat="1" ht="132" x14ac:dyDescent="0.25">
      <c r="A8174" s="184">
        <v>43888</v>
      </c>
      <c r="B8174" s="184">
        <v>43888</v>
      </c>
      <c r="C8174" s="138">
        <v>2020</v>
      </c>
      <c r="D8174" s="24" t="s">
        <v>141</v>
      </c>
      <c r="E8174" s="30" t="s">
        <v>142</v>
      </c>
      <c r="F8174" s="7" t="s">
        <v>77</v>
      </c>
      <c r="G8174" s="33" t="s">
        <v>681</v>
      </c>
      <c r="H8174" s="33" t="s">
        <v>11113</v>
      </c>
      <c r="I8174" s="157">
        <v>0</v>
      </c>
      <c r="J8174" s="305">
        <v>26</v>
      </c>
      <c r="K8174" s="142">
        <v>0</v>
      </c>
      <c r="L8174" s="142">
        <v>0</v>
      </c>
      <c r="M8174" s="142">
        <v>0</v>
      </c>
      <c r="N8174" s="142">
        <v>0</v>
      </c>
      <c r="O8174" s="305">
        <v>0</v>
      </c>
      <c r="P8174" s="306">
        <v>0.13707645858823531</v>
      </c>
      <c r="Q8174" s="157" t="s">
        <v>154</v>
      </c>
      <c r="R8174" s="303"/>
    </row>
    <row r="8175" spans="1:18" s="162" customFormat="1" ht="120" x14ac:dyDescent="0.25">
      <c r="A8175" s="184">
        <v>43892</v>
      </c>
      <c r="B8175" s="184">
        <v>43892</v>
      </c>
      <c r="C8175" s="138">
        <v>2020</v>
      </c>
      <c r="D8175" s="35" t="s">
        <v>28</v>
      </c>
      <c r="E8175" s="30" t="s">
        <v>125</v>
      </c>
      <c r="F8175" s="7" t="s">
        <v>75</v>
      </c>
      <c r="G8175" s="33" t="s">
        <v>4418</v>
      </c>
      <c r="H8175" s="33" t="s">
        <v>11114</v>
      </c>
      <c r="I8175" s="157">
        <v>1</v>
      </c>
      <c r="J8175" s="305">
        <v>5</v>
      </c>
      <c r="K8175" s="142">
        <v>0</v>
      </c>
      <c r="L8175" s="142">
        <v>0</v>
      </c>
      <c r="M8175" s="142">
        <v>0</v>
      </c>
      <c r="N8175" s="142">
        <v>0</v>
      </c>
      <c r="O8175" s="305">
        <v>0</v>
      </c>
      <c r="P8175" s="306">
        <v>4.3560000000000005E-3</v>
      </c>
      <c r="Q8175" s="157" t="s">
        <v>154</v>
      </c>
      <c r="R8175" s="303"/>
    </row>
    <row r="8176" spans="1:18" s="162" customFormat="1" ht="84" x14ac:dyDescent="0.25">
      <c r="A8176" s="184">
        <v>43892</v>
      </c>
      <c r="B8176" s="184">
        <v>43892</v>
      </c>
      <c r="C8176" s="138">
        <v>2020</v>
      </c>
      <c r="D8176" s="24" t="s">
        <v>141</v>
      </c>
      <c r="E8176" s="30" t="s">
        <v>142</v>
      </c>
      <c r="F8176" s="7" t="s">
        <v>72</v>
      </c>
      <c r="G8176" s="33" t="s">
        <v>4284</v>
      </c>
      <c r="H8176" s="33" t="s">
        <v>11115</v>
      </c>
      <c r="I8176" s="157">
        <v>1</v>
      </c>
      <c r="J8176" s="305">
        <v>5</v>
      </c>
      <c r="K8176" s="142">
        <v>0</v>
      </c>
      <c r="L8176" s="142">
        <v>0</v>
      </c>
      <c r="M8176" s="142">
        <v>0</v>
      </c>
      <c r="N8176" s="142">
        <v>0</v>
      </c>
      <c r="O8176" s="305">
        <v>0</v>
      </c>
      <c r="P8176" s="306">
        <v>0.120992487</v>
      </c>
      <c r="Q8176" s="157" t="s">
        <v>154</v>
      </c>
      <c r="R8176" s="303"/>
    </row>
    <row r="8177" spans="1:18" s="162" customFormat="1" ht="132" x14ac:dyDescent="0.25">
      <c r="A8177" s="184">
        <v>43893</v>
      </c>
      <c r="B8177" s="184">
        <v>43893</v>
      </c>
      <c r="C8177" s="138">
        <v>2020</v>
      </c>
      <c r="D8177" s="24" t="s">
        <v>141</v>
      </c>
      <c r="E8177" s="30" t="s">
        <v>142</v>
      </c>
      <c r="F8177" s="7" t="s">
        <v>87</v>
      </c>
      <c r="G8177" s="33" t="s">
        <v>2608</v>
      </c>
      <c r="H8177" s="33" t="s">
        <v>11116</v>
      </c>
      <c r="I8177" s="157">
        <v>0</v>
      </c>
      <c r="J8177" s="305">
        <v>12</v>
      </c>
      <c r="K8177" s="142">
        <v>0</v>
      </c>
      <c r="L8177" s="142">
        <v>0</v>
      </c>
      <c r="M8177" s="142">
        <v>0</v>
      </c>
      <c r="N8177" s="142">
        <v>0</v>
      </c>
      <c r="O8177" s="305">
        <v>0</v>
      </c>
      <c r="P8177" s="306">
        <v>9.16212E-2</v>
      </c>
      <c r="Q8177" s="157" t="s">
        <v>154</v>
      </c>
      <c r="R8177" s="303"/>
    </row>
    <row r="8178" spans="1:18" s="162" customFormat="1" ht="120" x14ac:dyDescent="0.25">
      <c r="A8178" s="184">
        <v>43894</v>
      </c>
      <c r="B8178" s="184">
        <v>43894</v>
      </c>
      <c r="C8178" s="138">
        <v>2020</v>
      </c>
      <c r="D8178" s="35" t="s">
        <v>28</v>
      </c>
      <c r="E8178" s="6" t="s">
        <v>149</v>
      </c>
      <c r="F8178" s="7" t="s">
        <v>30</v>
      </c>
      <c r="G8178" s="33" t="s">
        <v>1078</v>
      </c>
      <c r="H8178" s="33" t="s">
        <v>11117</v>
      </c>
      <c r="I8178" s="157">
        <v>0</v>
      </c>
      <c r="J8178" s="305">
        <v>302</v>
      </c>
      <c r="K8178" s="142">
        <v>0</v>
      </c>
      <c r="L8178" s="142">
        <v>0</v>
      </c>
      <c r="M8178" s="142">
        <v>0</v>
      </c>
      <c r="N8178" s="142">
        <v>1</v>
      </c>
      <c r="O8178" s="305">
        <v>0</v>
      </c>
      <c r="P8178" s="306">
        <v>0.01</v>
      </c>
      <c r="Q8178" s="157" t="s">
        <v>154</v>
      </c>
      <c r="R8178" s="303"/>
    </row>
    <row r="8179" spans="1:18" s="162" customFormat="1" ht="228" x14ac:dyDescent="0.25">
      <c r="A8179" s="184">
        <v>43894</v>
      </c>
      <c r="B8179" s="184">
        <v>43895</v>
      </c>
      <c r="C8179" s="138">
        <v>2020</v>
      </c>
      <c r="D8179" s="24" t="s">
        <v>141</v>
      </c>
      <c r="E8179" s="30" t="s">
        <v>142</v>
      </c>
      <c r="F8179" s="7" t="s">
        <v>75</v>
      </c>
      <c r="G8179" s="33" t="s">
        <v>2733</v>
      </c>
      <c r="H8179" s="33" t="s">
        <v>11118</v>
      </c>
      <c r="I8179" s="157">
        <v>0</v>
      </c>
      <c r="J8179" s="305">
        <v>300</v>
      </c>
      <c r="K8179" s="142">
        <v>0</v>
      </c>
      <c r="L8179" s="142">
        <v>0</v>
      </c>
      <c r="M8179" s="142">
        <v>0</v>
      </c>
      <c r="N8179" s="142">
        <v>0</v>
      </c>
      <c r="O8179" s="305">
        <v>0</v>
      </c>
      <c r="P8179" s="306">
        <v>0.24575834441860464</v>
      </c>
      <c r="Q8179" s="157" t="s">
        <v>154</v>
      </c>
      <c r="R8179" s="303"/>
    </row>
    <row r="8180" spans="1:18" s="162" customFormat="1" ht="84" x14ac:dyDescent="0.25">
      <c r="A8180" s="184">
        <v>43895</v>
      </c>
      <c r="B8180" s="184">
        <v>43895</v>
      </c>
      <c r="C8180" s="138">
        <v>2020</v>
      </c>
      <c r="D8180" s="24" t="s">
        <v>141</v>
      </c>
      <c r="E8180" s="30" t="s">
        <v>142</v>
      </c>
      <c r="F8180" s="7" t="s">
        <v>84</v>
      </c>
      <c r="G8180" s="33" t="s">
        <v>2844</v>
      </c>
      <c r="H8180" s="33" t="s">
        <v>11119</v>
      </c>
      <c r="I8180" s="157">
        <v>1</v>
      </c>
      <c r="J8180" s="305">
        <v>6</v>
      </c>
      <c r="K8180" s="142">
        <v>0</v>
      </c>
      <c r="L8180" s="142">
        <v>0</v>
      </c>
      <c r="M8180" s="142">
        <v>0</v>
      </c>
      <c r="N8180" s="142">
        <v>0</v>
      </c>
      <c r="O8180" s="305">
        <v>0</v>
      </c>
      <c r="P8180" s="306">
        <v>0.28236306999999999</v>
      </c>
      <c r="Q8180" s="157" t="s">
        <v>154</v>
      </c>
      <c r="R8180" s="303"/>
    </row>
    <row r="8181" spans="1:18" s="162" customFormat="1" ht="168" x14ac:dyDescent="0.25">
      <c r="A8181" s="184">
        <v>43896</v>
      </c>
      <c r="B8181" s="184">
        <v>43896</v>
      </c>
      <c r="C8181" s="138">
        <v>2020</v>
      </c>
      <c r="D8181" s="24" t="s">
        <v>141</v>
      </c>
      <c r="E8181" s="30" t="s">
        <v>142</v>
      </c>
      <c r="F8181" s="7" t="s">
        <v>87</v>
      </c>
      <c r="G8181" s="33" t="s">
        <v>567</v>
      </c>
      <c r="H8181" s="33" t="s">
        <v>11120</v>
      </c>
      <c r="I8181" s="157">
        <v>0</v>
      </c>
      <c r="J8181" s="305">
        <v>0</v>
      </c>
      <c r="K8181" s="142">
        <v>0</v>
      </c>
      <c r="L8181" s="142">
        <v>0</v>
      </c>
      <c r="M8181" s="142">
        <v>0</v>
      </c>
      <c r="N8181" s="142">
        <v>0</v>
      </c>
      <c r="O8181" s="305">
        <v>0</v>
      </c>
      <c r="P8181" s="306">
        <v>0.24575834441860464</v>
      </c>
      <c r="Q8181" s="157" t="s">
        <v>154</v>
      </c>
      <c r="R8181" s="303"/>
    </row>
    <row r="8182" spans="1:18" s="162" customFormat="1" ht="132" x14ac:dyDescent="0.25">
      <c r="A8182" s="184">
        <v>43897</v>
      </c>
      <c r="B8182" s="184">
        <v>43897</v>
      </c>
      <c r="C8182" s="138">
        <v>2020</v>
      </c>
      <c r="D8182" s="24" t="s">
        <v>141</v>
      </c>
      <c r="E8182" s="41" t="s">
        <v>1965</v>
      </c>
      <c r="F8182" s="7" t="s">
        <v>68</v>
      </c>
      <c r="G8182" s="33" t="s">
        <v>2512</v>
      </c>
      <c r="H8182" s="33" t="s">
        <v>11121</v>
      </c>
      <c r="I8182" s="157">
        <v>3</v>
      </c>
      <c r="J8182" s="305">
        <v>4</v>
      </c>
      <c r="K8182" s="142">
        <v>0</v>
      </c>
      <c r="L8182" s="142">
        <v>0</v>
      </c>
      <c r="M8182" s="142">
        <v>0</v>
      </c>
      <c r="N8182" s="142">
        <v>0</v>
      </c>
      <c r="O8182" s="305">
        <v>0</v>
      </c>
      <c r="P8182" s="306">
        <v>0.15854751</v>
      </c>
      <c r="Q8182" s="157" t="s">
        <v>154</v>
      </c>
      <c r="R8182" s="303"/>
    </row>
    <row r="8183" spans="1:18" s="162" customFormat="1" ht="96" x14ac:dyDescent="0.25">
      <c r="A8183" s="184">
        <v>43897</v>
      </c>
      <c r="B8183" s="184">
        <v>43897</v>
      </c>
      <c r="C8183" s="138">
        <v>2020</v>
      </c>
      <c r="D8183" s="35" t="s">
        <v>28</v>
      </c>
      <c r="E8183" s="6" t="s">
        <v>149</v>
      </c>
      <c r="F8183" s="7" t="s">
        <v>30</v>
      </c>
      <c r="G8183" s="33" t="s">
        <v>901</v>
      </c>
      <c r="H8183" s="33" t="s">
        <v>11122</v>
      </c>
      <c r="I8183" s="157">
        <v>0</v>
      </c>
      <c r="J8183" s="305">
        <v>700</v>
      </c>
      <c r="K8183" s="142">
        <v>0</v>
      </c>
      <c r="L8183" s="142">
        <v>0</v>
      </c>
      <c r="M8183" s="142">
        <v>0</v>
      </c>
      <c r="N8183" s="142">
        <v>1</v>
      </c>
      <c r="O8183" s="305">
        <v>0</v>
      </c>
      <c r="P8183" s="306">
        <v>0.01</v>
      </c>
      <c r="Q8183" s="157" t="s">
        <v>154</v>
      </c>
      <c r="R8183" s="303"/>
    </row>
    <row r="8184" spans="1:18" s="162" customFormat="1" ht="84" x14ac:dyDescent="0.25">
      <c r="A8184" s="184">
        <v>43898</v>
      </c>
      <c r="B8184" s="184">
        <v>43898</v>
      </c>
      <c r="C8184" s="138">
        <v>2020</v>
      </c>
      <c r="D8184" s="24" t="s">
        <v>141</v>
      </c>
      <c r="E8184" s="30" t="s">
        <v>142</v>
      </c>
      <c r="F8184" s="7" t="s">
        <v>87</v>
      </c>
      <c r="G8184" s="33" t="s">
        <v>4431</v>
      </c>
      <c r="H8184" s="33" t="s">
        <v>11123</v>
      </c>
      <c r="I8184" s="157">
        <v>6</v>
      </c>
      <c r="J8184" s="305">
        <v>16</v>
      </c>
      <c r="K8184" s="142">
        <v>0</v>
      </c>
      <c r="L8184" s="142">
        <v>0</v>
      </c>
      <c r="M8184" s="142">
        <v>0</v>
      </c>
      <c r="N8184" s="142">
        <v>0</v>
      </c>
      <c r="O8184" s="305">
        <v>0</v>
      </c>
      <c r="P8184" s="306">
        <v>0.79642199999999996</v>
      </c>
      <c r="Q8184" s="157" t="s">
        <v>154</v>
      </c>
      <c r="R8184" s="303"/>
    </row>
    <row r="8185" spans="1:18" s="162" customFormat="1" ht="168" x14ac:dyDescent="0.25">
      <c r="A8185" s="184">
        <v>43898</v>
      </c>
      <c r="B8185" s="184">
        <v>43898</v>
      </c>
      <c r="C8185" s="138">
        <v>2020</v>
      </c>
      <c r="D8185" s="24" t="s">
        <v>141</v>
      </c>
      <c r="E8185" s="30" t="s">
        <v>142</v>
      </c>
      <c r="F8185" s="7" t="s">
        <v>56</v>
      </c>
      <c r="G8185" s="33" t="s">
        <v>646</v>
      </c>
      <c r="H8185" s="33" t="s">
        <v>11124</v>
      </c>
      <c r="I8185" s="157">
        <v>1</v>
      </c>
      <c r="J8185" s="305">
        <v>10</v>
      </c>
      <c r="K8185" s="142">
        <v>0</v>
      </c>
      <c r="L8185" s="142">
        <v>0</v>
      </c>
      <c r="M8185" s="142">
        <v>0</v>
      </c>
      <c r="N8185" s="142">
        <v>0</v>
      </c>
      <c r="O8185" s="305">
        <v>0</v>
      </c>
      <c r="P8185" s="306">
        <v>0.10819068699999999</v>
      </c>
      <c r="Q8185" s="157" t="s">
        <v>154</v>
      </c>
      <c r="R8185" s="303"/>
    </row>
    <row r="8186" spans="1:18" s="162" customFormat="1" ht="96" x14ac:dyDescent="0.25">
      <c r="A8186" s="184">
        <v>43898</v>
      </c>
      <c r="B8186" s="184">
        <v>43898</v>
      </c>
      <c r="C8186" s="138">
        <v>2020</v>
      </c>
      <c r="D8186" s="24" t="s">
        <v>141</v>
      </c>
      <c r="E8186" s="30" t="s">
        <v>142</v>
      </c>
      <c r="F8186" s="7" t="s">
        <v>87</v>
      </c>
      <c r="G8186" s="33" t="s">
        <v>11125</v>
      </c>
      <c r="H8186" s="33" t="s">
        <v>11126</v>
      </c>
      <c r="I8186" s="157">
        <v>3</v>
      </c>
      <c r="J8186" s="305">
        <v>16</v>
      </c>
      <c r="K8186" s="142">
        <v>0</v>
      </c>
      <c r="L8186" s="142">
        <v>0</v>
      </c>
      <c r="M8186" s="142">
        <v>0</v>
      </c>
      <c r="N8186" s="142">
        <v>0</v>
      </c>
      <c r="O8186" s="305">
        <v>0</v>
      </c>
      <c r="P8186" s="306">
        <v>0.79968899999999998</v>
      </c>
      <c r="Q8186" s="157" t="s">
        <v>154</v>
      </c>
      <c r="R8186" s="303"/>
    </row>
    <row r="8187" spans="1:18" s="162" customFormat="1" ht="132" x14ac:dyDescent="0.25">
      <c r="A8187" s="184">
        <v>43900</v>
      </c>
      <c r="B8187" s="184">
        <v>43900</v>
      </c>
      <c r="C8187" s="138">
        <v>2020</v>
      </c>
      <c r="D8187" s="24" t="s">
        <v>141</v>
      </c>
      <c r="E8187" s="30" t="s">
        <v>142</v>
      </c>
      <c r="F8187" s="7" t="s">
        <v>53</v>
      </c>
      <c r="G8187" s="33" t="s">
        <v>4464</v>
      </c>
      <c r="H8187" s="33" t="s">
        <v>11127</v>
      </c>
      <c r="I8187" s="157">
        <v>0</v>
      </c>
      <c r="J8187" s="305">
        <v>2</v>
      </c>
      <c r="K8187" s="142">
        <v>0</v>
      </c>
      <c r="L8187" s="142">
        <v>0</v>
      </c>
      <c r="M8187" s="142">
        <v>0</v>
      </c>
      <c r="N8187" s="142">
        <v>0</v>
      </c>
      <c r="O8187" s="305">
        <v>0</v>
      </c>
      <c r="P8187" s="306">
        <v>5.432873278379283</v>
      </c>
      <c r="Q8187" s="157" t="s">
        <v>154</v>
      </c>
      <c r="R8187" s="303"/>
    </row>
    <row r="8188" spans="1:18" s="162" customFormat="1" ht="180" x14ac:dyDescent="0.25">
      <c r="A8188" s="184">
        <v>43901</v>
      </c>
      <c r="B8188" s="184">
        <v>43902</v>
      </c>
      <c r="C8188" s="138">
        <v>2020</v>
      </c>
      <c r="D8188" s="24" t="s">
        <v>141</v>
      </c>
      <c r="E8188" s="30" t="s">
        <v>142</v>
      </c>
      <c r="F8188" s="28" t="s">
        <v>157</v>
      </c>
      <c r="G8188" s="33" t="s">
        <v>1190</v>
      </c>
      <c r="H8188" s="33" t="s">
        <v>11128</v>
      </c>
      <c r="I8188" s="157">
        <v>1</v>
      </c>
      <c r="J8188" s="305">
        <v>42</v>
      </c>
      <c r="K8188" s="142">
        <v>0</v>
      </c>
      <c r="L8188" s="142">
        <v>0</v>
      </c>
      <c r="M8188" s="142">
        <v>0</v>
      </c>
      <c r="N8188" s="142">
        <v>0</v>
      </c>
      <c r="O8188" s="305">
        <v>0</v>
      </c>
      <c r="P8188" s="306">
        <v>2.4750074441860463</v>
      </c>
      <c r="Q8188" s="157" t="s">
        <v>154</v>
      </c>
      <c r="R8188" s="303"/>
    </row>
    <row r="8189" spans="1:18" s="162" customFormat="1" ht="120" x14ac:dyDescent="0.25">
      <c r="A8189" s="184">
        <v>43902</v>
      </c>
      <c r="B8189" s="184">
        <v>43902</v>
      </c>
      <c r="C8189" s="138">
        <v>2020</v>
      </c>
      <c r="D8189" s="35" t="s">
        <v>28</v>
      </c>
      <c r="E8189" s="6" t="s">
        <v>369</v>
      </c>
      <c r="F8189" s="7" t="s">
        <v>72</v>
      </c>
      <c r="G8189" s="33" t="s">
        <v>11129</v>
      </c>
      <c r="H8189" s="33" t="s">
        <v>11130</v>
      </c>
      <c r="I8189" s="157">
        <v>0</v>
      </c>
      <c r="J8189" s="305">
        <v>12</v>
      </c>
      <c r="K8189" s="142">
        <v>0</v>
      </c>
      <c r="L8189" s="142">
        <v>0</v>
      </c>
      <c r="M8189" s="142">
        <v>0</v>
      </c>
      <c r="N8189" s="142">
        <v>0</v>
      </c>
      <c r="O8189" s="305">
        <v>0</v>
      </c>
      <c r="P8189" s="306">
        <v>0</v>
      </c>
      <c r="Q8189" s="157" t="s">
        <v>154</v>
      </c>
      <c r="R8189" s="303"/>
    </row>
    <row r="8190" spans="1:18" s="162" customFormat="1" ht="24" x14ac:dyDescent="0.25">
      <c r="A8190" s="184">
        <v>43902</v>
      </c>
      <c r="B8190" s="184">
        <v>43903</v>
      </c>
      <c r="C8190" s="138">
        <v>2020</v>
      </c>
      <c r="D8190" s="351" t="s">
        <v>23</v>
      </c>
      <c r="E8190" s="22" t="s">
        <v>86</v>
      </c>
      <c r="F8190" s="7" t="s">
        <v>33</v>
      </c>
      <c r="G8190" s="206" t="s">
        <v>26</v>
      </c>
      <c r="H8190" s="44" t="s">
        <v>11131</v>
      </c>
      <c r="I8190" s="157">
        <v>0</v>
      </c>
      <c r="J8190" s="305">
        <v>3724</v>
      </c>
      <c r="K8190" s="142">
        <v>0</v>
      </c>
      <c r="L8190" s="142">
        <v>0</v>
      </c>
      <c r="M8190" s="142">
        <v>0</v>
      </c>
      <c r="N8190" s="142">
        <v>0</v>
      </c>
      <c r="O8190" s="305">
        <v>0</v>
      </c>
      <c r="P8190" s="306">
        <v>5.4695720719999992</v>
      </c>
      <c r="Q8190" s="157" t="s">
        <v>7883</v>
      </c>
      <c r="R8190" s="303"/>
    </row>
    <row r="8191" spans="1:18" s="162" customFormat="1" ht="24" x14ac:dyDescent="0.25">
      <c r="A8191" s="184">
        <v>43902</v>
      </c>
      <c r="B8191" s="184">
        <v>43910</v>
      </c>
      <c r="C8191" s="138">
        <v>2020</v>
      </c>
      <c r="D8191" s="351" t="s">
        <v>23</v>
      </c>
      <c r="E8191" s="22" t="s">
        <v>86</v>
      </c>
      <c r="F8191" s="7" t="s">
        <v>87</v>
      </c>
      <c r="G8191" s="206" t="s">
        <v>26</v>
      </c>
      <c r="H8191" s="44" t="s">
        <v>11132</v>
      </c>
      <c r="I8191" s="157">
        <v>0</v>
      </c>
      <c r="J8191" s="305">
        <v>3546</v>
      </c>
      <c r="K8191" s="142">
        <v>0</v>
      </c>
      <c r="L8191" s="142">
        <v>0</v>
      </c>
      <c r="M8191" s="142">
        <v>0</v>
      </c>
      <c r="N8191" s="142">
        <v>0</v>
      </c>
      <c r="O8191" s="305">
        <v>0</v>
      </c>
      <c r="P8191" s="306">
        <v>5.7657457999999995</v>
      </c>
      <c r="Q8191" s="157" t="s">
        <v>7883</v>
      </c>
      <c r="R8191" s="303"/>
    </row>
    <row r="8192" spans="1:18" s="162" customFormat="1" ht="72" x14ac:dyDescent="0.25">
      <c r="A8192" s="184">
        <v>43903</v>
      </c>
      <c r="B8192" s="184">
        <v>43903</v>
      </c>
      <c r="C8192" s="138">
        <v>2020</v>
      </c>
      <c r="D8192" s="24" t="s">
        <v>141</v>
      </c>
      <c r="E8192" s="30" t="s">
        <v>142</v>
      </c>
      <c r="F8192" s="7" t="s">
        <v>84</v>
      </c>
      <c r="G8192" s="33" t="s">
        <v>1453</v>
      </c>
      <c r="H8192" s="33" t="s">
        <v>11133</v>
      </c>
      <c r="I8192" s="157">
        <v>0</v>
      </c>
      <c r="J8192" s="305">
        <v>7</v>
      </c>
      <c r="K8192" s="142">
        <v>0</v>
      </c>
      <c r="L8192" s="142">
        <v>0</v>
      </c>
      <c r="M8192" s="142">
        <v>0</v>
      </c>
      <c r="N8192" s="142">
        <v>0</v>
      </c>
      <c r="O8192" s="305">
        <v>0</v>
      </c>
      <c r="P8192" s="306">
        <v>8.6176199999999994E-2</v>
      </c>
      <c r="Q8192" s="157" t="s">
        <v>154</v>
      </c>
      <c r="R8192" s="303"/>
    </row>
    <row r="8193" spans="1:18" s="162" customFormat="1" ht="180" x14ac:dyDescent="0.25">
      <c r="A8193" s="184">
        <v>43903</v>
      </c>
      <c r="B8193" s="184">
        <v>43903</v>
      </c>
      <c r="C8193" s="138">
        <v>2020</v>
      </c>
      <c r="D8193" s="35" t="s">
        <v>28</v>
      </c>
      <c r="E8193" s="30" t="s">
        <v>133</v>
      </c>
      <c r="F8193" s="7" t="s">
        <v>36</v>
      </c>
      <c r="G8193" s="33" t="s">
        <v>1830</v>
      </c>
      <c r="H8193" s="33" t="s">
        <v>11134</v>
      </c>
      <c r="I8193" s="157">
        <v>0</v>
      </c>
      <c r="J8193" s="305">
        <v>8</v>
      </c>
      <c r="K8193" s="142">
        <v>0</v>
      </c>
      <c r="L8193" s="142">
        <v>0</v>
      </c>
      <c r="M8193" s="142">
        <v>0</v>
      </c>
      <c r="N8193" s="142">
        <v>1</v>
      </c>
      <c r="O8193" s="305">
        <v>0</v>
      </c>
      <c r="P8193" s="306">
        <v>1.46454628</v>
      </c>
      <c r="Q8193" s="157" t="s">
        <v>154</v>
      </c>
      <c r="R8193" s="303"/>
    </row>
    <row r="8194" spans="1:18" s="162" customFormat="1" ht="72" x14ac:dyDescent="0.25">
      <c r="A8194" s="184">
        <v>43903</v>
      </c>
      <c r="B8194" s="184">
        <v>43903</v>
      </c>
      <c r="C8194" s="138">
        <v>2020</v>
      </c>
      <c r="D8194" s="35" t="s">
        <v>28</v>
      </c>
      <c r="E8194" s="30" t="s">
        <v>133</v>
      </c>
      <c r="F8194" s="7" t="s">
        <v>53</v>
      </c>
      <c r="G8194" s="33" t="s">
        <v>451</v>
      </c>
      <c r="H8194" s="33" t="s">
        <v>11135</v>
      </c>
      <c r="I8194" s="157">
        <v>2</v>
      </c>
      <c r="J8194" s="305">
        <v>7</v>
      </c>
      <c r="K8194" s="142">
        <v>0</v>
      </c>
      <c r="L8194" s="142">
        <v>0</v>
      </c>
      <c r="M8194" s="142">
        <v>0</v>
      </c>
      <c r="N8194" s="142">
        <v>0</v>
      </c>
      <c r="O8194" s="305">
        <v>0</v>
      </c>
      <c r="P8194" s="306">
        <v>5.4450000000000011E-3</v>
      </c>
      <c r="Q8194" s="157" t="s">
        <v>154</v>
      </c>
      <c r="R8194" s="303"/>
    </row>
    <row r="8195" spans="1:18" s="162" customFormat="1" ht="108" x14ac:dyDescent="0.25">
      <c r="A8195" s="184">
        <v>43904</v>
      </c>
      <c r="B8195" s="184">
        <v>43904</v>
      </c>
      <c r="C8195" s="138">
        <v>2020</v>
      </c>
      <c r="D8195" s="24" t="s">
        <v>141</v>
      </c>
      <c r="E8195" s="30" t="s">
        <v>142</v>
      </c>
      <c r="F8195" s="28" t="s">
        <v>210</v>
      </c>
      <c r="G8195" s="33" t="s">
        <v>2317</v>
      </c>
      <c r="H8195" s="33" t="s">
        <v>11136</v>
      </c>
      <c r="I8195" s="157">
        <v>0</v>
      </c>
      <c r="J8195" s="305">
        <v>7</v>
      </c>
      <c r="K8195" s="142">
        <v>0</v>
      </c>
      <c r="L8195" s="142">
        <v>0</v>
      </c>
      <c r="M8195" s="142">
        <v>0</v>
      </c>
      <c r="N8195" s="142">
        <v>0</v>
      </c>
      <c r="O8195" s="305">
        <v>0</v>
      </c>
      <c r="P8195" s="306">
        <v>0.8266094100000001</v>
      </c>
      <c r="Q8195" s="157" t="s">
        <v>154</v>
      </c>
      <c r="R8195" s="303"/>
    </row>
    <row r="8196" spans="1:18" s="162" customFormat="1" ht="132" x14ac:dyDescent="0.25">
      <c r="A8196" s="184">
        <v>43906</v>
      </c>
      <c r="B8196" s="184">
        <v>43906</v>
      </c>
      <c r="C8196" s="138">
        <v>2020</v>
      </c>
      <c r="D8196" s="35" t="s">
        <v>28</v>
      </c>
      <c r="E8196" s="6" t="s">
        <v>149</v>
      </c>
      <c r="F8196" s="7" t="s">
        <v>58</v>
      </c>
      <c r="G8196" s="33" t="s">
        <v>168</v>
      </c>
      <c r="H8196" s="33" t="s">
        <v>11137</v>
      </c>
      <c r="I8196" s="157">
        <v>0</v>
      </c>
      <c r="J8196" s="305">
        <v>15</v>
      </c>
      <c r="K8196" s="142">
        <v>0</v>
      </c>
      <c r="L8196" s="142">
        <v>0</v>
      </c>
      <c r="M8196" s="142">
        <v>0</v>
      </c>
      <c r="N8196" s="142">
        <v>1</v>
      </c>
      <c r="O8196" s="305">
        <v>0</v>
      </c>
      <c r="P8196" s="306">
        <v>1.2178E-2</v>
      </c>
      <c r="Q8196" s="157" t="s">
        <v>154</v>
      </c>
      <c r="R8196" s="303"/>
    </row>
    <row r="8197" spans="1:18" s="162" customFormat="1" ht="216" x14ac:dyDescent="0.25">
      <c r="A8197" s="184">
        <v>43906</v>
      </c>
      <c r="B8197" s="184">
        <v>43907</v>
      </c>
      <c r="C8197" s="138">
        <v>2020</v>
      </c>
      <c r="D8197" s="351" t="s">
        <v>23</v>
      </c>
      <c r="E8197" s="22" t="s">
        <v>86</v>
      </c>
      <c r="F8197" s="7" t="s">
        <v>82</v>
      </c>
      <c r="G8197" s="33" t="s">
        <v>11138</v>
      </c>
      <c r="H8197" s="33" t="s">
        <v>11139</v>
      </c>
      <c r="I8197" s="157">
        <v>0</v>
      </c>
      <c r="J8197" s="305">
        <v>350</v>
      </c>
      <c r="K8197" s="142">
        <v>250</v>
      </c>
      <c r="L8197" s="142">
        <v>0</v>
      </c>
      <c r="M8197" s="142">
        <v>0</v>
      </c>
      <c r="N8197" s="142">
        <v>0</v>
      </c>
      <c r="O8197" s="305">
        <v>0</v>
      </c>
      <c r="P8197" s="306">
        <v>0.3999875</v>
      </c>
      <c r="Q8197" s="157" t="s">
        <v>154</v>
      </c>
      <c r="R8197" s="303"/>
    </row>
    <row r="8198" spans="1:18" s="162" customFormat="1" ht="144" x14ac:dyDescent="0.25">
      <c r="A8198" s="184">
        <v>43907</v>
      </c>
      <c r="B8198" s="184">
        <v>43907</v>
      </c>
      <c r="C8198" s="138">
        <v>2020</v>
      </c>
      <c r="D8198" s="35" t="s">
        <v>28</v>
      </c>
      <c r="E8198" s="30" t="s">
        <v>125</v>
      </c>
      <c r="F8198" s="7" t="s">
        <v>56</v>
      </c>
      <c r="G8198" s="33" t="s">
        <v>1160</v>
      </c>
      <c r="H8198" s="33" t="s">
        <v>11140</v>
      </c>
      <c r="I8198" s="157">
        <v>1</v>
      </c>
      <c r="J8198" s="305">
        <v>380</v>
      </c>
      <c r="K8198" s="142">
        <v>0</v>
      </c>
      <c r="L8198" s="142">
        <v>0</v>
      </c>
      <c r="M8198" s="142">
        <v>0</v>
      </c>
      <c r="N8198" s="142">
        <v>0</v>
      </c>
      <c r="O8198" s="305">
        <v>0</v>
      </c>
      <c r="P8198" s="306">
        <v>3.2670000000000008E-3</v>
      </c>
      <c r="Q8198" s="157" t="s">
        <v>154</v>
      </c>
      <c r="R8198" s="303"/>
    </row>
    <row r="8199" spans="1:18" s="162" customFormat="1" ht="192" x14ac:dyDescent="0.25">
      <c r="A8199" s="184">
        <v>43908</v>
      </c>
      <c r="B8199" s="184">
        <v>43908</v>
      </c>
      <c r="C8199" s="138">
        <v>2020</v>
      </c>
      <c r="D8199" s="24" t="s">
        <v>141</v>
      </c>
      <c r="E8199" s="30" t="s">
        <v>142</v>
      </c>
      <c r="F8199" s="28" t="s">
        <v>157</v>
      </c>
      <c r="G8199" s="33" t="s">
        <v>526</v>
      </c>
      <c r="H8199" s="33" t="s">
        <v>11141</v>
      </c>
      <c r="I8199" s="157">
        <v>0</v>
      </c>
      <c r="J8199" s="305">
        <v>7</v>
      </c>
      <c r="K8199" s="142">
        <v>0</v>
      </c>
      <c r="L8199" s="142">
        <v>0</v>
      </c>
      <c r="M8199" s="142">
        <v>0</v>
      </c>
      <c r="N8199" s="142">
        <v>0</v>
      </c>
      <c r="O8199" s="305">
        <v>0</v>
      </c>
      <c r="P8199" s="306">
        <v>9.838968699999999E-2</v>
      </c>
      <c r="Q8199" s="157" t="s">
        <v>154</v>
      </c>
      <c r="R8199" s="303"/>
    </row>
    <row r="8200" spans="1:18" s="162" customFormat="1" ht="240" x14ac:dyDescent="0.25">
      <c r="A8200" s="184">
        <v>43911</v>
      </c>
      <c r="B8200" s="184">
        <v>43911</v>
      </c>
      <c r="C8200" s="138">
        <v>2020</v>
      </c>
      <c r="D8200" s="24" t="s">
        <v>141</v>
      </c>
      <c r="E8200" s="30" t="s">
        <v>142</v>
      </c>
      <c r="F8200" s="28" t="s">
        <v>210</v>
      </c>
      <c r="G8200" s="33" t="s">
        <v>11142</v>
      </c>
      <c r="H8200" s="33" t="s">
        <v>11143</v>
      </c>
      <c r="I8200" s="157">
        <v>1</v>
      </c>
      <c r="J8200" s="305">
        <v>11</v>
      </c>
      <c r="K8200" s="142">
        <v>0</v>
      </c>
      <c r="L8200" s="142">
        <v>0</v>
      </c>
      <c r="M8200" s="142">
        <v>0</v>
      </c>
      <c r="N8200" s="142">
        <v>0</v>
      </c>
      <c r="O8200" s="305">
        <v>0</v>
      </c>
      <c r="P8200" s="306">
        <v>5.4635997653792829</v>
      </c>
      <c r="Q8200" s="157" t="s">
        <v>154</v>
      </c>
      <c r="R8200" s="303"/>
    </row>
    <row r="8201" spans="1:18" s="162" customFormat="1" ht="168" x14ac:dyDescent="0.25">
      <c r="A8201" s="184">
        <v>43911</v>
      </c>
      <c r="B8201" s="184">
        <v>43911</v>
      </c>
      <c r="C8201" s="138">
        <v>2020</v>
      </c>
      <c r="D8201" s="351" t="s">
        <v>23</v>
      </c>
      <c r="E8201" s="49" t="s">
        <v>5893</v>
      </c>
      <c r="F8201" s="28" t="s">
        <v>157</v>
      </c>
      <c r="G8201" s="33" t="s">
        <v>206</v>
      </c>
      <c r="H8201" s="33" t="s">
        <v>11144</v>
      </c>
      <c r="I8201" s="157">
        <v>0</v>
      </c>
      <c r="J8201" s="305">
        <v>6</v>
      </c>
      <c r="K8201" s="142">
        <v>0</v>
      </c>
      <c r="L8201" s="142">
        <v>0</v>
      </c>
      <c r="M8201" s="142">
        <v>0</v>
      </c>
      <c r="N8201" s="142">
        <v>2000</v>
      </c>
      <c r="O8201" s="305">
        <v>0</v>
      </c>
      <c r="P8201" s="306">
        <v>20.006533999999998</v>
      </c>
      <c r="Q8201" s="157" t="s">
        <v>154</v>
      </c>
      <c r="R8201" s="303"/>
    </row>
    <row r="8202" spans="1:18" s="162" customFormat="1" ht="84" x14ac:dyDescent="0.25">
      <c r="A8202" s="184">
        <v>43911</v>
      </c>
      <c r="B8202" s="184">
        <v>43911</v>
      </c>
      <c r="C8202" s="138">
        <v>2020</v>
      </c>
      <c r="D8202" s="35" t="s">
        <v>28</v>
      </c>
      <c r="E8202" s="6" t="s">
        <v>149</v>
      </c>
      <c r="F8202" s="28" t="s">
        <v>157</v>
      </c>
      <c r="G8202" s="33" t="s">
        <v>5443</v>
      </c>
      <c r="H8202" s="33" t="s">
        <v>11145</v>
      </c>
      <c r="I8202" s="157">
        <v>0</v>
      </c>
      <c r="J8202" s="305">
        <v>9</v>
      </c>
      <c r="K8202" s="142">
        <v>1</v>
      </c>
      <c r="L8202" s="142">
        <v>0</v>
      </c>
      <c r="M8202" s="142">
        <v>0</v>
      </c>
      <c r="N8202" s="142">
        <v>0</v>
      </c>
      <c r="O8202" s="305">
        <v>0</v>
      </c>
      <c r="P8202" s="306">
        <v>1.1013750000000001E-2</v>
      </c>
      <c r="Q8202" s="157" t="s">
        <v>154</v>
      </c>
      <c r="R8202" s="303"/>
    </row>
    <row r="8203" spans="1:18" s="162" customFormat="1" ht="96" x14ac:dyDescent="0.25">
      <c r="A8203" s="184">
        <v>43913</v>
      </c>
      <c r="B8203" s="184">
        <v>43913</v>
      </c>
      <c r="C8203" s="138">
        <v>2020</v>
      </c>
      <c r="D8203" s="24" t="s">
        <v>141</v>
      </c>
      <c r="E8203" s="30" t="s">
        <v>142</v>
      </c>
      <c r="F8203" s="28" t="s">
        <v>210</v>
      </c>
      <c r="G8203" s="33" t="s">
        <v>5025</v>
      </c>
      <c r="H8203" s="33" t="s">
        <v>11146</v>
      </c>
      <c r="I8203" s="157">
        <v>0</v>
      </c>
      <c r="J8203" s="305">
        <v>6</v>
      </c>
      <c r="K8203" s="142">
        <v>0</v>
      </c>
      <c r="L8203" s="142">
        <v>0</v>
      </c>
      <c r="M8203" s="142">
        <v>0</v>
      </c>
      <c r="N8203" s="142">
        <v>0</v>
      </c>
      <c r="O8203" s="305">
        <v>0</v>
      </c>
      <c r="P8203" s="306">
        <v>2.5894E-2</v>
      </c>
      <c r="Q8203" s="157" t="s">
        <v>154</v>
      </c>
      <c r="R8203" s="303"/>
    </row>
    <row r="8204" spans="1:18" s="162" customFormat="1" ht="264" x14ac:dyDescent="0.25">
      <c r="A8204" s="184">
        <v>43914</v>
      </c>
      <c r="B8204" s="184">
        <v>43914</v>
      </c>
      <c r="C8204" s="138">
        <v>2020</v>
      </c>
      <c r="D8204" s="35" t="s">
        <v>28</v>
      </c>
      <c r="E8204" s="30" t="s">
        <v>125</v>
      </c>
      <c r="F8204" s="28" t="s">
        <v>160</v>
      </c>
      <c r="G8204" s="33" t="s">
        <v>6249</v>
      </c>
      <c r="H8204" s="33" t="s">
        <v>11147</v>
      </c>
      <c r="I8204" s="157">
        <v>0</v>
      </c>
      <c r="J8204" s="305">
        <v>60</v>
      </c>
      <c r="K8204" s="142">
        <v>0</v>
      </c>
      <c r="L8204" s="142">
        <v>0</v>
      </c>
      <c r="M8204" s="142">
        <v>0</v>
      </c>
      <c r="N8204" s="142">
        <v>0</v>
      </c>
      <c r="O8204" s="305">
        <v>0</v>
      </c>
      <c r="P8204" s="306">
        <v>0</v>
      </c>
      <c r="Q8204" s="157" t="s">
        <v>154</v>
      </c>
      <c r="R8204" s="303"/>
    </row>
    <row r="8205" spans="1:18" s="162" customFormat="1" ht="132" x14ac:dyDescent="0.25">
      <c r="A8205" s="184">
        <v>43915</v>
      </c>
      <c r="B8205" s="184">
        <v>43915</v>
      </c>
      <c r="C8205" s="138">
        <v>2020</v>
      </c>
      <c r="D8205" s="35" t="s">
        <v>28</v>
      </c>
      <c r="E8205" s="30" t="s">
        <v>125</v>
      </c>
      <c r="F8205" s="7" t="s">
        <v>60</v>
      </c>
      <c r="G8205" s="33" t="s">
        <v>1605</v>
      </c>
      <c r="H8205" s="33" t="s">
        <v>11148</v>
      </c>
      <c r="I8205" s="157">
        <v>0</v>
      </c>
      <c r="J8205" s="305">
        <v>0</v>
      </c>
      <c r="K8205" s="142">
        <v>0</v>
      </c>
      <c r="L8205" s="142">
        <v>0</v>
      </c>
      <c r="M8205" s="142">
        <v>0</v>
      </c>
      <c r="N8205" s="142">
        <v>0</v>
      </c>
      <c r="O8205" s="305">
        <v>0</v>
      </c>
      <c r="P8205" s="306">
        <v>0.84980258588235291</v>
      </c>
      <c r="Q8205" s="157" t="s">
        <v>154</v>
      </c>
      <c r="R8205" s="303"/>
    </row>
    <row r="8206" spans="1:18" s="162" customFormat="1" ht="72" x14ac:dyDescent="0.25">
      <c r="A8206" s="184">
        <v>43916</v>
      </c>
      <c r="B8206" s="184">
        <v>43916</v>
      </c>
      <c r="C8206" s="138">
        <v>2020</v>
      </c>
      <c r="D8206" s="24" t="s">
        <v>141</v>
      </c>
      <c r="E8206" s="30" t="s">
        <v>142</v>
      </c>
      <c r="F8206" s="7" t="s">
        <v>68</v>
      </c>
      <c r="G8206" s="33" t="s">
        <v>752</v>
      </c>
      <c r="H8206" s="33" t="s">
        <v>11149</v>
      </c>
      <c r="I8206" s="157">
        <v>0</v>
      </c>
      <c r="J8206" s="305">
        <v>11</v>
      </c>
      <c r="K8206" s="142">
        <v>0</v>
      </c>
      <c r="L8206" s="142">
        <v>0</v>
      </c>
      <c r="M8206" s="142">
        <v>0</v>
      </c>
      <c r="N8206" s="142">
        <v>0</v>
      </c>
      <c r="O8206" s="305">
        <v>0</v>
      </c>
      <c r="P8206" s="306">
        <v>9.0532199999999993E-2</v>
      </c>
      <c r="Q8206" s="157" t="s">
        <v>154</v>
      </c>
      <c r="R8206" s="303"/>
    </row>
    <row r="8207" spans="1:18" s="162" customFormat="1" ht="156" x14ac:dyDescent="0.25">
      <c r="A8207" s="184">
        <v>43917</v>
      </c>
      <c r="B8207" s="184">
        <v>43917</v>
      </c>
      <c r="C8207" s="138">
        <v>2020</v>
      </c>
      <c r="D8207" s="35" t="s">
        <v>28</v>
      </c>
      <c r="E8207" s="6" t="s">
        <v>149</v>
      </c>
      <c r="F8207" s="7" t="s">
        <v>56</v>
      </c>
      <c r="G8207" s="33" t="s">
        <v>4348</v>
      </c>
      <c r="H8207" s="33" t="s">
        <v>11150</v>
      </c>
      <c r="I8207" s="157">
        <v>0</v>
      </c>
      <c r="J8207" s="305">
        <v>25</v>
      </c>
      <c r="K8207" s="142">
        <v>0</v>
      </c>
      <c r="L8207" s="142">
        <v>0</v>
      </c>
      <c r="M8207" s="142">
        <v>0</v>
      </c>
      <c r="N8207" s="142">
        <v>1</v>
      </c>
      <c r="O8207" s="305">
        <v>0</v>
      </c>
      <c r="P8207" s="306">
        <v>0.01</v>
      </c>
      <c r="Q8207" s="157" t="s">
        <v>154</v>
      </c>
      <c r="R8207" s="303"/>
    </row>
    <row r="8208" spans="1:18" s="162" customFormat="1" ht="156" x14ac:dyDescent="0.25">
      <c r="A8208" s="184">
        <v>43918</v>
      </c>
      <c r="B8208" s="184">
        <v>43918</v>
      </c>
      <c r="C8208" s="138">
        <v>2020</v>
      </c>
      <c r="D8208" s="24" t="s">
        <v>141</v>
      </c>
      <c r="E8208" s="30" t="s">
        <v>142</v>
      </c>
      <c r="F8208" s="7" t="s">
        <v>91</v>
      </c>
      <c r="G8208" s="33" t="s">
        <v>1874</v>
      </c>
      <c r="H8208" s="33" t="s">
        <v>11151</v>
      </c>
      <c r="I8208" s="157">
        <v>0</v>
      </c>
      <c r="J8208" s="305">
        <v>21</v>
      </c>
      <c r="K8208" s="142">
        <v>0</v>
      </c>
      <c r="L8208" s="142">
        <v>0</v>
      </c>
      <c r="M8208" s="142">
        <v>0</v>
      </c>
      <c r="N8208" s="142">
        <v>0</v>
      </c>
      <c r="O8208" s="305">
        <v>0</v>
      </c>
      <c r="P8208" s="306">
        <v>0.78879900000000003</v>
      </c>
      <c r="Q8208" s="157" t="s">
        <v>154</v>
      </c>
      <c r="R8208" s="303"/>
    </row>
    <row r="8209" spans="1:18" s="162" customFormat="1" ht="204" x14ac:dyDescent="0.25">
      <c r="A8209" s="184">
        <v>43919</v>
      </c>
      <c r="B8209" s="184">
        <v>43919</v>
      </c>
      <c r="C8209" s="138">
        <v>2020</v>
      </c>
      <c r="D8209" s="24" t="s">
        <v>141</v>
      </c>
      <c r="E8209" s="30" t="s">
        <v>142</v>
      </c>
      <c r="F8209" s="7" t="s">
        <v>101</v>
      </c>
      <c r="G8209" s="33" t="s">
        <v>11152</v>
      </c>
      <c r="H8209" s="33" t="s">
        <v>11153</v>
      </c>
      <c r="I8209" s="157">
        <v>0</v>
      </c>
      <c r="J8209" s="305">
        <v>21</v>
      </c>
      <c r="K8209" s="142">
        <v>0</v>
      </c>
      <c r="L8209" s="142">
        <v>0</v>
      </c>
      <c r="M8209" s="142">
        <v>0</v>
      </c>
      <c r="N8209" s="142">
        <v>0</v>
      </c>
      <c r="O8209" s="305">
        <v>0</v>
      </c>
      <c r="P8209" s="306">
        <v>1.1942407399999999</v>
      </c>
      <c r="Q8209" s="157" t="s">
        <v>154</v>
      </c>
      <c r="R8209" s="303"/>
    </row>
    <row r="8210" spans="1:18" s="162" customFormat="1" ht="132" x14ac:dyDescent="0.25">
      <c r="A8210" s="184">
        <v>43920</v>
      </c>
      <c r="B8210" s="184">
        <v>43921</v>
      </c>
      <c r="C8210" s="138">
        <v>2020</v>
      </c>
      <c r="D8210" s="24" t="s">
        <v>141</v>
      </c>
      <c r="E8210" s="30" t="s">
        <v>142</v>
      </c>
      <c r="F8210" s="7" t="s">
        <v>80</v>
      </c>
      <c r="G8210" s="33" t="s">
        <v>11154</v>
      </c>
      <c r="H8210" s="33" t="s">
        <v>11155</v>
      </c>
      <c r="I8210" s="157">
        <v>4</v>
      </c>
      <c r="J8210" s="305">
        <v>43</v>
      </c>
      <c r="K8210" s="142">
        <v>0</v>
      </c>
      <c r="L8210" s="142">
        <v>0</v>
      </c>
      <c r="M8210" s="142">
        <v>0</v>
      </c>
      <c r="N8210" s="142">
        <v>0</v>
      </c>
      <c r="O8210" s="305">
        <v>0</v>
      </c>
      <c r="P8210" s="306">
        <v>0.35562626000000003</v>
      </c>
      <c r="Q8210" s="157" t="s">
        <v>154</v>
      </c>
      <c r="R8210" s="303"/>
    </row>
    <row r="8211" spans="1:18" s="162" customFormat="1" ht="144" x14ac:dyDescent="0.25">
      <c r="A8211" s="184">
        <v>43921</v>
      </c>
      <c r="B8211" s="184">
        <v>43922</v>
      </c>
      <c r="C8211" s="138">
        <v>2020</v>
      </c>
      <c r="D8211" s="35" t="s">
        <v>28</v>
      </c>
      <c r="E8211" s="6" t="s">
        <v>149</v>
      </c>
      <c r="F8211" s="7" t="s">
        <v>40</v>
      </c>
      <c r="G8211" s="33" t="s">
        <v>830</v>
      </c>
      <c r="H8211" s="33" t="s">
        <v>11156</v>
      </c>
      <c r="I8211" s="157">
        <v>0</v>
      </c>
      <c r="J8211" s="305">
        <v>301</v>
      </c>
      <c r="K8211" s="142">
        <v>0</v>
      </c>
      <c r="L8211" s="142">
        <v>0</v>
      </c>
      <c r="M8211" s="142">
        <v>0</v>
      </c>
      <c r="N8211" s="142">
        <v>0</v>
      </c>
      <c r="O8211" s="305">
        <v>0</v>
      </c>
      <c r="P8211" s="306">
        <v>0.70736745588235306</v>
      </c>
      <c r="Q8211" s="157" t="s">
        <v>154</v>
      </c>
      <c r="R8211" s="303"/>
    </row>
    <row r="8212" spans="1:18" s="162" customFormat="1" ht="156" x14ac:dyDescent="0.25">
      <c r="A8212" s="184">
        <v>43923</v>
      </c>
      <c r="B8212" s="184">
        <v>43923</v>
      </c>
      <c r="C8212" s="138">
        <v>2020</v>
      </c>
      <c r="D8212" s="351" t="s">
        <v>23</v>
      </c>
      <c r="E8212" s="49" t="s">
        <v>5893</v>
      </c>
      <c r="F8212" s="7" t="s">
        <v>53</v>
      </c>
      <c r="G8212" s="33" t="s">
        <v>11157</v>
      </c>
      <c r="H8212" s="33" t="s">
        <v>11158</v>
      </c>
      <c r="I8212" s="157">
        <v>0</v>
      </c>
      <c r="J8212" s="305">
        <v>48</v>
      </c>
      <c r="K8212" s="142">
        <v>12</v>
      </c>
      <c r="L8212" s="142">
        <v>0</v>
      </c>
      <c r="M8212" s="142">
        <v>0</v>
      </c>
      <c r="N8212" s="142">
        <v>1</v>
      </c>
      <c r="O8212" s="305">
        <v>0</v>
      </c>
      <c r="P8212" s="306">
        <v>1.6660500000000002E-2</v>
      </c>
      <c r="Q8212" s="157" t="s">
        <v>154</v>
      </c>
      <c r="R8212" s="303"/>
    </row>
    <row r="8213" spans="1:18" s="162" customFormat="1" ht="96" x14ac:dyDescent="0.25">
      <c r="A8213" s="184">
        <v>43924</v>
      </c>
      <c r="B8213" s="184">
        <v>43924</v>
      </c>
      <c r="C8213" s="138">
        <v>2020</v>
      </c>
      <c r="D8213" s="24" t="s">
        <v>141</v>
      </c>
      <c r="E8213" s="30" t="s">
        <v>142</v>
      </c>
      <c r="F8213" s="7" t="s">
        <v>91</v>
      </c>
      <c r="G8213" s="33" t="s">
        <v>2315</v>
      </c>
      <c r="H8213" s="33" t="s">
        <v>11159</v>
      </c>
      <c r="I8213" s="157">
        <v>0</v>
      </c>
      <c r="J8213" s="305">
        <v>5</v>
      </c>
      <c r="K8213" s="142">
        <v>0</v>
      </c>
      <c r="L8213" s="142">
        <v>0</v>
      </c>
      <c r="M8213" s="142">
        <v>0</v>
      </c>
      <c r="N8213" s="142">
        <v>0</v>
      </c>
      <c r="O8213" s="305">
        <v>0</v>
      </c>
      <c r="P8213" s="306">
        <v>0.46230987000000001</v>
      </c>
      <c r="Q8213" s="157" t="s">
        <v>154</v>
      </c>
      <c r="R8213" s="303"/>
    </row>
    <row r="8214" spans="1:18" s="162" customFormat="1" ht="108" x14ac:dyDescent="0.25">
      <c r="A8214" s="184">
        <v>43925</v>
      </c>
      <c r="B8214" s="184">
        <v>43925</v>
      </c>
      <c r="C8214" s="138">
        <v>2020</v>
      </c>
      <c r="D8214" s="24" t="s">
        <v>141</v>
      </c>
      <c r="E8214" s="30" t="s">
        <v>142</v>
      </c>
      <c r="F8214" s="7" t="s">
        <v>68</v>
      </c>
      <c r="G8214" s="33" t="s">
        <v>2512</v>
      </c>
      <c r="H8214" s="33" t="s">
        <v>11160</v>
      </c>
      <c r="I8214" s="157">
        <v>2</v>
      </c>
      <c r="J8214" s="305">
        <v>60</v>
      </c>
      <c r="K8214" s="142">
        <v>0</v>
      </c>
      <c r="L8214" s="142">
        <v>0</v>
      </c>
      <c r="M8214" s="142">
        <v>0</v>
      </c>
      <c r="N8214" s="142">
        <v>0</v>
      </c>
      <c r="O8214" s="305">
        <v>0</v>
      </c>
      <c r="P8214" s="306">
        <v>4.0319807831395353</v>
      </c>
      <c r="Q8214" s="157" t="s">
        <v>154</v>
      </c>
      <c r="R8214" s="303"/>
    </row>
    <row r="8215" spans="1:18" s="162" customFormat="1" ht="228" x14ac:dyDescent="0.25">
      <c r="A8215" s="184">
        <v>43928</v>
      </c>
      <c r="B8215" s="184">
        <v>43928</v>
      </c>
      <c r="C8215" s="138">
        <v>2020</v>
      </c>
      <c r="D8215" s="35" t="s">
        <v>28</v>
      </c>
      <c r="E8215" s="6" t="s">
        <v>149</v>
      </c>
      <c r="F8215" s="28" t="s">
        <v>157</v>
      </c>
      <c r="G8215" s="33" t="s">
        <v>206</v>
      </c>
      <c r="H8215" s="33" t="s">
        <v>11161</v>
      </c>
      <c r="I8215" s="157">
        <v>2</v>
      </c>
      <c r="J8215" s="305">
        <v>208</v>
      </c>
      <c r="K8215" s="142">
        <v>210</v>
      </c>
      <c r="L8215" s="142">
        <v>0</v>
      </c>
      <c r="M8215" s="142">
        <v>0</v>
      </c>
      <c r="N8215" s="142">
        <v>0</v>
      </c>
      <c r="O8215" s="305">
        <v>0</v>
      </c>
      <c r="P8215" s="306">
        <v>0.48296941000000004</v>
      </c>
      <c r="Q8215" s="157" t="s">
        <v>154</v>
      </c>
      <c r="R8215" s="303"/>
    </row>
    <row r="8216" spans="1:18" s="162" customFormat="1" ht="108" x14ac:dyDescent="0.25">
      <c r="A8216" s="184">
        <v>43932</v>
      </c>
      <c r="B8216" s="184">
        <v>43932</v>
      </c>
      <c r="C8216" s="138">
        <v>2020</v>
      </c>
      <c r="D8216" s="24" t="s">
        <v>141</v>
      </c>
      <c r="E8216" s="30" t="s">
        <v>142</v>
      </c>
      <c r="F8216" s="28" t="s">
        <v>157</v>
      </c>
      <c r="G8216" s="33" t="s">
        <v>206</v>
      </c>
      <c r="H8216" s="33" t="s">
        <v>11162</v>
      </c>
      <c r="I8216" s="157">
        <v>0</v>
      </c>
      <c r="J8216" s="305">
        <v>8</v>
      </c>
      <c r="K8216" s="142">
        <v>0</v>
      </c>
      <c r="L8216" s="142">
        <v>0</v>
      </c>
      <c r="M8216" s="142">
        <v>0</v>
      </c>
      <c r="N8216" s="142">
        <v>0</v>
      </c>
      <c r="O8216" s="305">
        <v>0</v>
      </c>
      <c r="P8216" s="306">
        <v>0.10056768699999999</v>
      </c>
      <c r="Q8216" s="157" t="s">
        <v>154</v>
      </c>
      <c r="R8216" s="303"/>
    </row>
    <row r="8217" spans="1:18" s="162" customFormat="1" ht="84" x14ac:dyDescent="0.25">
      <c r="A8217" s="184">
        <v>43932</v>
      </c>
      <c r="B8217" s="184">
        <v>43932</v>
      </c>
      <c r="C8217" s="138">
        <v>2020</v>
      </c>
      <c r="D8217" s="35" t="s">
        <v>28</v>
      </c>
      <c r="E8217" s="6" t="s">
        <v>149</v>
      </c>
      <c r="F8217" s="7" t="s">
        <v>60</v>
      </c>
      <c r="G8217" s="33" t="s">
        <v>1605</v>
      </c>
      <c r="H8217" s="33" t="s">
        <v>11163</v>
      </c>
      <c r="I8217" s="157">
        <v>5</v>
      </c>
      <c r="J8217" s="305">
        <v>0</v>
      </c>
      <c r="K8217" s="142">
        <v>1</v>
      </c>
      <c r="L8217" s="142">
        <v>0</v>
      </c>
      <c r="M8217" s="142">
        <v>0</v>
      </c>
      <c r="N8217" s="142">
        <v>0</v>
      </c>
      <c r="O8217" s="305">
        <v>0</v>
      </c>
      <c r="P8217" s="306">
        <v>5.6560350000000011E-3</v>
      </c>
      <c r="Q8217" s="157" t="s">
        <v>154</v>
      </c>
      <c r="R8217" s="303"/>
    </row>
    <row r="8218" spans="1:18" s="162" customFormat="1" ht="84" x14ac:dyDescent="0.25">
      <c r="A8218" s="184">
        <v>43935</v>
      </c>
      <c r="B8218" s="184">
        <v>43935</v>
      </c>
      <c r="C8218" s="138">
        <v>2020</v>
      </c>
      <c r="D8218" s="24" t="s">
        <v>141</v>
      </c>
      <c r="E8218" s="41" t="s">
        <v>1965</v>
      </c>
      <c r="F8218" s="7" t="s">
        <v>60</v>
      </c>
      <c r="G8218" s="33" t="s">
        <v>3691</v>
      </c>
      <c r="H8218" s="33" t="s">
        <v>11164</v>
      </c>
      <c r="I8218" s="157">
        <v>0</v>
      </c>
      <c r="J8218" s="305">
        <v>5</v>
      </c>
      <c r="K8218" s="142">
        <v>0</v>
      </c>
      <c r="L8218" s="142">
        <v>0</v>
      </c>
      <c r="M8218" s="142">
        <v>0</v>
      </c>
      <c r="N8218" s="142">
        <v>0</v>
      </c>
      <c r="O8218" s="305">
        <v>0</v>
      </c>
      <c r="P8218" s="306">
        <v>5.4450000000000011E-3</v>
      </c>
      <c r="Q8218" s="157" t="s">
        <v>154</v>
      </c>
      <c r="R8218" s="303"/>
    </row>
    <row r="8219" spans="1:18" s="162" customFormat="1" ht="96" x14ac:dyDescent="0.25">
      <c r="A8219" s="184">
        <v>43938</v>
      </c>
      <c r="B8219" s="184">
        <v>43938</v>
      </c>
      <c r="C8219" s="138">
        <v>2020</v>
      </c>
      <c r="D8219" s="35" t="s">
        <v>28</v>
      </c>
      <c r="E8219" s="6" t="s">
        <v>149</v>
      </c>
      <c r="F8219" s="7" t="s">
        <v>30</v>
      </c>
      <c r="G8219" s="33" t="s">
        <v>1078</v>
      </c>
      <c r="H8219" s="33" t="s">
        <v>11165</v>
      </c>
      <c r="I8219" s="157">
        <v>0</v>
      </c>
      <c r="J8219" s="305">
        <v>20</v>
      </c>
      <c r="K8219" s="142">
        <v>1</v>
      </c>
      <c r="L8219" s="142">
        <v>0</v>
      </c>
      <c r="M8219" s="142">
        <v>0</v>
      </c>
      <c r="N8219" s="142">
        <v>0</v>
      </c>
      <c r="O8219" s="305">
        <v>0</v>
      </c>
      <c r="P8219" s="306">
        <v>5.6560350000000011E-3</v>
      </c>
      <c r="Q8219" s="157" t="s">
        <v>154</v>
      </c>
      <c r="R8219" s="303"/>
    </row>
    <row r="8220" spans="1:18" s="162" customFormat="1" ht="96" x14ac:dyDescent="0.25">
      <c r="A8220" s="184">
        <v>43938</v>
      </c>
      <c r="B8220" s="184">
        <v>43938</v>
      </c>
      <c r="C8220" s="138">
        <v>2020</v>
      </c>
      <c r="D8220" s="35" t="s">
        <v>28</v>
      </c>
      <c r="E8220" s="6" t="s">
        <v>149</v>
      </c>
      <c r="F8220" s="7" t="s">
        <v>68</v>
      </c>
      <c r="G8220" s="33" t="s">
        <v>5096</v>
      </c>
      <c r="H8220" s="33" t="s">
        <v>11166</v>
      </c>
      <c r="I8220" s="157">
        <v>0</v>
      </c>
      <c r="J8220" s="305">
        <v>5</v>
      </c>
      <c r="K8220" s="142">
        <v>0</v>
      </c>
      <c r="L8220" s="142">
        <v>0</v>
      </c>
      <c r="M8220" s="142">
        <v>0</v>
      </c>
      <c r="N8220" s="142">
        <v>3</v>
      </c>
      <c r="O8220" s="305">
        <v>0</v>
      </c>
      <c r="P8220" s="306">
        <v>3.5444999999999997E-2</v>
      </c>
      <c r="Q8220" s="157" t="s">
        <v>154</v>
      </c>
      <c r="R8220" s="303"/>
    </row>
    <row r="8221" spans="1:18" s="162" customFormat="1" ht="120" x14ac:dyDescent="0.25">
      <c r="A8221" s="184">
        <v>43938</v>
      </c>
      <c r="B8221" s="184">
        <v>43938</v>
      </c>
      <c r="C8221" s="138">
        <v>2020</v>
      </c>
      <c r="D8221" s="24" t="s">
        <v>141</v>
      </c>
      <c r="E8221" s="30" t="s">
        <v>142</v>
      </c>
      <c r="F8221" s="7" t="s">
        <v>60</v>
      </c>
      <c r="G8221" s="33" t="s">
        <v>908</v>
      </c>
      <c r="H8221" s="33" t="s">
        <v>11167</v>
      </c>
      <c r="I8221" s="157">
        <v>0</v>
      </c>
      <c r="J8221" s="305">
        <v>7</v>
      </c>
      <c r="K8221" s="142">
        <v>0</v>
      </c>
      <c r="L8221" s="142">
        <v>0</v>
      </c>
      <c r="M8221" s="142">
        <v>0</v>
      </c>
      <c r="N8221" s="142">
        <v>0</v>
      </c>
      <c r="O8221" s="305">
        <v>0</v>
      </c>
      <c r="P8221" s="306">
        <v>0.84405525858823538</v>
      </c>
      <c r="Q8221" s="157" t="s">
        <v>154</v>
      </c>
      <c r="R8221" s="303"/>
    </row>
    <row r="8222" spans="1:18" s="162" customFormat="1" ht="96" x14ac:dyDescent="0.25">
      <c r="A8222" s="184">
        <v>43940</v>
      </c>
      <c r="B8222" s="184">
        <v>43940</v>
      </c>
      <c r="C8222" s="138">
        <v>2020</v>
      </c>
      <c r="D8222" s="24" t="s">
        <v>141</v>
      </c>
      <c r="E8222" s="30" t="s">
        <v>142</v>
      </c>
      <c r="F8222" s="7" t="s">
        <v>62</v>
      </c>
      <c r="G8222" s="33" t="s">
        <v>1920</v>
      </c>
      <c r="H8222" s="33" t="s">
        <v>11168</v>
      </c>
      <c r="I8222" s="157">
        <v>0</v>
      </c>
      <c r="J8222" s="305">
        <v>0</v>
      </c>
      <c r="K8222" s="142">
        <v>0</v>
      </c>
      <c r="L8222" s="142">
        <v>0</v>
      </c>
      <c r="M8222" s="142">
        <v>0</v>
      </c>
      <c r="N8222" s="142">
        <v>0</v>
      </c>
      <c r="O8222" s="305">
        <v>0</v>
      </c>
      <c r="P8222" s="306">
        <v>0.79533299999999996</v>
      </c>
      <c r="Q8222" s="157" t="s">
        <v>154</v>
      </c>
      <c r="R8222" s="303"/>
    </row>
    <row r="8223" spans="1:18" s="162" customFormat="1" ht="180" x14ac:dyDescent="0.25">
      <c r="A8223" s="184">
        <v>43942</v>
      </c>
      <c r="B8223" s="184">
        <v>43942</v>
      </c>
      <c r="C8223" s="138">
        <v>2020</v>
      </c>
      <c r="D8223" s="24" t="s">
        <v>141</v>
      </c>
      <c r="E8223" s="30" t="s">
        <v>142</v>
      </c>
      <c r="F8223" s="7" t="s">
        <v>56</v>
      </c>
      <c r="G8223" s="33" t="s">
        <v>358</v>
      </c>
      <c r="H8223" s="33" t="s">
        <v>11169</v>
      </c>
      <c r="I8223" s="157">
        <v>0</v>
      </c>
      <c r="J8223" s="305">
        <v>8</v>
      </c>
      <c r="K8223" s="142">
        <v>0</v>
      </c>
      <c r="L8223" s="142">
        <v>0</v>
      </c>
      <c r="M8223" s="142">
        <v>0</v>
      </c>
      <c r="N8223" s="142">
        <v>0</v>
      </c>
      <c r="O8223" s="305">
        <v>0</v>
      </c>
      <c r="P8223" s="306">
        <v>0.1658184</v>
      </c>
      <c r="Q8223" s="157" t="s">
        <v>154</v>
      </c>
      <c r="R8223" s="303"/>
    </row>
    <row r="8224" spans="1:18" s="162" customFormat="1" ht="96" x14ac:dyDescent="0.25">
      <c r="A8224" s="184">
        <v>43942</v>
      </c>
      <c r="B8224" s="184">
        <v>43942</v>
      </c>
      <c r="C8224" s="138">
        <v>2020</v>
      </c>
      <c r="D8224" s="24" t="s">
        <v>141</v>
      </c>
      <c r="E8224" s="30" t="s">
        <v>142</v>
      </c>
      <c r="F8224" s="7" t="s">
        <v>53</v>
      </c>
      <c r="G8224" s="33" t="s">
        <v>847</v>
      </c>
      <c r="H8224" s="33" t="s">
        <v>11170</v>
      </c>
      <c r="I8224" s="157">
        <v>0</v>
      </c>
      <c r="J8224" s="305">
        <v>9</v>
      </c>
      <c r="K8224" s="142">
        <v>0</v>
      </c>
      <c r="L8224" s="142">
        <v>0</v>
      </c>
      <c r="M8224" s="142">
        <v>0</v>
      </c>
      <c r="N8224" s="142">
        <v>0</v>
      </c>
      <c r="O8224" s="305">
        <v>0</v>
      </c>
      <c r="P8224" s="306">
        <v>0.79533299999999996</v>
      </c>
      <c r="Q8224" s="157" t="s">
        <v>154</v>
      </c>
      <c r="R8224" s="303"/>
    </row>
    <row r="8225" spans="1:18" s="162" customFormat="1" ht="132" x14ac:dyDescent="0.25">
      <c r="A8225" s="184">
        <v>43943</v>
      </c>
      <c r="B8225" s="184">
        <v>43943</v>
      </c>
      <c r="C8225" s="138">
        <v>2020</v>
      </c>
      <c r="D8225" s="35" t="s">
        <v>28</v>
      </c>
      <c r="E8225" s="6" t="s">
        <v>149</v>
      </c>
      <c r="F8225" s="28" t="s">
        <v>157</v>
      </c>
      <c r="G8225" s="33" t="s">
        <v>876</v>
      </c>
      <c r="H8225" s="33" t="s">
        <v>11171</v>
      </c>
      <c r="I8225" s="157">
        <v>0</v>
      </c>
      <c r="J8225" s="305">
        <v>7</v>
      </c>
      <c r="K8225" s="142">
        <v>0</v>
      </c>
      <c r="L8225" s="142">
        <v>0</v>
      </c>
      <c r="M8225" s="142">
        <v>0</v>
      </c>
      <c r="N8225" s="142">
        <v>1</v>
      </c>
      <c r="O8225" s="305">
        <v>0</v>
      </c>
      <c r="P8225" s="306">
        <v>1.9385970000000002E-2</v>
      </c>
      <c r="Q8225" s="157" t="s">
        <v>154</v>
      </c>
      <c r="R8225" s="303"/>
    </row>
    <row r="8226" spans="1:18" s="162" customFormat="1" ht="144" x14ac:dyDescent="0.25">
      <c r="A8226" s="184">
        <v>43944</v>
      </c>
      <c r="B8226" s="184">
        <v>43944</v>
      </c>
      <c r="C8226" s="138">
        <v>2020</v>
      </c>
      <c r="D8226" s="24" t="s">
        <v>141</v>
      </c>
      <c r="E8226" s="30" t="s">
        <v>142</v>
      </c>
      <c r="F8226" s="28" t="s">
        <v>157</v>
      </c>
      <c r="G8226" s="33" t="s">
        <v>158</v>
      </c>
      <c r="H8226" s="33" t="s">
        <v>11172</v>
      </c>
      <c r="I8226" s="157">
        <v>0</v>
      </c>
      <c r="J8226" s="305">
        <v>9</v>
      </c>
      <c r="K8226" s="142">
        <v>0</v>
      </c>
      <c r="L8226" s="142">
        <v>0</v>
      </c>
      <c r="M8226" s="142">
        <v>0</v>
      </c>
      <c r="N8226" s="142">
        <v>0</v>
      </c>
      <c r="O8226" s="305">
        <v>0</v>
      </c>
      <c r="P8226" s="306">
        <v>0.78553200000000001</v>
      </c>
      <c r="Q8226" s="157" t="s">
        <v>154</v>
      </c>
      <c r="R8226" s="303"/>
    </row>
    <row r="8227" spans="1:18" s="162" customFormat="1" ht="84" x14ac:dyDescent="0.25">
      <c r="A8227" s="184">
        <v>43944</v>
      </c>
      <c r="B8227" s="184">
        <v>43945</v>
      </c>
      <c r="C8227" s="138">
        <v>2020</v>
      </c>
      <c r="D8227" s="24" t="s">
        <v>141</v>
      </c>
      <c r="E8227" s="30" t="s">
        <v>142</v>
      </c>
      <c r="F8227" s="7" t="s">
        <v>87</v>
      </c>
      <c r="G8227" s="33" t="s">
        <v>11173</v>
      </c>
      <c r="H8227" s="33" t="s">
        <v>11174</v>
      </c>
      <c r="I8227" s="157">
        <v>1</v>
      </c>
      <c r="J8227" s="305">
        <v>8</v>
      </c>
      <c r="K8227" s="142">
        <v>0</v>
      </c>
      <c r="L8227" s="142">
        <v>0</v>
      </c>
      <c r="M8227" s="142">
        <v>0</v>
      </c>
      <c r="N8227" s="142">
        <v>0</v>
      </c>
      <c r="O8227" s="305">
        <v>0</v>
      </c>
      <c r="P8227" s="306">
        <v>0.19836487000000003</v>
      </c>
      <c r="Q8227" s="157" t="s">
        <v>154</v>
      </c>
      <c r="R8227" s="303"/>
    </row>
    <row r="8228" spans="1:18" s="162" customFormat="1" ht="360" x14ac:dyDescent="0.25">
      <c r="A8228" s="184">
        <v>43945</v>
      </c>
      <c r="B8228" s="184">
        <v>43946</v>
      </c>
      <c r="C8228" s="138">
        <v>2020</v>
      </c>
      <c r="D8228" s="351" t="s">
        <v>23</v>
      </c>
      <c r="E8228" s="22" t="s">
        <v>86</v>
      </c>
      <c r="F8228" s="7" t="s">
        <v>75</v>
      </c>
      <c r="G8228" s="33" t="s">
        <v>8682</v>
      </c>
      <c r="H8228" s="33" t="s">
        <v>11175</v>
      </c>
      <c r="I8228" s="157">
        <v>0</v>
      </c>
      <c r="J8228" s="305">
        <v>200</v>
      </c>
      <c r="K8228" s="142">
        <v>50</v>
      </c>
      <c r="L8228" s="142">
        <v>1</v>
      </c>
      <c r="M8228" s="142">
        <v>0</v>
      </c>
      <c r="N8228" s="142">
        <v>0</v>
      </c>
      <c r="O8228" s="305">
        <v>0</v>
      </c>
      <c r="P8228" s="306">
        <v>0.19393605000000003</v>
      </c>
      <c r="Q8228" s="157" t="s">
        <v>154</v>
      </c>
      <c r="R8228" s="303"/>
    </row>
    <row r="8229" spans="1:18" s="162" customFormat="1" ht="96" x14ac:dyDescent="0.25">
      <c r="A8229" s="184">
        <v>43949</v>
      </c>
      <c r="B8229" s="184">
        <v>43949</v>
      </c>
      <c r="C8229" s="138">
        <v>2020</v>
      </c>
      <c r="D8229" s="24" t="s">
        <v>141</v>
      </c>
      <c r="E8229" s="30" t="s">
        <v>142</v>
      </c>
      <c r="F8229" s="7" t="s">
        <v>84</v>
      </c>
      <c r="G8229" s="33" t="s">
        <v>11176</v>
      </c>
      <c r="H8229" s="33" t="s">
        <v>11177</v>
      </c>
      <c r="I8229" s="157">
        <v>1</v>
      </c>
      <c r="J8229" s="305">
        <v>1</v>
      </c>
      <c r="K8229" s="142">
        <v>0</v>
      </c>
      <c r="L8229" s="142">
        <v>0</v>
      </c>
      <c r="M8229" s="142">
        <v>0</v>
      </c>
      <c r="N8229" s="142">
        <v>0</v>
      </c>
      <c r="O8229" s="305">
        <v>0</v>
      </c>
      <c r="P8229" s="306">
        <v>1.0865746556758566</v>
      </c>
      <c r="Q8229" s="157" t="s">
        <v>154</v>
      </c>
      <c r="R8229" s="303"/>
    </row>
    <row r="8230" spans="1:18" s="162" customFormat="1" ht="84" x14ac:dyDescent="0.25">
      <c r="A8230" s="184">
        <v>43951</v>
      </c>
      <c r="B8230" s="184">
        <v>43951</v>
      </c>
      <c r="C8230" s="138">
        <v>2020</v>
      </c>
      <c r="D8230" s="24" t="s">
        <v>141</v>
      </c>
      <c r="E8230" s="30" t="s">
        <v>142</v>
      </c>
      <c r="F8230" s="7" t="s">
        <v>72</v>
      </c>
      <c r="G8230" s="33" t="s">
        <v>11178</v>
      </c>
      <c r="H8230" s="33" t="s">
        <v>11179</v>
      </c>
      <c r="I8230" s="157">
        <v>0</v>
      </c>
      <c r="J8230" s="305">
        <v>0</v>
      </c>
      <c r="K8230" s="142">
        <v>0</v>
      </c>
      <c r="L8230" s="142">
        <v>0</v>
      </c>
      <c r="M8230" s="142">
        <v>0</v>
      </c>
      <c r="N8230" s="142">
        <v>0</v>
      </c>
      <c r="O8230" s="305">
        <v>0</v>
      </c>
      <c r="P8230" s="306">
        <v>8.94432E-2</v>
      </c>
      <c r="Q8230" s="157" t="s">
        <v>154</v>
      </c>
      <c r="R8230" s="303"/>
    </row>
    <row r="8231" spans="1:18" s="162" customFormat="1" ht="84" x14ac:dyDescent="0.25">
      <c r="A8231" s="184">
        <v>43952</v>
      </c>
      <c r="B8231" s="184">
        <v>43952</v>
      </c>
      <c r="C8231" s="138">
        <v>2020</v>
      </c>
      <c r="D8231" s="35" t="s">
        <v>28</v>
      </c>
      <c r="E8231" s="30" t="s">
        <v>133</v>
      </c>
      <c r="F8231" s="7" t="s">
        <v>62</v>
      </c>
      <c r="G8231" s="33" t="s">
        <v>11180</v>
      </c>
      <c r="H8231" s="33" t="s">
        <v>11181</v>
      </c>
      <c r="I8231" s="157">
        <v>5</v>
      </c>
      <c r="J8231" s="305">
        <v>0</v>
      </c>
      <c r="K8231" s="142">
        <v>0</v>
      </c>
      <c r="L8231" s="142">
        <v>0</v>
      </c>
      <c r="M8231" s="142">
        <v>0</v>
      </c>
      <c r="N8231" s="142">
        <v>1</v>
      </c>
      <c r="O8231" s="305">
        <v>0</v>
      </c>
      <c r="P8231" s="306">
        <v>1.3266999999999999E-2</v>
      </c>
      <c r="Q8231" s="157" t="s">
        <v>154</v>
      </c>
      <c r="R8231" s="303"/>
    </row>
    <row r="8232" spans="1:18" s="162" customFormat="1" ht="24" x14ac:dyDescent="0.25">
      <c r="A8232" s="184">
        <v>43952</v>
      </c>
      <c r="B8232" s="184">
        <v>44165</v>
      </c>
      <c r="C8232" s="138">
        <v>2020</v>
      </c>
      <c r="D8232" s="351" t="s">
        <v>23</v>
      </c>
      <c r="E8232" s="14" t="s">
        <v>24</v>
      </c>
      <c r="F8232" s="7" t="s">
        <v>40</v>
      </c>
      <c r="G8232" s="206" t="s">
        <v>26</v>
      </c>
      <c r="H8232" s="33" t="s">
        <v>11182</v>
      </c>
      <c r="I8232" s="157">
        <v>0</v>
      </c>
      <c r="J8232" s="305">
        <v>0</v>
      </c>
      <c r="K8232" s="142">
        <v>0</v>
      </c>
      <c r="L8232" s="142">
        <v>0</v>
      </c>
      <c r="M8232" s="142">
        <v>0</v>
      </c>
      <c r="N8232" s="142">
        <v>0</v>
      </c>
      <c r="O8232" s="305">
        <v>0</v>
      </c>
      <c r="P8232" s="306">
        <v>28.990589</v>
      </c>
      <c r="Q8232" s="157" t="s">
        <v>7883</v>
      </c>
      <c r="R8232" s="303"/>
    </row>
    <row r="8233" spans="1:18" s="162" customFormat="1" ht="24" x14ac:dyDescent="0.25">
      <c r="A8233" s="184">
        <v>43952</v>
      </c>
      <c r="B8233" s="184">
        <v>44165</v>
      </c>
      <c r="C8233" s="138">
        <v>2020</v>
      </c>
      <c r="D8233" s="351" t="s">
        <v>23</v>
      </c>
      <c r="E8233" s="14" t="s">
        <v>24</v>
      </c>
      <c r="F8233" s="7" t="s">
        <v>49</v>
      </c>
      <c r="G8233" s="206" t="s">
        <v>26</v>
      </c>
      <c r="H8233" s="33" t="s">
        <v>11183</v>
      </c>
      <c r="I8233" s="157">
        <v>0</v>
      </c>
      <c r="J8233" s="305">
        <v>0</v>
      </c>
      <c r="K8233" s="142">
        <v>0</v>
      </c>
      <c r="L8233" s="142">
        <v>0</v>
      </c>
      <c r="M8233" s="142">
        <v>0</v>
      </c>
      <c r="N8233" s="142">
        <v>0</v>
      </c>
      <c r="O8233" s="305">
        <v>0</v>
      </c>
      <c r="P8233" s="306">
        <v>60.754877</v>
      </c>
      <c r="Q8233" s="157" t="s">
        <v>7883</v>
      </c>
      <c r="R8233" s="303"/>
    </row>
    <row r="8234" spans="1:18" s="162" customFormat="1" ht="24" x14ac:dyDescent="0.25">
      <c r="A8234" s="184">
        <v>43952</v>
      </c>
      <c r="B8234" s="184">
        <v>44165</v>
      </c>
      <c r="C8234" s="138">
        <v>2020</v>
      </c>
      <c r="D8234" s="351" t="s">
        <v>23</v>
      </c>
      <c r="E8234" s="14" t="s">
        <v>24</v>
      </c>
      <c r="F8234" s="7" t="s">
        <v>84</v>
      </c>
      <c r="G8234" s="206" t="s">
        <v>26</v>
      </c>
      <c r="H8234" s="33" t="s">
        <v>11183</v>
      </c>
      <c r="I8234" s="157">
        <v>0</v>
      </c>
      <c r="J8234" s="305">
        <v>0</v>
      </c>
      <c r="K8234" s="142">
        <v>0</v>
      </c>
      <c r="L8234" s="142">
        <v>0</v>
      </c>
      <c r="M8234" s="142">
        <v>0</v>
      </c>
      <c r="N8234" s="142">
        <v>0</v>
      </c>
      <c r="O8234" s="305">
        <v>0</v>
      </c>
      <c r="P8234" s="306">
        <v>139.24199999999999</v>
      </c>
      <c r="Q8234" s="157" t="s">
        <v>7883</v>
      </c>
      <c r="R8234" s="303"/>
    </row>
    <row r="8235" spans="1:18" s="162" customFormat="1" ht="24" x14ac:dyDescent="0.25">
      <c r="A8235" s="184">
        <v>43952</v>
      </c>
      <c r="B8235" s="184">
        <v>44165</v>
      </c>
      <c r="C8235" s="138">
        <v>2020</v>
      </c>
      <c r="D8235" s="351" t="s">
        <v>23</v>
      </c>
      <c r="E8235" s="14" t="s">
        <v>24</v>
      </c>
      <c r="F8235" s="7" t="s">
        <v>87</v>
      </c>
      <c r="G8235" s="206" t="s">
        <v>26</v>
      </c>
      <c r="H8235" s="33" t="s">
        <v>11183</v>
      </c>
      <c r="I8235" s="157">
        <v>0</v>
      </c>
      <c r="J8235" s="305">
        <v>0</v>
      </c>
      <c r="K8235" s="142">
        <v>0</v>
      </c>
      <c r="L8235" s="142">
        <v>0</v>
      </c>
      <c r="M8235" s="142">
        <v>0</v>
      </c>
      <c r="N8235" s="142">
        <v>0</v>
      </c>
      <c r="O8235" s="305">
        <v>0</v>
      </c>
      <c r="P8235" s="306">
        <v>97.719830000000002</v>
      </c>
      <c r="Q8235" s="157" t="s">
        <v>7883</v>
      </c>
      <c r="R8235" s="303"/>
    </row>
    <row r="8236" spans="1:18" s="162" customFormat="1" ht="144" x14ac:dyDescent="0.25">
      <c r="A8236" s="184">
        <v>43953</v>
      </c>
      <c r="B8236" s="184">
        <v>43953</v>
      </c>
      <c r="C8236" s="138">
        <v>2020</v>
      </c>
      <c r="D8236" s="24" t="s">
        <v>141</v>
      </c>
      <c r="E8236" s="30" t="s">
        <v>142</v>
      </c>
      <c r="F8236" s="28" t="s">
        <v>210</v>
      </c>
      <c r="G8236" s="33" t="s">
        <v>11184</v>
      </c>
      <c r="H8236" s="33" t="s">
        <v>11185</v>
      </c>
      <c r="I8236" s="157">
        <v>0</v>
      </c>
      <c r="J8236" s="305">
        <v>5</v>
      </c>
      <c r="K8236" s="142">
        <v>0</v>
      </c>
      <c r="L8236" s="142">
        <v>0</v>
      </c>
      <c r="M8236" s="142">
        <v>0</v>
      </c>
      <c r="N8236" s="142">
        <v>0</v>
      </c>
      <c r="O8236" s="305">
        <v>0</v>
      </c>
      <c r="P8236" s="306">
        <v>2.0925486999999996E-2</v>
      </c>
      <c r="Q8236" s="157" t="s">
        <v>154</v>
      </c>
      <c r="R8236" s="303"/>
    </row>
    <row r="8237" spans="1:18" s="162" customFormat="1" ht="144" x14ac:dyDescent="0.25">
      <c r="A8237" s="184">
        <v>43954</v>
      </c>
      <c r="B8237" s="184">
        <v>43954</v>
      </c>
      <c r="C8237" s="138">
        <v>2020</v>
      </c>
      <c r="D8237" s="35" t="s">
        <v>28</v>
      </c>
      <c r="E8237" s="6" t="s">
        <v>149</v>
      </c>
      <c r="F8237" s="28" t="s">
        <v>163</v>
      </c>
      <c r="G8237" s="33" t="s">
        <v>11186</v>
      </c>
      <c r="H8237" s="33" t="s">
        <v>11187</v>
      </c>
      <c r="I8237" s="157">
        <v>0</v>
      </c>
      <c r="J8237" s="305">
        <v>50</v>
      </c>
      <c r="K8237" s="142">
        <v>0</v>
      </c>
      <c r="L8237" s="142">
        <v>0</v>
      </c>
      <c r="M8237" s="142">
        <v>0</v>
      </c>
      <c r="N8237" s="142">
        <v>1</v>
      </c>
      <c r="O8237" s="305">
        <v>0</v>
      </c>
      <c r="P8237" s="306">
        <v>3.9246910000000003E-2</v>
      </c>
      <c r="Q8237" s="157" t="s">
        <v>154</v>
      </c>
      <c r="R8237" s="303"/>
    </row>
    <row r="8238" spans="1:18" s="162" customFormat="1" ht="84" x14ac:dyDescent="0.25">
      <c r="A8238" s="184">
        <v>43955</v>
      </c>
      <c r="B8238" s="184">
        <v>43955</v>
      </c>
      <c r="C8238" s="138">
        <v>2020</v>
      </c>
      <c r="D8238" s="24" t="s">
        <v>141</v>
      </c>
      <c r="E8238" s="30" t="s">
        <v>142</v>
      </c>
      <c r="F8238" s="7" t="s">
        <v>36</v>
      </c>
      <c r="G8238" s="33" t="s">
        <v>854</v>
      </c>
      <c r="H8238" s="33" t="s">
        <v>11188</v>
      </c>
      <c r="I8238" s="157">
        <v>0</v>
      </c>
      <c r="J8238" s="305">
        <v>9</v>
      </c>
      <c r="K8238" s="142">
        <v>0</v>
      </c>
      <c r="L8238" s="142">
        <v>0</v>
      </c>
      <c r="M8238" s="142">
        <v>0</v>
      </c>
      <c r="N8238" s="142">
        <v>0</v>
      </c>
      <c r="O8238" s="305">
        <v>0</v>
      </c>
      <c r="P8238" s="306">
        <v>0.27998557220930231</v>
      </c>
      <c r="Q8238" s="157" t="s">
        <v>154</v>
      </c>
      <c r="R8238" s="303"/>
    </row>
    <row r="8239" spans="1:18" s="162" customFormat="1" ht="96" x14ac:dyDescent="0.25">
      <c r="A8239" s="184">
        <v>43955</v>
      </c>
      <c r="B8239" s="184">
        <v>43955</v>
      </c>
      <c r="C8239" s="138">
        <v>2020</v>
      </c>
      <c r="D8239" s="24" t="s">
        <v>141</v>
      </c>
      <c r="E8239" s="30" t="s">
        <v>142</v>
      </c>
      <c r="F8239" s="7" t="s">
        <v>60</v>
      </c>
      <c r="G8239" s="33" t="s">
        <v>11189</v>
      </c>
      <c r="H8239" s="33" t="s">
        <v>11190</v>
      </c>
      <c r="I8239" s="157">
        <v>0</v>
      </c>
      <c r="J8239" s="305">
        <v>7</v>
      </c>
      <c r="K8239" s="142">
        <v>0</v>
      </c>
      <c r="L8239" s="142">
        <v>0</v>
      </c>
      <c r="M8239" s="142">
        <v>0</v>
      </c>
      <c r="N8239" s="142">
        <v>0</v>
      </c>
      <c r="O8239" s="305">
        <v>0</v>
      </c>
      <c r="P8239" s="306">
        <v>2.7459487000000001E-2</v>
      </c>
      <c r="Q8239" s="157" t="s">
        <v>154</v>
      </c>
      <c r="R8239" s="303"/>
    </row>
    <row r="8240" spans="1:18" s="162" customFormat="1" ht="96" x14ac:dyDescent="0.25">
      <c r="A8240" s="184">
        <v>43956</v>
      </c>
      <c r="B8240" s="184">
        <v>43956</v>
      </c>
      <c r="C8240" s="138">
        <v>2020</v>
      </c>
      <c r="D8240" s="24" t="s">
        <v>141</v>
      </c>
      <c r="E8240" s="30" t="s">
        <v>142</v>
      </c>
      <c r="F8240" s="7" t="s">
        <v>72</v>
      </c>
      <c r="G8240" s="33" t="s">
        <v>11191</v>
      </c>
      <c r="H8240" s="33" t="s">
        <v>11192</v>
      </c>
      <c r="I8240" s="157">
        <v>3</v>
      </c>
      <c r="J8240" s="305">
        <v>7</v>
      </c>
      <c r="K8240" s="142">
        <v>0</v>
      </c>
      <c r="L8240" s="142">
        <v>0</v>
      </c>
      <c r="M8240" s="142">
        <v>0</v>
      </c>
      <c r="N8240" s="142">
        <v>0</v>
      </c>
      <c r="O8240" s="305">
        <v>0</v>
      </c>
      <c r="P8240" s="306">
        <v>0.20272087000000003</v>
      </c>
      <c r="Q8240" s="157" t="s">
        <v>154</v>
      </c>
      <c r="R8240" s="303"/>
    </row>
    <row r="8241" spans="1:18" s="162" customFormat="1" ht="264" x14ac:dyDescent="0.25">
      <c r="A8241" s="184">
        <v>43956</v>
      </c>
      <c r="B8241" s="184">
        <v>43957</v>
      </c>
      <c r="C8241" s="138">
        <v>2020</v>
      </c>
      <c r="D8241" s="351" t="s">
        <v>23</v>
      </c>
      <c r="E8241" s="22" t="s">
        <v>86</v>
      </c>
      <c r="F8241" s="7" t="s">
        <v>75</v>
      </c>
      <c r="G8241" s="33" t="s">
        <v>11193</v>
      </c>
      <c r="H8241" s="33" t="s">
        <v>11194</v>
      </c>
      <c r="I8241" s="157">
        <v>1</v>
      </c>
      <c r="J8241" s="305">
        <v>96</v>
      </c>
      <c r="K8241" s="142">
        <v>23</v>
      </c>
      <c r="L8241" s="142">
        <v>0</v>
      </c>
      <c r="M8241" s="142">
        <v>0</v>
      </c>
      <c r="N8241" s="142">
        <v>1</v>
      </c>
      <c r="O8241" s="305">
        <v>0</v>
      </c>
      <c r="P8241" s="306">
        <v>3.7893250000000003E-2</v>
      </c>
      <c r="Q8241" s="157" t="s">
        <v>154</v>
      </c>
      <c r="R8241" s="303"/>
    </row>
    <row r="8242" spans="1:18" s="162" customFormat="1" ht="144" x14ac:dyDescent="0.25">
      <c r="A8242" s="184">
        <v>43958</v>
      </c>
      <c r="B8242" s="184">
        <v>43958</v>
      </c>
      <c r="C8242" s="138">
        <v>2020</v>
      </c>
      <c r="D8242" s="24" t="s">
        <v>141</v>
      </c>
      <c r="E8242" s="30" t="s">
        <v>142</v>
      </c>
      <c r="F8242" s="7" t="s">
        <v>62</v>
      </c>
      <c r="G8242" s="33" t="s">
        <v>959</v>
      </c>
      <c r="H8242" s="33" t="s">
        <v>11195</v>
      </c>
      <c r="I8242" s="157">
        <v>0</v>
      </c>
      <c r="J8242" s="305">
        <v>31</v>
      </c>
      <c r="K8242" s="142">
        <v>0</v>
      </c>
      <c r="L8242" s="142">
        <v>0</v>
      </c>
      <c r="M8242" s="142">
        <v>0</v>
      </c>
      <c r="N8242" s="142">
        <v>0</v>
      </c>
      <c r="O8242" s="305">
        <v>0</v>
      </c>
      <c r="P8242" s="306">
        <v>0.80949000000000004</v>
      </c>
      <c r="Q8242" s="157" t="s">
        <v>154</v>
      </c>
      <c r="R8242" s="303"/>
    </row>
    <row r="8243" spans="1:18" s="162" customFormat="1" ht="409.5" x14ac:dyDescent="0.25">
      <c r="A8243" s="184">
        <v>43959</v>
      </c>
      <c r="B8243" s="184">
        <v>43959</v>
      </c>
      <c r="C8243" s="138">
        <v>2020</v>
      </c>
      <c r="D8243" s="351" t="s">
        <v>23</v>
      </c>
      <c r="E8243" s="22" t="s">
        <v>86</v>
      </c>
      <c r="F8243" s="7" t="s">
        <v>68</v>
      </c>
      <c r="G8243" s="33" t="s">
        <v>11196</v>
      </c>
      <c r="H8243" s="33" t="s">
        <v>11197</v>
      </c>
      <c r="I8243" s="157">
        <v>2</v>
      </c>
      <c r="J8243" s="305">
        <v>102</v>
      </c>
      <c r="K8243" s="142">
        <v>0</v>
      </c>
      <c r="L8243" s="142">
        <v>0</v>
      </c>
      <c r="M8243" s="142">
        <v>0</v>
      </c>
      <c r="N8243" s="142">
        <v>0</v>
      </c>
      <c r="O8243" s="305">
        <v>0</v>
      </c>
      <c r="P8243" s="306">
        <v>1.7396684109302325</v>
      </c>
      <c r="Q8243" s="157" t="s">
        <v>154</v>
      </c>
      <c r="R8243" s="303"/>
    </row>
    <row r="8244" spans="1:18" s="162" customFormat="1" ht="96" x14ac:dyDescent="0.25">
      <c r="A8244" s="184">
        <v>43959</v>
      </c>
      <c r="B8244" s="184">
        <v>43959</v>
      </c>
      <c r="C8244" s="138">
        <v>2020</v>
      </c>
      <c r="D8244" s="35" t="s">
        <v>28</v>
      </c>
      <c r="E8244" s="6" t="s">
        <v>149</v>
      </c>
      <c r="F8244" s="28" t="s">
        <v>157</v>
      </c>
      <c r="G8244" s="33" t="s">
        <v>1190</v>
      </c>
      <c r="H8244" s="33" t="s">
        <v>11198</v>
      </c>
      <c r="I8244" s="157">
        <v>0</v>
      </c>
      <c r="J8244" s="305">
        <v>6</v>
      </c>
      <c r="K8244" s="142">
        <v>0</v>
      </c>
      <c r="L8244" s="142">
        <v>0</v>
      </c>
      <c r="M8244" s="142">
        <v>0</v>
      </c>
      <c r="N8244" s="142">
        <v>1</v>
      </c>
      <c r="O8244" s="305">
        <v>0</v>
      </c>
      <c r="P8244" s="306">
        <v>1.6534E-2</v>
      </c>
      <c r="Q8244" s="157" t="s">
        <v>154</v>
      </c>
      <c r="R8244" s="303"/>
    </row>
    <row r="8245" spans="1:18" s="162" customFormat="1" ht="132" x14ac:dyDescent="0.25">
      <c r="A8245" s="184">
        <v>43961</v>
      </c>
      <c r="B8245" s="184">
        <v>43961</v>
      </c>
      <c r="C8245" s="138">
        <v>2020</v>
      </c>
      <c r="D8245" s="351" t="s">
        <v>23</v>
      </c>
      <c r="E8245" s="22" t="s">
        <v>86</v>
      </c>
      <c r="F8245" s="7" t="s">
        <v>82</v>
      </c>
      <c r="G8245" s="33" t="s">
        <v>1092</v>
      </c>
      <c r="H8245" s="33" t="s">
        <v>11199</v>
      </c>
      <c r="I8245" s="157">
        <v>5</v>
      </c>
      <c r="J8245" s="305">
        <v>5</v>
      </c>
      <c r="K8245" s="142">
        <v>0</v>
      </c>
      <c r="L8245" s="142">
        <v>0</v>
      </c>
      <c r="M8245" s="142">
        <v>0</v>
      </c>
      <c r="N8245" s="142">
        <v>0</v>
      </c>
      <c r="O8245" s="305">
        <v>0</v>
      </c>
      <c r="P8245" s="306">
        <v>0</v>
      </c>
      <c r="Q8245" s="310" t="s">
        <v>11200</v>
      </c>
      <c r="R8245" s="303"/>
    </row>
    <row r="8246" spans="1:18" s="162" customFormat="1" ht="96" x14ac:dyDescent="0.25">
      <c r="A8246" s="184">
        <v>43963</v>
      </c>
      <c r="B8246" s="184">
        <v>43963</v>
      </c>
      <c r="C8246" s="138">
        <v>2020</v>
      </c>
      <c r="D8246" s="24" t="s">
        <v>141</v>
      </c>
      <c r="E8246" s="30" t="s">
        <v>142</v>
      </c>
      <c r="F8246" s="7" t="s">
        <v>65</v>
      </c>
      <c r="G8246" s="33" t="s">
        <v>1511</v>
      </c>
      <c r="H8246" s="33" t="s">
        <v>11201</v>
      </c>
      <c r="I8246" s="157">
        <v>2</v>
      </c>
      <c r="J8246" s="305">
        <v>18</v>
      </c>
      <c r="K8246" s="142">
        <v>0</v>
      </c>
      <c r="L8246" s="142">
        <v>0</v>
      </c>
      <c r="M8246" s="142">
        <v>0</v>
      </c>
      <c r="N8246" s="142">
        <v>0</v>
      </c>
      <c r="O8246" s="305">
        <v>0</v>
      </c>
      <c r="P8246" s="306">
        <v>0.33866804220930236</v>
      </c>
      <c r="Q8246" s="157" t="s">
        <v>154</v>
      </c>
      <c r="R8246" s="303"/>
    </row>
    <row r="8247" spans="1:18" s="162" customFormat="1" ht="108" x14ac:dyDescent="0.25">
      <c r="A8247" s="184">
        <v>43965</v>
      </c>
      <c r="B8247" s="184">
        <v>43965</v>
      </c>
      <c r="C8247" s="138">
        <v>2020</v>
      </c>
      <c r="D8247" s="24" t="s">
        <v>141</v>
      </c>
      <c r="E8247" s="30" t="s">
        <v>142</v>
      </c>
      <c r="F8247" s="28" t="s">
        <v>210</v>
      </c>
      <c r="G8247" s="33" t="s">
        <v>210</v>
      </c>
      <c r="H8247" s="33" t="s">
        <v>11202</v>
      </c>
      <c r="I8247" s="157">
        <v>0</v>
      </c>
      <c r="J8247" s="305">
        <v>30</v>
      </c>
      <c r="K8247" s="142">
        <v>0</v>
      </c>
      <c r="L8247" s="142">
        <v>0</v>
      </c>
      <c r="M8247" s="142">
        <v>0</v>
      </c>
      <c r="N8247" s="142">
        <v>0</v>
      </c>
      <c r="O8247" s="305">
        <v>0</v>
      </c>
      <c r="P8247" s="306">
        <v>0.18977639999999998</v>
      </c>
      <c r="Q8247" s="157" t="s">
        <v>154</v>
      </c>
      <c r="R8247" s="303"/>
    </row>
    <row r="8248" spans="1:18" s="162" customFormat="1" ht="96" x14ac:dyDescent="0.25">
      <c r="A8248" s="184">
        <v>43966</v>
      </c>
      <c r="B8248" s="184">
        <v>43966</v>
      </c>
      <c r="C8248" s="138">
        <v>2020</v>
      </c>
      <c r="D8248" s="24" t="s">
        <v>141</v>
      </c>
      <c r="E8248" s="30" t="s">
        <v>142</v>
      </c>
      <c r="F8248" s="7" t="s">
        <v>91</v>
      </c>
      <c r="G8248" s="33" t="s">
        <v>2315</v>
      </c>
      <c r="H8248" s="33" t="s">
        <v>11203</v>
      </c>
      <c r="I8248" s="157">
        <v>1</v>
      </c>
      <c r="J8248" s="305">
        <v>2</v>
      </c>
      <c r="K8248" s="142">
        <v>0</v>
      </c>
      <c r="L8248" s="142">
        <v>0</v>
      </c>
      <c r="M8248" s="142">
        <v>0</v>
      </c>
      <c r="N8248" s="142">
        <v>0</v>
      </c>
      <c r="O8248" s="305">
        <v>0</v>
      </c>
      <c r="P8248" s="306">
        <v>0.57386958588235304</v>
      </c>
      <c r="Q8248" s="157" t="s">
        <v>154</v>
      </c>
      <c r="R8248" s="303"/>
    </row>
    <row r="8249" spans="1:18" s="162" customFormat="1" ht="204" x14ac:dyDescent="0.25">
      <c r="A8249" s="184">
        <v>43970</v>
      </c>
      <c r="B8249" s="184">
        <v>43970</v>
      </c>
      <c r="C8249" s="138">
        <v>2020</v>
      </c>
      <c r="D8249" s="35" t="s">
        <v>28</v>
      </c>
      <c r="E8249" s="6" t="s">
        <v>149</v>
      </c>
      <c r="F8249" s="28" t="s">
        <v>157</v>
      </c>
      <c r="G8249" s="33" t="s">
        <v>876</v>
      </c>
      <c r="H8249" s="33" t="s">
        <v>11204</v>
      </c>
      <c r="I8249" s="157">
        <v>0</v>
      </c>
      <c r="J8249" s="305">
        <v>200</v>
      </c>
      <c r="K8249" s="142">
        <v>0</v>
      </c>
      <c r="L8249" s="142">
        <v>0</v>
      </c>
      <c r="M8249" s="142">
        <v>0</v>
      </c>
      <c r="N8249" s="142">
        <v>0</v>
      </c>
      <c r="O8249" s="305">
        <v>0</v>
      </c>
      <c r="P8249" s="306">
        <v>0.96199839999999992</v>
      </c>
      <c r="Q8249" s="157" t="s">
        <v>154</v>
      </c>
      <c r="R8249" s="303"/>
    </row>
    <row r="8250" spans="1:18" s="162" customFormat="1" ht="108" x14ac:dyDescent="0.25">
      <c r="A8250" s="184">
        <v>43970</v>
      </c>
      <c r="B8250" s="184">
        <v>43971</v>
      </c>
      <c r="C8250" s="138">
        <v>2020</v>
      </c>
      <c r="D8250" s="24" t="s">
        <v>141</v>
      </c>
      <c r="E8250" s="30" t="s">
        <v>142</v>
      </c>
      <c r="F8250" s="7" t="s">
        <v>68</v>
      </c>
      <c r="G8250" s="33" t="s">
        <v>5096</v>
      </c>
      <c r="H8250" s="33" t="s">
        <v>11205</v>
      </c>
      <c r="I8250" s="157">
        <v>1</v>
      </c>
      <c r="J8250" s="305">
        <v>11</v>
      </c>
      <c r="K8250" s="142">
        <v>0</v>
      </c>
      <c r="L8250" s="142">
        <v>0</v>
      </c>
      <c r="M8250" s="142">
        <v>0</v>
      </c>
      <c r="N8250" s="142">
        <v>0</v>
      </c>
      <c r="O8250" s="305">
        <v>0</v>
      </c>
      <c r="P8250" s="306">
        <v>0.9193011722093023</v>
      </c>
      <c r="Q8250" s="157" t="s">
        <v>154</v>
      </c>
      <c r="R8250" s="303"/>
    </row>
    <row r="8251" spans="1:18" s="162" customFormat="1" ht="180" x14ac:dyDescent="0.25">
      <c r="A8251" s="184">
        <v>43970</v>
      </c>
      <c r="B8251" s="184">
        <v>43971</v>
      </c>
      <c r="C8251" s="138">
        <v>2020</v>
      </c>
      <c r="D8251" s="351" t="s">
        <v>23</v>
      </c>
      <c r="E8251" s="49" t="s">
        <v>10153</v>
      </c>
      <c r="F8251" s="7" t="s">
        <v>36</v>
      </c>
      <c r="G8251" s="33" t="s">
        <v>11206</v>
      </c>
      <c r="H8251" s="33" t="s">
        <v>11207</v>
      </c>
      <c r="I8251" s="157">
        <v>1</v>
      </c>
      <c r="J8251" s="305">
        <v>5071</v>
      </c>
      <c r="K8251" s="142">
        <v>9</v>
      </c>
      <c r="L8251" s="142">
        <v>0</v>
      </c>
      <c r="M8251" s="142">
        <v>0</v>
      </c>
      <c r="N8251" s="142">
        <v>0</v>
      </c>
      <c r="O8251" s="305">
        <v>0</v>
      </c>
      <c r="P8251" s="306">
        <v>15.587234012280001</v>
      </c>
      <c r="Q8251" s="157" t="s">
        <v>7883</v>
      </c>
      <c r="R8251" s="303"/>
    </row>
    <row r="8252" spans="1:18" s="162" customFormat="1" ht="264" x14ac:dyDescent="0.25">
      <c r="A8252" s="184">
        <v>43972</v>
      </c>
      <c r="B8252" s="184">
        <v>43973</v>
      </c>
      <c r="C8252" s="138">
        <v>2020</v>
      </c>
      <c r="D8252" s="351" t="s">
        <v>23</v>
      </c>
      <c r="E8252" s="22" t="s">
        <v>86</v>
      </c>
      <c r="F8252" s="28" t="s">
        <v>210</v>
      </c>
      <c r="G8252" s="33" t="s">
        <v>11208</v>
      </c>
      <c r="H8252" s="33" t="s">
        <v>11209</v>
      </c>
      <c r="I8252" s="157">
        <v>0</v>
      </c>
      <c r="J8252" s="305">
        <v>8211</v>
      </c>
      <c r="K8252" s="142">
        <v>286</v>
      </c>
      <c r="L8252" s="142">
        <v>1</v>
      </c>
      <c r="M8252" s="142">
        <v>0</v>
      </c>
      <c r="N8252" s="142">
        <v>0</v>
      </c>
      <c r="O8252" s="305">
        <v>0</v>
      </c>
      <c r="P8252" s="306">
        <v>2.7680322000000004</v>
      </c>
      <c r="Q8252" s="157" t="s">
        <v>7883</v>
      </c>
      <c r="R8252" s="303"/>
    </row>
    <row r="8253" spans="1:18" s="162" customFormat="1" ht="96" x14ac:dyDescent="0.25">
      <c r="A8253" s="184">
        <v>43977</v>
      </c>
      <c r="B8253" s="184">
        <v>43977</v>
      </c>
      <c r="C8253" s="138">
        <v>2020</v>
      </c>
      <c r="D8253" s="24" t="s">
        <v>141</v>
      </c>
      <c r="E8253" s="30" t="s">
        <v>142</v>
      </c>
      <c r="F8253" s="7" t="s">
        <v>82</v>
      </c>
      <c r="G8253" s="33" t="s">
        <v>1580</v>
      </c>
      <c r="H8253" s="33" t="s">
        <v>11210</v>
      </c>
      <c r="I8253" s="157">
        <v>0</v>
      </c>
      <c r="J8253" s="305">
        <v>40</v>
      </c>
      <c r="K8253" s="142">
        <v>0</v>
      </c>
      <c r="L8253" s="142">
        <v>0</v>
      </c>
      <c r="M8253" s="142">
        <v>0</v>
      </c>
      <c r="N8253" s="142">
        <v>0</v>
      </c>
      <c r="O8253" s="305">
        <v>0</v>
      </c>
      <c r="P8253" s="306">
        <v>8.5087200000000002E-2</v>
      </c>
      <c r="Q8253" s="157" t="s">
        <v>154</v>
      </c>
      <c r="R8253" s="303"/>
    </row>
    <row r="8254" spans="1:18" s="162" customFormat="1" ht="96" x14ac:dyDescent="0.25">
      <c r="A8254" s="184">
        <v>43977</v>
      </c>
      <c r="B8254" s="184">
        <v>43977</v>
      </c>
      <c r="C8254" s="138">
        <v>2020</v>
      </c>
      <c r="D8254" s="35" t="s">
        <v>28</v>
      </c>
      <c r="E8254" s="30" t="s">
        <v>125</v>
      </c>
      <c r="F8254" s="28" t="s">
        <v>157</v>
      </c>
      <c r="G8254" s="33" t="s">
        <v>716</v>
      </c>
      <c r="H8254" s="33" t="s">
        <v>11211</v>
      </c>
      <c r="I8254" s="157">
        <v>0</v>
      </c>
      <c r="J8254" s="305">
        <v>42</v>
      </c>
      <c r="K8254" s="142">
        <v>0</v>
      </c>
      <c r="L8254" s="142">
        <v>0</v>
      </c>
      <c r="M8254" s="142">
        <v>0</v>
      </c>
      <c r="N8254" s="142">
        <v>1</v>
      </c>
      <c r="O8254" s="305">
        <v>0</v>
      </c>
      <c r="P8254" s="306">
        <v>1.2178E-2</v>
      </c>
      <c r="Q8254" s="157" t="s">
        <v>154</v>
      </c>
      <c r="R8254" s="303"/>
    </row>
    <row r="8255" spans="1:18" s="162" customFormat="1" ht="96" x14ac:dyDescent="0.25">
      <c r="A8255" s="184">
        <v>43978</v>
      </c>
      <c r="B8255" s="184">
        <v>43978</v>
      </c>
      <c r="C8255" s="138">
        <v>2020</v>
      </c>
      <c r="D8255" s="24" t="s">
        <v>141</v>
      </c>
      <c r="E8255" s="30" t="s">
        <v>142</v>
      </c>
      <c r="F8255" s="7" t="s">
        <v>75</v>
      </c>
      <c r="G8255" s="33" t="s">
        <v>11212</v>
      </c>
      <c r="H8255" s="33" t="s">
        <v>11213</v>
      </c>
      <c r="I8255" s="157">
        <v>1</v>
      </c>
      <c r="J8255" s="305">
        <v>2</v>
      </c>
      <c r="K8255" s="142">
        <v>0</v>
      </c>
      <c r="L8255" s="142">
        <v>0</v>
      </c>
      <c r="M8255" s="142">
        <v>0</v>
      </c>
      <c r="N8255" s="142">
        <v>0</v>
      </c>
      <c r="O8255" s="305">
        <v>0</v>
      </c>
      <c r="P8255" s="306">
        <v>1.3266807220930232</v>
      </c>
      <c r="Q8255" s="157" t="s">
        <v>154</v>
      </c>
      <c r="R8255" s="303"/>
    </row>
    <row r="8256" spans="1:18" s="162" customFormat="1" ht="120" x14ac:dyDescent="0.25">
      <c r="A8256" s="184">
        <v>43978</v>
      </c>
      <c r="B8256" s="184">
        <v>43979</v>
      </c>
      <c r="C8256" s="138">
        <v>2020</v>
      </c>
      <c r="D8256" s="35" t="s">
        <v>17</v>
      </c>
      <c r="E8256" s="6" t="s">
        <v>328</v>
      </c>
      <c r="F8256" s="7" t="s">
        <v>58</v>
      </c>
      <c r="G8256" s="33" t="s">
        <v>4239</v>
      </c>
      <c r="H8256" s="33" t="s">
        <v>11214</v>
      </c>
      <c r="I8256" s="157">
        <v>2</v>
      </c>
      <c r="J8256" s="305">
        <v>5</v>
      </c>
      <c r="K8256" s="142">
        <v>0</v>
      </c>
      <c r="L8256" s="142">
        <v>0</v>
      </c>
      <c r="M8256" s="142">
        <v>0</v>
      </c>
      <c r="N8256" s="142">
        <v>0</v>
      </c>
      <c r="O8256" s="305">
        <v>0</v>
      </c>
      <c r="P8256" s="306">
        <v>3.2670000000000008E-3</v>
      </c>
      <c r="Q8256" s="157" t="s">
        <v>154</v>
      </c>
      <c r="R8256" s="303"/>
    </row>
    <row r="8257" spans="1:18" s="162" customFormat="1" ht="156" x14ac:dyDescent="0.25">
      <c r="A8257" s="184">
        <v>43979</v>
      </c>
      <c r="B8257" s="184">
        <v>43979</v>
      </c>
      <c r="C8257" s="138">
        <v>2020</v>
      </c>
      <c r="D8257" s="35" t="s">
        <v>28</v>
      </c>
      <c r="E8257" s="30" t="s">
        <v>133</v>
      </c>
      <c r="F8257" s="7" t="s">
        <v>53</v>
      </c>
      <c r="G8257" s="33" t="s">
        <v>4464</v>
      </c>
      <c r="H8257" s="33" t="s">
        <v>11215</v>
      </c>
      <c r="I8257" s="157">
        <v>0</v>
      </c>
      <c r="J8257" s="305">
        <v>4</v>
      </c>
      <c r="K8257" s="142">
        <v>0</v>
      </c>
      <c r="L8257" s="142">
        <v>0</v>
      </c>
      <c r="M8257" s="142">
        <v>0</v>
      </c>
      <c r="N8257" s="142">
        <v>1</v>
      </c>
      <c r="O8257" s="305">
        <v>0</v>
      </c>
      <c r="P8257" s="306">
        <v>0.35474473000000001</v>
      </c>
      <c r="Q8257" s="157" t="s">
        <v>154</v>
      </c>
      <c r="R8257" s="303"/>
    </row>
    <row r="8258" spans="1:18" s="162" customFormat="1" ht="144" x14ac:dyDescent="0.25">
      <c r="A8258" s="184">
        <v>43980</v>
      </c>
      <c r="B8258" s="184">
        <v>43980</v>
      </c>
      <c r="C8258" s="138">
        <v>2020</v>
      </c>
      <c r="D8258" s="35" t="s">
        <v>28</v>
      </c>
      <c r="E8258" s="6" t="s">
        <v>149</v>
      </c>
      <c r="F8258" s="7" t="s">
        <v>60</v>
      </c>
      <c r="G8258" s="33" t="s">
        <v>2508</v>
      </c>
      <c r="H8258" s="33" t="s">
        <v>11216</v>
      </c>
      <c r="I8258" s="157">
        <v>5</v>
      </c>
      <c r="J8258" s="305">
        <v>5</v>
      </c>
      <c r="K8258" s="142">
        <v>1</v>
      </c>
      <c r="L8258" s="142">
        <v>0</v>
      </c>
      <c r="M8258" s="142">
        <v>0</v>
      </c>
      <c r="N8258" s="142">
        <v>0</v>
      </c>
      <c r="O8258" s="305">
        <v>0</v>
      </c>
      <c r="P8258" s="306">
        <v>0.1386</v>
      </c>
      <c r="Q8258" s="157" t="s">
        <v>154</v>
      </c>
      <c r="R8258" s="303"/>
    </row>
    <row r="8259" spans="1:18" s="162" customFormat="1" ht="108" x14ac:dyDescent="0.25">
      <c r="A8259" s="184">
        <v>43981</v>
      </c>
      <c r="B8259" s="184">
        <v>43987</v>
      </c>
      <c r="C8259" s="138">
        <v>2020</v>
      </c>
      <c r="D8259" s="351" t="s">
        <v>23</v>
      </c>
      <c r="E8259" s="14" t="s">
        <v>32</v>
      </c>
      <c r="F8259" s="28" t="s">
        <v>151</v>
      </c>
      <c r="G8259" s="33" t="s">
        <v>11217</v>
      </c>
      <c r="H8259" s="33" t="s">
        <v>11218</v>
      </c>
      <c r="I8259" s="157">
        <v>1</v>
      </c>
      <c r="J8259" s="305">
        <v>28484</v>
      </c>
      <c r="K8259" s="142">
        <v>251</v>
      </c>
      <c r="L8259" s="142">
        <v>0</v>
      </c>
      <c r="M8259" s="142">
        <v>1</v>
      </c>
      <c r="N8259" s="142">
        <v>0</v>
      </c>
      <c r="O8259" s="305">
        <v>0</v>
      </c>
      <c r="P8259" s="306">
        <v>596.7856411603999</v>
      </c>
      <c r="Q8259" s="157" t="s">
        <v>7883</v>
      </c>
      <c r="R8259" s="303"/>
    </row>
    <row r="8260" spans="1:18" s="162" customFormat="1" ht="108" x14ac:dyDescent="0.25">
      <c r="A8260" s="184">
        <v>43981</v>
      </c>
      <c r="B8260" s="184">
        <v>43987</v>
      </c>
      <c r="C8260" s="138">
        <v>2020</v>
      </c>
      <c r="D8260" s="351" t="s">
        <v>23</v>
      </c>
      <c r="E8260" s="14" t="s">
        <v>32</v>
      </c>
      <c r="F8260" s="25" t="s">
        <v>781</v>
      </c>
      <c r="G8260" s="33" t="s">
        <v>11219</v>
      </c>
      <c r="H8260" s="33" t="s">
        <v>11220</v>
      </c>
      <c r="I8260" s="157">
        <v>0</v>
      </c>
      <c r="J8260" s="305">
        <v>8000</v>
      </c>
      <c r="K8260" s="142">
        <v>600</v>
      </c>
      <c r="L8260" s="142">
        <v>0</v>
      </c>
      <c r="M8260" s="142">
        <v>2</v>
      </c>
      <c r="N8260" s="142">
        <v>0</v>
      </c>
      <c r="O8260" s="305">
        <v>0</v>
      </c>
      <c r="P8260" s="306">
        <v>449.34327714860001</v>
      </c>
      <c r="Q8260" s="157" t="s">
        <v>7883</v>
      </c>
      <c r="R8260" s="303"/>
    </row>
    <row r="8261" spans="1:18" s="162" customFormat="1" ht="204" x14ac:dyDescent="0.25">
      <c r="A8261" s="184">
        <v>43981</v>
      </c>
      <c r="B8261" s="184">
        <v>43987</v>
      </c>
      <c r="C8261" s="138">
        <v>2020</v>
      </c>
      <c r="D8261" s="351" t="s">
        <v>23</v>
      </c>
      <c r="E8261" s="14" t="s">
        <v>32</v>
      </c>
      <c r="F8261" s="7" t="s">
        <v>36</v>
      </c>
      <c r="G8261" s="33" t="s">
        <v>11221</v>
      </c>
      <c r="H8261" s="33" t="s">
        <v>11222</v>
      </c>
      <c r="I8261" s="157">
        <v>0</v>
      </c>
      <c r="J8261" s="305">
        <v>66941</v>
      </c>
      <c r="K8261" s="142">
        <v>137</v>
      </c>
      <c r="L8261" s="142">
        <v>0</v>
      </c>
      <c r="M8261" s="142">
        <v>0</v>
      </c>
      <c r="N8261" s="142">
        <v>0</v>
      </c>
      <c r="O8261" s="305">
        <v>0</v>
      </c>
      <c r="P8261" s="306">
        <v>529.66006976970004</v>
      </c>
      <c r="Q8261" s="157" t="s">
        <v>7883</v>
      </c>
      <c r="R8261" s="303"/>
    </row>
    <row r="8262" spans="1:18" s="162" customFormat="1" ht="108" x14ac:dyDescent="0.25">
      <c r="A8262" s="184">
        <v>43981</v>
      </c>
      <c r="B8262" s="184">
        <v>43987</v>
      </c>
      <c r="C8262" s="138">
        <v>2020</v>
      </c>
      <c r="D8262" s="351" t="s">
        <v>23</v>
      </c>
      <c r="E8262" s="14" t="s">
        <v>32</v>
      </c>
      <c r="F8262" s="28" t="s">
        <v>163</v>
      </c>
      <c r="G8262" s="33" t="s">
        <v>11223</v>
      </c>
      <c r="H8262" s="33" t="s">
        <v>11224</v>
      </c>
      <c r="I8262" s="157">
        <v>0</v>
      </c>
      <c r="J8262" s="305">
        <v>104060</v>
      </c>
      <c r="K8262" s="142">
        <v>110</v>
      </c>
      <c r="L8262" s="142">
        <v>0</v>
      </c>
      <c r="M8262" s="142">
        <v>0</v>
      </c>
      <c r="N8262" s="142">
        <v>0</v>
      </c>
      <c r="O8262" s="305">
        <v>0</v>
      </c>
      <c r="P8262" s="306">
        <v>560.09348593387995</v>
      </c>
      <c r="Q8262" s="157" t="s">
        <v>7883</v>
      </c>
      <c r="R8262" s="303"/>
    </row>
    <row r="8263" spans="1:18" s="162" customFormat="1" ht="72" x14ac:dyDescent="0.25">
      <c r="A8263" s="184">
        <v>43981</v>
      </c>
      <c r="B8263" s="184">
        <v>43987</v>
      </c>
      <c r="C8263" s="138">
        <v>2020</v>
      </c>
      <c r="D8263" s="351" t="s">
        <v>23</v>
      </c>
      <c r="E8263" s="14" t="s">
        <v>32</v>
      </c>
      <c r="F8263" s="7" t="s">
        <v>80</v>
      </c>
      <c r="G8263" s="33" t="s">
        <v>11225</v>
      </c>
      <c r="H8263" s="33" t="s">
        <v>11226</v>
      </c>
      <c r="I8263" s="157">
        <v>0</v>
      </c>
      <c r="J8263" s="305">
        <v>6536</v>
      </c>
      <c r="K8263" s="142">
        <v>1634</v>
      </c>
      <c r="L8263" s="142">
        <v>0</v>
      </c>
      <c r="M8263" s="142">
        <v>0</v>
      </c>
      <c r="N8263" s="142">
        <v>0</v>
      </c>
      <c r="O8263" s="305">
        <v>0</v>
      </c>
      <c r="P8263" s="306">
        <v>376.41637109684001</v>
      </c>
      <c r="Q8263" s="157" t="s">
        <v>7883</v>
      </c>
      <c r="R8263" s="303"/>
    </row>
    <row r="8264" spans="1:18" s="162" customFormat="1" ht="409.5" x14ac:dyDescent="0.25">
      <c r="A8264" s="184">
        <v>43981</v>
      </c>
      <c r="B8264" s="184">
        <v>43983</v>
      </c>
      <c r="C8264" s="138">
        <v>2020</v>
      </c>
      <c r="D8264" s="351" t="s">
        <v>23</v>
      </c>
      <c r="E8264" s="22" t="s">
        <v>86</v>
      </c>
      <c r="F8264" s="7" t="s">
        <v>56</v>
      </c>
      <c r="G8264" s="33" t="s">
        <v>1426</v>
      </c>
      <c r="H8264" s="33" t="s">
        <v>11227</v>
      </c>
      <c r="I8264" s="157">
        <v>0</v>
      </c>
      <c r="J8264" s="305">
        <v>154</v>
      </c>
      <c r="K8264" s="142">
        <v>25</v>
      </c>
      <c r="L8264" s="142">
        <v>0</v>
      </c>
      <c r="M8264" s="142">
        <v>0</v>
      </c>
      <c r="N8264" s="142">
        <v>1</v>
      </c>
      <c r="O8264" s="305">
        <v>0</v>
      </c>
      <c r="P8264" s="306">
        <v>0.38500000000000001</v>
      </c>
      <c r="Q8264" s="157" t="s">
        <v>154</v>
      </c>
      <c r="R8264" s="303"/>
    </row>
    <row r="8265" spans="1:18" s="162" customFormat="1" ht="96" x14ac:dyDescent="0.25">
      <c r="A8265" s="184">
        <v>43981</v>
      </c>
      <c r="B8265" s="184">
        <v>43983</v>
      </c>
      <c r="C8265" s="138">
        <v>2020</v>
      </c>
      <c r="D8265" s="24" t="s">
        <v>130</v>
      </c>
      <c r="E8265" s="49" t="s">
        <v>139</v>
      </c>
      <c r="F8265" s="7" t="s">
        <v>56</v>
      </c>
      <c r="G8265" s="33" t="s">
        <v>5704</v>
      </c>
      <c r="H8265" s="33" t="s">
        <v>11228</v>
      </c>
      <c r="I8265" s="157">
        <v>0</v>
      </c>
      <c r="J8265" s="305">
        <v>5</v>
      </c>
      <c r="K8265" s="142">
        <v>0</v>
      </c>
      <c r="L8265" s="142">
        <v>0</v>
      </c>
      <c r="M8265" s="142">
        <v>0</v>
      </c>
      <c r="N8265" s="142">
        <v>0</v>
      </c>
      <c r="O8265" s="305">
        <v>0</v>
      </c>
      <c r="P8265" s="306">
        <v>5.4450000000000011E-3</v>
      </c>
      <c r="Q8265" s="157" t="s">
        <v>154</v>
      </c>
      <c r="R8265" s="303"/>
    </row>
    <row r="8266" spans="1:18" s="162" customFormat="1" ht="120" x14ac:dyDescent="0.25">
      <c r="A8266" s="184">
        <v>43982</v>
      </c>
      <c r="B8266" s="184">
        <v>43982</v>
      </c>
      <c r="C8266" s="138">
        <v>2020</v>
      </c>
      <c r="D8266" s="24" t="s">
        <v>141</v>
      </c>
      <c r="E8266" s="30" t="s">
        <v>142</v>
      </c>
      <c r="F8266" s="7" t="s">
        <v>75</v>
      </c>
      <c r="G8266" s="33" t="s">
        <v>75</v>
      </c>
      <c r="H8266" s="33" t="s">
        <v>11229</v>
      </c>
      <c r="I8266" s="157">
        <v>4</v>
      </c>
      <c r="J8266" s="305">
        <v>22</v>
      </c>
      <c r="K8266" s="142">
        <v>0</v>
      </c>
      <c r="L8266" s="142">
        <v>0</v>
      </c>
      <c r="M8266" s="142">
        <v>0</v>
      </c>
      <c r="N8266" s="142">
        <v>0</v>
      </c>
      <c r="O8266" s="305">
        <v>0</v>
      </c>
      <c r="P8266" s="306">
        <v>0.80513400000000002</v>
      </c>
      <c r="Q8266" s="157" t="s">
        <v>154</v>
      </c>
      <c r="R8266" s="303"/>
    </row>
    <row r="8267" spans="1:18" s="162" customFormat="1" ht="84" x14ac:dyDescent="0.25">
      <c r="A8267" s="184">
        <v>43983</v>
      </c>
      <c r="B8267" s="184">
        <v>43983</v>
      </c>
      <c r="C8267" s="138">
        <v>2020</v>
      </c>
      <c r="D8267" s="24" t="s">
        <v>141</v>
      </c>
      <c r="E8267" s="30" t="s">
        <v>142</v>
      </c>
      <c r="F8267" s="7" t="s">
        <v>68</v>
      </c>
      <c r="G8267" s="33" t="s">
        <v>11230</v>
      </c>
      <c r="H8267" s="33" t="s">
        <v>11231</v>
      </c>
      <c r="I8267" s="157">
        <v>0</v>
      </c>
      <c r="J8267" s="305">
        <v>8</v>
      </c>
      <c r="K8267" s="142">
        <v>0</v>
      </c>
      <c r="L8267" s="142">
        <v>0</v>
      </c>
      <c r="M8267" s="142">
        <v>0</v>
      </c>
      <c r="N8267" s="142">
        <v>0</v>
      </c>
      <c r="O8267" s="305">
        <v>0</v>
      </c>
      <c r="P8267" s="306">
        <v>8.7265200000000001E-2</v>
      </c>
      <c r="Q8267" s="157" t="s">
        <v>154</v>
      </c>
      <c r="R8267" s="303"/>
    </row>
    <row r="8268" spans="1:18" s="162" customFormat="1" ht="132" x14ac:dyDescent="0.25">
      <c r="A8268" s="184">
        <v>43986</v>
      </c>
      <c r="B8268" s="184">
        <v>43986</v>
      </c>
      <c r="C8268" s="138">
        <v>2020</v>
      </c>
      <c r="D8268" s="24" t="s">
        <v>141</v>
      </c>
      <c r="E8268" s="30" t="s">
        <v>142</v>
      </c>
      <c r="F8268" s="7" t="s">
        <v>60</v>
      </c>
      <c r="G8268" s="33" t="s">
        <v>5777</v>
      </c>
      <c r="H8268" s="33" t="s">
        <v>11232</v>
      </c>
      <c r="I8268" s="157">
        <v>0</v>
      </c>
      <c r="J8268" s="305">
        <v>17</v>
      </c>
      <c r="K8268" s="142">
        <v>0</v>
      </c>
      <c r="L8268" s="142">
        <v>0</v>
      </c>
      <c r="M8268" s="142">
        <v>0</v>
      </c>
      <c r="N8268" s="142">
        <v>0</v>
      </c>
      <c r="O8268" s="305">
        <v>0</v>
      </c>
      <c r="P8268" s="306">
        <v>9.2710199999999993E-2</v>
      </c>
      <c r="Q8268" s="157" t="s">
        <v>154</v>
      </c>
      <c r="R8268" s="303"/>
    </row>
    <row r="8269" spans="1:18" s="162" customFormat="1" ht="120" x14ac:dyDescent="0.25">
      <c r="A8269" s="184">
        <v>43987</v>
      </c>
      <c r="B8269" s="184">
        <v>43987</v>
      </c>
      <c r="C8269" s="138">
        <v>2020</v>
      </c>
      <c r="D8269" s="24" t="s">
        <v>141</v>
      </c>
      <c r="E8269" s="30" t="s">
        <v>142</v>
      </c>
      <c r="F8269" s="7" t="s">
        <v>60</v>
      </c>
      <c r="G8269" s="33" t="s">
        <v>307</v>
      </c>
      <c r="H8269" s="33" t="s">
        <v>11233</v>
      </c>
      <c r="I8269" s="157">
        <v>5</v>
      </c>
      <c r="J8269" s="305">
        <v>5</v>
      </c>
      <c r="K8269" s="142">
        <v>0</v>
      </c>
      <c r="L8269" s="142">
        <v>0</v>
      </c>
      <c r="M8269" s="142">
        <v>0</v>
      </c>
      <c r="N8269" s="142">
        <v>0</v>
      </c>
      <c r="O8269" s="305">
        <v>0</v>
      </c>
      <c r="P8269" s="306">
        <v>5.432873278379283</v>
      </c>
      <c r="Q8269" s="157" t="s">
        <v>154</v>
      </c>
      <c r="R8269" s="303"/>
    </row>
    <row r="8270" spans="1:18" s="162" customFormat="1" ht="84" x14ac:dyDescent="0.25">
      <c r="A8270" s="184">
        <v>43988</v>
      </c>
      <c r="B8270" s="184">
        <v>43988</v>
      </c>
      <c r="C8270" s="138">
        <v>2020</v>
      </c>
      <c r="D8270" s="35" t="s">
        <v>17</v>
      </c>
      <c r="E8270" s="6" t="s">
        <v>328</v>
      </c>
      <c r="F8270" s="28" t="s">
        <v>157</v>
      </c>
      <c r="G8270" s="33" t="s">
        <v>857</v>
      </c>
      <c r="H8270" s="33" t="s">
        <v>11234</v>
      </c>
      <c r="I8270" s="157">
        <v>0</v>
      </c>
      <c r="J8270" s="305">
        <v>22</v>
      </c>
      <c r="K8270" s="142">
        <v>0</v>
      </c>
      <c r="L8270" s="142">
        <v>0</v>
      </c>
      <c r="M8270" s="142">
        <v>0</v>
      </c>
      <c r="N8270" s="142">
        <v>0</v>
      </c>
      <c r="O8270" s="305">
        <v>0</v>
      </c>
      <c r="P8270" s="306">
        <v>1.2127500000000001E-3</v>
      </c>
      <c r="Q8270" s="157" t="s">
        <v>154</v>
      </c>
      <c r="R8270" s="303"/>
    </row>
    <row r="8271" spans="1:18" s="162" customFormat="1" ht="120" x14ac:dyDescent="0.25">
      <c r="A8271" s="184">
        <v>43991</v>
      </c>
      <c r="B8271" s="184">
        <v>43991</v>
      </c>
      <c r="C8271" s="138">
        <v>2020</v>
      </c>
      <c r="D8271" s="35" t="s">
        <v>28</v>
      </c>
      <c r="E8271" s="6" t="s">
        <v>149</v>
      </c>
      <c r="F8271" s="7" t="s">
        <v>30</v>
      </c>
      <c r="G8271" s="33" t="s">
        <v>1078</v>
      </c>
      <c r="H8271" s="33" t="s">
        <v>11235</v>
      </c>
      <c r="I8271" s="157">
        <v>0</v>
      </c>
      <c r="J8271" s="305">
        <v>360</v>
      </c>
      <c r="K8271" s="142">
        <v>7</v>
      </c>
      <c r="L8271" s="142">
        <v>0</v>
      </c>
      <c r="M8271" s="142">
        <v>0</v>
      </c>
      <c r="N8271" s="142">
        <v>0</v>
      </c>
      <c r="O8271" s="305">
        <v>0</v>
      </c>
      <c r="P8271" s="306">
        <v>8.4892500000000003E-3</v>
      </c>
      <c r="Q8271" s="157" t="s">
        <v>154</v>
      </c>
      <c r="R8271" s="303"/>
    </row>
    <row r="8272" spans="1:18" s="162" customFormat="1" ht="144" x14ac:dyDescent="0.25">
      <c r="A8272" s="184">
        <v>43992</v>
      </c>
      <c r="B8272" s="184">
        <v>43992</v>
      </c>
      <c r="C8272" s="138">
        <v>2020</v>
      </c>
      <c r="D8272" s="35" t="s">
        <v>28</v>
      </c>
      <c r="E8272" s="6" t="s">
        <v>149</v>
      </c>
      <c r="F8272" s="7" t="s">
        <v>56</v>
      </c>
      <c r="G8272" s="33" t="s">
        <v>358</v>
      </c>
      <c r="H8272" s="33" t="s">
        <v>11236</v>
      </c>
      <c r="I8272" s="157">
        <v>0</v>
      </c>
      <c r="J8272" s="305">
        <v>26</v>
      </c>
      <c r="K8272" s="142">
        <v>0</v>
      </c>
      <c r="L8272" s="142">
        <v>0</v>
      </c>
      <c r="M8272" s="142">
        <v>0</v>
      </c>
      <c r="N8272" s="142">
        <v>1</v>
      </c>
      <c r="O8272" s="305">
        <v>0</v>
      </c>
      <c r="P8272" s="306">
        <v>0.2260576</v>
      </c>
      <c r="Q8272" s="157" t="s">
        <v>154</v>
      </c>
      <c r="R8272" s="303"/>
    </row>
    <row r="8273" spans="1:18" s="162" customFormat="1" ht="348" x14ac:dyDescent="0.25">
      <c r="A8273" s="184">
        <v>43993</v>
      </c>
      <c r="B8273" s="184">
        <v>43993</v>
      </c>
      <c r="C8273" s="138">
        <v>2020</v>
      </c>
      <c r="D8273" s="351" t="s">
        <v>23</v>
      </c>
      <c r="E8273" s="22" t="s">
        <v>86</v>
      </c>
      <c r="F8273" s="28" t="s">
        <v>210</v>
      </c>
      <c r="G8273" s="33" t="s">
        <v>11237</v>
      </c>
      <c r="H8273" s="33" t="s">
        <v>11238</v>
      </c>
      <c r="I8273" s="157">
        <v>1</v>
      </c>
      <c r="J8273" s="305">
        <v>3888</v>
      </c>
      <c r="K8273" s="142">
        <v>1</v>
      </c>
      <c r="L8273" s="142">
        <v>0</v>
      </c>
      <c r="M8273" s="142">
        <v>0</v>
      </c>
      <c r="N8273" s="142">
        <v>0</v>
      </c>
      <c r="O8273" s="305">
        <v>0</v>
      </c>
      <c r="P8273" s="306">
        <v>2.0547361019999997</v>
      </c>
      <c r="Q8273" s="157" t="s">
        <v>7883</v>
      </c>
      <c r="R8273" s="303"/>
    </row>
    <row r="8274" spans="1:18" s="162" customFormat="1" x14ac:dyDescent="0.25">
      <c r="A8274" s="184">
        <v>43993</v>
      </c>
      <c r="B8274" s="184">
        <v>43993</v>
      </c>
      <c r="C8274" s="138">
        <v>2020</v>
      </c>
      <c r="D8274" s="351" t="s">
        <v>23</v>
      </c>
      <c r="E8274" s="22" t="s">
        <v>86</v>
      </c>
      <c r="F8274" s="7" t="s">
        <v>72</v>
      </c>
      <c r="G8274" s="206" t="s">
        <v>26</v>
      </c>
      <c r="H8274" s="44" t="s">
        <v>11239</v>
      </c>
      <c r="I8274" s="157">
        <v>0</v>
      </c>
      <c r="J8274" s="305">
        <v>26125</v>
      </c>
      <c r="K8274" s="142">
        <v>0</v>
      </c>
      <c r="L8274" s="142">
        <v>0</v>
      </c>
      <c r="M8274" s="142">
        <v>0</v>
      </c>
      <c r="N8274" s="142">
        <v>0</v>
      </c>
      <c r="O8274" s="305">
        <v>0</v>
      </c>
      <c r="P8274" s="306">
        <v>1.628385</v>
      </c>
      <c r="Q8274" s="157" t="s">
        <v>7883</v>
      </c>
      <c r="R8274" s="303"/>
    </row>
    <row r="8275" spans="1:18" s="162" customFormat="1" ht="72" x14ac:dyDescent="0.25">
      <c r="A8275" s="184">
        <v>44000</v>
      </c>
      <c r="B8275" s="184">
        <v>44000</v>
      </c>
      <c r="C8275" s="138">
        <v>2020</v>
      </c>
      <c r="D8275" s="35" t="s">
        <v>28</v>
      </c>
      <c r="E8275" s="6" t="s">
        <v>149</v>
      </c>
      <c r="F8275" s="7" t="s">
        <v>30</v>
      </c>
      <c r="G8275" s="33" t="s">
        <v>1078</v>
      </c>
      <c r="H8275" s="33" t="s">
        <v>11240</v>
      </c>
      <c r="I8275" s="157">
        <v>0</v>
      </c>
      <c r="J8275" s="305">
        <v>40</v>
      </c>
      <c r="K8275" s="142">
        <v>3</v>
      </c>
      <c r="L8275" s="142">
        <v>0</v>
      </c>
      <c r="M8275" s="142">
        <v>0</v>
      </c>
      <c r="N8275" s="142">
        <v>0</v>
      </c>
      <c r="O8275" s="305">
        <v>0</v>
      </c>
      <c r="P8275" s="306">
        <v>1.6968105000000004E-2</v>
      </c>
      <c r="Q8275" s="157" t="s">
        <v>154</v>
      </c>
      <c r="R8275" s="303"/>
    </row>
    <row r="8276" spans="1:18" s="162" customFormat="1" ht="96" x14ac:dyDescent="0.25">
      <c r="A8276" s="184">
        <v>44000</v>
      </c>
      <c r="B8276" s="184">
        <v>44000</v>
      </c>
      <c r="C8276" s="138">
        <v>2020</v>
      </c>
      <c r="D8276" s="24" t="s">
        <v>141</v>
      </c>
      <c r="E8276" s="30" t="s">
        <v>142</v>
      </c>
      <c r="F8276" s="7" t="s">
        <v>53</v>
      </c>
      <c r="G8276" s="33" t="s">
        <v>891</v>
      </c>
      <c r="H8276" s="33" t="s">
        <v>11241</v>
      </c>
      <c r="I8276" s="157">
        <v>0</v>
      </c>
      <c r="J8276" s="305">
        <v>0</v>
      </c>
      <c r="K8276" s="142">
        <v>0</v>
      </c>
      <c r="L8276" s="142">
        <v>0</v>
      </c>
      <c r="M8276" s="142">
        <v>0</v>
      </c>
      <c r="N8276" s="142">
        <v>0</v>
      </c>
      <c r="O8276" s="305">
        <v>0</v>
      </c>
      <c r="P8276" s="306">
        <v>0.20054287000000001</v>
      </c>
      <c r="Q8276" s="157" t="s">
        <v>154</v>
      </c>
      <c r="R8276" s="303"/>
    </row>
    <row r="8277" spans="1:18" s="162" customFormat="1" ht="168" x14ac:dyDescent="0.25">
      <c r="A8277" s="184">
        <v>44002</v>
      </c>
      <c r="B8277" s="184">
        <v>44002</v>
      </c>
      <c r="C8277" s="138">
        <v>2020</v>
      </c>
      <c r="D8277" s="24" t="s">
        <v>141</v>
      </c>
      <c r="E8277" s="41" t="s">
        <v>1965</v>
      </c>
      <c r="F8277" s="7" t="s">
        <v>56</v>
      </c>
      <c r="G8277" s="33" t="s">
        <v>358</v>
      </c>
      <c r="H8277" s="33" t="s">
        <v>11242</v>
      </c>
      <c r="I8277" s="157">
        <v>0</v>
      </c>
      <c r="J8277" s="305">
        <v>0</v>
      </c>
      <c r="K8277" s="142">
        <v>0</v>
      </c>
      <c r="L8277" s="142">
        <v>0</v>
      </c>
      <c r="M8277" s="142">
        <v>0</v>
      </c>
      <c r="N8277" s="142">
        <v>0</v>
      </c>
      <c r="O8277" s="305">
        <v>0</v>
      </c>
      <c r="P8277" s="306">
        <v>4.1899880000000007E-2</v>
      </c>
      <c r="Q8277" s="157" t="s">
        <v>154</v>
      </c>
      <c r="R8277" s="303"/>
    </row>
    <row r="8278" spans="1:18" s="162" customFormat="1" ht="156" x14ac:dyDescent="0.25">
      <c r="A8278" s="184">
        <v>44003</v>
      </c>
      <c r="B8278" s="184">
        <v>44003</v>
      </c>
      <c r="C8278" s="138">
        <v>2020</v>
      </c>
      <c r="D8278" s="35" t="s">
        <v>28</v>
      </c>
      <c r="E8278" s="6" t="s">
        <v>149</v>
      </c>
      <c r="F8278" s="28" t="s">
        <v>157</v>
      </c>
      <c r="G8278" s="33" t="s">
        <v>4820</v>
      </c>
      <c r="H8278" s="33" t="s">
        <v>11243</v>
      </c>
      <c r="I8278" s="157">
        <v>0</v>
      </c>
      <c r="J8278" s="305">
        <v>40</v>
      </c>
      <c r="K8278" s="142">
        <v>1</v>
      </c>
      <c r="L8278" s="142">
        <v>0</v>
      </c>
      <c r="M8278" s="142">
        <v>0</v>
      </c>
      <c r="N8278" s="142">
        <v>0</v>
      </c>
      <c r="O8278" s="305">
        <v>0</v>
      </c>
      <c r="P8278" s="306">
        <v>5.6560350000000011E-3</v>
      </c>
      <c r="Q8278" s="157" t="s">
        <v>154</v>
      </c>
      <c r="R8278" s="303"/>
    </row>
    <row r="8279" spans="1:18" s="162" customFormat="1" ht="120" x14ac:dyDescent="0.25">
      <c r="A8279" s="184">
        <v>44004</v>
      </c>
      <c r="B8279" s="184">
        <v>44004</v>
      </c>
      <c r="C8279" s="138">
        <v>2020</v>
      </c>
      <c r="D8279" s="24" t="s">
        <v>141</v>
      </c>
      <c r="E8279" s="30" t="s">
        <v>142</v>
      </c>
      <c r="F8279" s="7" t="s">
        <v>53</v>
      </c>
      <c r="G8279" s="33" t="s">
        <v>2975</v>
      </c>
      <c r="H8279" s="33" t="s">
        <v>11244</v>
      </c>
      <c r="I8279" s="157">
        <v>2</v>
      </c>
      <c r="J8279" s="305">
        <v>16</v>
      </c>
      <c r="K8279" s="142">
        <v>0</v>
      </c>
      <c r="L8279" s="142">
        <v>0</v>
      </c>
      <c r="M8279" s="142">
        <v>0</v>
      </c>
      <c r="N8279" s="142">
        <v>0</v>
      </c>
      <c r="O8279" s="305">
        <v>0</v>
      </c>
      <c r="P8279" s="306">
        <v>0.96078602220930232</v>
      </c>
      <c r="Q8279" s="157" t="s">
        <v>154</v>
      </c>
      <c r="R8279" s="303"/>
    </row>
    <row r="8280" spans="1:18" s="162" customFormat="1" ht="108" x14ac:dyDescent="0.25">
      <c r="A8280" s="184">
        <v>44004</v>
      </c>
      <c r="B8280" s="184">
        <v>44005</v>
      </c>
      <c r="C8280" s="138">
        <v>2020</v>
      </c>
      <c r="D8280" s="24" t="s">
        <v>141</v>
      </c>
      <c r="E8280" s="30" t="s">
        <v>142</v>
      </c>
      <c r="F8280" s="7" t="s">
        <v>40</v>
      </c>
      <c r="G8280" s="33" t="s">
        <v>11245</v>
      </c>
      <c r="H8280" s="33" t="s">
        <v>11246</v>
      </c>
      <c r="I8280" s="157">
        <v>6</v>
      </c>
      <c r="J8280" s="305">
        <v>6</v>
      </c>
      <c r="K8280" s="142">
        <v>0</v>
      </c>
      <c r="L8280" s="142">
        <v>0</v>
      </c>
      <c r="M8280" s="142">
        <v>0</v>
      </c>
      <c r="N8280" s="142">
        <v>0</v>
      </c>
      <c r="O8280" s="305">
        <v>0</v>
      </c>
      <c r="P8280" s="306">
        <v>5.432873278379283</v>
      </c>
      <c r="Q8280" s="157" t="s">
        <v>154</v>
      </c>
      <c r="R8280" s="303"/>
    </row>
    <row r="8281" spans="1:18" s="162" customFormat="1" ht="409.5" x14ac:dyDescent="0.25">
      <c r="A8281" s="184">
        <v>44005</v>
      </c>
      <c r="B8281" s="184">
        <v>44005</v>
      </c>
      <c r="C8281" s="138">
        <v>2020</v>
      </c>
      <c r="D8281" s="35" t="s">
        <v>17</v>
      </c>
      <c r="E8281" s="30" t="s">
        <v>122</v>
      </c>
      <c r="F8281" s="7" t="s">
        <v>72</v>
      </c>
      <c r="G8281" s="33" t="s">
        <v>11247</v>
      </c>
      <c r="H8281" s="33" t="s">
        <v>11248</v>
      </c>
      <c r="I8281" s="157">
        <v>7</v>
      </c>
      <c r="J8281" s="305">
        <v>7160</v>
      </c>
      <c r="K8281" s="142">
        <v>2072</v>
      </c>
      <c r="L8281" s="142">
        <v>59</v>
      </c>
      <c r="M8281" s="142">
        <v>19</v>
      </c>
      <c r="N8281" s="142">
        <v>2</v>
      </c>
      <c r="O8281" s="305">
        <v>0</v>
      </c>
      <c r="P8281" s="306">
        <v>2227.8411994472999</v>
      </c>
      <c r="Q8281" s="157" t="s">
        <v>7883</v>
      </c>
      <c r="R8281" s="303"/>
    </row>
    <row r="8282" spans="1:18" s="162" customFormat="1" ht="288" x14ac:dyDescent="0.25">
      <c r="A8282" s="184">
        <v>44005</v>
      </c>
      <c r="B8282" s="184">
        <v>44005</v>
      </c>
      <c r="C8282" s="138">
        <v>2020</v>
      </c>
      <c r="D8282" s="35" t="s">
        <v>17</v>
      </c>
      <c r="E8282" s="30" t="s">
        <v>122</v>
      </c>
      <c r="F8282" s="28" t="s">
        <v>157</v>
      </c>
      <c r="G8282" s="33" t="s">
        <v>11249</v>
      </c>
      <c r="H8282" s="33" t="s">
        <v>11250</v>
      </c>
      <c r="I8282" s="157">
        <v>0</v>
      </c>
      <c r="J8282" s="305">
        <v>160</v>
      </c>
      <c r="K8282" s="142">
        <v>33</v>
      </c>
      <c r="L8282" s="142">
        <v>0</v>
      </c>
      <c r="M8282" s="142">
        <v>0</v>
      </c>
      <c r="N8282" s="142">
        <v>0</v>
      </c>
      <c r="O8282" s="305">
        <v>0</v>
      </c>
      <c r="P8282" s="306">
        <v>0.17740800000000001</v>
      </c>
      <c r="Q8282" s="157" t="s">
        <v>154</v>
      </c>
      <c r="R8282" s="303"/>
    </row>
    <row r="8283" spans="1:18" s="162" customFormat="1" ht="108" x14ac:dyDescent="0.25">
      <c r="A8283" s="184">
        <v>44006</v>
      </c>
      <c r="B8283" s="184">
        <v>44006</v>
      </c>
      <c r="C8283" s="138">
        <v>2020</v>
      </c>
      <c r="D8283" s="35" t="s">
        <v>28</v>
      </c>
      <c r="E8283" s="30" t="s">
        <v>133</v>
      </c>
      <c r="F8283" s="7" t="s">
        <v>65</v>
      </c>
      <c r="G8283" s="33" t="s">
        <v>1632</v>
      </c>
      <c r="H8283" s="33" t="s">
        <v>11251</v>
      </c>
      <c r="I8283" s="157">
        <v>0</v>
      </c>
      <c r="J8283" s="305">
        <v>10</v>
      </c>
      <c r="K8283" s="142">
        <v>1</v>
      </c>
      <c r="L8283" s="142">
        <v>0</v>
      </c>
      <c r="M8283" s="142">
        <v>0</v>
      </c>
      <c r="N8283" s="142">
        <v>0</v>
      </c>
      <c r="O8283" s="305">
        <v>0</v>
      </c>
      <c r="P8283" s="306">
        <v>1.6546035000000004E-2</v>
      </c>
      <c r="Q8283" s="157" t="s">
        <v>154</v>
      </c>
      <c r="R8283" s="303"/>
    </row>
    <row r="8284" spans="1:18" s="162" customFormat="1" ht="96" x14ac:dyDescent="0.25">
      <c r="A8284" s="184">
        <v>44006</v>
      </c>
      <c r="B8284" s="184">
        <v>44006</v>
      </c>
      <c r="C8284" s="138">
        <v>2020</v>
      </c>
      <c r="D8284" s="24" t="s">
        <v>141</v>
      </c>
      <c r="E8284" s="30" t="s">
        <v>142</v>
      </c>
      <c r="F8284" s="28" t="s">
        <v>157</v>
      </c>
      <c r="G8284" s="33" t="s">
        <v>4237</v>
      </c>
      <c r="H8284" s="33" t="s">
        <v>11252</v>
      </c>
      <c r="I8284" s="157">
        <v>0</v>
      </c>
      <c r="J8284" s="305">
        <v>5</v>
      </c>
      <c r="K8284" s="142">
        <v>0</v>
      </c>
      <c r="L8284" s="142">
        <v>0</v>
      </c>
      <c r="M8284" s="142">
        <v>0</v>
      </c>
      <c r="N8284" s="142">
        <v>0</v>
      </c>
      <c r="O8284" s="305">
        <v>0</v>
      </c>
      <c r="P8284" s="306">
        <v>0.20143237220930232</v>
      </c>
      <c r="Q8284" s="157" t="s">
        <v>154</v>
      </c>
      <c r="R8284" s="303"/>
    </row>
    <row r="8285" spans="1:18" s="162" customFormat="1" ht="216" x14ac:dyDescent="0.25">
      <c r="A8285" s="184">
        <v>44006</v>
      </c>
      <c r="B8285" s="184">
        <v>44007</v>
      </c>
      <c r="C8285" s="138">
        <v>2020</v>
      </c>
      <c r="D8285" s="351" t="s">
        <v>23</v>
      </c>
      <c r="E8285" s="22" t="s">
        <v>86</v>
      </c>
      <c r="F8285" s="7" t="s">
        <v>91</v>
      </c>
      <c r="G8285" s="33" t="s">
        <v>803</v>
      </c>
      <c r="H8285" s="33" t="s">
        <v>11253</v>
      </c>
      <c r="I8285" s="157">
        <v>0</v>
      </c>
      <c r="J8285" s="305">
        <v>94</v>
      </c>
      <c r="K8285" s="142">
        <v>20</v>
      </c>
      <c r="L8285" s="142">
        <v>0</v>
      </c>
      <c r="M8285" s="142">
        <v>0</v>
      </c>
      <c r="N8285" s="142">
        <v>0</v>
      </c>
      <c r="O8285" s="305">
        <v>0</v>
      </c>
      <c r="P8285" s="306">
        <v>1.1858550000000001</v>
      </c>
      <c r="Q8285" s="157" t="s">
        <v>154</v>
      </c>
      <c r="R8285" s="303"/>
    </row>
    <row r="8286" spans="1:18" s="162" customFormat="1" x14ac:dyDescent="0.25">
      <c r="A8286" s="184">
        <v>44006</v>
      </c>
      <c r="B8286" s="184">
        <v>44007</v>
      </c>
      <c r="C8286" s="138">
        <v>2020</v>
      </c>
      <c r="D8286" s="351" t="s">
        <v>23</v>
      </c>
      <c r="E8286" s="22" t="s">
        <v>86</v>
      </c>
      <c r="F8286" s="7" t="s">
        <v>36</v>
      </c>
      <c r="G8286" s="206" t="s">
        <v>26</v>
      </c>
      <c r="H8286" s="44" t="s">
        <v>11254</v>
      </c>
      <c r="I8286" s="157">
        <v>0</v>
      </c>
      <c r="J8286" s="305">
        <v>1222</v>
      </c>
      <c r="K8286" s="142">
        <v>0</v>
      </c>
      <c r="L8286" s="142">
        <v>0</v>
      </c>
      <c r="M8286" s="142">
        <v>0</v>
      </c>
      <c r="N8286" s="142">
        <v>0</v>
      </c>
      <c r="O8286" s="305">
        <v>0</v>
      </c>
      <c r="P8286" s="306">
        <v>0.52976642399999996</v>
      </c>
      <c r="Q8286" s="157" t="s">
        <v>7883</v>
      </c>
      <c r="R8286" s="303"/>
    </row>
    <row r="8287" spans="1:18" s="162" customFormat="1" ht="24" x14ac:dyDescent="0.25">
      <c r="A8287" s="184">
        <v>44006</v>
      </c>
      <c r="B8287" s="184">
        <v>44006</v>
      </c>
      <c r="C8287" s="138">
        <v>2020</v>
      </c>
      <c r="D8287" s="351" t="s">
        <v>23</v>
      </c>
      <c r="E8287" s="22" t="s">
        <v>86</v>
      </c>
      <c r="F8287" s="28" t="s">
        <v>210</v>
      </c>
      <c r="G8287" s="206" t="s">
        <v>26</v>
      </c>
      <c r="H8287" s="33" t="s">
        <v>11255</v>
      </c>
      <c r="I8287" s="157">
        <v>0</v>
      </c>
      <c r="J8287" s="305">
        <v>6960</v>
      </c>
      <c r="K8287" s="142">
        <v>0</v>
      </c>
      <c r="L8287" s="142">
        <v>0</v>
      </c>
      <c r="M8287" s="142">
        <v>0</v>
      </c>
      <c r="N8287" s="142">
        <v>0</v>
      </c>
      <c r="O8287" s="305">
        <v>0</v>
      </c>
      <c r="P8287" s="306">
        <v>5.4834650080000005</v>
      </c>
      <c r="Q8287" s="157" t="s">
        <v>7883</v>
      </c>
      <c r="R8287" s="303"/>
    </row>
    <row r="8288" spans="1:18" s="162" customFormat="1" ht="108" x14ac:dyDescent="0.25">
      <c r="A8288" s="184">
        <v>44007</v>
      </c>
      <c r="B8288" s="184">
        <v>44007</v>
      </c>
      <c r="C8288" s="138">
        <v>2020</v>
      </c>
      <c r="D8288" s="24" t="s">
        <v>141</v>
      </c>
      <c r="E8288" s="30" t="s">
        <v>142</v>
      </c>
      <c r="F8288" s="7" t="s">
        <v>30</v>
      </c>
      <c r="G8288" s="33" t="s">
        <v>1078</v>
      </c>
      <c r="H8288" s="33" t="s">
        <v>11256</v>
      </c>
      <c r="I8288" s="157">
        <v>6</v>
      </c>
      <c r="J8288" s="305">
        <v>10</v>
      </c>
      <c r="K8288" s="142">
        <v>0</v>
      </c>
      <c r="L8288" s="142">
        <v>0</v>
      </c>
      <c r="M8288" s="142">
        <v>0</v>
      </c>
      <c r="N8288" s="142">
        <v>0</v>
      </c>
      <c r="O8288" s="305">
        <v>0</v>
      </c>
      <c r="P8288" s="306">
        <v>0.20272087000000003</v>
      </c>
      <c r="Q8288" s="157" t="s">
        <v>154</v>
      </c>
      <c r="R8288" s="303"/>
    </row>
    <row r="8289" spans="1:18" s="162" customFormat="1" ht="132" x14ac:dyDescent="0.25">
      <c r="A8289" s="184">
        <v>44007</v>
      </c>
      <c r="B8289" s="184">
        <v>44007</v>
      </c>
      <c r="C8289" s="138">
        <v>2020</v>
      </c>
      <c r="D8289" s="351" t="s">
        <v>23</v>
      </c>
      <c r="E8289" s="22" t="s">
        <v>86</v>
      </c>
      <c r="F8289" s="7" t="s">
        <v>68</v>
      </c>
      <c r="G8289" s="33" t="s">
        <v>2097</v>
      </c>
      <c r="H8289" s="33" t="s">
        <v>11257</v>
      </c>
      <c r="I8289" s="157">
        <v>4</v>
      </c>
      <c r="J8289" s="305">
        <v>6</v>
      </c>
      <c r="K8289" s="142">
        <v>0</v>
      </c>
      <c r="L8289" s="142">
        <v>0</v>
      </c>
      <c r="M8289" s="142">
        <v>0</v>
      </c>
      <c r="N8289" s="142">
        <v>0</v>
      </c>
      <c r="O8289" s="305">
        <v>0</v>
      </c>
      <c r="P8289" s="306">
        <v>0.19836487000000003</v>
      </c>
      <c r="Q8289" s="157" t="s">
        <v>154</v>
      </c>
      <c r="R8289" s="303"/>
    </row>
    <row r="8290" spans="1:18" s="162" customFormat="1" ht="132" x14ac:dyDescent="0.25">
      <c r="A8290" s="184">
        <v>44007</v>
      </c>
      <c r="B8290" s="184">
        <v>44008</v>
      </c>
      <c r="C8290" s="138">
        <v>2020</v>
      </c>
      <c r="D8290" s="24" t="s">
        <v>141</v>
      </c>
      <c r="E8290" s="30" t="s">
        <v>142</v>
      </c>
      <c r="F8290" s="7" t="s">
        <v>56</v>
      </c>
      <c r="G8290" s="33" t="s">
        <v>711</v>
      </c>
      <c r="H8290" s="33" t="s">
        <v>11258</v>
      </c>
      <c r="I8290" s="157">
        <v>0</v>
      </c>
      <c r="J8290" s="305">
        <v>7</v>
      </c>
      <c r="K8290" s="142">
        <v>0</v>
      </c>
      <c r="L8290" s="142">
        <v>0</v>
      </c>
      <c r="M8290" s="142">
        <v>0</v>
      </c>
      <c r="N8290" s="142">
        <v>0</v>
      </c>
      <c r="O8290" s="305">
        <v>0</v>
      </c>
      <c r="P8290" s="306">
        <v>0.20598787000000002</v>
      </c>
      <c r="Q8290" s="157" t="s">
        <v>154</v>
      </c>
      <c r="R8290" s="303"/>
    </row>
    <row r="8291" spans="1:18" s="162" customFormat="1" ht="120" x14ac:dyDescent="0.25">
      <c r="A8291" s="184">
        <v>44008</v>
      </c>
      <c r="B8291" s="184">
        <v>44009</v>
      </c>
      <c r="C8291" s="138">
        <v>2020</v>
      </c>
      <c r="D8291" s="35" t="s">
        <v>28</v>
      </c>
      <c r="E8291" s="30" t="s">
        <v>133</v>
      </c>
      <c r="F8291" s="7" t="s">
        <v>65</v>
      </c>
      <c r="G8291" s="33" t="s">
        <v>1632</v>
      </c>
      <c r="H8291" s="33" t="s">
        <v>11259</v>
      </c>
      <c r="I8291" s="157">
        <v>0</v>
      </c>
      <c r="J8291" s="305">
        <v>15</v>
      </c>
      <c r="K8291" s="142">
        <v>4</v>
      </c>
      <c r="L8291" s="142">
        <v>0</v>
      </c>
      <c r="M8291" s="142">
        <v>0</v>
      </c>
      <c r="N8291" s="142">
        <v>0</v>
      </c>
      <c r="O8291" s="305">
        <v>0</v>
      </c>
      <c r="P8291" s="306">
        <v>4.8510000000000003E-3</v>
      </c>
      <c r="Q8291" s="157" t="s">
        <v>154</v>
      </c>
      <c r="R8291" s="303"/>
    </row>
    <row r="8292" spans="1:18" s="162" customFormat="1" ht="156" x14ac:dyDescent="0.25">
      <c r="A8292" s="184">
        <v>44013</v>
      </c>
      <c r="B8292" s="184">
        <v>44013</v>
      </c>
      <c r="C8292" s="138">
        <v>2020</v>
      </c>
      <c r="D8292" s="351" t="s">
        <v>23</v>
      </c>
      <c r="E8292" s="22" t="s">
        <v>86</v>
      </c>
      <c r="F8292" s="7" t="s">
        <v>56</v>
      </c>
      <c r="G8292" s="33" t="s">
        <v>1707</v>
      </c>
      <c r="H8292" s="33" t="s">
        <v>11260</v>
      </c>
      <c r="I8292" s="157">
        <v>0</v>
      </c>
      <c r="J8292" s="305">
        <v>336</v>
      </c>
      <c r="K8292" s="142">
        <v>84</v>
      </c>
      <c r="L8292" s="142">
        <v>0</v>
      </c>
      <c r="M8292" s="142">
        <v>0</v>
      </c>
      <c r="N8292" s="142">
        <v>0</v>
      </c>
      <c r="O8292" s="305">
        <v>0</v>
      </c>
      <c r="P8292" s="306">
        <v>0.45733380000000007</v>
      </c>
      <c r="Q8292" s="157" t="s">
        <v>154</v>
      </c>
      <c r="R8292" s="303"/>
    </row>
    <row r="8293" spans="1:18" s="162" customFormat="1" ht="96" x14ac:dyDescent="0.25">
      <c r="A8293" s="184">
        <v>44013</v>
      </c>
      <c r="B8293" s="184">
        <v>44013</v>
      </c>
      <c r="C8293" s="138">
        <v>2020</v>
      </c>
      <c r="D8293" s="351" t="s">
        <v>23</v>
      </c>
      <c r="E8293" s="22" t="s">
        <v>86</v>
      </c>
      <c r="F8293" s="28" t="s">
        <v>160</v>
      </c>
      <c r="G8293" s="33" t="s">
        <v>11261</v>
      </c>
      <c r="H8293" s="33" t="s">
        <v>11262</v>
      </c>
      <c r="I8293" s="157">
        <v>0</v>
      </c>
      <c r="J8293" s="305">
        <v>170</v>
      </c>
      <c r="K8293" s="142">
        <v>42</v>
      </c>
      <c r="L8293" s="142">
        <v>0</v>
      </c>
      <c r="M8293" s="142">
        <v>0</v>
      </c>
      <c r="N8293" s="142">
        <v>0</v>
      </c>
      <c r="O8293" s="305">
        <v>0</v>
      </c>
      <c r="P8293" s="306">
        <v>0.63</v>
      </c>
      <c r="Q8293" s="157" t="s">
        <v>154</v>
      </c>
      <c r="R8293" s="303"/>
    </row>
    <row r="8294" spans="1:18" s="162" customFormat="1" ht="120" x14ac:dyDescent="0.25">
      <c r="A8294" s="184">
        <v>44014</v>
      </c>
      <c r="B8294" s="184">
        <v>44014</v>
      </c>
      <c r="C8294" s="138">
        <v>2020</v>
      </c>
      <c r="D8294" s="24" t="s">
        <v>141</v>
      </c>
      <c r="E8294" s="30" t="s">
        <v>142</v>
      </c>
      <c r="F8294" s="7" t="s">
        <v>36</v>
      </c>
      <c r="G8294" s="33" t="s">
        <v>1830</v>
      </c>
      <c r="H8294" s="33" t="s">
        <v>11263</v>
      </c>
      <c r="I8294" s="157">
        <v>0</v>
      </c>
      <c r="J8294" s="305">
        <v>10</v>
      </c>
      <c r="K8294" s="142">
        <v>0</v>
      </c>
      <c r="L8294" s="142">
        <v>0</v>
      </c>
      <c r="M8294" s="142">
        <v>0</v>
      </c>
      <c r="N8294" s="142">
        <v>0</v>
      </c>
      <c r="O8294" s="305">
        <v>0</v>
      </c>
      <c r="P8294" s="306">
        <v>8.0731200000000003E-2</v>
      </c>
      <c r="Q8294" s="157" t="s">
        <v>154</v>
      </c>
      <c r="R8294" s="303"/>
    </row>
    <row r="8295" spans="1:18" s="162" customFormat="1" ht="108" x14ac:dyDescent="0.25">
      <c r="A8295" s="184">
        <v>44014</v>
      </c>
      <c r="B8295" s="184">
        <v>44014</v>
      </c>
      <c r="C8295" s="138">
        <v>2020</v>
      </c>
      <c r="D8295" s="351" t="s">
        <v>23</v>
      </c>
      <c r="E8295" s="22" t="s">
        <v>86</v>
      </c>
      <c r="F8295" s="7" t="s">
        <v>45</v>
      </c>
      <c r="G8295" s="33" t="s">
        <v>259</v>
      </c>
      <c r="H8295" s="33" t="s">
        <v>11264</v>
      </c>
      <c r="I8295" s="157">
        <v>0</v>
      </c>
      <c r="J8295" s="305">
        <v>156</v>
      </c>
      <c r="K8295" s="142">
        <v>39</v>
      </c>
      <c r="L8295" s="142">
        <v>0</v>
      </c>
      <c r="M8295" s="142">
        <v>0</v>
      </c>
      <c r="N8295" s="142">
        <v>0</v>
      </c>
      <c r="O8295" s="305">
        <v>0</v>
      </c>
      <c r="P8295" s="306">
        <v>5.1740535000000004E-2</v>
      </c>
      <c r="Q8295" s="157" t="s">
        <v>154</v>
      </c>
      <c r="R8295" s="303"/>
    </row>
    <row r="8296" spans="1:18" s="162" customFormat="1" ht="144" x14ac:dyDescent="0.25">
      <c r="A8296" s="184">
        <v>44015</v>
      </c>
      <c r="B8296" s="184">
        <v>44015</v>
      </c>
      <c r="C8296" s="138">
        <v>2020</v>
      </c>
      <c r="D8296" s="35" t="s">
        <v>28</v>
      </c>
      <c r="E8296" s="6" t="s">
        <v>369</v>
      </c>
      <c r="F8296" s="7" t="s">
        <v>40</v>
      </c>
      <c r="G8296" s="33" t="s">
        <v>6686</v>
      </c>
      <c r="H8296" s="33" t="s">
        <v>11265</v>
      </c>
      <c r="I8296" s="157">
        <v>0</v>
      </c>
      <c r="J8296" s="305">
        <v>1</v>
      </c>
      <c r="K8296" s="142">
        <v>0</v>
      </c>
      <c r="L8296" s="142">
        <v>0</v>
      </c>
      <c r="M8296" s="142">
        <v>0</v>
      </c>
      <c r="N8296" s="142">
        <v>0</v>
      </c>
      <c r="O8296" s="305">
        <v>0</v>
      </c>
      <c r="P8296" s="306">
        <v>0.80124158588235295</v>
      </c>
      <c r="Q8296" s="157" t="s">
        <v>154</v>
      </c>
      <c r="R8296" s="303"/>
    </row>
    <row r="8297" spans="1:18" s="162" customFormat="1" ht="192" x14ac:dyDescent="0.25">
      <c r="A8297" s="184">
        <v>44015</v>
      </c>
      <c r="B8297" s="184">
        <v>44016</v>
      </c>
      <c r="C8297" s="138">
        <v>2020</v>
      </c>
      <c r="D8297" s="35" t="s">
        <v>28</v>
      </c>
      <c r="E8297" s="6" t="s">
        <v>149</v>
      </c>
      <c r="F8297" s="7" t="s">
        <v>56</v>
      </c>
      <c r="G8297" s="33" t="s">
        <v>1160</v>
      </c>
      <c r="H8297" s="33" t="s">
        <v>11266</v>
      </c>
      <c r="I8297" s="157">
        <v>0</v>
      </c>
      <c r="J8297" s="305">
        <v>24</v>
      </c>
      <c r="K8297" s="142">
        <v>0</v>
      </c>
      <c r="L8297" s="142">
        <v>0</v>
      </c>
      <c r="M8297" s="142">
        <v>0</v>
      </c>
      <c r="N8297" s="142">
        <v>1</v>
      </c>
      <c r="O8297" s="305">
        <v>0</v>
      </c>
      <c r="P8297" s="306">
        <v>5.1249999999999997E-2</v>
      </c>
      <c r="Q8297" s="157" t="s">
        <v>154</v>
      </c>
      <c r="R8297" s="303"/>
    </row>
    <row r="8298" spans="1:18" s="162" customFormat="1" ht="132" x14ac:dyDescent="0.25">
      <c r="A8298" s="184">
        <v>44018</v>
      </c>
      <c r="B8298" s="184">
        <v>44019</v>
      </c>
      <c r="C8298" s="138">
        <v>2020</v>
      </c>
      <c r="D8298" s="351" t="s">
        <v>23</v>
      </c>
      <c r="E8298" s="49" t="s">
        <v>5893</v>
      </c>
      <c r="F8298" s="7" t="s">
        <v>49</v>
      </c>
      <c r="G8298" s="33" t="s">
        <v>11267</v>
      </c>
      <c r="H8298" s="33" t="s">
        <v>11268</v>
      </c>
      <c r="I8298" s="157">
        <v>0</v>
      </c>
      <c r="J8298" s="305">
        <v>4127</v>
      </c>
      <c r="K8298" s="142">
        <v>40</v>
      </c>
      <c r="L8298" s="142">
        <v>0</v>
      </c>
      <c r="M8298" s="142">
        <v>0</v>
      </c>
      <c r="N8298" s="142">
        <v>0</v>
      </c>
      <c r="O8298" s="305">
        <v>0</v>
      </c>
      <c r="P8298" s="306">
        <v>1.30890912</v>
      </c>
      <c r="Q8298" s="157" t="s">
        <v>7883</v>
      </c>
      <c r="R8298" s="303"/>
    </row>
    <row r="8299" spans="1:18" s="162" customFormat="1" ht="168" x14ac:dyDescent="0.25">
      <c r="A8299" s="184">
        <v>44019</v>
      </c>
      <c r="B8299" s="184">
        <v>44019</v>
      </c>
      <c r="C8299" s="138">
        <v>2020</v>
      </c>
      <c r="D8299" s="351" t="s">
        <v>23</v>
      </c>
      <c r="E8299" s="22" t="s">
        <v>86</v>
      </c>
      <c r="F8299" s="7" t="s">
        <v>65</v>
      </c>
      <c r="G8299" s="33" t="s">
        <v>11269</v>
      </c>
      <c r="H8299" s="33" t="s">
        <v>11270</v>
      </c>
      <c r="I8299" s="157">
        <v>0</v>
      </c>
      <c r="J8299" s="305">
        <v>35</v>
      </c>
      <c r="K8299" s="142">
        <v>14</v>
      </c>
      <c r="L8299" s="142">
        <v>0</v>
      </c>
      <c r="M8299" s="142">
        <v>0</v>
      </c>
      <c r="N8299" s="142">
        <v>0</v>
      </c>
      <c r="O8299" s="305">
        <v>0</v>
      </c>
      <c r="P8299" s="306">
        <v>0.28918449000000002</v>
      </c>
      <c r="Q8299" s="157" t="s">
        <v>154</v>
      </c>
      <c r="R8299" s="303"/>
    </row>
    <row r="8300" spans="1:18" s="162" customFormat="1" ht="84" x14ac:dyDescent="0.25">
      <c r="A8300" s="184">
        <v>44021</v>
      </c>
      <c r="B8300" s="184">
        <v>44021</v>
      </c>
      <c r="C8300" s="138">
        <v>2020</v>
      </c>
      <c r="D8300" s="24" t="s">
        <v>141</v>
      </c>
      <c r="E8300" s="30" t="s">
        <v>142</v>
      </c>
      <c r="F8300" s="7" t="s">
        <v>40</v>
      </c>
      <c r="G8300" s="33" t="s">
        <v>6666</v>
      </c>
      <c r="H8300" s="33" t="s">
        <v>11271</v>
      </c>
      <c r="I8300" s="157">
        <v>0</v>
      </c>
      <c r="J8300" s="305">
        <v>0</v>
      </c>
      <c r="K8300" s="142">
        <v>0</v>
      </c>
      <c r="L8300" s="142">
        <v>0</v>
      </c>
      <c r="M8300" s="142">
        <v>0</v>
      </c>
      <c r="N8300" s="142">
        <v>0</v>
      </c>
      <c r="O8300" s="305">
        <v>0</v>
      </c>
      <c r="P8300" s="306">
        <v>5.4372292783792826</v>
      </c>
      <c r="Q8300" s="157" t="s">
        <v>154</v>
      </c>
      <c r="R8300" s="303"/>
    </row>
    <row r="8301" spans="1:18" s="162" customFormat="1" ht="132" x14ac:dyDescent="0.25">
      <c r="A8301" s="184">
        <v>44021</v>
      </c>
      <c r="B8301" s="184">
        <v>44022</v>
      </c>
      <c r="C8301" s="138">
        <v>2020</v>
      </c>
      <c r="D8301" s="24" t="s">
        <v>141</v>
      </c>
      <c r="E8301" s="30" t="s">
        <v>142</v>
      </c>
      <c r="F8301" s="7" t="s">
        <v>53</v>
      </c>
      <c r="G8301" s="33" t="s">
        <v>1844</v>
      </c>
      <c r="H8301" s="33" t="s">
        <v>11272</v>
      </c>
      <c r="I8301" s="157">
        <v>0</v>
      </c>
      <c r="J8301" s="305">
        <v>8</v>
      </c>
      <c r="K8301" s="142">
        <v>0</v>
      </c>
      <c r="L8301" s="142">
        <v>0</v>
      </c>
      <c r="M8301" s="142">
        <v>0</v>
      </c>
      <c r="N8301" s="142">
        <v>0</v>
      </c>
      <c r="O8301" s="305">
        <v>0</v>
      </c>
      <c r="P8301" s="306">
        <v>0.91712317220930228</v>
      </c>
      <c r="Q8301" s="157" t="s">
        <v>154</v>
      </c>
      <c r="R8301" s="303"/>
    </row>
    <row r="8302" spans="1:18" s="162" customFormat="1" ht="144" x14ac:dyDescent="0.25">
      <c r="A8302" s="184">
        <v>44022</v>
      </c>
      <c r="B8302" s="184">
        <v>44022</v>
      </c>
      <c r="C8302" s="138">
        <v>2020</v>
      </c>
      <c r="D8302" s="24" t="s">
        <v>141</v>
      </c>
      <c r="E8302" s="30" t="s">
        <v>142</v>
      </c>
      <c r="F8302" s="7" t="s">
        <v>91</v>
      </c>
      <c r="G8302" s="33" t="s">
        <v>2315</v>
      </c>
      <c r="H8302" s="33" t="s">
        <v>11273</v>
      </c>
      <c r="I8302" s="157">
        <v>0</v>
      </c>
      <c r="J8302" s="305">
        <v>3</v>
      </c>
      <c r="K8302" s="142">
        <v>0</v>
      </c>
      <c r="L8302" s="142">
        <v>0</v>
      </c>
      <c r="M8302" s="142">
        <v>0</v>
      </c>
      <c r="N8302" s="142">
        <v>0</v>
      </c>
      <c r="O8302" s="305">
        <v>0</v>
      </c>
      <c r="P8302" s="306">
        <v>5.4361402783792832</v>
      </c>
      <c r="Q8302" s="157" t="s">
        <v>154</v>
      </c>
      <c r="R8302" s="303"/>
    </row>
    <row r="8303" spans="1:18" s="162" customFormat="1" ht="132" x14ac:dyDescent="0.25">
      <c r="A8303" s="184">
        <v>44022</v>
      </c>
      <c r="B8303" s="184">
        <v>44022</v>
      </c>
      <c r="C8303" s="138">
        <v>2020</v>
      </c>
      <c r="D8303" s="35" t="s">
        <v>28</v>
      </c>
      <c r="E8303" s="6" t="s">
        <v>149</v>
      </c>
      <c r="F8303" s="7" t="s">
        <v>56</v>
      </c>
      <c r="G8303" s="33" t="s">
        <v>358</v>
      </c>
      <c r="H8303" s="33" t="s">
        <v>11274</v>
      </c>
      <c r="I8303" s="157">
        <v>0</v>
      </c>
      <c r="J8303" s="305">
        <v>52</v>
      </c>
      <c r="K8303" s="142">
        <v>0</v>
      </c>
      <c r="L8303" s="142">
        <v>0</v>
      </c>
      <c r="M8303" s="142">
        <v>0</v>
      </c>
      <c r="N8303" s="142">
        <v>0</v>
      </c>
      <c r="O8303" s="305">
        <v>0</v>
      </c>
      <c r="P8303" s="306">
        <v>0</v>
      </c>
      <c r="Q8303" s="157" t="s">
        <v>154</v>
      </c>
      <c r="R8303" s="303"/>
    </row>
    <row r="8304" spans="1:18" s="162" customFormat="1" ht="120" x14ac:dyDescent="0.25">
      <c r="A8304" s="184">
        <v>44024</v>
      </c>
      <c r="B8304" s="184">
        <v>44024</v>
      </c>
      <c r="C8304" s="138">
        <v>2020</v>
      </c>
      <c r="D8304" s="24" t="s">
        <v>141</v>
      </c>
      <c r="E8304" s="30" t="s">
        <v>142</v>
      </c>
      <c r="F8304" s="28" t="s">
        <v>157</v>
      </c>
      <c r="G8304" s="33" t="s">
        <v>857</v>
      </c>
      <c r="H8304" s="33" t="s">
        <v>11275</v>
      </c>
      <c r="I8304" s="157">
        <v>0</v>
      </c>
      <c r="J8304" s="305">
        <v>5</v>
      </c>
      <c r="K8304" s="142">
        <v>0</v>
      </c>
      <c r="L8304" s="142">
        <v>0</v>
      </c>
      <c r="M8304" s="142">
        <v>0</v>
      </c>
      <c r="N8304" s="142">
        <v>0</v>
      </c>
      <c r="O8304" s="305">
        <v>0</v>
      </c>
      <c r="P8304" s="306">
        <v>0.10056768699999999</v>
      </c>
      <c r="Q8304" s="157" t="s">
        <v>154</v>
      </c>
      <c r="R8304" s="303"/>
    </row>
    <row r="8305" spans="1:18" s="162" customFormat="1" ht="168" x14ac:dyDescent="0.25">
      <c r="A8305" s="184">
        <v>44024</v>
      </c>
      <c r="B8305" s="184">
        <v>44024</v>
      </c>
      <c r="C8305" s="138">
        <v>2020</v>
      </c>
      <c r="D8305" s="351" t="s">
        <v>23</v>
      </c>
      <c r="E8305" s="22" t="s">
        <v>86</v>
      </c>
      <c r="F8305" s="7" t="s">
        <v>72</v>
      </c>
      <c r="G8305" s="33" t="s">
        <v>11276</v>
      </c>
      <c r="H8305" s="33" t="s">
        <v>11277</v>
      </c>
      <c r="I8305" s="157">
        <v>2</v>
      </c>
      <c r="J8305" s="305">
        <v>861</v>
      </c>
      <c r="K8305" s="142">
        <v>33</v>
      </c>
      <c r="L8305" s="142">
        <v>0</v>
      </c>
      <c r="M8305" s="142">
        <v>0</v>
      </c>
      <c r="N8305" s="142">
        <v>0</v>
      </c>
      <c r="O8305" s="305">
        <v>0</v>
      </c>
      <c r="P8305" s="306">
        <v>2.8576199099999999</v>
      </c>
      <c r="Q8305" s="157" t="s">
        <v>7883</v>
      </c>
      <c r="R8305" s="303"/>
    </row>
    <row r="8306" spans="1:18" s="162" customFormat="1" ht="84" x14ac:dyDescent="0.25">
      <c r="A8306" s="184">
        <v>44024</v>
      </c>
      <c r="B8306" s="184">
        <v>44024</v>
      </c>
      <c r="C8306" s="138">
        <v>2020</v>
      </c>
      <c r="D8306" s="351" t="s">
        <v>23</v>
      </c>
      <c r="E8306" s="22" t="s">
        <v>86</v>
      </c>
      <c r="F8306" s="7" t="s">
        <v>67</v>
      </c>
      <c r="G8306" s="33" t="s">
        <v>2973</v>
      </c>
      <c r="H8306" s="33" t="s">
        <v>11278</v>
      </c>
      <c r="I8306" s="157">
        <v>1</v>
      </c>
      <c r="J8306" s="305">
        <v>13</v>
      </c>
      <c r="K8306" s="142">
        <v>3</v>
      </c>
      <c r="L8306" s="142">
        <v>0</v>
      </c>
      <c r="M8306" s="142">
        <v>0</v>
      </c>
      <c r="N8306" s="142">
        <v>1</v>
      </c>
      <c r="O8306" s="305">
        <v>0</v>
      </c>
      <c r="P8306" s="306">
        <v>1.3638249999999999E-2</v>
      </c>
      <c r="Q8306" s="157" t="s">
        <v>154</v>
      </c>
      <c r="R8306" s="303"/>
    </row>
    <row r="8307" spans="1:18" s="162" customFormat="1" ht="132" x14ac:dyDescent="0.25">
      <c r="A8307" s="184">
        <v>44025</v>
      </c>
      <c r="B8307" s="184">
        <v>44025</v>
      </c>
      <c r="C8307" s="138">
        <v>2020</v>
      </c>
      <c r="D8307" s="35" t="s">
        <v>17</v>
      </c>
      <c r="E8307" s="6" t="s">
        <v>328</v>
      </c>
      <c r="F8307" s="7" t="s">
        <v>72</v>
      </c>
      <c r="G8307" s="33" t="s">
        <v>8748</v>
      </c>
      <c r="H8307" s="33" t="s">
        <v>11279</v>
      </c>
      <c r="I8307" s="157">
        <v>2</v>
      </c>
      <c r="J8307" s="305">
        <v>886</v>
      </c>
      <c r="K8307" s="142">
        <v>5</v>
      </c>
      <c r="L8307" s="142">
        <v>0</v>
      </c>
      <c r="M8307" s="142">
        <v>0</v>
      </c>
      <c r="N8307" s="142">
        <v>0</v>
      </c>
      <c r="O8307" s="305">
        <v>0</v>
      </c>
      <c r="P8307" s="306">
        <v>9.639634513459999</v>
      </c>
      <c r="Q8307" s="157" t="s">
        <v>7883</v>
      </c>
      <c r="R8307" s="303"/>
    </row>
    <row r="8308" spans="1:18" s="162" customFormat="1" ht="96" x14ac:dyDescent="0.25">
      <c r="A8308" s="184">
        <v>44025</v>
      </c>
      <c r="B8308" s="184">
        <v>44025</v>
      </c>
      <c r="C8308" s="138">
        <v>2020</v>
      </c>
      <c r="D8308" s="35" t="s">
        <v>28</v>
      </c>
      <c r="E8308" s="30" t="s">
        <v>133</v>
      </c>
      <c r="F8308" s="7" t="s">
        <v>82</v>
      </c>
      <c r="G8308" s="33" t="s">
        <v>82</v>
      </c>
      <c r="H8308" s="33" t="s">
        <v>11280</v>
      </c>
      <c r="I8308" s="157">
        <v>0</v>
      </c>
      <c r="J8308" s="305">
        <v>0</v>
      </c>
      <c r="K8308" s="142">
        <v>3</v>
      </c>
      <c r="L8308" s="142">
        <v>0</v>
      </c>
      <c r="M8308" s="142">
        <v>0</v>
      </c>
      <c r="N8308" s="142">
        <v>0</v>
      </c>
      <c r="O8308" s="305">
        <v>0</v>
      </c>
      <c r="P8308" s="306">
        <v>1.6968105000000004E-2</v>
      </c>
      <c r="Q8308" s="157" t="s">
        <v>154</v>
      </c>
      <c r="R8308" s="303"/>
    </row>
    <row r="8309" spans="1:18" s="162" customFormat="1" ht="84" x14ac:dyDescent="0.25">
      <c r="A8309" s="184">
        <v>44025</v>
      </c>
      <c r="B8309" s="184">
        <v>44026</v>
      </c>
      <c r="C8309" s="138">
        <v>2020</v>
      </c>
      <c r="D8309" s="351" t="s">
        <v>23</v>
      </c>
      <c r="E8309" s="22" t="s">
        <v>86</v>
      </c>
      <c r="F8309" s="7" t="s">
        <v>36</v>
      </c>
      <c r="G8309" s="33" t="s">
        <v>1210</v>
      </c>
      <c r="H8309" s="33" t="s">
        <v>11281</v>
      </c>
      <c r="I8309" s="157">
        <v>0</v>
      </c>
      <c r="J8309" s="305">
        <v>40</v>
      </c>
      <c r="K8309" s="142">
        <v>10</v>
      </c>
      <c r="L8309" s="142">
        <v>0</v>
      </c>
      <c r="M8309" s="142">
        <v>0</v>
      </c>
      <c r="N8309" s="142">
        <v>0</v>
      </c>
      <c r="O8309" s="305">
        <v>0</v>
      </c>
      <c r="P8309" s="306">
        <v>1.6362499999999999E-2</v>
      </c>
      <c r="Q8309" s="157" t="s">
        <v>154</v>
      </c>
      <c r="R8309" s="303"/>
    </row>
    <row r="8310" spans="1:18" s="162" customFormat="1" x14ac:dyDescent="0.25">
      <c r="A8310" s="184">
        <v>44026</v>
      </c>
      <c r="B8310" s="184">
        <v>44026</v>
      </c>
      <c r="C8310" s="138">
        <v>2020</v>
      </c>
      <c r="D8310" s="351" t="s">
        <v>23</v>
      </c>
      <c r="E8310" s="49" t="s">
        <v>5893</v>
      </c>
      <c r="F8310" s="7" t="s">
        <v>101</v>
      </c>
      <c r="G8310" s="206" t="s">
        <v>26</v>
      </c>
      <c r="H8310" s="44" t="s">
        <v>11282</v>
      </c>
      <c r="I8310" s="157">
        <v>0</v>
      </c>
      <c r="J8310" s="305">
        <v>556</v>
      </c>
      <c r="K8310" s="142">
        <v>0</v>
      </c>
      <c r="L8310" s="142">
        <v>0</v>
      </c>
      <c r="M8310" s="142">
        <v>0</v>
      </c>
      <c r="N8310" s="142">
        <v>0</v>
      </c>
      <c r="O8310" s="305">
        <v>0</v>
      </c>
      <c r="P8310" s="306">
        <v>0.85497803999999999</v>
      </c>
      <c r="Q8310" s="157" t="s">
        <v>7883</v>
      </c>
      <c r="R8310" s="303"/>
    </row>
    <row r="8311" spans="1:18" s="162" customFormat="1" ht="408" x14ac:dyDescent="0.25">
      <c r="A8311" s="184">
        <v>44027</v>
      </c>
      <c r="B8311" s="184">
        <v>44027</v>
      </c>
      <c r="C8311" s="138">
        <v>2020</v>
      </c>
      <c r="D8311" s="351" t="s">
        <v>23</v>
      </c>
      <c r="E8311" s="49" t="s">
        <v>323</v>
      </c>
      <c r="F8311" s="7" t="s">
        <v>77</v>
      </c>
      <c r="G8311" s="33" t="s">
        <v>2954</v>
      </c>
      <c r="H8311" s="33" t="s">
        <v>11283</v>
      </c>
      <c r="I8311" s="157">
        <v>0</v>
      </c>
      <c r="J8311" s="305">
        <v>0</v>
      </c>
      <c r="K8311" s="142">
        <v>0</v>
      </c>
      <c r="L8311" s="142">
        <v>1</v>
      </c>
      <c r="M8311" s="142">
        <v>0</v>
      </c>
      <c r="N8311" s="142">
        <v>0</v>
      </c>
      <c r="O8311" s="305">
        <v>0</v>
      </c>
      <c r="P8311" s="306">
        <v>27.261166391896417</v>
      </c>
      <c r="Q8311" s="157" t="s">
        <v>154</v>
      </c>
      <c r="R8311" s="303"/>
    </row>
    <row r="8312" spans="1:18" s="162" customFormat="1" ht="336" x14ac:dyDescent="0.25">
      <c r="A8312" s="184">
        <v>44027</v>
      </c>
      <c r="B8312" s="184">
        <v>44027</v>
      </c>
      <c r="C8312" s="138">
        <v>2020</v>
      </c>
      <c r="D8312" s="351" t="s">
        <v>23</v>
      </c>
      <c r="E8312" s="49" t="s">
        <v>5893</v>
      </c>
      <c r="F8312" s="7" t="s">
        <v>36</v>
      </c>
      <c r="G8312" s="33" t="s">
        <v>854</v>
      </c>
      <c r="H8312" s="33" t="s">
        <v>11284</v>
      </c>
      <c r="I8312" s="157">
        <v>0</v>
      </c>
      <c r="J8312" s="305">
        <v>24607</v>
      </c>
      <c r="K8312" s="142">
        <v>170</v>
      </c>
      <c r="L8312" s="142">
        <v>0</v>
      </c>
      <c r="M8312" s="142">
        <v>0</v>
      </c>
      <c r="N8312" s="142">
        <v>0</v>
      </c>
      <c r="O8312" s="305">
        <v>0</v>
      </c>
      <c r="P8312" s="306">
        <v>40.899408414400014</v>
      </c>
      <c r="Q8312" s="157" t="s">
        <v>7883</v>
      </c>
      <c r="R8312" s="303"/>
    </row>
    <row r="8313" spans="1:18" s="162" customFormat="1" ht="144" x14ac:dyDescent="0.25">
      <c r="A8313" s="184">
        <v>44028</v>
      </c>
      <c r="B8313" s="184">
        <v>44028</v>
      </c>
      <c r="C8313" s="138">
        <v>2020</v>
      </c>
      <c r="D8313" s="35" t="s">
        <v>28</v>
      </c>
      <c r="E8313" s="30" t="s">
        <v>133</v>
      </c>
      <c r="F8313" s="28" t="s">
        <v>210</v>
      </c>
      <c r="G8313" s="33" t="s">
        <v>4296</v>
      </c>
      <c r="H8313" s="33" t="s">
        <v>11285</v>
      </c>
      <c r="I8313" s="157">
        <v>0</v>
      </c>
      <c r="J8313" s="305">
        <v>3</v>
      </c>
      <c r="K8313" s="142">
        <v>0</v>
      </c>
      <c r="L8313" s="142">
        <v>0</v>
      </c>
      <c r="M8313" s="142">
        <v>0</v>
      </c>
      <c r="N8313" s="142">
        <v>0</v>
      </c>
      <c r="O8313" s="305">
        <v>0</v>
      </c>
      <c r="P8313" s="306">
        <v>0.20163187000000002</v>
      </c>
      <c r="Q8313" s="157" t="s">
        <v>154</v>
      </c>
      <c r="R8313" s="303"/>
    </row>
    <row r="8314" spans="1:18" s="162" customFormat="1" ht="276" x14ac:dyDescent="0.25">
      <c r="A8314" s="184">
        <v>44029</v>
      </c>
      <c r="B8314" s="184">
        <v>44032</v>
      </c>
      <c r="C8314" s="138">
        <v>2020</v>
      </c>
      <c r="D8314" s="24" t="s">
        <v>141</v>
      </c>
      <c r="E8314" s="30" t="s">
        <v>142</v>
      </c>
      <c r="F8314" s="28" t="s">
        <v>210</v>
      </c>
      <c r="G8314" s="33" t="s">
        <v>921</v>
      </c>
      <c r="H8314" s="33" t="s">
        <v>11286</v>
      </c>
      <c r="I8314" s="157">
        <v>2</v>
      </c>
      <c r="J8314" s="305">
        <v>9</v>
      </c>
      <c r="K8314" s="142">
        <v>0</v>
      </c>
      <c r="L8314" s="142">
        <v>0</v>
      </c>
      <c r="M8314" s="142">
        <v>0</v>
      </c>
      <c r="N8314" s="142">
        <v>0</v>
      </c>
      <c r="O8314" s="305">
        <v>0</v>
      </c>
      <c r="P8314" s="306">
        <v>7.6230000000000022E-3</v>
      </c>
      <c r="Q8314" s="157" t="s">
        <v>154</v>
      </c>
      <c r="R8314" s="303"/>
    </row>
    <row r="8315" spans="1:18" s="162" customFormat="1" ht="72" x14ac:dyDescent="0.25">
      <c r="A8315" s="184">
        <v>44031</v>
      </c>
      <c r="B8315" s="184">
        <v>44032</v>
      </c>
      <c r="C8315" s="138">
        <v>2020</v>
      </c>
      <c r="D8315" s="351" t="s">
        <v>23</v>
      </c>
      <c r="E8315" s="22" t="s">
        <v>86</v>
      </c>
      <c r="F8315" s="7" t="s">
        <v>97</v>
      </c>
      <c r="G8315" s="33" t="s">
        <v>97</v>
      </c>
      <c r="H8315" s="33" t="s">
        <v>11287</v>
      </c>
      <c r="I8315" s="157">
        <v>0</v>
      </c>
      <c r="J8315" s="305">
        <v>32</v>
      </c>
      <c r="K8315" s="142">
        <v>8</v>
      </c>
      <c r="L8315" s="142">
        <v>0</v>
      </c>
      <c r="M8315" s="142">
        <v>0</v>
      </c>
      <c r="N8315" s="142">
        <v>0</v>
      </c>
      <c r="O8315" s="305">
        <v>0</v>
      </c>
      <c r="P8315" s="306">
        <v>0</v>
      </c>
      <c r="Q8315" s="157" t="s">
        <v>154</v>
      </c>
      <c r="R8315" s="303"/>
    </row>
    <row r="8316" spans="1:18" s="162" customFormat="1" ht="228" x14ac:dyDescent="0.25">
      <c r="A8316" s="184">
        <v>44032</v>
      </c>
      <c r="B8316" s="184">
        <v>44032</v>
      </c>
      <c r="C8316" s="138">
        <v>2020</v>
      </c>
      <c r="D8316" s="35" t="s">
        <v>28</v>
      </c>
      <c r="E8316" s="30" t="s">
        <v>133</v>
      </c>
      <c r="F8316" s="28" t="s">
        <v>210</v>
      </c>
      <c r="G8316" s="33" t="s">
        <v>2303</v>
      </c>
      <c r="H8316" s="33" t="s">
        <v>11288</v>
      </c>
      <c r="I8316" s="157">
        <v>0</v>
      </c>
      <c r="J8316" s="305">
        <v>206</v>
      </c>
      <c r="K8316" s="142">
        <v>1</v>
      </c>
      <c r="L8316" s="142">
        <v>0</v>
      </c>
      <c r="M8316" s="142">
        <v>0</v>
      </c>
      <c r="N8316" s="142">
        <v>0</v>
      </c>
      <c r="O8316" s="305">
        <v>0</v>
      </c>
      <c r="P8316" s="306">
        <v>0.61750952999999997</v>
      </c>
      <c r="Q8316" s="157" t="s">
        <v>154</v>
      </c>
      <c r="R8316" s="303"/>
    </row>
    <row r="8317" spans="1:18" s="162" customFormat="1" ht="132" x14ac:dyDescent="0.25">
      <c r="A8317" s="184">
        <v>44034</v>
      </c>
      <c r="B8317" s="184">
        <v>44034</v>
      </c>
      <c r="C8317" s="138">
        <v>2020</v>
      </c>
      <c r="D8317" s="35" t="s">
        <v>28</v>
      </c>
      <c r="E8317" s="6" t="s">
        <v>149</v>
      </c>
      <c r="F8317" s="7" t="s">
        <v>60</v>
      </c>
      <c r="G8317" s="33" t="s">
        <v>908</v>
      </c>
      <c r="H8317" s="33" t="s">
        <v>11289</v>
      </c>
      <c r="I8317" s="157">
        <v>0</v>
      </c>
      <c r="J8317" s="305">
        <v>41</v>
      </c>
      <c r="K8317" s="142">
        <v>0</v>
      </c>
      <c r="L8317" s="142">
        <v>0</v>
      </c>
      <c r="M8317" s="142">
        <v>0</v>
      </c>
      <c r="N8317" s="142">
        <v>0</v>
      </c>
      <c r="O8317" s="305">
        <v>0</v>
      </c>
      <c r="P8317" s="306">
        <v>0</v>
      </c>
      <c r="Q8317" s="157" t="s">
        <v>154</v>
      </c>
      <c r="R8317" s="303"/>
    </row>
    <row r="8318" spans="1:18" s="162" customFormat="1" ht="84" x14ac:dyDescent="0.25">
      <c r="A8318" s="184">
        <v>44034</v>
      </c>
      <c r="B8318" s="184">
        <v>44034</v>
      </c>
      <c r="C8318" s="138">
        <v>2020</v>
      </c>
      <c r="D8318" s="24" t="s">
        <v>141</v>
      </c>
      <c r="E8318" s="30" t="s">
        <v>142</v>
      </c>
      <c r="F8318" s="7" t="s">
        <v>30</v>
      </c>
      <c r="G8318" s="33" t="s">
        <v>1078</v>
      </c>
      <c r="H8318" s="33" t="s">
        <v>11290</v>
      </c>
      <c r="I8318" s="157">
        <v>1</v>
      </c>
      <c r="J8318" s="305">
        <v>19</v>
      </c>
      <c r="K8318" s="142">
        <v>0</v>
      </c>
      <c r="L8318" s="142">
        <v>0</v>
      </c>
      <c r="M8318" s="142">
        <v>0</v>
      </c>
      <c r="N8318" s="142">
        <v>0</v>
      </c>
      <c r="O8318" s="305">
        <v>0</v>
      </c>
      <c r="P8318" s="306">
        <v>0.80513400000000002</v>
      </c>
      <c r="Q8318" s="157" t="s">
        <v>154</v>
      </c>
      <c r="R8318" s="303"/>
    </row>
    <row r="8319" spans="1:18" s="162" customFormat="1" x14ac:dyDescent="0.25">
      <c r="A8319" s="184">
        <v>44034</v>
      </c>
      <c r="B8319" s="184">
        <v>44034</v>
      </c>
      <c r="C8319" s="138">
        <v>2020</v>
      </c>
      <c r="D8319" s="351" t="s">
        <v>23</v>
      </c>
      <c r="E8319" s="22" t="s">
        <v>86</v>
      </c>
      <c r="F8319" s="7" t="s">
        <v>45</v>
      </c>
      <c r="G8319" s="206" t="s">
        <v>26</v>
      </c>
      <c r="H8319" s="44" t="s">
        <v>11291</v>
      </c>
      <c r="I8319" s="157">
        <v>0</v>
      </c>
      <c r="J8319" s="305">
        <v>398</v>
      </c>
      <c r="K8319" s="142">
        <v>0</v>
      </c>
      <c r="L8319" s="142">
        <v>0</v>
      </c>
      <c r="M8319" s="142">
        <v>0</v>
      </c>
      <c r="N8319" s="142">
        <v>0</v>
      </c>
      <c r="O8319" s="305">
        <v>0</v>
      </c>
      <c r="P8319" s="306">
        <v>2.7305522568000007</v>
      </c>
      <c r="Q8319" s="157" t="s">
        <v>7883</v>
      </c>
      <c r="R8319" s="303"/>
    </row>
    <row r="8320" spans="1:18" s="162" customFormat="1" ht="168" x14ac:dyDescent="0.25">
      <c r="A8320" s="184">
        <v>44036</v>
      </c>
      <c r="B8320" s="184">
        <v>44036</v>
      </c>
      <c r="C8320" s="138">
        <v>2020</v>
      </c>
      <c r="D8320" s="35" t="s">
        <v>28</v>
      </c>
      <c r="E8320" s="6" t="s">
        <v>149</v>
      </c>
      <c r="F8320" s="7" t="s">
        <v>56</v>
      </c>
      <c r="G8320" s="33" t="s">
        <v>1707</v>
      </c>
      <c r="H8320" s="33" t="s">
        <v>11292</v>
      </c>
      <c r="I8320" s="157">
        <v>0</v>
      </c>
      <c r="J8320" s="305">
        <v>68</v>
      </c>
      <c r="K8320" s="142">
        <v>0</v>
      </c>
      <c r="L8320" s="142">
        <v>0</v>
      </c>
      <c r="M8320" s="142">
        <v>0</v>
      </c>
      <c r="N8320" s="142">
        <v>0</v>
      </c>
      <c r="O8320" s="305">
        <v>0</v>
      </c>
      <c r="P8320" s="306">
        <v>2.3565960000000001</v>
      </c>
      <c r="Q8320" s="157" t="s">
        <v>154</v>
      </c>
      <c r="R8320" s="303"/>
    </row>
    <row r="8321" spans="1:18" s="162" customFormat="1" ht="132" x14ac:dyDescent="0.25">
      <c r="A8321" s="184">
        <v>44036</v>
      </c>
      <c r="B8321" s="184">
        <v>44040</v>
      </c>
      <c r="C8321" s="138">
        <v>2020</v>
      </c>
      <c r="D8321" s="351" t="s">
        <v>23</v>
      </c>
      <c r="E8321" s="14" t="s">
        <v>32</v>
      </c>
      <c r="F8321" s="7" t="s">
        <v>49</v>
      </c>
      <c r="G8321" s="33" t="s">
        <v>1206</v>
      </c>
      <c r="H8321" s="33" t="s">
        <v>11293</v>
      </c>
      <c r="I8321" s="157">
        <v>0</v>
      </c>
      <c r="J8321" s="305">
        <v>1758</v>
      </c>
      <c r="K8321" s="142">
        <v>50</v>
      </c>
      <c r="L8321" s="142">
        <v>0</v>
      </c>
      <c r="M8321" s="142">
        <v>0</v>
      </c>
      <c r="N8321" s="142">
        <v>0</v>
      </c>
      <c r="O8321" s="305">
        <v>0</v>
      </c>
      <c r="P8321" s="306">
        <v>30.8879132892</v>
      </c>
      <c r="Q8321" s="157" t="s">
        <v>7883</v>
      </c>
      <c r="R8321" s="303"/>
    </row>
    <row r="8322" spans="1:18" s="162" customFormat="1" ht="60" x14ac:dyDescent="0.25">
      <c r="A8322" s="184">
        <v>44037</v>
      </c>
      <c r="B8322" s="184">
        <v>44037</v>
      </c>
      <c r="C8322" s="138">
        <v>2020</v>
      </c>
      <c r="D8322" s="24" t="s">
        <v>141</v>
      </c>
      <c r="E8322" s="30" t="s">
        <v>142</v>
      </c>
      <c r="F8322" s="7" t="s">
        <v>56</v>
      </c>
      <c r="G8322" s="33" t="s">
        <v>6919</v>
      </c>
      <c r="H8322" s="33" t="s">
        <v>11294</v>
      </c>
      <c r="I8322" s="157">
        <v>0</v>
      </c>
      <c r="J8322" s="305">
        <v>1</v>
      </c>
      <c r="K8322" s="142">
        <v>0</v>
      </c>
      <c r="L8322" s="142">
        <v>0</v>
      </c>
      <c r="M8322" s="142">
        <v>0</v>
      </c>
      <c r="N8322" s="142">
        <v>0</v>
      </c>
      <c r="O8322" s="305">
        <v>0</v>
      </c>
      <c r="P8322" s="306">
        <v>0.54437632783792811</v>
      </c>
      <c r="Q8322" s="157" t="s">
        <v>154</v>
      </c>
      <c r="R8322" s="303"/>
    </row>
    <row r="8323" spans="1:18" s="162" customFormat="1" ht="120" x14ac:dyDescent="0.25">
      <c r="A8323" s="184">
        <v>44037</v>
      </c>
      <c r="B8323" s="184">
        <v>44038</v>
      </c>
      <c r="C8323" s="138">
        <v>2020</v>
      </c>
      <c r="D8323" s="351" t="s">
        <v>23</v>
      </c>
      <c r="E8323" s="22" t="s">
        <v>86</v>
      </c>
      <c r="F8323" s="7" t="s">
        <v>60</v>
      </c>
      <c r="G8323" s="33" t="s">
        <v>11295</v>
      </c>
      <c r="H8323" s="33" t="s">
        <v>11296</v>
      </c>
      <c r="I8323" s="157">
        <v>0</v>
      </c>
      <c r="J8323" s="305">
        <v>48</v>
      </c>
      <c r="K8323" s="142">
        <v>12</v>
      </c>
      <c r="L8323" s="142">
        <v>0</v>
      </c>
      <c r="M8323" s="142">
        <v>0</v>
      </c>
      <c r="N8323" s="142">
        <v>0</v>
      </c>
      <c r="O8323" s="305">
        <v>0</v>
      </c>
      <c r="P8323" s="306">
        <v>0.491753</v>
      </c>
      <c r="Q8323" s="157" t="s">
        <v>154</v>
      </c>
      <c r="R8323" s="303"/>
    </row>
    <row r="8324" spans="1:18" s="162" customFormat="1" ht="144" x14ac:dyDescent="0.25">
      <c r="A8324" s="184">
        <v>44038</v>
      </c>
      <c r="B8324" s="184">
        <v>44038</v>
      </c>
      <c r="C8324" s="138">
        <v>2020</v>
      </c>
      <c r="D8324" s="35" t="s">
        <v>28</v>
      </c>
      <c r="E8324" s="6" t="s">
        <v>149</v>
      </c>
      <c r="F8324" s="7" t="s">
        <v>60</v>
      </c>
      <c r="G8324" s="33" t="s">
        <v>1605</v>
      </c>
      <c r="H8324" s="33" t="s">
        <v>11297</v>
      </c>
      <c r="I8324" s="157">
        <v>0</v>
      </c>
      <c r="J8324" s="305">
        <v>5</v>
      </c>
      <c r="K8324" s="142">
        <v>1</v>
      </c>
      <c r="L8324" s="142">
        <v>0</v>
      </c>
      <c r="M8324" s="142">
        <v>0</v>
      </c>
      <c r="N8324" s="142">
        <v>0</v>
      </c>
      <c r="O8324" s="305">
        <v>0</v>
      </c>
      <c r="P8324" s="306">
        <v>3.925894500000001E-2</v>
      </c>
      <c r="Q8324" s="157" t="s">
        <v>154</v>
      </c>
      <c r="R8324" s="303"/>
    </row>
    <row r="8325" spans="1:18" s="162" customFormat="1" ht="108" x14ac:dyDescent="0.25">
      <c r="A8325" s="184">
        <v>44038</v>
      </c>
      <c r="B8325" s="184">
        <v>44038</v>
      </c>
      <c r="C8325" s="138">
        <v>2020</v>
      </c>
      <c r="D8325" s="351" t="s">
        <v>23</v>
      </c>
      <c r="E8325" s="14" t="s">
        <v>32</v>
      </c>
      <c r="F8325" s="7" t="s">
        <v>45</v>
      </c>
      <c r="G8325" s="33" t="s">
        <v>259</v>
      </c>
      <c r="H8325" s="33" t="s">
        <v>11298</v>
      </c>
      <c r="I8325" s="157">
        <v>3</v>
      </c>
      <c r="J8325" s="305">
        <v>7645</v>
      </c>
      <c r="K8325" s="142">
        <v>14</v>
      </c>
      <c r="L8325" s="142">
        <v>0</v>
      </c>
      <c r="M8325" s="142">
        <v>0</v>
      </c>
      <c r="N8325" s="142">
        <v>1</v>
      </c>
      <c r="O8325" s="305">
        <v>0</v>
      </c>
      <c r="P8325" s="306">
        <v>21.719174118159987</v>
      </c>
      <c r="Q8325" s="157" t="s">
        <v>7883</v>
      </c>
      <c r="R8325" s="303"/>
    </row>
    <row r="8326" spans="1:18" s="162" customFormat="1" ht="288" x14ac:dyDescent="0.25">
      <c r="A8326" s="184">
        <v>44038</v>
      </c>
      <c r="B8326" s="184">
        <v>44038</v>
      </c>
      <c r="C8326" s="138">
        <v>2020</v>
      </c>
      <c r="D8326" s="351" t="s">
        <v>23</v>
      </c>
      <c r="E8326" s="14" t="s">
        <v>32</v>
      </c>
      <c r="F8326" s="7" t="s">
        <v>91</v>
      </c>
      <c r="G8326" s="33" t="s">
        <v>2315</v>
      </c>
      <c r="H8326" s="33" t="s">
        <v>11299</v>
      </c>
      <c r="I8326" s="157">
        <v>1</v>
      </c>
      <c r="J8326" s="305">
        <v>40505</v>
      </c>
      <c r="K8326" s="142">
        <v>0</v>
      </c>
      <c r="L8326" s="142">
        <v>0</v>
      </c>
      <c r="M8326" s="142">
        <v>1</v>
      </c>
      <c r="N8326" s="142">
        <v>0</v>
      </c>
      <c r="O8326" s="305">
        <v>0</v>
      </c>
      <c r="P8326" s="306">
        <v>183.67203872695995</v>
      </c>
      <c r="Q8326" s="157" t="s">
        <v>7883</v>
      </c>
      <c r="R8326" s="303"/>
    </row>
    <row r="8327" spans="1:18" s="162" customFormat="1" ht="24" x14ac:dyDescent="0.25">
      <c r="A8327" s="184">
        <v>44039</v>
      </c>
      <c r="B8327" s="184">
        <v>44039</v>
      </c>
      <c r="C8327" s="138">
        <v>2020</v>
      </c>
      <c r="D8327" s="351" t="s">
        <v>23</v>
      </c>
      <c r="E8327" s="14" t="s">
        <v>32</v>
      </c>
      <c r="F8327" s="7" t="s">
        <v>101</v>
      </c>
      <c r="G8327" s="206" t="s">
        <v>26</v>
      </c>
      <c r="H8327" s="44" t="s">
        <v>11300</v>
      </c>
      <c r="I8327" s="157">
        <v>0</v>
      </c>
      <c r="J8327" s="305">
        <v>3890</v>
      </c>
      <c r="K8327" s="142">
        <v>0</v>
      </c>
      <c r="L8327" s="142">
        <v>0</v>
      </c>
      <c r="M8327" s="142">
        <v>0</v>
      </c>
      <c r="N8327" s="142">
        <v>0</v>
      </c>
      <c r="O8327" s="305">
        <v>0</v>
      </c>
      <c r="P8327" s="306">
        <v>5.1268490800000004</v>
      </c>
      <c r="Q8327" s="157" t="s">
        <v>7883</v>
      </c>
      <c r="R8327" s="303"/>
    </row>
    <row r="8328" spans="1:18" s="162" customFormat="1" ht="144" x14ac:dyDescent="0.25">
      <c r="A8328" s="184">
        <v>44040</v>
      </c>
      <c r="B8328" s="184">
        <v>44040</v>
      </c>
      <c r="C8328" s="138">
        <v>2020</v>
      </c>
      <c r="D8328" s="24" t="s">
        <v>141</v>
      </c>
      <c r="E8328" s="30" t="s">
        <v>142</v>
      </c>
      <c r="F8328" s="7" t="s">
        <v>36</v>
      </c>
      <c r="G8328" s="33" t="s">
        <v>1920</v>
      </c>
      <c r="H8328" s="33" t="s">
        <v>11301</v>
      </c>
      <c r="I8328" s="157">
        <v>0</v>
      </c>
      <c r="J8328" s="305">
        <v>23</v>
      </c>
      <c r="K8328" s="142">
        <v>0</v>
      </c>
      <c r="L8328" s="142">
        <v>0</v>
      </c>
      <c r="M8328" s="142">
        <v>0</v>
      </c>
      <c r="N8328" s="142">
        <v>0</v>
      </c>
      <c r="O8328" s="305">
        <v>0</v>
      </c>
      <c r="P8328" s="306">
        <v>0.80489200000000005</v>
      </c>
      <c r="Q8328" s="157" t="s">
        <v>154</v>
      </c>
      <c r="R8328" s="303"/>
    </row>
    <row r="8329" spans="1:18" s="162" customFormat="1" ht="84" x14ac:dyDescent="0.25">
      <c r="A8329" s="184">
        <v>44040</v>
      </c>
      <c r="B8329" s="184">
        <v>44040</v>
      </c>
      <c r="C8329" s="138">
        <v>2020</v>
      </c>
      <c r="D8329" s="35" t="s">
        <v>28</v>
      </c>
      <c r="E8329" s="30" t="s">
        <v>133</v>
      </c>
      <c r="F8329" s="7" t="s">
        <v>101</v>
      </c>
      <c r="G8329" s="33" t="s">
        <v>2550</v>
      </c>
      <c r="H8329" s="33" t="s">
        <v>11302</v>
      </c>
      <c r="I8329" s="157">
        <v>4</v>
      </c>
      <c r="J8329" s="305">
        <v>6</v>
      </c>
      <c r="K8329" s="142">
        <v>0</v>
      </c>
      <c r="L8329" s="142">
        <v>0</v>
      </c>
      <c r="M8329" s="142">
        <v>0</v>
      </c>
      <c r="N8329" s="142">
        <v>1</v>
      </c>
      <c r="O8329" s="305">
        <v>0</v>
      </c>
      <c r="P8329" s="306">
        <v>1.2178E-2</v>
      </c>
      <c r="Q8329" s="157" t="s">
        <v>154</v>
      </c>
      <c r="R8329" s="303"/>
    </row>
    <row r="8330" spans="1:18" s="162" customFormat="1" ht="216" x14ac:dyDescent="0.25">
      <c r="A8330" s="184">
        <v>44040</v>
      </c>
      <c r="B8330" s="184">
        <v>44040</v>
      </c>
      <c r="C8330" s="138">
        <v>2020</v>
      </c>
      <c r="D8330" s="351" t="s">
        <v>23</v>
      </c>
      <c r="E8330" s="22" t="s">
        <v>86</v>
      </c>
      <c r="F8330" s="28" t="s">
        <v>210</v>
      </c>
      <c r="G8330" s="33" t="s">
        <v>11303</v>
      </c>
      <c r="H8330" s="33" t="s">
        <v>11304</v>
      </c>
      <c r="I8330" s="157">
        <v>0</v>
      </c>
      <c r="J8330" s="305">
        <v>170</v>
      </c>
      <c r="K8330" s="142">
        <v>42</v>
      </c>
      <c r="L8330" s="142">
        <v>0</v>
      </c>
      <c r="M8330" s="142">
        <v>0</v>
      </c>
      <c r="N8330" s="142">
        <v>0</v>
      </c>
      <c r="O8330" s="305">
        <v>0</v>
      </c>
      <c r="P8330" s="306">
        <v>6.2370000000000002E-2</v>
      </c>
      <c r="Q8330" s="157" t="s">
        <v>154</v>
      </c>
      <c r="R8330" s="303"/>
    </row>
    <row r="8331" spans="1:18" s="162" customFormat="1" ht="96" x14ac:dyDescent="0.25">
      <c r="A8331" s="184">
        <v>44040</v>
      </c>
      <c r="B8331" s="184">
        <v>44040</v>
      </c>
      <c r="C8331" s="138">
        <v>2020</v>
      </c>
      <c r="D8331" s="35" t="s">
        <v>28</v>
      </c>
      <c r="E8331" s="30" t="s">
        <v>125</v>
      </c>
      <c r="F8331" s="7" t="s">
        <v>75</v>
      </c>
      <c r="G8331" s="33" t="s">
        <v>269</v>
      </c>
      <c r="H8331" s="33" t="s">
        <v>11305</v>
      </c>
      <c r="I8331" s="157">
        <v>0</v>
      </c>
      <c r="J8331" s="305">
        <v>10</v>
      </c>
      <c r="K8331" s="142">
        <v>0</v>
      </c>
      <c r="L8331" s="142">
        <v>0</v>
      </c>
      <c r="M8331" s="142">
        <v>0</v>
      </c>
      <c r="N8331" s="142">
        <v>0</v>
      </c>
      <c r="O8331" s="305">
        <v>0</v>
      </c>
      <c r="P8331" s="306">
        <v>5.0900258588235305E-2</v>
      </c>
      <c r="Q8331" s="157" t="s">
        <v>154</v>
      </c>
      <c r="R8331" s="303"/>
    </row>
    <row r="8332" spans="1:18" s="162" customFormat="1" ht="120" x14ac:dyDescent="0.25">
      <c r="A8332" s="184">
        <v>44040</v>
      </c>
      <c r="B8332" s="184">
        <v>44040</v>
      </c>
      <c r="C8332" s="138">
        <v>2020</v>
      </c>
      <c r="D8332" s="351" t="s">
        <v>23</v>
      </c>
      <c r="E8332" s="14" t="s">
        <v>32</v>
      </c>
      <c r="F8332" s="7" t="s">
        <v>68</v>
      </c>
      <c r="G8332" s="33" t="s">
        <v>2512</v>
      </c>
      <c r="H8332" s="33" t="s">
        <v>11306</v>
      </c>
      <c r="I8332" s="157">
        <v>2</v>
      </c>
      <c r="J8332" s="305">
        <v>30267</v>
      </c>
      <c r="K8332" s="142">
        <v>55</v>
      </c>
      <c r="L8332" s="142">
        <v>0</v>
      </c>
      <c r="M8332" s="142">
        <v>0</v>
      </c>
      <c r="N8332" s="142">
        <v>0</v>
      </c>
      <c r="O8332" s="305">
        <v>0</v>
      </c>
      <c r="P8332" s="306">
        <v>539.76067399999999</v>
      </c>
      <c r="Q8332" s="157" t="s">
        <v>7883</v>
      </c>
      <c r="R8332" s="303"/>
    </row>
    <row r="8333" spans="1:18" s="162" customFormat="1" x14ac:dyDescent="0.25">
      <c r="A8333" s="184">
        <v>44040</v>
      </c>
      <c r="B8333" s="184">
        <v>44040</v>
      </c>
      <c r="C8333" s="138">
        <v>2020</v>
      </c>
      <c r="D8333" s="351" t="s">
        <v>23</v>
      </c>
      <c r="E8333" s="14" t="s">
        <v>52</v>
      </c>
      <c r="F8333" s="7" t="s">
        <v>72</v>
      </c>
      <c r="G8333" s="206" t="s">
        <v>26</v>
      </c>
      <c r="H8333" s="44" t="s">
        <v>11307</v>
      </c>
      <c r="I8333" s="157">
        <v>0</v>
      </c>
      <c r="J8333" s="305">
        <v>943</v>
      </c>
      <c r="K8333" s="142">
        <v>0</v>
      </c>
      <c r="L8333" s="142">
        <v>0</v>
      </c>
      <c r="M8333" s="142">
        <v>0</v>
      </c>
      <c r="N8333" s="142">
        <v>0</v>
      </c>
      <c r="O8333" s="305">
        <v>0</v>
      </c>
      <c r="P8333" s="306">
        <v>3.4662797745600002</v>
      </c>
      <c r="Q8333" s="157" t="s">
        <v>7883</v>
      </c>
      <c r="R8333" s="303"/>
    </row>
    <row r="8334" spans="1:18" s="162" customFormat="1" ht="132" x14ac:dyDescent="0.25">
      <c r="A8334" s="184">
        <v>44041</v>
      </c>
      <c r="B8334" s="184">
        <v>44041</v>
      </c>
      <c r="C8334" s="138">
        <v>2020</v>
      </c>
      <c r="D8334" s="24" t="s">
        <v>141</v>
      </c>
      <c r="E8334" s="30" t="s">
        <v>142</v>
      </c>
      <c r="F8334" s="7" t="s">
        <v>68</v>
      </c>
      <c r="G8334" s="33" t="s">
        <v>11308</v>
      </c>
      <c r="H8334" s="33" t="s">
        <v>11309</v>
      </c>
      <c r="I8334" s="157">
        <v>1</v>
      </c>
      <c r="J8334" s="305">
        <v>2</v>
      </c>
      <c r="K8334" s="142">
        <v>0</v>
      </c>
      <c r="L8334" s="142">
        <v>0</v>
      </c>
      <c r="M8334" s="142">
        <v>0</v>
      </c>
      <c r="N8334" s="142">
        <v>0</v>
      </c>
      <c r="O8334" s="305">
        <v>0</v>
      </c>
      <c r="P8334" s="306">
        <v>5.6548071883792828</v>
      </c>
      <c r="Q8334" s="157" t="s">
        <v>154</v>
      </c>
      <c r="R8334" s="303"/>
    </row>
    <row r="8335" spans="1:18" s="162" customFormat="1" ht="24" x14ac:dyDescent="0.25">
      <c r="A8335" s="184">
        <v>44042</v>
      </c>
      <c r="B8335" s="184">
        <v>44044</v>
      </c>
      <c r="C8335" s="138">
        <v>2020</v>
      </c>
      <c r="D8335" s="351" t="s">
        <v>23</v>
      </c>
      <c r="E8335" s="22" t="s">
        <v>86</v>
      </c>
      <c r="F8335" s="7" t="s">
        <v>49</v>
      </c>
      <c r="G8335" s="206" t="s">
        <v>26</v>
      </c>
      <c r="H8335" s="33" t="s">
        <v>11310</v>
      </c>
      <c r="I8335" s="157">
        <v>0</v>
      </c>
      <c r="J8335" s="305">
        <v>12110</v>
      </c>
      <c r="K8335" s="142">
        <v>0</v>
      </c>
      <c r="L8335" s="142">
        <v>0</v>
      </c>
      <c r="M8335" s="142">
        <v>0</v>
      </c>
      <c r="N8335" s="142">
        <v>0</v>
      </c>
      <c r="O8335" s="305">
        <v>0</v>
      </c>
      <c r="P8335" s="306">
        <v>347.61479958049603</v>
      </c>
      <c r="Q8335" s="157" t="s">
        <v>7883</v>
      </c>
      <c r="R8335" s="303"/>
    </row>
    <row r="8336" spans="1:18" s="162" customFormat="1" ht="144" x14ac:dyDescent="0.25">
      <c r="A8336" s="184">
        <v>44044</v>
      </c>
      <c r="B8336" s="184">
        <v>44044</v>
      </c>
      <c r="C8336" s="138">
        <v>2020</v>
      </c>
      <c r="D8336" s="24" t="s">
        <v>141</v>
      </c>
      <c r="E8336" s="30" t="s">
        <v>142</v>
      </c>
      <c r="F8336" s="7" t="s">
        <v>36</v>
      </c>
      <c r="G8336" s="33" t="s">
        <v>4966</v>
      </c>
      <c r="H8336" s="33" t="s">
        <v>11311</v>
      </c>
      <c r="I8336" s="157">
        <v>3</v>
      </c>
      <c r="J8336" s="305">
        <v>15</v>
      </c>
      <c r="K8336" s="142">
        <v>0</v>
      </c>
      <c r="L8336" s="142">
        <v>0</v>
      </c>
      <c r="M8336" s="142">
        <v>0</v>
      </c>
      <c r="N8336" s="142">
        <v>0</v>
      </c>
      <c r="O8336" s="305">
        <v>0</v>
      </c>
      <c r="P8336" s="306">
        <v>2.2314673700000003</v>
      </c>
      <c r="Q8336" s="157" t="s">
        <v>154</v>
      </c>
      <c r="R8336" s="303"/>
    </row>
    <row r="8337" spans="1:18" s="162" customFormat="1" ht="132" x14ac:dyDescent="0.25">
      <c r="A8337" s="184">
        <v>44044</v>
      </c>
      <c r="B8337" s="184">
        <v>44044</v>
      </c>
      <c r="C8337" s="138">
        <v>2020</v>
      </c>
      <c r="D8337" s="24" t="s">
        <v>141</v>
      </c>
      <c r="E8337" s="30" t="s">
        <v>142</v>
      </c>
      <c r="F8337" s="7" t="s">
        <v>56</v>
      </c>
      <c r="G8337" s="33" t="s">
        <v>1426</v>
      </c>
      <c r="H8337" s="33" t="s">
        <v>11312</v>
      </c>
      <c r="I8337" s="157">
        <v>4</v>
      </c>
      <c r="J8337" s="305">
        <v>14</v>
      </c>
      <c r="K8337" s="142">
        <v>0</v>
      </c>
      <c r="L8337" s="142">
        <v>0</v>
      </c>
      <c r="M8337" s="142">
        <v>0</v>
      </c>
      <c r="N8337" s="142">
        <v>0</v>
      </c>
      <c r="O8337" s="305">
        <v>0</v>
      </c>
      <c r="P8337" s="306">
        <v>1.7838399700000003</v>
      </c>
      <c r="Q8337" s="157" t="s">
        <v>154</v>
      </c>
      <c r="R8337" s="303"/>
    </row>
    <row r="8338" spans="1:18" s="162" customFormat="1" ht="288" x14ac:dyDescent="0.25">
      <c r="A8338" s="184">
        <v>44046</v>
      </c>
      <c r="B8338" s="184">
        <v>44046</v>
      </c>
      <c r="C8338" s="138">
        <v>2020</v>
      </c>
      <c r="D8338" s="351" t="s">
        <v>23</v>
      </c>
      <c r="E8338" s="22" t="s">
        <v>86</v>
      </c>
      <c r="F8338" s="7" t="s">
        <v>53</v>
      </c>
      <c r="G8338" s="33" t="s">
        <v>11313</v>
      </c>
      <c r="H8338" s="33" t="s">
        <v>11314</v>
      </c>
      <c r="I8338" s="157">
        <v>0</v>
      </c>
      <c r="J8338" s="305">
        <v>120</v>
      </c>
      <c r="K8338" s="142">
        <v>30</v>
      </c>
      <c r="L8338" s="142">
        <v>0</v>
      </c>
      <c r="M8338" s="142">
        <v>0</v>
      </c>
      <c r="N8338" s="142">
        <v>0</v>
      </c>
      <c r="O8338" s="305">
        <v>0</v>
      </c>
      <c r="P8338" s="306">
        <v>3.6382499999999998E-2</v>
      </c>
      <c r="Q8338" s="157" t="s">
        <v>154</v>
      </c>
      <c r="R8338" s="303"/>
    </row>
    <row r="8339" spans="1:18" s="162" customFormat="1" ht="96" x14ac:dyDescent="0.25">
      <c r="A8339" s="184">
        <v>44047</v>
      </c>
      <c r="B8339" s="184">
        <v>44047</v>
      </c>
      <c r="C8339" s="138">
        <v>2020</v>
      </c>
      <c r="D8339" s="35" t="s">
        <v>28</v>
      </c>
      <c r="E8339" s="6" t="s">
        <v>149</v>
      </c>
      <c r="F8339" s="28" t="s">
        <v>157</v>
      </c>
      <c r="G8339" s="33" t="s">
        <v>206</v>
      </c>
      <c r="H8339" s="33" t="s">
        <v>11315</v>
      </c>
      <c r="I8339" s="157">
        <v>0</v>
      </c>
      <c r="J8339" s="305">
        <v>30</v>
      </c>
      <c r="K8339" s="142">
        <v>1</v>
      </c>
      <c r="L8339" s="142">
        <v>0</v>
      </c>
      <c r="M8339" s="142">
        <v>0</v>
      </c>
      <c r="N8339" s="142">
        <v>0</v>
      </c>
      <c r="O8339" s="305">
        <v>0</v>
      </c>
      <c r="P8339" s="306">
        <v>0.20402090500000003</v>
      </c>
      <c r="Q8339" s="157" t="s">
        <v>154</v>
      </c>
      <c r="R8339" s="303"/>
    </row>
    <row r="8340" spans="1:18" s="162" customFormat="1" ht="168" x14ac:dyDescent="0.25">
      <c r="A8340" s="184">
        <v>44047</v>
      </c>
      <c r="B8340" s="184">
        <v>44048</v>
      </c>
      <c r="C8340" s="138">
        <v>2020</v>
      </c>
      <c r="D8340" s="35" t="s">
        <v>17</v>
      </c>
      <c r="E8340" s="6" t="s">
        <v>328</v>
      </c>
      <c r="F8340" s="28" t="s">
        <v>157</v>
      </c>
      <c r="G8340" s="33" t="s">
        <v>401</v>
      </c>
      <c r="H8340" s="33" t="s">
        <v>11316</v>
      </c>
      <c r="I8340" s="157">
        <v>0</v>
      </c>
      <c r="J8340" s="305">
        <v>144</v>
      </c>
      <c r="K8340" s="142">
        <v>37</v>
      </c>
      <c r="L8340" s="142">
        <v>0</v>
      </c>
      <c r="M8340" s="142">
        <v>0</v>
      </c>
      <c r="N8340" s="142">
        <v>0</v>
      </c>
      <c r="O8340" s="305">
        <v>0</v>
      </c>
      <c r="P8340" s="306">
        <v>4.9315035E-2</v>
      </c>
      <c r="Q8340" s="157" t="s">
        <v>154</v>
      </c>
      <c r="R8340" s="303"/>
    </row>
    <row r="8341" spans="1:18" s="162" customFormat="1" ht="120" x14ac:dyDescent="0.25">
      <c r="A8341" s="184">
        <v>44047</v>
      </c>
      <c r="B8341" s="184">
        <v>44049</v>
      </c>
      <c r="C8341" s="138">
        <v>2020</v>
      </c>
      <c r="D8341" s="351" t="s">
        <v>23</v>
      </c>
      <c r="E8341" s="22" t="s">
        <v>86</v>
      </c>
      <c r="F8341" s="7" t="s">
        <v>58</v>
      </c>
      <c r="G8341" s="33" t="s">
        <v>4239</v>
      </c>
      <c r="H8341" s="33" t="s">
        <v>11317</v>
      </c>
      <c r="I8341" s="157">
        <v>0</v>
      </c>
      <c r="J8341" s="305">
        <v>320</v>
      </c>
      <c r="K8341" s="142">
        <v>20</v>
      </c>
      <c r="L8341" s="142">
        <v>0</v>
      </c>
      <c r="M8341" s="142">
        <v>0</v>
      </c>
      <c r="N8341" s="142">
        <v>0</v>
      </c>
      <c r="O8341" s="305">
        <v>0</v>
      </c>
      <c r="P8341" s="306">
        <v>2.4254999999999999E-2</v>
      </c>
      <c r="Q8341" s="157" t="s">
        <v>154</v>
      </c>
      <c r="R8341" s="303"/>
    </row>
    <row r="8342" spans="1:18" s="162" customFormat="1" ht="120" x14ac:dyDescent="0.25">
      <c r="A8342" s="184">
        <v>44048</v>
      </c>
      <c r="B8342" s="184">
        <v>44048</v>
      </c>
      <c r="C8342" s="138">
        <v>2020</v>
      </c>
      <c r="D8342" s="35" t="s">
        <v>28</v>
      </c>
      <c r="E8342" s="30" t="s">
        <v>133</v>
      </c>
      <c r="F8342" s="7" t="s">
        <v>53</v>
      </c>
      <c r="G8342" s="33" t="s">
        <v>926</v>
      </c>
      <c r="H8342" s="33" t="s">
        <v>11318</v>
      </c>
      <c r="I8342" s="157">
        <v>0</v>
      </c>
      <c r="J8342" s="305">
        <v>2</v>
      </c>
      <c r="K8342" s="142">
        <v>0</v>
      </c>
      <c r="L8342" s="142">
        <v>0</v>
      </c>
      <c r="M8342" s="142">
        <v>0</v>
      </c>
      <c r="N8342" s="142">
        <v>0</v>
      </c>
      <c r="O8342" s="305">
        <v>0</v>
      </c>
      <c r="P8342" s="306">
        <v>0.15883791</v>
      </c>
      <c r="Q8342" s="157" t="s">
        <v>154</v>
      </c>
      <c r="R8342" s="303"/>
    </row>
    <row r="8343" spans="1:18" s="162" customFormat="1" ht="288" x14ac:dyDescent="0.25">
      <c r="A8343" s="184">
        <v>44048</v>
      </c>
      <c r="B8343" s="184">
        <v>44048</v>
      </c>
      <c r="C8343" s="138">
        <v>2020</v>
      </c>
      <c r="D8343" s="351" t="s">
        <v>23</v>
      </c>
      <c r="E8343" s="22" t="s">
        <v>86</v>
      </c>
      <c r="F8343" s="7" t="s">
        <v>60</v>
      </c>
      <c r="G8343" s="33" t="s">
        <v>5030</v>
      </c>
      <c r="H8343" s="33" t="s">
        <v>11319</v>
      </c>
      <c r="I8343" s="157">
        <v>0</v>
      </c>
      <c r="J8343" s="305">
        <v>60</v>
      </c>
      <c r="K8343" s="142">
        <v>15</v>
      </c>
      <c r="L8343" s="142">
        <v>0</v>
      </c>
      <c r="M8343" s="142">
        <v>0</v>
      </c>
      <c r="N8343" s="142">
        <v>0</v>
      </c>
      <c r="O8343" s="305">
        <v>0</v>
      </c>
      <c r="P8343" s="306">
        <v>0.22819125000000001</v>
      </c>
      <c r="Q8343" s="157" t="s">
        <v>154</v>
      </c>
      <c r="R8343" s="303"/>
    </row>
    <row r="8344" spans="1:18" s="162" customFormat="1" ht="120" x14ac:dyDescent="0.25">
      <c r="A8344" s="184">
        <v>44049</v>
      </c>
      <c r="B8344" s="184">
        <v>44050</v>
      </c>
      <c r="C8344" s="138">
        <v>2020</v>
      </c>
      <c r="D8344" s="351" t="s">
        <v>23</v>
      </c>
      <c r="E8344" s="22" t="s">
        <v>86</v>
      </c>
      <c r="F8344" s="28" t="s">
        <v>151</v>
      </c>
      <c r="G8344" s="33" t="s">
        <v>1477</v>
      </c>
      <c r="H8344" s="33" t="s">
        <v>11320</v>
      </c>
      <c r="I8344" s="157">
        <v>1</v>
      </c>
      <c r="J8344" s="305">
        <v>1</v>
      </c>
      <c r="K8344" s="142">
        <v>0</v>
      </c>
      <c r="L8344" s="142">
        <v>0</v>
      </c>
      <c r="M8344" s="142">
        <v>0</v>
      </c>
      <c r="N8344" s="142">
        <v>0</v>
      </c>
      <c r="O8344" s="305">
        <v>0</v>
      </c>
      <c r="P8344" s="306">
        <v>1.0890000000000001E-3</v>
      </c>
      <c r="Q8344" s="157" t="s">
        <v>154</v>
      </c>
      <c r="R8344" s="303"/>
    </row>
    <row r="8345" spans="1:18" s="162" customFormat="1" x14ac:dyDescent="0.25">
      <c r="A8345" s="184">
        <v>44050</v>
      </c>
      <c r="B8345" s="184">
        <v>44053</v>
      </c>
      <c r="C8345" s="138">
        <v>2020</v>
      </c>
      <c r="D8345" s="35" t="s">
        <v>17</v>
      </c>
      <c r="E8345" s="6" t="s">
        <v>328</v>
      </c>
      <c r="F8345" s="28" t="s">
        <v>210</v>
      </c>
      <c r="G8345" s="206" t="s">
        <v>26</v>
      </c>
      <c r="H8345" s="33" t="s">
        <v>11321</v>
      </c>
      <c r="I8345" s="157">
        <v>0</v>
      </c>
      <c r="J8345" s="305">
        <v>0</v>
      </c>
      <c r="K8345" s="142">
        <v>0</v>
      </c>
      <c r="L8345" s="142">
        <v>0</v>
      </c>
      <c r="M8345" s="142">
        <v>0</v>
      </c>
      <c r="N8345" s="142">
        <v>0</v>
      </c>
      <c r="O8345" s="305">
        <v>0</v>
      </c>
      <c r="P8345" s="306">
        <v>58.337519999999998</v>
      </c>
      <c r="Q8345" s="157" t="s">
        <v>7883</v>
      </c>
      <c r="R8345" s="303"/>
    </row>
    <row r="8346" spans="1:18" s="162" customFormat="1" ht="24" x14ac:dyDescent="0.25">
      <c r="A8346" s="184">
        <v>44050</v>
      </c>
      <c r="B8346" s="184">
        <v>44053</v>
      </c>
      <c r="C8346" s="138">
        <v>2020</v>
      </c>
      <c r="D8346" s="351" t="s">
        <v>23</v>
      </c>
      <c r="E8346" s="14" t="s">
        <v>52</v>
      </c>
      <c r="F8346" s="28" t="s">
        <v>210</v>
      </c>
      <c r="G8346" s="206" t="s">
        <v>26</v>
      </c>
      <c r="H8346" s="44" t="s">
        <v>11322</v>
      </c>
      <c r="I8346" s="157">
        <v>0</v>
      </c>
      <c r="J8346" s="305">
        <v>17569</v>
      </c>
      <c r="K8346" s="142">
        <v>0</v>
      </c>
      <c r="L8346" s="142">
        <v>0</v>
      </c>
      <c r="M8346" s="142">
        <v>0</v>
      </c>
      <c r="N8346" s="142">
        <v>0</v>
      </c>
      <c r="O8346" s="305">
        <v>0</v>
      </c>
      <c r="P8346" s="306">
        <v>7.6152617039999999</v>
      </c>
      <c r="Q8346" s="157" t="s">
        <v>7883</v>
      </c>
      <c r="R8346" s="303"/>
    </row>
    <row r="8347" spans="1:18" s="162" customFormat="1" ht="252" x14ac:dyDescent="0.25">
      <c r="A8347" s="184">
        <v>44051</v>
      </c>
      <c r="B8347" s="184">
        <v>44051</v>
      </c>
      <c r="C8347" s="138">
        <v>2020</v>
      </c>
      <c r="D8347" s="351" t="s">
        <v>23</v>
      </c>
      <c r="E8347" s="22" t="s">
        <v>86</v>
      </c>
      <c r="F8347" s="7" t="s">
        <v>75</v>
      </c>
      <c r="G8347" s="33" t="s">
        <v>11323</v>
      </c>
      <c r="H8347" s="33" t="s">
        <v>11324</v>
      </c>
      <c r="I8347" s="157">
        <v>0</v>
      </c>
      <c r="J8347" s="305">
        <v>372</v>
      </c>
      <c r="K8347" s="142">
        <v>93</v>
      </c>
      <c r="L8347" s="142">
        <v>0</v>
      </c>
      <c r="M8347" s="142">
        <v>0</v>
      </c>
      <c r="N8347" s="142">
        <v>1</v>
      </c>
      <c r="O8347" s="305">
        <v>0</v>
      </c>
      <c r="P8347" s="306">
        <v>0.12278575</v>
      </c>
      <c r="Q8347" s="157" t="s">
        <v>154</v>
      </c>
      <c r="R8347" s="303"/>
    </row>
    <row r="8348" spans="1:18" s="162" customFormat="1" ht="409.5" x14ac:dyDescent="0.25">
      <c r="A8348" s="184">
        <v>44051</v>
      </c>
      <c r="B8348" s="184">
        <v>44052</v>
      </c>
      <c r="C8348" s="138">
        <v>2020</v>
      </c>
      <c r="D8348" s="351" t="s">
        <v>23</v>
      </c>
      <c r="E8348" s="22" t="s">
        <v>86</v>
      </c>
      <c r="F8348" s="28" t="s">
        <v>210</v>
      </c>
      <c r="G8348" s="33" t="s">
        <v>11325</v>
      </c>
      <c r="H8348" s="33" t="s">
        <v>11326</v>
      </c>
      <c r="I8348" s="157">
        <v>3</v>
      </c>
      <c r="J8348" s="305">
        <v>6892</v>
      </c>
      <c r="K8348" s="142">
        <v>1721</v>
      </c>
      <c r="L8348" s="142">
        <v>7</v>
      </c>
      <c r="M8348" s="142">
        <v>0</v>
      </c>
      <c r="N8348" s="142">
        <v>0</v>
      </c>
      <c r="O8348" s="305">
        <v>0</v>
      </c>
      <c r="P8348" s="306">
        <v>82.616881770000006</v>
      </c>
      <c r="Q8348" s="157" t="s">
        <v>7883</v>
      </c>
      <c r="R8348" s="303"/>
    </row>
    <row r="8349" spans="1:18" s="162" customFormat="1" ht="120" x14ac:dyDescent="0.25">
      <c r="A8349" s="184">
        <v>44052</v>
      </c>
      <c r="B8349" s="184">
        <v>44052</v>
      </c>
      <c r="C8349" s="138">
        <v>2020</v>
      </c>
      <c r="D8349" s="35" t="s">
        <v>28</v>
      </c>
      <c r="E8349" s="6" t="s">
        <v>149</v>
      </c>
      <c r="F8349" s="28" t="s">
        <v>157</v>
      </c>
      <c r="G8349" s="33" t="s">
        <v>1062</v>
      </c>
      <c r="H8349" s="33" t="s">
        <v>11327</v>
      </c>
      <c r="I8349" s="157">
        <v>0</v>
      </c>
      <c r="J8349" s="305">
        <v>16</v>
      </c>
      <c r="K8349" s="142">
        <v>0</v>
      </c>
      <c r="L8349" s="142">
        <v>0</v>
      </c>
      <c r="M8349" s="142">
        <v>0</v>
      </c>
      <c r="N8349" s="142">
        <v>1</v>
      </c>
      <c r="O8349" s="305">
        <v>0</v>
      </c>
      <c r="P8349" s="306">
        <v>1.1089E-2</v>
      </c>
      <c r="Q8349" s="157" t="s">
        <v>154</v>
      </c>
      <c r="R8349" s="303"/>
    </row>
    <row r="8350" spans="1:18" s="162" customFormat="1" ht="60" x14ac:dyDescent="0.25">
      <c r="A8350" s="184">
        <v>44052</v>
      </c>
      <c r="B8350" s="184">
        <v>44052</v>
      </c>
      <c r="C8350" s="138">
        <v>2020</v>
      </c>
      <c r="D8350" s="351" t="s">
        <v>23</v>
      </c>
      <c r="E8350" s="22" t="s">
        <v>86</v>
      </c>
      <c r="F8350" s="7" t="s">
        <v>72</v>
      </c>
      <c r="G8350" s="33" t="s">
        <v>11328</v>
      </c>
      <c r="H8350" s="33" t="s">
        <v>11329</v>
      </c>
      <c r="I8350" s="157">
        <v>0</v>
      </c>
      <c r="J8350" s="305">
        <v>2890</v>
      </c>
      <c r="K8350" s="142">
        <v>50</v>
      </c>
      <c r="L8350" s="142">
        <v>0</v>
      </c>
      <c r="M8350" s="142">
        <v>0</v>
      </c>
      <c r="N8350" s="142">
        <v>0</v>
      </c>
      <c r="O8350" s="305">
        <v>0</v>
      </c>
      <c r="P8350" s="306">
        <v>14.339695158999996</v>
      </c>
      <c r="Q8350" s="157" t="s">
        <v>7883</v>
      </c>
      <c r="R8350" s="303"/>
    </row>
    <row r="8351" spans="1:18" s="162" customFormat="1" ht="120" x14ac:dyDescent="0.25">
      <c r="A8351" s="184">
        <v>44054</v>
      </c>
      <c r="B8351" s="184">
        <v>44054</v>
      </c>
      <c r="C8351" s="138">
        <v>2020</v>
      </c>
      <c r="D8351" s="24" t="s">
        <v>141</v>
      </c>
      <c r="E8351" s="30" t="s">
        <v>142</v>
      </c>
      <c r="F8351" s="7" t="s">
        <v>53</v>
      </c>
      <c r="G8351" s="33" t="s">
        <v>2975</v>
      </c>
      <c r="H8351" s="33" t="s">
        <v>11330</v>
      </c>
      <c r="I8351" s="157">
        <v>13</v>
      </c>
      <c r="J8351" s="305">
        <v>37</v>
      </c>
      <c r="K8351" s="142">
        <v>0</v>
      </c>
      <c r="L8351" s="142">
        <v>0</v>
      </c>
      <c r="M8351" s="142">
        <v>0</v>
      </c>
      <c r="N8351" s="142">
        <v>0</v>
      </c>
      <c r="O8351" s="305">
        <v>0</v>
      </c>
      <c r="P8351" s="306">
        <v>0.80513400000000002</v>
      </c>
      <c r="Q8351" s="157" t="s">
        <v>154</v>
      </c>
      <c r="R8351" s="303"/>
    </row>
    <row r="8352" spans="1:18" s="162" customFormat="1" ht="156" x14ac:dyDescent="0.25">
      <c r="A8352" s="184">
        <v>44054</v>
      </c>
      <c r="B8352" s="184">
        <v>44054</v>
      </c>
      <c r="C8352" s="138">
        <v>2020</v>
      </c>
      <c r="D8352" s="351" t="s">
        <v>23</v>
      </c>
      <c r="E8352" s="22" t="s">
        <v>86</v>
      </c>
      <c r="F8352" s="7" t="s">
        <v>47</v>
      </c>
      <c r="G8352" s="33" t="s">
        <v>11331</v>
      </c>
      <c r="H8352" s="33" t="s">
        <v>11332</v>
      </c>
      <c r="I8352" s="157">
        <v>0</v>
      </c>
      <c r="J8352" s="305">
        <v>24</v>
      </c>
      <c r="K8352" s="142">
        <v>6</v>
      </c>
      <c r="L8352" s="142">
        <v>0</v>
      </c>
      <c r="M8352" s="142">
        <v>0</v>
      </c>
      <c r="N8352" s="142">
        <v>0</v>
      </c>
      <c r="O8352" s="305">
        <v>0</v>
      </c>
      <c r="P8352" s="306">
        <v>0.15247649999999999</v>
      </c>
      <c r="Q8352" s="157" t="s">
        <v>154</v>
      </c>
      <c r="R8352" s="303"/>
    </row>
    <row r="8353" spans="1:18" s="162" customFormat="1" ht="24" x14ac:dyDescent="0.25">
      <c r="A8353" s="184">
        <v>44054</v>
      </c>
      <c r="B8353" s="184">
        <v>44054</v>
      </c>
      <c r="C8353" s="138">
        <v>2020</v>
      </c>
      <c r="D8353" s="351" t="s">
        <v>23</v>
      </c>
      <c r="E8353" s="22" t="s">
        <v>86</v>
      </c>
      <c r="F8353" s="7" t="s">
        <v>72</v>
      </c>
      <c r="G8353" s="206" t="s">
        <v>26</v>
      </c>
      <c r="H8353" s="44" t="s">
        <v>11333</v>
      </c>
      <c r="I8353" s="157">
        <v>0</v>
      </c>
      <c r="J8353" s="305">
        <v>3362</v>
      </c>
      <c r="K8353" s="142">
        <v>0</v>
      </c>
      <c r="L8353" s="142">
        <v>0</v>
      </c>
      <c r="M8353" s="142">
        <v>0</v>
      </c>
      <c r="N8353" s="142">
        <v>0</v>
      </c>
      <c r="O8353" s="305">
        <v>0</v>
      </c>
      <c r="P8353" s="306">
        <v>19.487812727199994</v>
      </c>
      <c r="Q8353" s="157" t="s">
        <v>7883</v>
      </c>
      <c r="R8353" s="303"/>
    </row>
    <row r="8354" spans="1:18" s="162" customFormat="1" ht="168" x14ac:dyDescent="0.25">
      <c r="A8354" s="184">
        <v>44056</v>
      </c>
      <c r="B8354" s="184">
        <v>44056</v>
      </c>
      <c r="C8354" s="138">
        <v>2020</v>
      </c>
      <c r="D8354" s="351" t="s">
        <v>23</v>
      </c>
      <c r="E8354" s="22" t="s">
        <v>86</v>
      </c>
      <c r="F8354" s="28" t="s">
        <v>210</v>
      </c>
      <c r="G8354" s="33" t="s">
        <v>5937</v>
      </c>
      <c r="H8354" s="33" t="s">
        <v>11334</v>
      </c>
      <c r="I8354" s="157">
        <v>0</v>
      </c>
      <c r="J8354" s="305">
        <v>60</v>
      </c>
      <c r="K8354" s="142">
        <v>15</v>
      </c>
      <c r="L8354" s="142">
        <v>0</v>
      </c>
      <c r="M8354" s="142">
        <v>0</v>
      </c>
      <c r="N8354" s="142">
        <v>0</v>
      </c>
      <c r="O8354" s="305">
        <v>0</v>
      </c>
      <c r="P8354" s="306">
        <v>1.8191249999999999E-2</v>
      </c>
      <c r="Q8354" s="157" t="s">
        <v>154</v>
      </c>
      <c r="R8354" s="303"/>
    </row>
    <row r="8355" spans="1:18" s="162" customFormat="1" ht="120" x14ac:dyDescent="0.25">
      <c r="A8355" s="184">
        <v>44057</v>
      </c>
      <c r="B8355" s="184">
        <v>44057</v>
      </c>
      <c r="C8355" s="138">
        <v>2020</v>
      </c>
      <c r="D8355" s="35" t="s">
        <v>28</v>
      </c>
      <c r="E8355" s="30" t="s">
        <v>125</v>
      </c>
      <c r="F8355" s="7" t="s">
        <v>62</v>
      </c>
      <c r="G8355" s="33" t="s">
        <v>1011</v>
      </c>
      <c r="H8355" s="33" t="s">
        <v>11335</v>
      </c>
      <c r="I8355" s="157">
        <v>0</v>
      </c>
      <c r="J8355" s="305">
        <v>100</v>
      </c>
      <c r="K8355" s="142">
        <v>0</v>
      </c>
      <c r="L8355" s="142">
        <v>0</v>
      </c>
      <c r="M8355" s="142">
        <v>0</v>
      </c>
      <c r="N8355" s="142">
        <v>0</v>
      </c>
      <c r="O8355" s="305">
        <v>0</v>
      </c>
      <c r="P8355" s="306">
        <v>1.3068000000000003E-2</v>
      </c>
      <c r="Q8355" s="157" t="s">
        <v>154</v>
      </c>
      <c r="R8355" s="303"/>
    </row>
    <row r="8356" spans="1:18" s="162" customFormat="1" ht="108" x14ac:dyDescent="0.25">
      <c r="A8356" s="184">
        <v>44057</v>
      </c>
      <c r="B8356" s="184">
        <v>44057</v>
      </c>
      <c r="C8356" s="138">
        <v>2020</v>
      </c>
      <c r="D8356" s="24" t="s">
        <v>141</v>
      </c>
      <c r="E8356" s="30" t="s">
        <v>142</v>
      </c>
      <c r="F8356" s="7" t="s">
        <v>47</v>
      </c>
      <c r="G8356" s="33" t="s">
        <v>47</v>
      </c>
      <c r="H8356" s="33" t="s">
        <v>11336</v>
      </c>
      <c r="I8356" s="157">
        <v>0</v>
      </c>
      <c r="J8356" s="305">
        <v>14</v>
      </c>
      <c r="K8356" s="142">
        <v>0</v>
      </c>
      <c r="L8356" s="142">
        <v>0</v>
      </c>
      <c r="M8356" s="142">
        <v>0</v>
      </c>
      <c r="N8356" s="142">
        <v>0</v>
      </c>
      <c r="O8356" s="305">
        <v>0</v>
      </c>
      <c r="P8356" s="306">
        <v>0.21667837220930233</v>
      </c>
      <c r="Q8356" s="157" t="s">
        <v>154</v>
      </c>
      <c r="R8356" s="303"/>
    </row>
    <row r="8357" spans="1:18" s="162" customFormat="1" ht="108" x14ac:dyDescent="0.25">
      <c r="A8357" s="184">
        <v>44062</v>
      </c>
      <c r="B8357" s="184">
        <v>44063</v>
      </c>
      <c r="C8357" s="138">
        <v>2020</v>
      </c>
      <c r="D8357" s="351" t="s">
        <v>23</v>
      </c>
      <c r="E8357" s="22" t="s">
        <v>86</v>
      </c>
      <c r="F8357" s="7" t="s">
        <v>75</v>
      </c>
      <c r="G8357" s="33" t="s">
        <v>11337</v>
      </c>
      <c r="H8357" s="33" t="s">
        <v>11338</v>
      </c>
      <c r="I8357" s="157">
        <v>1</v>
      </c>
      <c r="J8357" s="305">
        <v>0</v>
      </c>
      <c r="K8357" s="142">
        <v>0</v>
      </c>
      <c r="L8357" s="142">
        <v>0</v>
      </c>
      <c r="M8357" s="142">
        <v>0</v>
      </c>
      <c r="N8357" s="142">
        <v>0</v>
      </c>
      <c r="O8357" s="305">
        <v>0</v>
      </c>
      <c r="P8357" s="306">
        <v>0.19836487000000003</v>
      </c>
      <c r="Q8357" s="157" t="s">
        <v>154</v>
      </c>
      <c r="R8357" s="303"/>
    </row>
    <row r="8358" spans="1:18" s="162" customFormat="1" ht="216" x14ac:dyDescent="0.25">
      <c r="A8358" s="184">
        <v>44062</v>
      </c>
      <c r="B8358" s="184">
        <v>44063</v>
      </c>
      <c r="C8358" s="138">
        <v>2020</v>
      </c>
      <c r="D8358" s="351" t="s">
        <v>23</v>
      </c>
      <c r="E8358" s="22" t="s">
        <v>86</v>
      </c>
      <c r="F8358" s="7" t="s">
        <v>56</v>
      </c>
      <c r="G8358" s="33" t="s">
        <v>11339</v>
      </c>
      <c r="H8358" s="33" t="s">
        <v>11340</v>
      </c>
      <c r="I8358" s="157">
        <v>0</v>
      </c>
      <c r="J8358" s="305">
        <v>148</v>
      </c>
      <c r="K8358" s="142">
        <v>37</v>
      </c>
      <c r="L8358" s="142">
        <v>0</v>
      </c>
      <c r="M8358" s="142">
        <v>0</v>
      </c>
      <c r="N8358" s="142">
        <v>0</v>
      </c>
      <c r="O8358" s="305">
        <v>0</v>
      </c>
      <c r="P8358" s="306">
        <v>0.23847175000000001</v>
      </c>
      <c r="Q8358" s="157" t="s">
        <v>154</v>
      </c>
      <c r="R8358" s="303"/>
    </row>
    <row r="8359" spans="1:18" s="162" customFormat="1" ht="180" x14ac:dyDescent="0.25">
      <c r="A8359" s="184">
        <v>44062</v>
      </c>
      <c r="B8359" s="184">
        <v>44062</v>
      </c>
      <c r="C8359" s="138">
        <v>2020</v>
      </c>
      <c r="D8359" s="351" t="s">
        <v>23</v>
      </c>
      <c r="E8359" s="14" t="s">
        <v>32</v>
      </c>
      <c r="F8359" s="7" t="s">
        <v>33</v>
      </c>
      <c r="G8359" s="33"/>
      <c r="H8359" s="33" t="s">
        <v>11341</v>
      </c>
      <c r="I8359" s="157">
        <v>2</v>
      </c>
      <c r="J8359" s="305">
        <v>1336</v>
      </c>
      <c r="K8359" s="142">
        <v>0</v>
      </c>
      <c r="L8359" s="142">
        <v>0</v>
      </c>
      <c r="M8359" s="142">
        <v>0</v>
      </c>
      <c r="N8359" s="142">
        <v>0</v>
      </c>
      <c r="O8359" s="305">
        <v>0</v>
      </c>
      <c r="P8359" s="306">
        <v>23.831992947999996</v>
      </c>
      <c r="Q8359" s="157" t="s">
        <v>7883</v>
      </c>
      <c r="R8359" s="303"/>
    </row>
    <row r="8360" spans="1:18" s="162" customFormat="1" ht="84" x14ac:dyDescent="0.25">
      <c r="A8360" s="184">
        <v>44062</v>
      </c>
      <c r="B8360" s="184">
        <v>44062</v>
      </c>
      <c r="C8360" s="138">
        <v>2020</v>
      </c>
      <c r="D8360" s="351" t="s">
        <v>23</v>
      </c>
      <c r="E8360" s="14" t="s">
        <v>32</v>
      </c>
      <c r="F8360" s="7" t="s">
        <v>72</v>
      </c>
      <c r="G8360" s="33" t="s">
        <v>11342</v>
      </c>
      <c r="H8360" s="33" t="s">
        <v>11343</v>
      </c>
      <c r="I8360" s="157">
        <v>4</v>
      </c>
      <c r="J8360" s="305">
        <v>862</v>
      </c>
      <c r="K8360" s="142">
        <v>0</v>
      </c>
      <c r="L8360" s="142">
        <v>0</v>
      </c>
      <c r="M8360" s="142">
        <v>0</v>
      </c>
      <c r="N8360" s="142">
        <v>0</v>
      </c>
      <c r="O8360" s="305">
        <v>0</v>
      </c>
      <c r="P8360" s="306">
        <v>1.8353186000000001</v>
      </c>
      <c r="Q8360" s="157" t="s">
        <v>7883</v>
      </c>
      <c r="R8360" s="303"/>
    </row>
    <row r="8361" spans="1:18" s="162" customFormat="1" ht="120" x14ac:dyDescent="0.25">
      <c r="A8361" s="184">
        <v>44066</v>
      </c>
      <c r="B8361" s="184">
        <v>44066</v>
      </c>
      <c r="C8361" s="138">
        <v>2020</v>
      </c>
      <c r="D8361" s="351" t="s">
        <v>23</v>
      </c>
      <c r="E8361" s="22" t="s">
        <v>86</v>
      </c>
      <c r="F8361" s="28" t="s">
        <v>210</v>
      </c>
      <c r="G8361" s="33" t="s">
        <v>2292</v>
      </c>
      <c r="H8361" s="33" t="s">
        <v>11344</v>
      </c>
      <c r="I8361" s="157">
        <v>0</v>
      </c>
      <c r="J8361" s="305">
        <v>40</v>
      </c>
      <c r="K8361" s="142">
        <v>10</v>
      </c>
      <c r="L8361" s="142">
        <v>0</v>
      </c>
      <c r="M8361" s="142">
        <v>1</v>
      </c>
      <c r="N8361" s="142">
        <v>0</v>
      </c>
      <c r="O8361" s="305">
        <v>0</v>
      </c>
      <c r="P8361" s="306">
        <v>1.2127499999999999E-2</v>
      </c>
      <c r="Q8361" s="157" t="s">
        <v>154</v>
      </c>
      <c r="R8361" s="303"/>
    </row>
    <row r="8362" spans="1:18" s="162" customFormat="1" ht="120" x14ac:dyDescent="0.25">
      <c r="A8362" s="184">
        <v>44066</v>
      </c>
      <c r="B8362" s="184">
        <v>44067</v>
      </c>
      <c r="C8362" s="138">
        <v>2020</v>
      </c>
      <c r="D8362" s="351" t="s">
        <v>23</v>
      </c>
      <c r="E8362" s="22" t="s">
        <v>86</v>
      </c>
      <c r="F8362" s="7" t="s">
        <v>72</v>
      </c>
      <c r="G8362" s="33" t="s">
        <v>11345</v>
      </c>
      <c r="H8362" s="33" t="s">
        <v>11346</v>
      </c>
      <c r="I8362" s="157">
        <v>0</v>
      </c>
      <c r="J8362" s="305">
        <v>545</v>
      </c>
      <c r="K8362" s="142">
        <v>15</v>
      </c>
      <c r="L8362" s="142">
        <v>0</v>
      </c>
      <c r="M8362" s="142">
        <v>0</v>
      </c>
      <c r="N8362" s="142">
        <v>0</v>
      </c>
      <c r="O8362" s="305">
        <v>0</v>
      </c>
      <c r="P8362" s="306">
        <v>17.954960011840004</v>
      </c>
      <c r="Q8362" s="157" t="s">
        <v>7883</v>
      </c>
      <c r="R8362" s="303"/>
    </row>
    <row r="8363" spans="1:18" s="162" customFormat="1" ht="60" x14ac:dyDescent="0.25">
      <c r="A8363" s="184">
        <v>44066</v>
      </c>
      <c r="B8363" s="184">
        <v>44066</v>
      </c>
      <c r="C8363" s="138">
        <v>2020</v>
      </c>
      <c r="D8363" s="351" t="s">
        <v>23</v>
      </c>
      <c r="E8363" s="22" t="s">
        <v>86</v>
      </c>
      <c r="F8363" s="7" t="s">
        <v>36</v>
      </c>
      <c r="G8363" s="33" t="s">
        <v>11347</v>
      </c>
      <c r="H8363" s="33" t="s">
        <v>11348</v>
      </c>
      <c r="I8363" s="157">
        <v>1</v>
      </c>
      <c r="J8363" s="305">
        <v>49106</v>
      </c>
      <c r="K8363" s="142">
        <v>471</v>
      </c>
      <c r="L8363" s="142">
        <v>0</v>
      </c>
      <c r="M8363" s="142">
        <v>0</v>
      </c>
      <c r="N8363" s="142">
        <v>0</v>
      </c>
      <c r="O8363" s="305">
        <v>0</v>
      </c>
      <c r="P8363" s="306">
        <v>30.253107147399998</v>
      </c>
      <c r="Q8363" s="157" t="s">
        <v>7883</v>
      </c>
      <c r="R8363" s="303"/>
    </row>
    <row r="8364" spans="1:18" s="162" customFormat="1" ht="60" x14ac:dyDescent="0.25">
      <c r="A8364" s="184">
        <v>44067</v>
      </c>
      <c r="B8364" s="184">
        <v>44070</v>
      </c>
      <c r="C8364" s="138">
        <v>2020</v>
      </c>
      <c r="D8364" s="351" t="s">
        <v>23</v>
      </c>
      <c r="E8364" s="14" t="s">
        <v>32</v>
      </c>
      <c r="F8364" s="7" t="s">
        <v>58</v>
      </c>
      <c r="G8364" s="33" t="s">
        <v>11349</v>
      </c>
      <c r="H8364" s="33" t="s">
        <v>11350</v>
      </c>
      <c r="I8364" s="157">
        <v>1</v>
      </c>
      <c r="J8364" s="305">
        <v>9901</v>
      </c>
      <c r="K8364" s="142">
        <v>2094</v>
      </c>
      <c r="L8364" s="142">
        <v>0</v>
      </c>
      <c r="M8364" s="142">
        <v>1</v>
      </c>
      <c r="N8364" s="142">
        <v>0</v>
      </c>
      <c r="O8364" s="305">
        <v>0</v>
      </c>
      <c r="P8364" s="306">
        <v>634.21647595399997</v>
      </c>
      <c r="Q8364" s="157" t="s">
        <v>7883</v>
      </c>
      <c r="R8364" s="303"/>
    </row>
    <row r="8365" spans="1:18" s="162" customFormat="1" ht="144" x14ac:dyDescent="0.25">
      <c r="A8365" s="184">
        <v>44069</v>
      </c>
      <c r="B8365" s="184">
        <v>44070</v>
      </c>
      <c r="C8365" s="138">
        <v>2020</v>
      </c>
      <c r="D8365" s="35" t="s">
        <v>28</v>
      </c>
      <c r="E8365" s="6" t="s">
        <v>149</v>
      </c>
      <c r="F8365" s="7" t="s">
        <v>77</v>
      </c>
      <c r="G8365" s="33" t="s">
        <v>9607</v>
      </c>
      <c r="H8365" s="33" t="s">
        <v>11351</v>
      </c>
      <c r="I8365" s="157">
        <v>0</v>
      </c>
      <c r="J8365" s="305">
        <v>7</v>
      </c>
      <c r="K8365" s="142">
        <v>0</v>
      </c>
      <c r="L8365" s="142">
        <v>0</v>
      </c>
      <c r="M8365" s="142">
        <v>0</v>
      </c>
      <c r="N8365" s="142">
        <v>0</v>
      </c>
      <c r="O8365" s="305">
        <v>0</v>
      </c>
      <c r="P8365" s="306">
        <v>2.3933917220930234</v>
      </c>
      <c r="Q8365" s="157" t="s">
        <v>154</v>
      </c>
      <c r="R8365" s="303"/>
    </row>
    <row r="8366" spans="1:18" s="162" customFormat="1" ht="24" x14ac:dyDescent="0.25">
      <c r="A8366" s="184">
        <v>44069</v>
      </c>
      <c r="B8366" s="184">
        <v>44071</v>
      </c>
      <c r="C8366" s="138">
        <v>2020</v>
      </c>
      <c r="D8366" s="351" t="s">
        <v>23</v>
      </c>
      <c r="E8366" s="22" t="s">
        <v>86</v>
      </c>
      <c r="F8366" s="7" t="s">
        <v>47</v>
      </c>
      <c r="G8366" s="206" t="s">
        <v>26</v>
      </c>
      <c r="H8366" s="33" t="s">
        <v>11352</v>
      </c>
      <c r="I8366" s="157">
        <v>0</v>
      </c>
      <c r="J8366" s="305">
        <v>3081</v>
      </c>
      <c r="K8366" s="142">
        <v>0</v>
      </c>
      <c r="L8366" s="142">
        <v>0</v>
      </c>
      <c r="M8366" s="142">
        <v>0</v>
      </c>
      <c r="N8366" s="142">
        <v>0</v>
      </c>
      <c r="O8366" s="305">
        <v>0</v>
      </c>
      <c r="P8366" s="306">
        <v>128.35135891039999</v>
      </c>
      <c r="Q8366" s="157" t="s">
        <v>7883</v>
      </c>
      <c r="R8366" s="303"/>
    </row>
    <row r="8367" spans="1:18" s="162" customFormat="1" ht="24" x14ac:dyDescent="0.25">
      <c r="A8367" s="184">
        <v>44070</v>
      </c>
      <c r="B8367" s="184">
        <v>44071</v>
      </c>
      <c r="C8367" s="138">
        <v>2020</v>
      </c>
      <c r="D8367" s="351" t="s">
        <v>23</v>
      </c>
      <c r="E8367" s="22" t="s">
        <v>86</v>
      </c>
      <c r="F8367" s="7" t="s">
        <v>72</v>
      </c>
      <c r="G8367" s="206" t="s">
        <v>26</v>
      </c>
      <c r="H8367" s="33" t="s">
        <v>11353</v>
      </c>
      <c r="I8367" s="157">
        <v>0</v>
      </c>
      <c r="J8367" s="305">
        <v>1455</v>
      </c>
      <c r="K8367" s="142">
        <v>0</v>
      </c>
      <c r="L8367" s="142">
        <v>0</v>
      </c>
      <c r="M8367" s="142">
        <v>0</v>
      </c>
      <c r="N8367" s="142">
        <v>0</v>
      </c>
      <c r="O8367" s="305">
        <v>0</v>
      </c>
      <c r="P8367" s="306">
        <v>547.96022053760009</v>
      </c>
      <c r="Q8367" s="157" t="s">
        <v>7883</v>
      </c>
      <c r="R8367" s="303"/>
    </row>
    <row r="8368" spans="1:18" s="162" customFormat="1" ht="180" x14ac:dyDescent="0.25">
      <c r="A8368" s="184">
        <v>44071</v>
      </c>
      <c r="B8368" s="184">
        <v>44071</v>
      </c>
      <c r="C8368" s="138">
        <v>2020</v>
      </c>
      <c r="D8368" s="351" t="s">
        <v>23</v>
      </c>
      <c r="E8368" s="14" t="s">
        <v>32</v>
      </c>
      <c r="F8368" s="7" t="s">
        <v>60</v>
      </c>
      <c r="G8368" s="33" t="s">
        <v>11354</v>
      </c>
      <c r="H8368" s="33" t="s">
        <v>11355</v>
      </c>
      <c r="I8368" s="157">
        <v>0</v>
      </c>
      <c r="J8368" s="305">
        <v>19958</v>
      </c>
      <c r="K8368" s="142">
        <v>5</v>
      </c>
      <c r="L8368" s="142">
        <v>0</v>
      </c>
      <c r="M8368" s="142">
        <v>0</v>
      </c>
      <c r="N8368" s="142">
        <v>0</v>
      </c>
      <c r="O8368" s="305">
        <v>0</v>
      </c>
      <c r="P8368" s="306">
        <v>470.42596141600001</v>
      </c>
      <c r="Q8368" s="157" t="s">
        <v>7883</v>
      </c>
      <c r="R8368" s="303"/>
    </row>
    <row r="8369" spans="1:18" s="162" customFormat="1" ht="132" x14ac:dyDescent="0.25">
      <c r="A8369" s="184">
        <v>44072</v>
      </c>
      <c r="B8369" s="184">
        <v>44072</v>
      </c>
      <c r="C8369" s="138">
        <v>2020</v>
      </c>
      <c r="D8369" s="35" t="s">
        <v>28</v>
      </c>
      <c r="E8369" s="30" t="s">
        <v>133</v>
      </c>
      <c r="F8369" s="28" t="s">
        <v>157</v>
      </c>
      <c r="G8369" s="33" t="s">
        <v>206</v>
      </c>
      <c r="H8369" s="33" t="s">
        <v>11356</v>
      </c>
      <c r="I8369" s="157">
        <v>0</v>
      </c>
      <c r="J8369" s="305">
        <v>13</v>
      </c>
      <c r="K8369" s="142">
        <v>3</v>
      </c>
      <c r="L8369" s="142">
        <v>0</v>
      </c>
      <c r="M8369" s="142">
        <v>0</v>
      </c>
      <c r="N8369" s="142">
        <v>0</v>
      </c>
      <c r="O8369" s="305">
        <v>0</v>
      </c>
      <c r="P8369" s="306">
        <v>0.57002599499999995</v>
      </c>
      <c r="Q8369" s="157" t="s">
        <v>154</v>
      </c>
      <c r="R8369" s="303"/>
    </row>
    <row r="8370" spans="1:18" s="162" customFormat="1" ht="108" x14ac:dyDescent="0.25">
      <c r="A8370" s="184">
        <v>44072</v>
      </c>
      <c r="B8370" s="184">
        <v>44072</v>
      </c>
      <c r="C8370" s="138">
        <v>2020</v>
      </c>
      <c r="D8370" s="351" t="s">
        <v>23</v>
      </c>
      <c r="E8370" s="22" t="s">
        <v>86</v>
      </c>
      <c r="F8370" s="7" t="s">
        <v>62</v>
      </c>
      <c r="G8370" s="33" t="s">
        <v>11357</v>
      </c>
      <c r="H8370" s="33" t="s">
        <v>11358</v>
      </c>
      <c r="I8370" s="157">
        <v>0</v>
      </c>
      <c r="J8370" s="305">
        <v>24</v>
      </c>
      <c r="K8370" s="142">
        <v>10</v>
      </c>
      <c r="L8370" s="142">
        <v>0</v>
      </c>
      <c r="M8370" s="142">
        <v>0</v>
      </c>
      <c r="N8370" s="142">
        <v>0</v>
      </c>
      <c r="O8370" s="305">
        <v>0</v>
      </c>
      <c r="P8370" s="306">
        <v>0.16212750000000001</v>
      </c>
      <c r="Q8370" s="157" t="s">
        <v>154</v>
      </c>
      <c r="R8370" s="303"/>
    </row>
    <row r="8371" spans="1:18" s="162" customFormat="1" ht="108" x14ac:dyDescent="0.25">
      <c r="A8371" s="184">
        <v>44074</v>
      </c>
      <c r="B8371" s="184">
        <v>44074</v>
      </c>
      <c r="C8371" s="138">
        <v>2020</v>
      </c>
      <c r="D8371" s="24" t="s">
        <v>141</v>
      </c>
      <c r="E8371" s="30" t="s">
        <v>142</v>
      </c>
      <c r="F8371" s="7" t="s">
        <v>60</v>
      </c>
      <c r="G8371" s="33" t="s">
        <v>1605</v>
      </c>
      <c r="H8371" s="33" t="s">
        <v>11359</v>
      </c>
      <c r="I8371" s="157">
        <v>0</v>
      </c>
      <c r="J8371" s="305">
        <v>8</v>
      </c>
      <c r="K8371" s="142">
        <v>0</v>
      </c>
      <c r="L8371" s="142">
        <v>0</v>
      </c>
      <c r="M8371" s="142">
        <v>0</v>
      </c>
      <c r="N8371" s="142">
        <v>0</v>
      </c>
      <c r="O8371" s="305">
        <v>0</v>
      </c>
      <c r="P8371" s="306">
        <v>8.0731200000000003E-2</v>
      </c>
      <c r="Q8371" s="157" t="s">
        <v>154</v>
      </c>
      <c r="R8371" s="303"/>
    </row>
    <row r="8372" spans="1:18" s="162" customFormat="1" ht="84" x14ac:dyDescent="0.25">
      <c r="A8372" s="184">
        <v>44074</v>
      </c>
      <c r="B8372" s="184">
        <v>44074</v>
      </c>
      <c r="C8372" s="138">
        <v>2020</v>
      </c>
      <c r="D8372" s="24" t="s">
        <v>141</v>
      </c>
      <c r="E8372" s="30" t="s">
        <v>142</v>
      </c>
      <c r="F8372" s="7" t="s">
        <v>53</v>
      </c>
      <c r="G8372" s="33" t="s">
        <v>9811</v>
      </c>
      <c r="H8372" s="33" t="s">
        <v>11360</v>
      </c>
      <c r="I8372" s="157">
        <v>2</v>
      </c>
      <c r="J8372" s="305">
        <v>32</v>
      </c>
      <c r="K8372" s="142">
        <v>0</v>
      </c>
      <c r="L8372" s="142">
        <v>0</v>
      </c>
      <c r="M8372" s="142">
        <v>0</v>
      </c>
      <c r="N8372" s="142">
        <v>0</v>
      </c>
      <c r="O8372" s="305">
        <v>0</v>
      </c>
      <c r="P8372" s="306">
        <v>0.78553200000000001</v>
      </c>
      <c r="Q8372" s="157" t="s">
        <v>154</v>
      </c>
      <c r="R8372" s="303"/>
    </row>
    <row r="8373" spans="1:18" s="162" customFormat="1" ht="96" x14ac:dyDescent="0.25">
      <c r="A8373" s="184">
        <v>44078</v>
      </c>
      <c r="B8373" s="184">
        <v>44078</v>
      </c>
      <c r="C8373" s="138">
        <v>2020</v>
      </c>
      <c r="D8373" s="24" t="s">
        <v>141</v>
      </c>
      <c r="E8373" s="30" t="s">
        <v>142</v>
      </c>
      <c r="F8373" s="7" t="s">
        <v>60</v>
      </c>
      <c r="G8373" s="33" t="s">
        <v>908</v>
      </c>
      <c r="H8373" s="33" t="s">
        <v>11361</v>
      </c>
      <c r="I8373" s="157">
        <v>0</v>
      </c>
      <c r="J8373" s="305">
        <v>24</v>
      </c>
      <c r="K8373" s="142">
        <v>0</v>
      </c>
      <c r="L8373" s="142">
        <v>0</v>
      </c>
      <c r="M8373" s="142">
        <v>0</v>
      </c>
      <c r="N8373" s="142">
        <v>0</v>
      </c>
      <c r="O8373" s="305">
        <v>0</v>
      </c>
      <c r="P8373" s="306">
        <v>0.90846800000000005</v>
      </c>
      <c r="Q8373" s="157" t="s">
        <v>154</v>
      </c>
      <c r="R8373" s="303"/>
    </row>
    <row r="8374" spans="1:18" s="162" customFormat="1" ht="240" x14ac:dyDescent="0.25">
      <c r="A8374" s="184">
        <v>44078</v>
      </c>
      <c r="B8374" s="184">
        <v>44078</v>
      </c>
      <c r="C8374" s="138">
        <v>2020</v>
      </c>
      <c r="D8374" s="351" t="s">
        <v>23</v>
      </c>
      <c r="E8374" s="22" t="s">
        <v>86</v>
      </c>
      <c r="F8374" s="7" t="s">
        <v>72</v>
      </c>
      <c r="G8374" s="33" t="s">
        <v>11362</v>
      </c>
      <c r="H8374" s="33" t="s">
        <v>11363</v>
      </c>
      <c r="I8374" s="157">
        <v>0</v>
      </c>
      <c r="J8374" s="305">
        <v>216</v>
      </c>
      <c r="K8374" s="142">
        <v>54</v>
      </c>
      <c r="L8374" s="142">
        <v>0</v>
      </c>
      <c r="M8374" s="142">
        <v>0</v>
      </c>
      <c r="N8374" s="142">
        <v>0</v>
      </c>
      <c r="O8374" s="305">
        <v>0</v>
      </c>
      <c r="P8374" s="306">
        <v>6.5488500000000005E-2</v>
      </c>
      <c r="Q8374" s="157" t="s">
        <v>154</v>
      </c>
      <c r="R8374" s="303"/>
    </row>
    <row r="8375" spans="1:18" s="162" customFormat="1" ht="24" x14ac:dyDescent="0.25">
      <c r="A8375" s="184">
        <v>44079</v>
      </c>
      <c r="B8375" s="184">
        <v>44081</v>
      </c>
      <c r="C8375" s="138">
        <v>2020</v>
      </c>
      <c r="D8375" s="351" t="s">
        <v>23</v>
      </c>
      <c r="E8375" s="22" t="s">
        <v>86</v>
      </c>
      <c r="F8375" s="28" t="s">
        <v>210</v>
      </c>
      <c r="G8375" s="206" t="s">
        <v>26</v>
      </c>
      <c r="H8375" s="33" t="s">
        <v>11364</v>
      </c>
      <c r="I8375" s="157">
        <v>0</v>
      </c>
      <c r="J8375" s="305">
        <v>2168</v>
      </c>
      <c r="K8375" s="142">
        <v>0</v>
      </c>
      <c r="L8375" s="142">
        <v>0</v>
      </c>
      <c r="M8375" s="142">
        <v>0</v>
      </c>
      <c r="N8375" s="142">
        <v>0</v>
      </c>
      <c r="O8375" s="305">
        <v>0</v>
      </c>
      <c r="P8375" s="306">
        <v>3.6752306152000003</v>
      </c>
      <c r="Q8375" s="157" t="s">
        <v>7883</v>
      </c>
      <c r="R8375" s="303"/>
    </row>
    <row r="8376" spans="1:18" s="162" customFormat="1" x14ac:dyDescent="0.25">
      <c r="A8376" s="184">
        <v>44079</v>
      </c>
      <c r="B8376" s="184">
        <v>44081</v>
      </c>
      <c r="C8376" s="138">
        <v>2020</v>
      </c>
      <c r="D8376" s="35" t="s">
        <v>17</v>
      </c>
      <c r="E8376" s="6" t="s">
        <v>328</v>
      </c>
      <c r="F8376" s="7" t="s">
        <v>72</v>
      </c>
      <c r="G8376" s="206" t="s">
        <v>26</v>
      </c>
      <c r="H8376" s="33" t="s">
        <v>11365</v>
      </c>
      <c r="I8376" s="157">
        <v>0</v>
      </c>
      <c r="J8376" s="305">
        <v>401</v>
      </c>
      <c r="K8376" s="142">
        <v>0</v>
      </c>
      <c r="L8376" s="142">
        <v>0</v>
      </c>
      <c r="M8376" s="142">
        <v>0</v>
      </c>
      <c r="N8376" s="142">
        <v>0</v>
      </c>
      <c r="O8376" s="305">
        <v>0</v>
      </c>
      <c r="P8376" s="306">
        <v>126.840822344</v>
      </c>
      <c r="Q8376" s="157" t="s">
        <v>7883</v>
      </c>
      <c r="R8376" s="303"/>
    </row>
    <row r="8377" spans="1:18" s="162" customFormat="1" ht="24" x14ac:dyDescent="0.25">
      <c r="A8377" s="184">
        <v>44079</v>
      </c>
      <c r="B8377" s="184">
        <v>44081</v>
      </c>
      <c r="C8377" s="138">
        <v>2020</v>
      </c>
      <c r="D8377" s="351" t="s">
        <v>23</v>
      </c>
      <c r="E8377" s="22" t="s">
        <v>86</v>
      </c>
      <c r="F8377" s="7" t="s">
        <v>72</v>
      </c>
      <c r="G8377" s="206" t="s">
        <v>26</v>
      </c>
      <c r="H8377" s="33" t="s">
        <v>11366</v>
      </c>
      <c r="I8377" s="157">
        <v>0</v>
      </c>
      <c r="J8377" s="305">
        <v>0</v>
      </c>
      <c r="K8377" s="142">
        <v>0</v>
      </c>
      <c r="L8377" s="142">
        <v>0</v>
      </c>
      <c r="M8377" s="142">
        <v>0</v>
      </c>
      <c r="N8377" s="142">
        <v>0</v>
      </c>
      <c r="O8377" s="305">
        <v>0</v>
      </c>
      <c r="P8377" s="306">
        <v>240.4331</v>
      </c>
      <c r="Q8377" s="157" t="s">
        <v>7883</v>
      </c>
      <c r="R8377" s="303"/>
    </row>
    <row r="8378" spans="1:18" s="162" customFormat="1" ht="180" x14ac:dyDescent="0.25">
      <c r="A8378" s="184">
        <v>44082</v>
      </c>
      <c r="B8378" s="184">
        <v>44083</v>
      </c>
      <c r="C8378" s="138">
        <v>2020</v>
      </c>
      <c r="D8378" s="24" t="s">
        <v>130</v>
      </c>
      <c r="E8378" s="30" t="s">
        <v>136</v>
      </c>
      <c r="F8378" s="7" t="s">
        <v>36</v>
      </c>
      <c r="G8378" s="33" t="s">
        <v>11367</v>
      </c>
      <c r="H8378" s="33" t="s">
        <v>11368</v>
      </c>
      <c r="I8378" s="157">
        <v>0</v>
      </c>
      <c r="J8378" s="305">
        <v>30</v>
      </c>
      <c r="K8378" s="142">
        <v>0</v>
      </c>
      <c r="L8378" s="142">
        <v>0</v>
      </c>
      <c r="M8378" s="142">
        <v>0</v>
      </c>
      <c r="N8378" s="142">
        <v>0</v>
      </c>
      <c r="O8378" s="305">
        <v>0</v>
      </c>
      <c r="P8378" s="306">
        <v>0</v>
      </c>
      <c r="Q8378" s="157" t="s">
        <v>154</v>
      </c>
      <c r="R8378" s="303"/>
    </row>
    <row r="8379" spans="1:18" s="162" customFormat="1" ht="192" x14ac:dyDescent="0.25">
      <c r="A8379" s="184">
        <v>44084</v>
      </c>
      <c r="B8379" s="184">
        <v>44084</v>
      </c>
      <c r="C8379" s="138">
        <v>2020</v>
      </c>
      <c r="D8379" s="35" t="s">
        <v>28</v>
      </c>
      <c r="E8379" s="30" t="s">
        <v>133</v>
      </c>
      <c r="F8379" s="7" t="s">
        <v>53</v>
      </c>
      <c r="G8379" s="33" t="s">
        <v>2776</v>
      </c>
      <c r="H8379" s="33" t="s">
        <v>11369</v>
      </c>
      <c r="I8379" s="157">
        <v>1</v>
      </c>
      <c r="J8379" s="305">
        <v>3</v>
      </c>
      <c r="K8379" s="142">
        <v>0</v>
      </c>
      <c r="L8379" s="142">
        <v>0</v>
      </c>
      <c r="M8379" s="142">
        <v>0</v>
      </c>
      <c r="N8379" s="142">
        <v>0</v>
      </c>
      <c r="O8379" s="305">
        <v>0</v>
      </c>
      <c r="P8379" s="306">
        <v>0.58635950999999997</v>
      </c>
      <c r="Q8379" s="157" t="s">
        <v>154</v>
      </c>
      <c r="R8379" s="303"/>
    </row>
    <row r="8380" spans="1:18" s="162" customFormat="1" ht="180" x14ac:dyDescent="0.25">
      <c r="A8380" s="184">
        <v>44084</v>
      </c>
      <c r="B8380" s="184">
        <v>44084</v>
      </c>
      <c r="C8380" s="138">
        <v>2020</v>
      </c>
      <c r="D8380" s="351" t="s">
        <v>23</v>
      </c>
      <c r="E8380" s="22" t="s">
        <v>86</v>
      </c>
      <c r="F8380" s="7" t="s">
        <v>58</v>
      </c>
      <c r="G8380" s="33" t="s">
        <v>11370</v>
      </c>
      <c r="H8380" s="33" t="s">
        <v>11371</v>
      </c>
      <c r="I8380" s="157">
        <v>2</v>
      </c>
      <c r="J8380" s="305">
        <v>4</v>
      </c>
      <c r="K8380" s="142">
        <v>0</v>
      </c>
      <c r="L8380" s="142">
        <v>0</v>
      </c>
      <c r="M8380" s="142">
        <v>0</v>
      </c>
      <c r="N8380" s="142">
        <v>0</v>
      </c>
      <c r="O8380" s="305">
        <v>0</v>
      </c>
      <c r="P8380" s="306">
        <v>9.6799999999999994E-3</v>
      </c>
      <c r="Q8380" s="157" t="s">
        <v>154</v>
      </c>
      <c r="R8380" s="303"/>
    </row>
    <row r="8381" spans="1:18" s="162" customFormat="1" ht="168" x14ac:dyDescent="0.25">
      <c r="A8381" s="184">
        <v>44084</v>
      </c>
      <c r="B8381" s="184">
        <v>44085</v>
      </c>
      <c r="C8381" s="138">
        <v>2020</v>
      </c>
      <c r="D8381" s="351" t="s">
        <v>23</v>
      </c>
      <c r="E8381" s="22" t="s">
        <v>86</v>
      </c>
      <c r="F8381" s="7" t="s">
        <v>62</v>
      </c>
      <c r="G8381" s="33" t="s">
        <v>11372</v>
      </c>
      <c r="H8381" s="33" t="s">
        <v>11373</v>
      </c>
      <c r="I8381" s="157">
        <v>0</v>
      </c>
      <c r="J8381" s="305">
        <v>320</v>
      </c>
      <c r="K8381" s="142">
        <v>80</v>
      </c>
      <c r="L8381" s="142">
        <v>0</v>
      </c>
      <c r="M8381" s="142">
        <v>0</v>
      </c>
      <c r="N8381" s="142">
        <v>0</v>
      </c>
      <c r="O8381" s="305">
        <v>0</v>
      </c>
      <c r="P8381" s="306">
        <v>4.8509999999999998E-2</v>
      </c>
      <c r="Q8381" s="157" t="s">
        <v>154</v>
      </c>
      <c r="R8381" s="303"/>
    </row>
    <row r="8382" spans="1:18" s="162" customFormat="1" ht="156" x14ac:dyDescent="0.25">
      <c r="A8382" s="184">
        <v>44085</v>
      </c>
      <c r="B8382" s="184">
        <v>44085</v>
      </c>
      <c r="C8382" s="138">
        <v>2020</v>
      </c>
      <c r="D8382" s="351" t="s">
        <v>23</v>
      </c>
      <c r="E8382" s="49" t="s">
        <v>5893</v>
      </c>
      <c r="F8382" s="7" t="s">
        <v>72</v>
      </c>
      <c r="G8382" s="33" t="s">
        <v>11374</v>
      </c>
      <c r="H8382" s="33" t="s">
        <v>11375</v>
      </c>
      <c r="I8382" s="157">
        <v>1</v>
      </c>
      <c r="J8382" s="305">
        <v>1</v>
      </c>
      <c r="K8382" s="142">
        <v>0</v>
      </c>
      <c r="L8382" s="142">
        <v>0</v>
      </c>
      <c r="M8382" s="142">
        <v>0</v>
      </c>
      <c r="N8382" s="142">
        <v>0</v>
      </c>
      <c r="O8382" s="305">
        <v>0</v>
      </c>
      <c r="P8382" s="306">
        <v>0</v>
      </c>
      <c r="Q8382" s="157" t="s">
        <v>154</v>
      </c>
      <c r="R8382" s="303"/>
    </row>
    <row r="8383" spans="1:18" s="162" customFormat="1" ht="336" x14ac:dyDescent="0.25">
      <c r="A8383" s="184">
        <v>44085</v>
      </c>
      <c r="B8383" s="184">
        <v>44089</v>
      </c>
      <c r="C8383" s="138">
        <v>2020</v>
      </c>
      <c r="D8383" s="351" t="s">
        <v>23</v>
      </c>
      <c r="E8383" s="22" t="s">
        <v>86</v>
      </c>
      <c r="F8383" s="7" t="s">
        <v>49</v>
      </c>
      <c r="G8383" s="33" t="s">
        <v>11376</v>
      </c>
      <c r="H8383" s="33" t="s">
        <v>11377</v>
      </c>
      <c r="I8383" s="157">
        <v>1</v>
      </c>
      <c r="J8383" s="305">
        <v>21434</v>
      </c>
      <c r="K8383" s="142">
        <v>0</v>
      </c>
      <c r="L8383" s="142">
        <v>0</v>
      </c>
      <c r="M8383" s="142">
        <v>0</v>
      </c>
      <c r="N8383" s="142">
        <v>0</v>
      </c>
      <c r="O8383" s="305">
        <v>0</v>
      </c>
      <c r="P8383" s="306">
        <v>425.50508461797193</v>
      </c>
      <c r="Q8383" s="157" t="s">
        <v>7883</v>
      </c>
      <c r="R8383" s="303"/>
    </row>
    <row r="8384" spans="1:18" s="162" customFormat="1" ht="120" x14ac:dyDescent="0.25">
      <c r="A8384" s="184">
        <v>44086</v>
      </c>
      <c r="B8384" s="184">
        <v>44086</v>
      </c>
      <c r="C8384" s="138">
        <v>2020</v>
      </c>
      <c r="D8384" s="24" t="s">
        <v>141</v>
      </c>
      <c r="E8384" s="30" t="s">
        <v>142</v>
      </c>
      <c r="F8384" s="7" t="s">
        <v>62</v>
      </c>
      <c r="G8384" s="33" t="s">
        <v>1320</v>
      </c>
      <c r="H8384" s="33" t="s">
        <v>11378</v>
      </c>
      <c r="I8384" s="157">
        <v>0</v>
      </c>
      <c r="J8384" s="305">
        <v>20</v>
      </c>
      <c r="K8384" s="142">
        <v>0</v>
      </c>
      <c r="L8384" s="142">
        <v>0</v>
      </c>
      <c r="M8384" s="142">
        <v>0</v>
      </c>
      <c r="N8384" s="142">
        <v>0</v>
      </c>
      <c r="O8384" s="305">
        <v>0</v>
      </c>
      <c r="P8384" s="306">
        <v>0.1788864</v>
      </c>
      <c r="Q8384" s="157" t="s">
        <v>154</v>
      </c>
      <c r="R8384" s="303"/>
    </row>
    <row r="8385" spans="1:18" s="162" customFormat="1" ht="24" x14ac:dyDescent="0.25">
      <c r="A8385" s="184">
        <v>44087</v>
      </c>
      <c r="B8385" s="184">
        <v>44089</v>
      </c>
      <c r="C8385" s="138">
        <v>2020</v>
      </c>
      <c r="D8385" s="351" t="s">
        <v>23</v>
      </c>
      <c r="E8385" s="22" t="s">
        <v>86</v>
      </c>
      <c r="F8385" s="7" t="s">
        <v>72</v>
      </c>
      <c r="G8385" s="206" t="s">
        <v>26</v>
      </c>
      <c r="H8385" s="44" t="s">
        <v>11379</v>
      </c>
      <c r="I8385" s="157">
        <v>0</v>
      </c>
      <c r="J8385" s="305">
        <v>880</v>
      </c>
      <c r="K8385" s="142">
        <v>0</v>
      </c>
      <c r="L8385" s="142">
        <v>0</v>
      </c>
      <c r="M8385" s="142">
        <v>0</v>
      </c>
      <c r="N8385" s="142">
        <v>0</v>
      </c>
      <c r="O8385" s="305">
        <v>0</v>
      </c>
      <c r="P8385" s="306">
        <v>1.8134545399999999</v>
      </c>
      <c r="Q8385" s="157" t="s">
        <v>7883</v>
      </c>
      <c r="R8385" s="303"/>
    </row>
    <row r="8386" spans="1:18" s="162" customFormat="1" ht="120" x14ac:dyDescent="0.25">
      <c r="A8386" s="184">
        <v>44088</v>
      </c>
      <c r="B8386" s="184">
        <v>44088</v>
      </c>
      <c r="C8386" s="138">
        <v>2020</v>
      </c>
      <c r="D8386" s="351" t="s">
        <v>23</v>
      </c>
      <c r="E8386" s="14" t="s">
        <v>52</v>
      </c>
      <c r="F8386" s="7" t="s">
        <v>75</v>
      </c>
      <c r="G8386" s="33" t="s">
        <v>11380</v>
      </c>
      <c r="H8386" s="33" t="s">
        <v>11381</v>
      </c>
      <c r="I8386" s="157">
        <v>1</v>
      </c>
      <c r="J8386" s="305">
        <v>5</v>
      </c>
      <c r="K8386" s="142">
        <v>0</v>
      </c>
      <c r="L8386" s="142">
        <v>0</v>
      </c>
      <c r="M8386" s="142">
        <v>0</v>
      </c>
      <c r="N8386" s="142">
        <v>0</v>
      </c>
      <c r="O8386" s="305">
        <v>0</v>
      </c>
      <c r="P8386" s="306">
        <v>9.6799999999999994E-3</v>
      </c>
      <c r="Q8386" s="157" t="s">
        <v>154</v>
      </c>
      <c r="R8386" s="303"/>
    </row>
    <row r="8387" spans="1:18" s="162" customFormat="1" ht="96" x14ac:dyDescent="0.25">
      <c r="A8387" s="184">
        <v>44089</v>
      </c>
      <c r="B8387" s="184">
        <v>44089</v>
      </c>
      <c r="C8387" s="138">
        <v>2020</v>
      </c>
      <c r="D8387" s="351" t="s">
        <v>23</v>
      </c>
      <c r="E8387" s="22" t="s">
        <v>86</v>
      </c>
      <c r="F8387" s="7" t="s">
        <v>65</v>
      </c>
      <c r="G8387" s="33" t="s">
        <v>4607</v>
      </c>
      <c r="H8387" s="33" t="s">
        <v>11382</v>
      </c>
      <c r="I8387" s="157">
        <v>0</v>
      </c>
      <c r="J8387" s="305">
        <v>172</v>
      </c>
      <c r="K8387" s="142">
        <v>43</v>
      </c>
      <c r="L8387" s="142">
        <v>0</v>
      </c>
      <c r="M8387" s="142">
        <v>0</v>
      </c>
      <c r="N8387" s="142">
        <v>0</v>
      </c>
      <c r="O8387" s="305">
        <v>0</v>
      </c>
      <c r="P8387" s="306">
        <v>8.032043250000001</v>
      </c>
      <c r="Q8387" s="157" t="s">
        <v>154</v>
      </c>
      <c r="R8387" s="303"/>
    </row>
    <row r="8388" spans="1:18" s="162" customFormat="1" ht="84" x14ac:dyDescent="0.25">
      <c r="A8388" s="184">
        <v>44089</v>
      </c>
      <c r="B8388" s="184">
        <v>44089</v>
      </c>
      <c r="C8388" s="138">
        <v>2020</v>
      </c>
      <c r="D8388" s="351" t="s">
        <v>23</v>
      </c>
      <c r="E8388" s="22" t="s">
        <v>86</v>
      </c>
      <c r="F8388" s="7" t="s">
        <v>36</v>
      </c>
      <c r="G8388" s="33"/>
      <c r="H8388" s="33" t="s">
        <v>11383</v>
      </c>
      <c r="I8388" s="157">
        <v>0</v>
      </c>
      <c r="J8388" s="305">
        <v>200</v>
      </c>
      <c r="K8388" s="142">
        <v>50</v>
      </c>
      <c r="L8388" s="142">
        <v>0</v>
      </c>
      <c r="M8388" s="142">
        <v>0</v>
      </c>
      <c r="N8388" s="142">
        <v>0</v>
      </c>
      <c r="O8388" s="305">
        <v>0</v>
      </c>
      <c r="P8388" s="306">
        <v>6.0637499999999997E-2</v>
      </c>
      <c r="Q8388" s="157" t="s">
        <v>154</v>
      </c>
      <c r="R8388" s="303"/>
    </row>
    <row r="8389" spans="1:18" s="162" customFormat="1" ht="60" x14ac:dyDescent="0.25">
      <c r="A8389" s="184">
        <v>44089</v>
      </c>
      <c r="B8389" s="184">
        <v>44089</v>
      </c>
      <c r="C8389" s="138">
        <v>2020</v>
      </c>
      <c r="D8389" s="351" t="s">
        <v>23</v>
      </c>
      <c r="E8389" s="49" t="s">
        <v>323</v>
      </c>
      <c r="F8389" s="28" t="s">
        <v>157</v>
      </c>
      <c r="G8389" s="33" t="s">
        <v>1089</v>
      </c>
      <c r="H8389" s="33" t="s">
        <v>11384</v>
      </c>
      <c r="I8389" s="157">
        <v>1</v>
      </c>
      <c r="J8389" s="305">
        <v>1</v>
      </c>
      <c r="K8389" s="142">
        <v>0</v>
      </c>
      <c r="L8389" s="142">
        <v>0</v>
      </c>
      <c r="M8389" s="142">
        <v>0</v>
      </c>
      <c r="N8389" s="142">
        <v>0</v>
      </c>
      <c r="O8389" s="305">
        <v>0</v>
      </c>
      <c r="P8389" s="306">
        <v>0</v>
      </c>
      <c r="Q8389" s="157" t="s">
        <v>154</v>
      </c>
      <c r="R8389" s="303"/>
    </row>
    <row r="8390" spans="1:18" s="162" customFormat="1" ht="84" x14ac:dyDescent="0.25">
      <c r="A8390" s="184">
        <v>44090</v>
      </c>
      <c r="B8390" s="184">
        <v>44090</v>
      </c>
      <c r="C8390" s="138">
        <v>2020</v>
      </c>
      <c r="D8390" s="351" t="s">
        <v>23</v>
      </c>
      <c r="E8390" s="22" t="s">
        <v>86</v>
      </c>
      <c r="F8390" s="28" t="s">
        <v>157</v>
      </c>
      <c r="G8390" s="33" t="s">
        <v>2476</v>
      </c>
      <c r="H8390" s="33" t="s">
        <v>11385</v>
      </c>
      <c r="I8390" s="157">
        <v>1</v>
      </c>
      <c r="J8390" s="305">
        <v>727</v>
      </c>
      <c r="K8390" s="142">
        <v>180</v>
      </c>
      <c r="L8390" s="142">
        <v>0</v>
      </c>
      <c r="M8390" s="142">
        <v>0</v>
      </c>
      <c r="N8390" s="142">
        <v>30</v>
      </c>
      <c r="O8390" s="305">
        <v>0</v>
      </c>
      <c r="P8390" s="306">
        <v>0.51829499999999995</v>
      </c>
      <c r="Q8390" s="157" t="s">
        <v>154</v>
      </c>
      <c r="R8390" s="303"/>
    </row>
    <row r="8391" spans="1:18" s="162" customFormat="1" ht="60" x14ac:dyDescent="0.25">
      <c r="A8391" s="184">
        <v>44090</v>
      </c>
      <c r="B8391" s="184">
        <v>44090</v>
      </c>
      <c r="C8391" s="138">
        <v>2020</v>
      </c>
      <c r="D8391" s="351" t="s">
        <v>23</v>
      </c>
      <c r="E8391" s="22" t="s">
        <v>86</v>
      </c>
      <c r="F8391" s="28" t="s">
        <v>210</v>
      </c>
      <c r="G8391" s="33" t="s">
        <v>1412</v>
      </c>
      <c r="H8391" s="33" t="s">
        <v>11386</v>
      </c>
      <c r="I8391" s="157">
        <v>0</v>
      </c>
      <c r="J8391" s="305">
        <v>60</v>
      </c>
      <c r="K8391" s="142">
        <v>15</v>
      </c>
      <c r="L8391" s="142">
        <v>0</v>
      </c>
      <c r="M8391" s="142">
        <v>0</v>
      </c>
      <c r="N8391" s="142">
        <v>0</v>
      </c>
      <c r="O8391" s="305">
        <v>0</v>
      </c>
      <c r="P8391" s="306">
        <v>1.8191249999999999E-2</v>
      </c>
      <c r="Q8391" s="157" t="s">
        <v>154</v>
      </c>
      <c r="R8391" s="303"/>
    </row>
    <row r="8392" spans="1:18" s="162" customFormat="1" ht="60" x14ac:dyDescent="0.25">
      <c r="A8392" s="184">
        <v>44092</v>
      </c>
      <c r="B8392" s="184">
        <v>44092</v>
      </c>
      <c r="C8392" s="138">
        <v>2020</v>
      </c>
      <c r="D8392" s="24" t="s">
        <v>141</v>
      </c>
      <c r="E8392" s="30" t="s">
        <v>142</v>
      </c>
      <c r="F8392" s="28" t="s">
        <v>160</v>
      </c>
      <c r="G8392" s="33" t="s">
        <v>1748</v>
      </c>
      <c r="H8392" s="33" t="s">
        <v>11387</v>
      </c>
      <c r="I8392" s="157">
        <v>0</v>
      </c>
      <c r="J8392" s="305">
        <v>7</v>
      </c>
      <c r="K8392" s="142">
        <v>0</v>
      </c>
      <c r="L8392" s="142">
        <v>0</v>
      </c>
      <c r="M8392" s="142">
        <v>0</v>
      </c>
      <c r="N8392" s="142">
        <v>0</v>
      </c>
      <c r="O8392" s="305">
        <v>0</v>
      </c>
      <c r="P8392" s="306">
        <v>7.8553200000000004E-2</v>
      </c>
      <c r="Q8392" s="157" t="s">
        <v>154</v>
      </c>
      <c r="R8392" s="303"/>
    </row>
    <row r="8393" spans="1:18" s="162" customFormat="1" ht="120" x14ac:dyDescent="0.25">
      <c r="A8393" s="184">
        <v>44092</v>
      </c>
      <c r="B8393" s="184">
        <v>44092</v>
      </c>
      <c r="C8393" s="138">
        <v>2020</v>
      </c>
      <c r="D8393" s="351" t="s">
        <v>23</v>
      </c>
      <c r="E8393" s="22" t="s">
        <v>86</v>
      </c>
      <c r="F8393" s="7" t="s">
        <v>62</v>
      </c>
      <c r="G8393" s="33" t="s">
        <v>11388</v>
      </c>
      <c r="H8393" s="33" t="s">
        <v>11389</v>
      </c>
      <c r="I8393" s="157">
        <v>0</v>
      </c>
      <c r="J8393" s="305">
        <v>60</v>
      </c>
      <c r="K8393" s="142">
        <v>15</v>
      </c>
      <c r="L8393" s="142">
        <v>0</v>
      </c>
      <c r="M8393" s="142">
        <v>0</v>
      </c>
      <c r="N8393" s="142">
        <v>0</v>
      </c>
      <c r="O8393" s="305">
        <v>0</v>
      </c>
      <c r="P8393" s="306">
        <v>1.8191249999999999E-2</v>
      </c>
      <c r="Q8393" s="157" t="s">
        <v>154</v>
      </c>
      <c r="R8393" s="303"/>
    </row>
    <row r="8394" spans="1:18" s="162" customFormat="1" ht="72" x14ac:dyDescent="0.25">
      <c r="A8394" s="184">
        <v>44092</v>
      </c>
      <c r="B8394" s="184">
        <v>44092</v>
      </c>
      <c r="C8394" s="138">
        <v>2020</v>
      </c>
      <c r="D8394" s="24" t="s">
        <v>141</v>
      </c>
      <c r="E8394" s="49" t="s">
        <v>10298</v>
      </c>
      <c r="F8394" s="28" t="s">
        <v>157</v>
      </c>
      <c r="G8394" s="33" t="s">
        <v>876</v>
      </c>
      <c r="H8394" s="33" t="s">
        <v>11390</v>
      </c>
      <c r="I8394" s="157">
        <v>0</v>
      </c>
      <c r="J8394" s="305">
        <v>0</v>
      </c>
      <c r="K8394" s="142">
        <v>0</v>
      </c>
      <c r="L8394" s="142">
        <v>0</v>
      </c>
      <c r="M8394" s="142">
        <v>0</v>
      </c>
      <c r="N8394" s="142">
        <v>0</v>
      </c>
      <c r="O8394" s="305">
        <v>0</v>
      </c>
      <c r="P8394" s="306">
        <v>0</v>
      </c>
      <c r="Q8394" s="157" t="s">
        <v>154</v>
      </c>
      <c r="R8394" s="303"/>
    </row>
    <row r="8395" spans="1:18" s="162" customFormat="1" ht="24" x14ac:dyDescent="0.25">
      <c r="A8395" s="184">
        <v>44092</v>
      </c>
      <c r="B8395" s="184">
        <v>44095</v>
      </c>
      <c r="C8395" s="138">
        <v>2020</v>
      </c>
      <c r="D8395" s="35" t="s">
        <v>17</v>
      </c>
      <c r="E8395" s="6" t="s">
        <v>328</v>
      </c>
      <c r="F8395" s="7" t="s">
        <v>72</v>
      </c>
      <c r="G8395" s="206" t="s">
        <v>26</v>
      </c>
      <c r="H8395" s="33" t="s">
        <v>11391</v>
      </c>
      <c r="I8395" s="157">
        <v>0</v>
      </c>
      <c r="J8395" s="305">
        <v>1160</v>
      </c>
      <c r="K8395" s="142">
        <v>0</v>
      </c>
      <c r="L8395" s="142">
        <v>0</v>
      </c>
      <c r="M8395" s="142">
        <v>0</v>
      </c>
      <c r="N8395" s="142">
        <v>0</v>
      </c>
      <c r="O8395" s="305">
        <v>0</v>
      </c>
      <c r="P8395" s="306">
        <v>267.17843537599998</v>
      </c>
      <c r="Q8395" s="157" t="s">
        <v>7883</v>
      </c>
      <c r="R8395" s="303"/>
    </row>
    <row r="8396" spans="1:18" s="162" customFormat="1" x14ac:dyDescent="0.25">
      <c r="A8396" s="184">
        <v>44092</v>
      </c>
      <c r="B8396" s="184">
        <v>44094</v>
      </c>
      <c r="C8396" s="138">
        <v>2020</v>
      </c>
      <c r="D8396" s="351" t="s">
        <v>23</v>
      </c>
      <c r="E8396" s="14" t="s">
        <v>52</v>
      </c>
      <c r="F8396" s="7" t="s">
        <v>72</v>
      </c>
      <c r="G8396" s="206" t="s">
        <v>26</v>
      </c>
      <c r="H8396" s="33" t="s">
        <v>11392</v>
      </c>
      <c r="I8396" s="157">
        <v>0</v>
      </c>
      <c r="J8396" s="305">
        <v>713</v>
      </c>
      <c r="K8396" s="142">
        <v>0</v>
      </c>
      <c r="L8396" s="142">
        <v>0</v>
      </c>
      <c r="M8396" s="142">
        <v>0</v>
      </c>
      <c r="N8396" s="142">
        <v>0</v>
      </c>
      <c r="O8396" s="305">
        <v>0</v>
      </c>
      <c r="P8396" s="306">
        <v>155.79162270800001</v>
      </c>
      <c r="Q8396" s="157" t="s">
        <v>7883</v>
      </c>
      <c r="R8396" s="303"/>
    </row>
    <row r="8397" spans="1:18" s="162" customFormat="1" ht="108" x14ac:dyDescent="0.25">
      <c r="A8397" s="184">
        <v>44093</v>
      </c>
      <c r="B8397" s="184">
        <v>44093</v>
      </c>
      <c r="C8397" s="138">
        <v>2020</v>
      </c>
      <c r="D8397" s="24" t="s">
        <v>130</v>
      </c>
      <c r="E8397" s="49" t="s">
        <v>139</v>
      </c>
      <c r="F8397" s="25" t="s">
        <v>781</v>
      </c>
      <c r="G8397" s="33" t="s">
        <v>3061</v>
      </c>
      <c r="H8397" s="33" t="s">
        <v>11393</v>
      </c>
      <c r="I8397" s="157">
        <v>1</v>
      </c>
      <c r="J8397" s="305">
        <v>52</v>
      </c>
      <c r="K8397" s="142">
        <v>0</v>
      </c>
      <c r="L8397" s="142">
        <v>0</v>
      </c>
      <c r="M8397" s="142">
        <v>0</v>
      </c>
      <c r="N8397" s="142">
        <v>0</v>
      </c>
      <c r="O8397" s="305">
        <v>0</v>
      </c>
      <c r="P8397" s="306">
        <v>0</v>
      </c>
      <c r="Q8397" s="157" t="s">
        <v>154</v>
      </c>
      <c r="R8397" s="303"/>
    </row>
    <row r="8398" spans="1:18" s="162" customFormat="1" ht="409.5" x14ac:dyDescent="0.25">
      <c r="A8398" s="184">
        <v>44096</v>
      </c>
      <c r="B8398" s="184">
        <v>44096</v>
      </c>
      <c r="C8398" s="138">
        <v>2020</v>
      </c>
      <c r="D8398" s="351" t="s">
        <v>23</v>
      </c>
      <c r="E8398" s="49" t="s">
        <v>10153</v>
      </c>
      <c r="F8398" s="28" t="s">
        <v>210</v>
      </c>
      <c r="G8398" s="33" t="s">
        <v>11394</v>
      </c>
      <c r="H8398" s="33" t="s">
        <v>11395</v>
      </c>
      <c r="I8398" s="157">
        <v>0</v>
      </c>
      <c r="J8398" s="305">
        <v>5085</v>
      </c>
      <c r="K8398" s="142">
        <v>668</v>
      </c>
      <c r="L8398" s="142">
        <v>1</v>
      </c>
      <c r="M8398" s="142">
        <v>0</v>
      </c>
      <c r="N8398" s="142">
        <v>0</v>
      </c>
      <c r="O8398" s="305">
        <v>0</v>
      </c>
      <c r="P8398" s="306">
        <v>4.7139947657920009</v>
      </c>
      <c r="Q8398" s="157" t="s">
        <v>7883</v>
      </c>
      <c r="R8398" s="303"/>
    </row>
    <row r="8399" spans="1:18" s="162" customFormat="1" ht="120" x14ac:dyDescent="0.25">
      <c r="A8399" s="184">
        <v>44098</v>
      </c>
      <c r="B8399" s="184">
        <v>44099</v>
      </c>
      <c r="C8399" s="138">
        <v>2020</v>
      </c>
      <c r="D8399" s="24" t="s">
        <v>141</v>
      </c>
      <c r="E8399" s="30" t="s">
        <v>142</v>
      </c>
      <c r="F8399" s="7" t="s">
        <v>67</v>
      </c>
      <c r="G8399" s="33" t="s">
        <v>2973</v>
      </c>
      <c r="H8399" s="33" t="s">
        <v>11396</v>
      </c>
      <c r="I8399" s="157">
        <v>1</v>
      </c>
      <c r="J8399" s="305">
        <v>21</v>
      </c>
      <c r="K8399" s="142">
        <v>0</v>
      </c>
      <c r="L8399" s="142">
        <v>0</v>
      </c>
      <c r="M8399" s="142">
        <v>0</v>
      </c>
      <c r="N8399" s="142">
        <v>0</v>
      </c>
      <c r="O8399" s="305">
        <v>0</v>
      </c>
      <c r="P8399" s="306">
        <v>0.85821225858823535</v>
      </c>
      <c r="Q8399" s="157" t="s">
        <v>154</v>
      </c>
      <c r="R8399" s="303"/>
    </row>
    <row r="8400" spans="1:18" s="162" customFormat="1" ht="144" x14ac:dyDescent="0.25">
      <c r="A8400" s="184">
        <v>44098</v>
      </c>
      <c r="B8400" s="184">
        <v>44099</v>
      </c>
      <c r="C8400" s="138">
        <v>2020</v>
      </c>
      <c r="D8400" s="351" t="s">
        <v>23</v>
      </c>
      <c r="E8400" s="22" t="s">
        <v>86</v>
      </c>
      <c r="F8400" s="7" t="s">
        <v>36</v>
      </c>
      <c r="G8400" s="33" t="s">
        <v>11397</v>
      </c>
      <c r="H8400" s="33" t="s">
        <v>11398</v>
      </c>
      <c r="I8400" s="157">
        <v>0</v>
      </c>
      <c r="J8400" s="305">
        <v>508</v>
      </c>
      <c r="K8400" s="142">
        <v>127</v>
      </c>
      <c r="L8400" s="142">
        <v>0</v>
      </c>
      <c r="M8400" s="142">
        <v>0</v>
      </c>
      <c r="N8400" s="142">
        <v>0</v>
      </c>
      <c r="O8400" s="305">
        <v>0</v>
      </c>
      <c r="P8400" s="306">
        <v>0.1169245</v>
      </c>
      <c r="Q8400" s="157" t="s">
        <v>154</v>
      </c>
      <c r="R8400" s="303"/>
    </row>
    <row r="8401" spans="1:18" s="162" customFormat="1" ht="168" x14ac:dyDescent="0.25">
      <c r="A8401" s="184">
        <v>44099</v>
      </c>
      <c r="B8401" s="184">
        <v>44099</v>
      </c>
      <c r="C8401" s="138">
        <v>2020</v>
      </c>
      <c r="D8401" s="351" t="s">
        <v>23</v>
      </c>
      <c r="E8401" s="22" t="s">
        <v>86</v>
      </c>
      <c r="F8401" s="7" t="s">
        <v>75</v>
      </c>
      <c r="G8401" s="33" t="s">
        <v>11399</v>
      </c>
      <c r="H8401" s="33" t="s">
        <v>11400</v>
      </c>
      <c r="I8401" s="157">
        <v>0</v>
      </c>
      <c r="J8401" s="305">
        <v>196</v>
      </c>
      <c r="K8401" s="142">
        <v>1</v>
      </c>
      <c r="L8401" s="142">
        <v>0</v>
      </c>
      <c r="M8401" s="142">
        <v>0</v>
      </c>
      <c r="N8401" s="142">
        <v>0</v>
      </c>
      <c r="O8401" s="305">
        <v>0</v>
      </c>
      <c r="P8401" s="306">
        <v>9.8012749999999996E-2</v>
      </c>
      <c r="Q8401" s="157" t="s">
        <v>154</v>
      </c>
      <c r="R8401" s="303"/>
    </row>
    <row r="8402" spans="1:18" s="162" customFormat="1" ht="48" x14ac:dyDescent="0.25">
      <c r="A8402" s="184">
        <v>44099</v>
      </c>
      <c r="B8402" s="184">
        <v>44099</v>
      </c>
      <c r="C8402" s="138">
        <v>2020</v>
      </c>
      <c r="D8402" s="351" t="s">
        <v>23</v>
      </c>
      <c r="E8402" s="22" t="s">
        <v>86</v>
      </c>
      <c r="F8402" s="7" t="s">
        <v>75</v>
      </c>
      <c r="G8402" s="33" t="s">
        <v>5585</v>
      </c>
      <c r="H8402" s="33" t="s">
        <v>11401</v>
      </c>
      <c r="I8402" s="157">
        <v>0</v>
      </c>
      <c r="J8402" s="305">
        <v>24</v>
      </c>
      <c r="K8402" s="142">
        <v>6</v>
      </c>
      <c r="L8402" s="142">
        <v>0</v>
      </c>
      <c r="M8402" s="142">
        <v>0</v>
      </c>
      <c r="N8402" s="142">
        <v>0</v>
      </c>
      <c r="O8402" s="305">
        <v>0</v>
      </c>
      <c r="P8402" s="306">
        <v>7.2765E-3</v>
      </c>
      <c r="Q8402" s="157" t="s">
        <v>154</v>
      </c>
      <c r="R8402" s="303"/>
    </row>
    <row r="8403" spans="1:18" s="162" customFormat="1" ht="48" x14ac:dyDescent="0.25">
      <c r="A8403" s="184">
        <v>44099</v>
      </c>
      <c r="B8403" s="184">
        <v>44099</v>
      </c>
      <c r="C8403" s="138">
        <v>2020</v>
      </c>
      <c r="D8403" s="351" t="s">
        <v>23</v>
      </c>
      <c r="E8403" s="22" t="s">
        <v>86</v>
      </c>
      <c r="F8403" s="7" t="s">
        <v>60</v>
      </c>
      <c r="G8403" s="33" t="s">
        <v>11402</v>
      </c>
      <c r="H8403" s="33" t="s">
        <v>11403</v>
      </c>
      <c r="I8403" s="157">
        <v>0</v>
      </c>
      <c r="J8403" s="305">
        <v>4</v>
      </c>
      <c r="K8403" s="142">
        <v>1</v>
      </c>
      <c r="L8403" s="142">
        <v>0</v>
      </c>
      <c r="M8403" s="142">
        <v>0</v>
      </c>
      <c r="N8403" s="142">
        <v>0</v>
      </c>
      <c r="O8403" s="305">
        <v>0</v>
      </c>
      <c r="P8403" s="306">
        <v>1.2127500000000001E-3</v>
      </c>
      <c r="Q8403" s="157" t="s">
        <v>154</v>
      </c>
      <c r="R8403" s="303"/>
    </row>
    <row r="8404" spans="1:18" s="162" customFormat="1" ht="108" x14ac:dyDescent="0.25">
      <c r="A8404" s="184">
        <v>44101</v>
      </c>
      <c r="B8404" s="184">
        <v>44101</v>
      </c>
      <c r="C8404" s="138">
        <v>2020</v>
      </c>
      <c r="D8404" s="351" t="s">
        <v>23</v>
      </c>
      <c r="E8404" s="22" t="s">
        <v>86</v>
      </c>
      <c r="F8404" s="7" t="s">
        <v>65</v>
      </c>
      <c r="G8404" s="33" t="s">
        <v>11404</v>
      </c>
      <c r="H8404" s="33" t="s">
        <v>11405</v>
      </c>
      <c r="I8404" s="157">
        <v>0</v>
      </c>
      <c r="J8404" s="305">
        <v>145</v>
      </c>
      <c r="K8404" s="142">
        <v>36</v>
      </c>
      <c r="L8404" s="142">
        <v>0</v>
      </c>
      <c r="M8404" s="142">
        <v>0</v>
      </c>
      <c r="N8404" s="142">
        <v>0</v>
      </c>
      <c r="O8404" s="305">
        <v>0</v>
      </c>
      <c r="P8404" s="306">
        <v>4.3659000000000003E-2</v>
      </c>
      <c r="Q8404" s="157" t="s">
        <v>154</v>
      </c>
      <c r="R8404" s="303"/>
    </row>
    <row r="8405" spans="1:18" s="162" customFormat="1" ht="84" x14ac:dyDescent="0.25">
      <c r="A8405" s="184">
        <v>44102</v>
      </c>
      <c r="B8405" s="184">
        <v>44102</v>
      </c>
      <c r="C8405" s="138">
        <v>2020</v>
      </c>
      <c r="D8405" s="24" t="s">
        <v>141</v>
      </c>
      <c r="E8405" s="30" t="s">
        <v>142</v>
      </c>
      <c r="F8405" s="7" t="s">
        <v>36</v>
      </c>
      <c r="G8405" s="33" t="s">
        <v>1513</v>
      </c>
      <c r="H8405" s="33" t="s">
        <v>11406</v>
      </c>
      <c r="I8405" s="157">
        <v>13</v>
      </c>
      <c r="J8405" s="305">
        <v>37</v>
      </c>
      <c r="K8405" s="142">
        <v>0</v>
      </c>
      <c r="L8405" s="142">
        <v>0</v>
      </c>
      <c r="M8405" s="142">
        <v>0</v>
      </c>
      <c r="N8405" s="142">
        <v>0</v>
      </c>
      <c r="O8405" s="305">
        <v>0</v>
      </c>
      <c r="P8405" s="306">
        <v>0.78553200000000001</v>
      </c>
      <c r="Q8405" s="157" t="s">
        <v>154</v>
      </c>
      <c r="R8405" s="303"/>
    </row>
    <row r="8406" spans="1:18" s="162" customFormat="1" ht="84" x14ac:dyDescent="0.25">
      <c r="A8406" s="184">
        <v>44102</v>
      </c>
      <c r="B8406" s="184">
        <v>44102</v>
      </c>
      <c r="C8406" s="138">
        <v>2020</v>
      </c>
      <c r="D8406" s="24" t="s">
        <v>141</v>
      </c>
      <c r="E8406" s="49" t="s">
        <v>10298</v>
      </c>
      <c r="F8406" s="28" t="s">
        <v>157</v>
      </c>
      <c r="G8406" s="33" t="s">
        <v>1062</v>
      </c>
      <c r="H8406" s="33" t="s">
        <v>11407</v>
      </c>
      <c r="I8406" s="157">
        <v>0</v>
      </c>
      <c r="J8406" s="305">
        <v>0</v>
      </c>
      <c r="K8406" s="142">
        <v>0</v>
      </c>
      <c r="L8406" s="142">
        <v>0</v>
      </c>
      <c r="M8406" s="142">
        <v>0</v>
      </c>
      <c r="N8406" s="142">
        <v>0</v>
      </c>
      <c r="O8406" s="305">
        <v>0</v>
      </c>
      <c r="P8406" s="306">
        <v>0</v>
      </c>
      <c r="Q8406" s="157" t="s">
        <v>154</v>
      </c>
      <c r="R8406" s="303"/>
    </row>
    <row r="8407" spans="1:18" s="162" customFormat="1" ht="192" x14ac:dyDescent="0.25">
      <c r="A8407" s="184">
        <v>44102</v>
      </c>
      <c r="B8407" s="184">
        <v>44112</v>
      </c>
      <c r="C8407" s="138">
        <v>2020</v>
      </c>
      <c r="D8407" s="351" t="s">
        <v>23</v>
      </c>
      <c r="E8407" s="22" t="s">
        <v>86</v>
      </c>
      <c r="F8407" s="25" t="s">
        <v>781</v>
      </c>
      <c r="G8407" s="33" t="s">
        <v>11408</v>
      </c>
      <c r="H8407" s="311" t="s">
        <v>11409</v>
      </c>
      <c r="I8407" s="157">
        <v>6</v>
      </c>
      <c r="J8407" s="305">
        <v>62325</v>
      </c>
      <c r="K8407" s="142">
        <v>12653</v>
      </c>
      <c r="L8407" s="142">
        <v>0</v>
      </c>
      <c r="M8407" s="142">
        <v>0</v>
      </c>
      <c r="N8407" s="142">
        <v>0</v>
      </c>
      <c r="O8407" s="305">
        <v>0</v>
      </c>
      <c r="P8407" s="306">
        <v>63.248620625119997</v>
      </c>
      <c r="Q8407" s="157" t="s">
        <v>7883</v>
      </c>
      <c r="R8407" s="303"/>
    </row>
    <row r="8408" spans="1:18" s="162" customFormat="1" ht="132" x14ac:dyDescent="0.25">
      <c r="A8408" s="184">
        <v>44103</v>
      </c>
      <c r="B8408" s="184">
        <v>44103</v>
      </c>
      <c r="C8408" s="138">
        <v>2020</v>
      </c>
      <c r="D8408" s="35" t="s">
        <v>28</v>
      </c>
      <c r="E8408" s="6" t="s">
        <v>149</v>
      </c>
      <c r="F8408" s="25" t="s">
        <v>781</v>
      </c>
      <c r="G8408" s="33" t="s">
        <v>5514</v>
      </c>
      <c r="H8408" s="33" t="s">
        <v>11410</v>
      </c>
      <c r="I8408" s="157">
        <v>4</v>
      </c>
      <c r="J8408" s="305">
        <v>12</v>
      </c>
      <c r="K8408" s="142">
        <v>3</v>
      </c>
      <c r="L8408" s="142">
        <v>0</v>
      </c>
      <c r="M8408" s="142">
        <v>0</v>
      </c>
      <c r="N8408" s="142">
        <v>0</v>
      </c>
      <c r="O8408" s="305">
        <v>0</v>
      </c>
      <c r="P8408" s="306">
        <v>1.7704725579753759</v>
      </c>
      <c r="Q8408" s="157" t="s">
        <v>154</v>
      </c>
      <c r="R8408" s="303"/>
    </row>
    <row r="8409" spans="1:18" s="162" customFormat="1" ht="72" x14ac:dyDescent="0.25">
      <c r="A8409" s="184">
        <v>44103</v>
      </c>
      <c r="B8409" s="184">
        <v>44103</v>
      </c>
      <c r="C8409" s="138">
        <v>2020</v>
      </c>
      <c r="D8409" s="24" t="s">
        <v>141</v>
      </c>
      <c r="E8409" s="30" t="s">
        <v>142</v>
      </c>
      <c r="F8409" s="7" t="s">
        <v>40</v>
      </c>
      <c r="G8409" s="33" t="s">
        <v>830</v>
      </c>
      <c r="H8409" s="33" t="s">
        <v>11411</v>
      </c>
      <c r="I8409" s="157">
        <v>0</v>
      </c>
      <c r="J8409" s="305">
        <v>6</v>
      </c>
      <c r="K8409" s="142">
        <v>0</v>
      </c>
      <c r="L8409" s="142">
        <v>0</v>
      </c>
      <c r="M8409" s="142">
        <v>0</v>
      </c>
      <c r="N8409" s="142">
        <v>0</v>
      </c>
      <c r="O8409" s="305">
        <v>0</v>
      </c>
      <c r="P8409" s="306">
        <v>2.6370487000000001E-2</v>
      </c>
      <c r="Q8409" s="157" t="s">
        <v>154</v>
      </c>
      <c r="R8409" s="303"/>
    </row>
    <row r="8410" spans="1:18" s="162" customFormat="1" ht="60" x14ac:dyDescent="0.25">
      <c r="A8410" s="184">
        <v>44103</v>
      </c>
      <c r="B8410" s="184">
        <v>44103</v>
      </c>
      <c r="C8410" s="138">
        <v>2020</v>
      </c>
      <c r="D8410" s="351" t="s">
        <v>23</v>
      </c>
      <c r="E8410" s="22" t="s">
        <v>86</v>
      </c>
      <c r="F8410" s="7" t="s">
        <v>36</v>
      </c>
      <c r="G8410" s="33" t="s">
        <v>5985</v>
      </c>
      <c r="H8410" s="33" t="s">
        <v>11412</v>
      </c>
      <c r="I8410" s="157">
        <v>0</v>
      </c>
      <c r="J8410" s="305">
        <v>240</v>
      </c>
      <c r="K8410" s="142">
        <v>60</v>
      </c>
      <c r="L8410" s="142">
        <v>0</v>
      </c>
      <c r="M8410" s="142">
        <v>0</v>
      </c>
      <c r="N8410" s="142">
        <v>0</v>
      </c>
      <c r="O8410" s="305">
        <v>0</v>
      </c>
      <c r="P8410" s="306">
        <v>7.2764999999999996E-2</v>
      </c>
      <c r="Q8410" s="157" t="s">
        <v>154</v>
      </c>
      <c r="R8410" s="303"/>
    </row>
    <row r="8411" spans="1:18" s="162" customFormat="1" ht="108" x14ac:dyDescent="0.25">
      <c r="A8411" s="184">
        <v>44103</v>
      </c>
      <c r="B8411" s="184">
        <v>44112</v>
      </c>
      <c r="C8411" s="138">
        <v>2020</v>
      </c>
      <c r="D8411" s="351" t="s">
        <v>23</v>
      </c>
      <c r="E8411" s="22" t="s">
        <v>86</v>
      </c>
      <c r="F8411" s="28" t="s">
        <v>210</v>
      </c>
      <c r="G8411" s="33" t="s">
        <v>11413</v>
      </c>
      <c r="H8411" s="33" t="s">
        <v>11414</v>
      </c>
      <c r="I8411" s="157">
        <v>0</v>
      </c>
      <c r="J8411" s="305">
        <v>152</v>
      </c>
      <c r="K8411" s="142">
        <v>105</v>
      </c>
      <c r="L8411" s="142">
        <v>0</v>
      </c>
      <c r="M8411" s="142">
        <v>0</v>
      </c>
      <c r="N8411" s="142">
        <v>0</v>
      </c>
      <c r="O8411" s="305">
        <v>0</v>
      </c>
      <c r="P8411" s="306">
        <v>8.1072337500000007</v>
      </c>
      <c r="Q8411" s="157" t="s">
        <v>154</v>
      </c>
      <c r="R8411" s="303"/>
    </row>
    <row r="8412" spans="1:18" s="162" customFormat="1" ht="24" x14ac:dyDescent="0.25">
      <c r="A8412" s="184">
        <v>44103</v>
      </c>
      <c r="B8412" s="184">
        <v>44104</v>
      </c>
      <c r="C8412" s="138">
        <v>2020</v>
      </c>
      <c r="D8412" s="35" t="s">
        <v>17</v>
      </c>
      <c r="E8412" s="6" t="s">
        <v>328</v>
      </c>
      <c r="F8412" s="28" t="s">
        <v>210</v>
      </c>
      <c r="G8412" s="206" t="s">
        <v>26</v>
      </c>
      <c r="H8412" s="33" t="s">
        <v>11415</v>
      </c>
      <c r="I8412" s="157">
        <v>0</v>
      </c>
      <c r="J8412" s="305">
        <v>0</v>
      </c>
      <c r="K8412" s="142">
        <v>0</v>
      </c>
      <c r="L8412" s="142">
        <v>0</v>
      </c>
      <c r="M8412" s="142">
        <v>0</v>
      </c>
      <c r="N8412" s="142">
        <v>0</v>
      </c>
      <c r="O8412" s="305">
        <v>0</v>
      </c>
      <c r="P8412" s="306">
        <v>21.171900000000001</v>
      </c>
      <c r="Q8412" s="157" t="s">
        <v>7883</v>
      </c>
      <c r="R8412" s="303"/>
    </row>
    <row r="8413" spans="1:18" s="162" customFormat="1" ht="108" x14ac:dyDescent="0.25">
      <c r="A8413" s="184">
        <v>44104</v>
      </c>
      <c r="B8413" s="184">
        <v>44104</v>
      </c>
      <c r="C8413" s="138">
        <v>2020</v>
      </c>
      <c r="D8413" s="24" t="s">
        <v>141</v>
      </c>
      <c r="E8413" s="30" t="s">
        <v>142</v>
      </c>
      <c r="F8413" s="7" t="s">
        <v>30</v>
      </c>
      <c r="G8413" s="33" t="s">
        <v>6764</v>
      </c>
      <c r="H8413" s="33" t="s">
        <v>11416</v>
      </c>
      <c r="I8413" s="157">
        <v>0</v>
      </c>
      <c r="J8413" s="305">
        <v>16</v>
      </c>
      <c r="K8413" s="142">
        <v>0</v>
      </c>
      <c r="L8413" s="142">
        <v>0</v>
      </c>
      <c r="M8413" s="142">
        <v>0</v>
      </c>
      <c r="N8413" s="142">
        <v>0</v>
      </c>
      <c r="O8413" s="305">
        <v>0</v>
      </c>
      <c r="P8413" s="306">
        <v>1.3401164958823528</v>
      </c>
      <c r="Q8413" s="157" t="s">
        <v>154</v>
      </c>
      <c r="R8413" s="303"/>
    </row>
    <row r="8414" spans="1:18" s="162" customFormat="1" ht="36" x14ac:dyDescent="0.25">
      <c r="A8414" s="184">
        <v>44105</v>
      </c>
      <c r="B8414" s="184">
        <v>44165</v>
      </c>
      <c r="C8414" s="138">
        <v>2020</v>
      </c>
      <c r="D8414" s="351" t="s">
        <v>23</v>
      </c>
      <c r="E8414" s="22" t="s">
        <v>86</v>
      </c>
      <c r="F8414" s="7" t="s">
        <v>36</v>
      </c>
      <c r="G8414" s="33" t="s">
        <v>2109</v>
      </c>
      <c r="H8414" s="33" t="s">
        <v>11417</v>
      </c>
      <c r="I8414" s="157">
        <v>0</v>
      </c>
      <c r="J8414" s="305">
        <v>140963</v>
      </c>
      <c r="K8414" s="142">
        <v>26013</v>
      </c>
      <c r="L8414" s="142">
        <v>12</v>
      </c>
      <c r="M8414" s="142">
        <v>2</v>
      </c>
      <c r="N8414" s="142">
        <v>0</v>
      </c>
      <c r="O8414" s="305">
        <v>0</v>
      </c>
      <c r="P8414" s="306">
        <v>4060.9661537108877</v>
      </c>
      <c r="Q8414" s="157" t="s">
        <v>11418</v>
      </c>
      <c r="R8414" s="303"/>
    </row>
    <row r="8415" spans="1:18" s="162" customFormat="1" ht="36" x14ac:dyDescent="0.25">
      <c r="A8415" s="184">
        <v>44105</v>
      </c>
      <c r="B8415" s="184">
        <v>44165</v>
      </c>
      <c r="C8415" s="138">
        <v>2020</v>
      </c>
      <c r="D8415" s="35" t="s">
        <v>17</v>
      </c>
      <c r="E8415" s="6" t="s">
        <v>328</v>
      </c>
      <c r="F8415" s="7" t="s">
        <v>36</v>
      </c>
      <c r="G8415" s="33" t="s">
        <v>2109</v>
      </c>
      <c r="H8415" s="33" t="s">
        <v>11419</v>
      </c>
      <c r="I8415" s="157">
        <v>21</v>
      </c>
      <c r="J8415" s="305">
        <v>2591</v>
      </c>
      <c r="K8415" s="142">
        <v>195</v>
      </c>
      <c r="L8415" s="142">
        <v>9</v>
      </c>
      <c r="M8415" s="142">
        <v>0</v>
      </c>
      <c r="N8415" s="142">
        <v>0</v>
      </c>
      <c r="O8415" s="305">
        <v>0</v>
      </c>
      <c r="P8415" s="306">
        <v>1838.9668658852129</v>
      </c>
      <c r="Q8415" s="157" t="s">
        <v>11418</v>
      </c>
      <c r="R8415" s="303"/>
    </row>
    <row r="8416" spans="1:18" s="162" customFormat="1" ht="144" x14ac:dyDescent="0.25">
      <c r="A8416" s="184">
        <v>44106</v>
      </c>
      <c r="B8416" s="184">
        <v>44112</v>
      </c>
      <c r="C8416" s="138">
        <v>2020</v>
      </c>
      <c r="D8416" s="351" t="s">
        <v>23</v>
      </c>
      <c r="E8416" s="49" t="s">
        <v>10153</v>
      </c>
      <c r="F8416" s="28" t="s">
        <v>163</v>
      </c>
      <c r="G8416" s="33" t="s">
        <v>11420</v>
      </c>
      <c r="H8416" s="33" t="s">
        <v>11421</v>
      </c>
      <c r="I8416" s="157">
        <v>0</v>
      </c>
      <c r="J8416" s="305">
        <v>170</v>
      </c>
      <c r="K8416" s="142">
        <v>287</v>
      </c>
      <c r="L8416" s="142">
        <v>0</v>
      </c>
      <c r="M8416" s="142">
        <v>0</v>
      </c>
      <c r="N8416" s="142">
        <v>0</v>
      </c>
      <c r="O8416" s="305">
        <v>0</v>
      </c>
      <c r="P8416" s="306">
        <v>0.34805924999999999</v>
      </c>
      <c r="Q8416" s="157" t="s">
        <v>11422</v>
      </c>
      <c r="R8416" s="303"/>
    </row>
    <row r="8417" spans="1:18" s="162" customFormat="1" ht="108" x14ac:dyDescent="0.25">
      <c r="A8417" s="184">
        <v>44106</v>
      </c>
      <c r="B8417" s="184">
        <v>44112</v>
      </c>
      <c r="C8417" s="138">
        <v>2020</v>
      </c>
      <c r="D8417" s="351" t="s">
        <v>23</v>
      </c>
      <c r="E8417" s="49" t="s">
        <v>10153</v>
      </c>
      <c r="F8417" s="7" t="s">
        <v>80</v>
      </c>
      <c r="G8417" s="33" t="s">
        <v>11423</v>
      </c>
      <c r="H8417" s="33" t="s">
        <v>11424</v>
      </c>
      <c r="I8417" s="157">
        <v>0</v>
      </c>
      <c r="J8417" s="305">
        <v>98</v>
      </c>
      <c r="K8417" s="142">
        <v>40</v>
      </c>
      <c r="L8417" s="142">
        <v>0</v>
      </c>
      <c r="M8417" s="142">
        <v>0</v>
      </c>
      <c r="N8417" s="142">
        <v>0</v>
      </c>
      <c r="O8417" s="305">
        <v>0</v>
      </c>
      <c r="P8417" s="306">
        <v>4.8509999999999998E-2</v>
      </c>
      <c r="Q8417" s="157" t="s">
        <v>11422</v>
      </c>
      <c r="R8417" s="303"/>
    </row>
    <row r="8418" spans="1:18" s="162" customFormat="1" ht="60" x14ac:dyDescent="0.25">
      <c r="A8418" s="184">
        <v>44106</v>
      </c>
      <c r="B8418" s="184">
        <v>44112</v>
      </c>
      <c r="C8418" s="138">
        <v>2020</v>
      </c>
      <c r="D8418" s="351" t="s">
        <v>23</v>
      </c>
      <c r="E8418" s="49" t="s">
        <v>10153</v>
      </c>
      <c r="F8418" s="28" t="s">
        <v>151</v>
      </c>
      <c r="G8418" s="33" t="s">
        <v>9960</v>
      </c>
      <c r="H8418" s="33" t="s">
        <v>11425</v>
      </c>
      <c r="I8418" s="157">
        <v>0</v>
      </c>
      <c r="J8418" s="305">
        <v>123</v>
      </c>
      <c r="K8418" s="142">
        <v>3</v>
      </c>
      <c r="L8418" s="142">
        <v>0</v>
      </c>
      <c r="M8418" s="142">
        <v>0</v>
      </c>
      <c r="N8418" s="142">
        <v>0</v>
      </c>
      <c r="O8418" s="305">
        <v>0</v>
      </c>
      <c r="P8418" s="306">
        <v>3.63825E-3</v>
      </c>
      <c r="Q8418" s="157" t="s">
        <v>11422</v>
      </c>
      <c r="R8418" s="303"/>
    </row>
    <row r="8419" spans="1:18" s="162" customFormat="1" ht="108" x14ac:dyDescent="0.25">
      <c r="A8419" s="184">
        <v>44109</v>
      </c>
      <c r="B8419" s="184">
        <v>44109</v>
      </c>
      <c r="C8419" s="138">
        <v>2020</v>
      </c>
      <c r="D8419" s="24" t="s">
        <v>141</v>
      </c>
      <c r="E8419" s="30" t="s">
        <v>142</v>
      </c>
      <c r="F8419" s="7" t="s">
        <v>47</v>
      </c>
      <c r="G8419" s="33" t="s">
        <v>5158</v>
      </c>
      <c r="H8419" s="33" t="s">
        <v>11426</v>
      </c>
      <c r="I8419" s="157">
        <v>1</v>
      </c>
      <c r="J8419" s="305">
        <v>4</v>
      </c>
      <c r="K8419" s="142">
        <v>0</v>
      </c>
      <c r="L8419" s="142">
        <v>0</v>
      </c>
      <c r="M8419" s="142">
        <v>0</v>
      </c>
      <c r="N8419" s="142">
        <v>0</v>
      </c>
      <c r="O8419" s="305">
        <v>0</v>
      </c>
      <c r="P8419" s="306">
        <v>0.12010792199999999</v>
      </c>
      <c r="Q8419" s="157" t="s">
        <v>154</v>
      </c>
      <c r="R8419" s="303"/>
    </row>
    <row r="8420" spans="1:18" s="162" customFormat="1" ht="108" x14ac:dyDescent="0.25">
      <c r="A8420" s="184">
        <v>44110</v>
      </c>
      <c r="B8420" s="184">
        <v>44110</v>
      </c>
      <c r="C8420" s="138">
        <v>2020</v>
      </c>
      <c r="D8420" s="24" t="s">
        <v>141</v>
      </c>
      <c r="E8420" s="30" t="s">
        <v>142</v>
      </c>
      <c r="F8420" s="28" t="s">
        <v>160</v>
      </c>
      <c r="G8420" s="33" t="s">
        <v>5041</v>
      </c>
      <c r="H8420" s="33" t="s">
        <v>11427</v>
      </c>
      <c r="I8420" s="157">
        <v>2</v>
      </c>
      <c r="J8420" s="305">
        <v>11</v>
      </c>
      <c r="K8420" s="142">
        <v>0</v>
      </c>
      <c r="L8420" s="142">
        <v>0</v>
      </c>
      <c r="M8420" s="142">
        <v>0</v>
      </c>
      <c r="N8420" s="142">
        <v>0</v>
      </c>
      <c r="O8420" s="305">
        <v>0</v>
      </c>
      <c r="P8420" s="306">
        <v>0.99369786999999998</v>
      </c>
      <c r="Q8420" s="157" t="s">
        <v>154</v>
      </c>
      <c r="R8420" s="303"/>
    </row>
    <row r="8421" spans="1:18" s="162" customFormat="1" ht="312" x14ac:dyDescent="0.25">
      <c r="A8421" s="184">
        <v>44110</v>
      </c>
      <c r="B8421" s="184">
        <v>44112</v>
      </c>
      <c r="C8421" s="138">
        <v>2020</v>
      </c>
      <c r="D8421" s="351" t="s">
        <v>23</v>
      </c>
      <c r="E8421" s="14" t="s">
        <v>32</v>
      </c>
      <c r="F8421" s="7" t="s">
        <v>80</v>
      </c>
      <c r="G8421" s="33" t="s">
        <v>11428</v>
      </c>
      <c r="H8421" s="33" t="s">
        <v>11429</v>
      </c>
      <c r="I8421" s="157">
        <v>0</v>
      </c>
      <c r="J8421" s="305">
        <v>20846</v>
      </c>
      <c r="K8421" s="142">
        <v>45</v>
      </c>
      <c r="L8421" s="142">
        <v>0</v>
      </c>
      <c r="M8421" s="142">
        <v>0</v>
      </c>
      <c r="N8421" s="142">
        <v>0</v>
      </c>
      <c r="O8421" s="305">
        <v>0</v>
      </c>
      <c r="P8421" s="306">
        <v>264.88331077359999</v>
      </c>
      <c r="Q8421" s="157" t="s">
        <v>7883</v>
      </c>
      <c r="R8421" s="303"/>
    </row>
    <row r="8422" spans="1:18" s="162" customFormat="1" ht="144" x14ac:dyDescent="0.25">
      <c r="A8422" s="184">
        <v>44110</v>
      </c>
      <c r="B8422" s="184">
        <v>44112</v>
      </c>
      <c r="C8422" s="138">
        <v>2020</v>
      </c>
      <c r="D8422" s="351" t="s">
        <v>23</v>
      </c>
      <c r="E8422" s="14" t="s">
        <v>32</v>
      </c>
      <c r="F8422" s="28" t="s">
        <v>163</v>
      </c>
      <c r="G8422" s="33" t="s">
        <v>11430</v>
      </c>
      <c r="H8422" s="33" t="s">
        <v>11431</v>
      </c>
      <c r="I8422" s="157">
        <v>0</v>
      </c>
      <c r="J8422" s="305">
        <v>72194</v>
      </c>
      <c r="K8422" s="142">
        <v>44</v>
      </c>
      <c r="L8422" s="142">
        <v>0</v>
      </c>
      <c r="M8422" s="142">
        <v>0</v>
      </c>
      <c r="N8422" s="142">
        <v>0</v>
      </c>
      <c r="O8422" s="305">
        <v>0</v>
      </c>
      <c r="P8422" s="306">
        <v>284.17043316384002</v>
      </c>
      <c r="Q8422" s="157" t="s">
        <v>7883</v>
      </c>
      <c r="R8422" s="303"/>
    </row>
    <row r="8423" spans="1:18" s="162" customFormat="1" ht="120" x14ac:dyDescent="0.25">
      <c r="A8423" s="184">
        <v>44111</v>
      </c>
      <c r="B8423" s="184">
        <v>44111</v>
      </c>
      <c r="C8423" s="138">
        <v>2020</v>
      </c>
      <c r="D8423" s="35" t="s">
        <v>28</v>
      </c>
      <c r="E8423" s="6" t="s">
        <v>149</v>
      </c>
      <c r="F8423" s="7" t="s">
        <v>68</v>
      </c>
      <c r="G8423" s="33" t="s">
        <v>2852</v>
      </c>
      <c r="H8423" s="33" t="s">
        <v>11432</v>
      </c>
      <c r="I8423" s="157">
        <v>0</v>
      </c>
      <c r="J8423" s="305">
        <v>16</v>
      </c>
      <c r="K8423" s="142">
        <v>0</v>
      </c>
      <c r="L8423" s="142">
        <v>0</v>
      </c>
      <c r="M8423" s="142">
        <v>0</v>
      </c>
      <c r="N8423" s="142">
        <v>0</v>
      </c>
      <c r="O8423" s="305">
        <v>0</v>
      </c>
      <c r="P8423" s="306">
        <v>1.1883525858823529</v>
      </c>
      <c r="Q8423" s="157" t="s">
        <v>154</v>
      </c>
      <c r="R8423" s="303"/>
    </row>
    <row r="8424" spans="1:18" s="162" customFormat="1" ht="84" x14ac:dyDescent="0.25">
      <c r="A8424" s="184">
        <v>44111</v>
      </c>
      <c r="B8424" s="184">
        <v>44111</v>
      </c>
      <c r="C8424" s="138">
        <v>2020</v>
      </c>
      <c r="D8424" s="35" t="s">
        <v>28</v>
      </c>
      <c r="E8424" s="6" t="s">
        <v>369</v>
      </c>
      <c r="F8424" s="7" t="s">
        <v>47</v>
      </c>
      <c r="G8424" s="33" t="s">
        <v>47</v>
      </c>
      <c r="H8424" s="33" t="s">
        <v>11433</v>
      </c>
      <c r="I8424" s="157">
        <v>0</v>
      </c>
      <c r="J8424" s="305">
        <v>0</v>
      </c>
      <c r="K8424" s="142">
        <v>0</v>
      </c>
      <c r="L8424" s="142">
        <v>0</v>
      </c>
      <c r="M8424" s="142">
        <v>0</v>
      </c>
      <c r="N8424" s="142">
        <v>0</v>
      </c>
      <c r="O8424" s="305">
        <v>0</v>
      </c>
      <c r="P8424" s="306">
        <v>0.74621025858823531</v>
      </c>
      <c r="Q8424" s="157" t="s">
        <v>154</v>
      </c>
      <c r="R8424" s="303"/>
    </row>
    <row r="8425" spans="1:18" s="162" customFormat="1" ht="96" x14ac:dyDescent="0.25">
      <c r="A8425" s="184">
        <v>44114</v>
      </c>
      <c r="B8425" s="184">
        <v>44114</v>
      </c>
      <c r="C8425" s="138">
        <v>2020</v>
      </c>
      <c r="D8425" s="24" t="s">
        <v>141</v>
      </c>
      <c r="E8425" s="30" t="s">
        <v>142</v>
      </c>
      <c r="F8425" s="7" t="s">
        <v>82</v>
      </c>
      <c r="G8425" s="33" t="s">
        <v>742</v>
      </c>
      <c r="H8425" s="33" t="s">
        <v>11434</v>
      </c>
      <c r="I8425" s="157">
        <v>0</v>
      </c>
      <c r="J8425" s="305">
        <v>17</v>
      </c>
      <c r="K8425" s="142">
        <v>0</v>
      </c>
      <c r="L8425" s="142">
        <v>0</v>
      </c>
      <c r="M8425" s="142">
        <v>0</v>
      </c>
      <c r="N8425" s="142">
        <v>0</v>
      </c>
      <c r="O8425" s="305">
        <v>0</v>
      </c>
      <c r="P8425" s="306">
        <v>0.92692417220930234</v>
      </c>
      <c r="Q8425" s="157" t="s">
        <v>154</v>
      </c>
      <c r="R8425" s="303"/>
    </row>
    <row r="8426" spans="1:18" s="162" customFormat="1" ht="132" x14ac:dyDescent="0.25">
      <c r="A8426" s="184">
        <v>44116</v>
      </c>
      <c r="B8426" s="184">
        <v>44116</v>
      </c>
      <c r="C8426" s="138">
        <v>2020</v>
      </c>
      <c r="D8426" s="351" t="s">
        <v>23</v>
      </c>
      <c r="E8426" s="49" t="s">
        <v>5893</v>
      </c>
      <c r="F8426" s="7" t="s">
        <v>72</v>
      </c>
      <c r="G8426" s="33" t="s">
        <v>11435</v>
      </c>
      <c r="H8426" s="33" t="s">
        <v>11436</v>
      </c>
      <c r="I8426" s="157">
        <v>0</v>
      </c>
      <c r="J8426" s="305">
        <v>40</v>
      </c>
      <c r="K8426" s="142">
        <v>10</v>
      </c>
      <c r="L8426" s="142">
        <v>0</v>
      </c>
      <c r="M8426" s="142">
        <v>0</v>
      </c>
      <c r="N8426" s="142">
        <v>0</v>
      </c>
      <c r="O8426" s="305">
        <v>0</v>
      </c>
      <c r="P8426" s="306">
        <v>0.20812462000000004</v>
      </c>
      <c r="Q8426" s="157" t="s">
        <v>154</v>
      </c>
      <c r="R8426" s="303"/>
    </row>
    <row r="8427" spans="1:18" s="162" customFormat="1" ht="96" x14ac:dyDescent="0.25">
      <c r="A8427" s="184">
        <v>44119</v>
      </c>
      <c r="B8427" s="184">
        <v>44119</v>
      </c>
      <c r="C8427" s="138">
        <v>2020</v>
      </c>
      <c r="D8427" s="24" t="s">
        <v>141</v>
      </c>
      <c r="E8427" s="30" t="s">
        <v>142</v>
      </c>
      <c r="F8427" s="7" t="s">
        <v>56</v>
      </c>
      <c r="G8427" s="33" t="s">
        <v>358</v>
      </c>
      <c r="H8427" s="33" t="s">
        <v>11437</v>
      </c>
      <c r="I8427" s="157">
        <v>0</v>
      </c>
      <c r="J8427" s="305">
        <v>10</v>
      </c>
      <c r="K8427" s="142">
        <v>0</v>
      </c>
      <c r="L8427" s="142">
        <v>0</v>
      </c>
      <c r="M8427" s="142">
        <v>0</v>
      </c>
      <c r="N8427" s="142">
        <v>0</v>
      </c>
      <c r="O8427" s="305">
        <v>0</v>
      </c>
      <c r="P8427" s="306">
        <v>4.0406486999999998E-2</v>
      </c>
      <c r="Q8427" s="157" t="s">
        <v>154</v>
      </c>
      <c r="R8427" s="303"/>
    </row>
    <row r="8428" spans="1:18" s="162" customFormat="1" ht="120" x14ac:dyDescent="0.25">
      <c r="A8428" s="184">
        <v>44120</v>
      </c>
      <c r="B8428" s="184">
        <v>44120</v>
      </c>
      <c r="C8428" s="138">
        <v>2020</v>
      </c>
      <c r="D8428" s="24" t="s">
        <v>141</v>
      </c>
      <c r="E8428" s="30" t="s">
        <v>142</v>
      </c>
      <c r="F8428" s="25" t="s">
        <v>781</v>
      </c>
      <c r="G8428" s="33" t="s">
        <v>3061</v>
      </c>
      <c r="H8428" s="33" t="s">
        <v>11438</v>
      </c>
      <c r="I8428" s="157">
        <v>0</v>
      </c>
      <c r="J8428" s="305">
        <v>8</v>
      </c>
      <c r="K8428" s="142">
        <v>0</v>
      </c>
      <c r="L8428" s="142">
        <v>0</v>
      </c>
      <c r="M8428" s="142">
        <v>0</v>
      </c>
      <c r="N8428" s="142">
        <v>0</v>
      </c>
      <c r="O8428" s="305">
        <v>0</v>
      </c>
      <c r="P8428" s="306">
        <v>5.4350512783792828</v>
      </c>
      <c r="Q8428" s="157" t="s">
        <v>154</v>
      </c>
      <c r="R8428" s="303"/>
    </row>
    <row r="8429" spans="1:18" s="162" customFormat="1" ht="84" x14ac:dyDescent="0.25">
      <c r="A8429" s="184">
        <v>44122</v>
      </c>
      <c r="B8429" s="184">
        <v>44122</v>
      </c>
      <c r="C8429" s="138">
        <v>2020</v>
      </c>
      <c r="D8429" s="24" t="s">
        <v>141</v>
      </c>
      <c r="E8429" s="30" t="s">
        <v>142</v>
      </c>
      <c r="F8429" s="7" t="s">
        <v>53</v>
      </c>
      <c r="G8429" s="33" t="s">
        <v>2247</v>
      </c>
      <c r="H8429" s="33" t="s">
        <v>11439</v>
      </c>
      <c r="I8429" s="157">
        <v>0</v>
      </c>
      <c r="J8429" s="305">
        <v>13</v>
      </c>
      <c r="K8429" s="142">
        <v>0</v>
      </c>
      <c r="L8429" s="142">
        <v>0</v>
      </c>
      <c r="M8429" s="142">
        <v>0</v>
      </c>
      <c r="N8429" s="142">
        <v>0</v>
      </c>
      <c r="O8429" s="305">
        <v>0</v>
      </c>
      <c r="P8429" s="306">
        <v>8.932219999999999E-2</v>
      </c>
      <c r="Q8429" s="157" t="s">
        <v>154</v>
      </c>
      <c r="R8429" s="303"/>
    </row>
    <row r="8430" spans="1:18" s="162" customFormat="1" ht="96" x14ac:dyDescent="0.25">
      <c r="A8430" s="184">
        <v>44123</v>
      </c>
      <c r="B8430" s="184">
        <v>44123</v>
      </c>
      <c r="C8430" s="138">
        <v>2020</v>
      </c>
      <c r="D8430" s="35" t="s">
        <v>28</v>
      </c>
      <c r="E8430" s="6" t="s">
        <v>149</v>
      </c>
      <c r="F8430" s="7" t="s">
        <v>60</v>
      </c>
      <c r="G8430" s="33" t="s">
        <v>2797</v>
      </c>
      <c r="H8430" s="33" t="s">
        <v>11440</v>
      </c>
      <c r="I8430" s="157">
        <v>0</v>
      </c>
      <c r="J8430" s="305">
        <v>2</v>
      </c>
      <c r="K8430" s="142">
        <v>0</v>
      </c>
      <c r="L8430" s="142">
        <v>0</v>
      </c>
      <c r="M8430" s="142">
        <v>0</v>
      </c>
      <c r="N8430" s="142">
        <v>0</v>
      </c>
      <c r="O8430" s="305">
        <v>0</v>
      </c>
      <c r="P8430" s="306">
        <v>0.38719999999999999</v>
      </c>
      <c r="Q8430" s="157" t="s">
        <v>154</v>
      </c>
      <c r="R8430" s="303"/>
    </row>
    <row r="8431" spans="1:18" s="162" customFormat="1" ht="84" x14ac:dyDescent="0.25">
      <c r="A8431" s="184">
        <v>44124</v>
      </c>
      <c r="B8431" s="184">
        <v>44124</v>
      </c>
      <c r="C8431" s="138">
        <v>2020</v>
      </c>
      <c r="D8431" s="24" t="s">
        <v>141</v>
      </c>
      <c r="E8431" s="30" t="s">
        <v>142</v>
      </c>
      <c r="F8431" s="28" t="s">
        <v>157</v>
      </c>
      <c r="G8431" s="33" t="s">
        <v>158</v>
      </c>
      <c r="H8431" s="33" t="s">
        <v>11441</v>
      </c>
      <c r="I8431" s="157">
        <v>0</v>
      </c>
      <c r="J8431" s="305">
        <v>15</v>
      </c>
      <c r="K8431" s="142">
        <v>0</v>
      </c>
      <c r="L8431" s="142">
        <v>0</v>
      </c>
      <c r="M8431" s="142">
        <v>0</v>
      </c>
      <c r="N8431" s="142">
        <v>0</v>
      </c>
      <c r="O8431" s="305">
        <v>0</v>
      </c>
      <c r="P8431" s="306">
        <v>0.25850000000000001</v>
      </c>
      <c r="Q8431" s="157" t="s">
        <v>154</v>
      </c>
      <c r="R8431" s="303"/>
    </row>
    <row r="8432" spans="1:18" s="162" customFormat="1" ht="120" x14ac:dyDescent="0.25">
      <c r="A8432" s="184">
        <v>44126</v>
      </c>
      <c r="B8432" s="184">
        <v>44126</v>
      </c>
      <c r="C8432" s="138">
        <v>2020</v>
      </c>
      <c r="D8432" s="35" t="s">
        <v>28</v>
      </c>
      <c r="E8432" s="6" t="s">
        <v>369</v>
      </c>
      <c r="F8432" s="28" t="s">
        <v>160</v>
      </c>
      <c r="G8432" s="33" t="s">
        <v>9239</v>
      </c>
      <c r="H8432" s="33" t="s">
        <v>11442</v>
      </c>
      <c r="I8432" s="157">
        <v>5</v>
      </c>
      <c r="J8432" s="305">
        <v>7</v>
      </c>
      <c r="K8432" s="142">
        <v>0</v>
      </c>
      <c r="L8432" s="142">
        <v>0</v>
      </c>
      <c r="M8432" s="142">
        <v>0</v>
      </c>
      <c r="N8432" s="142">
        <v>0</v>
      </c>
      <c r="O8432" s="305">
        <v>0</v>
      </c>
      <c r="P8432" s="306">
        <v>0.14770025858823529</v>
      </c>
      <c r="Q8432" s="157" t="s">
        <v>154</v>
      </c>
      <c r="R8432" s="303"/>
    </row>
    <row r="8433" spans="1:18" s="162" customFormat="1" ht="96" x14ac:dyDescent="0.25">
      <c r="A8433" s="184">
        <v>44127</v>
      </c>
      <c r="B8433" s="184">
        <v>44127</v>
      </c>
      <c r="C8433" s="138">
        <v>2020</v>
      </c>
      <c r="D8433" s="24" t="s">
        <v>141</v>
      </c>
      <c r="E8433" s="30" t="s">
        <v>142</v>
      </c>
      <c r="F8433" s="7" t="s">
        <v>62</v>
      </c>
      <c r="G8433" s="33" t="s">
        <v>11443</v>
      </c>
      <c r="H8433" s="33" t="s">
        <v>11444</v>
      </c>
      <c r="I8433" s="157">
        <v>0</v>
      </c>
      <c r="J8433" s="305">
        <v>15</v>
      </c>
      <c r="K8433" s="142">
        <v>0</v>
      </c>
      <c r="L8433" s="142">
        <v>0</v>
      </c>
      <c r="M8433" s="142">
        <v>0</v>
      </c>
      <c r="N8433" s="142">
        <v>0</v>
      </c>
      <c r="O8433" s="305">
        <v>0</v>
      </c>
      <c r="P8433" s="306">
        <v>0.92474617220930233</v>
      </c>
      <c r="Q8433" s="157" t="s">
        <v>154</v>
      </c>
      <c r="R8433" s="303"/>
    </row>
    <row r="8434" spans="1:18" s="162" customFormat="1" ht="96" x14ac:dyDescent="0.25">
      <c r="A8434" s="184">
        <v>44127</v>
      </c>
      <c r="B8434" s="184">
        <v>44127</v>
      </c>
      <c r="C8434" s="138">
        <v>2020</v>
      </c>
      <c r="D8434" s="24" t="s">
        <v>141</v>
      </c>
      <c r="E8434" s="30" t="s">
        <v>142</v>
      </c>
      <c r="F8434" s="7" t="s">
        <v>45</v>
      </c>
      <c r="G8434" s="33" t="s">
        <v>259</v>
      </c>
      <c r="H8434" s="33" t="s">
        <v>11445</v>
      </c>
      <c r="I8434" s="157">
        <v>1</v>
      </c>
      <c r="J8434" s="305">
        <v>10</v>
      </c>
      <c r="K8434" s="142">
        <v>0</v>
      </c>
      <c r="L8434" s="142">
        <v>0</v>
      </c>
      <c r="M8434" s="142">
        <v>0</v>
      </c>
      <c r="N8434" s="142">
        <v>0</v>
      </c>
      <c r="O8434" s="305">
        <v>0</v>
      </c>
      <c r="P8434" s="306">
        <v>0.20816587000000003</v>
      </c>
      <c r="Q8434" s="157" t="s">
        <v>154</v>
      </c>
      <c r="R8434" s="303"/>
    </row>
    <row r="8435" spans="1:18" s="162" customFormat="1" ht="144" x14ac:dyDescent="0.25">
      <c r="A8435" s="184">
        <v>44127</v>
      </c>
      <c r="B8435" s="184">
        <v>44127</v>
      </c>
      <c r="C8435" s="138">
        <v>2020</v>
      </c>
      <c r="D8435" s="35" t="s">
        <v>28</v>
      </c>
      <c r="E8435" s="6" t="s">
        <v>149</v>
      </c>
      <c r="F8435" s="7" t="s">
        <v>53</v>
      </c>
      <c r="G8435" s="33" t="s">
        <v>4816</v>
      </c>
      <c r="H8435" s="33" t="s">
        <v>11446</v>
      </c>
      <c r="I8435" s="157">
        <v>0</v>
      </c>
      <c r="J8435" s="305">
        <v>35</v>
      </c>
      <c r="K8435" s="142">
        <v>0</v>
      </c>
      <c r="L8435" s="142">
        <v>0</v>
      </c>
      <c r="M8435" s="142">
        <v>0</v>
      </c>
      <c r="N8435" s="142">
        <v>1</v>
      </c>
      <c r="O8435" s="305">
        <v>0</v>
      </c>
      <c r="P8435" s="306">
        <v>1.3266999999999999E-2</v>
      </c>
      <c r="Q8435" s="157" t="s">
        <v>154</v>
      </c>
      <c r="R8435" s="303"/>
    </row>
    <row r="8436" spans="1:18" s="162" customFormat="1" ht="72" x14ac:dyDescent="0.25">
      <c r="A8436" s="184">
        <v>44127</v>
      </c>
      <c r="B8436" s="184">
        <v>44127</v>
      </c>
      <c r="C8436" s="138">
        <v>2020</v>
      </c>
      <c r="D8436" s="24" t="s">
        <v>141</v>
      </c>
      <c r="E8436" s="30" t="s">
        <v>142</v>
      </c>
      <c r="F8436" s="7" t="s">
        <v>53</v>
      </c>
      <c r="G8436" s="33" t="s">
        <v>847</v>
      </c>
      <c r="H8436" s="33" t="s">
        <v>11447</v>
      </c>
      <c r="I8436" s="157">
        <v>0</v>
      </c>
      <c r="J8436" s="305">
        <v>4</v>
      </c>
      <c r="K8436" s="142">
        <v>0</v>
      </c>
      <c r="L8436" s="142">
        <v>0</v>
      </c>
      <c r="M8436" s="142">
        <v>0</v>
      </c>
      <c r="N8436" s="142">
        <v>0</v>
      </c>
      <c r="O8436" s="305">
        <v>0</v>
      </c>
      <c r="P8436" s="306">
        <v>1.9836486999999996E-2</v>
      </c>
      <c r="Q8436" s="157" t="s">
        <v>154</v>
      </c>
      <c r="R8436" s="303"/>
    </row>
    <row r="8437" spans="1:18" s="162" customFormat="1" ht="108" x14ac:dyDescent="0.25">
      <c r="A8437" s="184">
        <v>44128</v>
      </c>
      <c r="B8437" s="184">
        <v>44128</v>
      </c>
      <c r="C8437" s="138">
        <v>2020</v>
      </c>
      <c r="D8437" s="35" t="s">
        <v>28</v>
      </c>
      <c r="E8437" s="6" t="s">
        <v>149</v>
      </c>
      <c r="F8437" s="7" t="s">
        <v>33</v>
      </c>
      <c r="G8437" s="33" t="s">
        <v>9168</v>
      </c>
      <c r="H8437" s="33" t="s">
        <v>11448</v>
      </c>
      <c r="I8437" s="157">
        <v>5</v>
      </c>
      <c r="J8437" s="305">
        <v>6</v>
      </c>
      <c r="K8437" s="142">
        <v>1</v>
      </c>
      <c r="L8437" s="142">
        <v>0</v>
      </c>
      <c r="M8437" s="142">
        <v>0</v>
      </c>
      <c r="N8437" s="142">
        <v>0</v>
      </c>
      <c r="O8437" s="305">
        <v>0</v>
      </c>
      <c r="P8437" s="306">
        <v>0.13968900000000001</v>
      </c>
      <c r="Q8437" s="157" t="s">
        <v>154</v>
      </c>
      <c r="R8437" s="303"/>
    </row>
    <row r="8438" spans="1:18" s="162" customFormat="1" ht="96" x14ac:dyDescent="0.25">
      <c r="A8438" s="184">
        <v>44129</v>
      </c>
      <c r="B8438" s="184">
        <v>44129</v>
      </c>
      <c r="C8438" s="138">
        <v>2020</v>
      </c>
      <c r="D8438" s="24" t="s">
        <v>141</v>
      </c>
      <c r="E8438" s="30" t="s">
        <v>142</v>
      </c>
      <c r="F8438" s="7" t="s">
        <v>58</v>
      </c>
      <c r="G8438" s="33" t="s">
        <v>2297</v>
      </c>
      <c r="H8438" s="33" t="s">
        <v>11449</v>
      </c>
      <c r="I8438" s="157">
        <v>0</v>
      </c>
      <c r="J8438" s="305">
        <v>5</v>
      </c>
      <c r="K8438" s="142">
        <v>0</v>
      </c>
      <c r="L8438" s="142">
        <v>0</v>
      </c>
      <c r="M8438" s="142">
        <v>0</v>
      </c>
      <c r="N8438" s="142">
        <v>0</v>
      </c>
      <c r="O8438" s="305">
        <v>0</v>
      </c>
      <c r="P8438" s="306">
        <v>0.29516486999999997</v>
      </c>
      <c r="Q8438" s="157" t="s">
        <v>154</v>
      </c>
      <c r="R8438" s="303"/>
    </row>
    <row r="8439" spans="1:18" s="162" customFormat="1" ht="120" x14ac:dyDescent="0.25">
      <c r="A8439" s="184">
        <v>44130</v>
      </c>
      <c r="B8439" s="184">
        <v>44130</v>
      </c>
      <c r="C8439" s="138">
        <v>2020</v>
      </c>
      <c r="D8439" s="24" t="s">
        <v>141</v>
      </c>
      <c r="E8439" s="30" t="s">
        <v>142</v>
      </c>
      <c r="F8439" s="7" t="s">
        <v>60</v>
      </c>
      <c r="G8439" s="33" t="s">
        <v>2519</v>
      </c>
      <c r="H8439" s="33" t="s">
        <v>11450</v>
      </c>
      <c r="I8439" s="157">
        <v>2</v>
      </c>
      <c r="J8439" s="305">
        <v>23</v>
      </c>
      <c r="K8439" s="142">
        <v>0</v>
      </c>
      <c r="L8439" s="142">
        <v>0</v>
      </c>
      <c r="M8439" s="142">
        <v>0</v>
      </c>
      <c r="N8439" s="142">
        <v>0</v>
      </c>
      <c r="O8439" s="305">
        <v>0</v>
      </c>
      <c r="P8439" s="306">
        <v>0.80840100000000004</v>
      </c>
      <c r="Q8439" s="157" t="s">
        <v>154</v>
      </c>
      <c r="R8439" s="303"/>
    </row>
    <row r="8440" spans="1:18" s="162" customFormat="1" x14ac:dyDescent="0.25">
      <c r="A8440" s="184">
        <v>44130</v>
      </c>
      <c r="B8440" s="184">
        <v>44130</v>
      </c>
      <c r="C8440" s="138">
        <v>2020</v>
      </c>
      <c r="D8440" s="351" t="s">
        <v>23</v>
      </c>
      <c r="E8440" s="22" t="s">
        <v>86</v>
      </c>
      <c r="F8440" s="7" t="s">
        <v>80</v>
      </c>
      <c r="G8440" s="206" t="s">
        <v>26</v>
      </c>
      <c r="H8440" s="44" t="s">
        <v>11451</v>
      </c>
      <c r="I8440" s="157">
        <v>0</v>
      </c>
      <c r="J8440" s="305">
        <v>6407</v>
      </c>
      <c r="K8440" s="142">
        <v>0</v>
      </c>
      <c r="L8440" s="142">
        <v>0</v>
      </c>
      <c r="M8440" s="142">
        <v>0</v>
      </c>
      <c r="N8440" s="142">
        <v>0</v>
      </c>
      <c r="O8440" s="305">
        <v>0</v>
      </c>
      <c r="P8440" s="306">
        <v>113.57515634800001</v>
      </c>
      <c r="Q8440" s="157" t="s">
        <v>7883</v>
      </c>
      <c r="R8440" s="303"/>
    </row>
    <row r="8441" spans="1:18" s="162" customFormat="1" ht="24" x14ac:dyDescent="0.25">
      <c r="A8441" s="184">
        <v>44131</v>
      </c>
      <c r="B8441" s="184">
        <v>44134</v>
      </c>
      <c r="C8441" s="138">
        <v>2020</v>
      </c>
      <c r="D8441" s="351" t="s">
        <v>23</v>
      </c>
      <c r="E8441" s="22" t="s">
        <v>86</v>
      </c>
      <c r="F8441" s="28" t="s">
        <v>163</v>
      </c>
      <c r="G8441" s="206" t="s">
        <v>26</v>
      </c>
      <c r="H8441" s="44" t="s">
        <v>11452</v>
      </c>
      <c r="I8441" s="157">
        <v>0</v>
      </c>
      <c r="J8441" s="305">
        <v>6280</v>
      </c>
      <c r="K8441" s="142">
        <v>0</v>
      </c>
      <c r="L8441" s="142">
        <v>0</v>
      </c>
      <c r="M8441" s="142">
        <v>0</v>
      </c>
      <c r="N8441" s="142">
        <v>0</v>
      </c>
      <c r="O8441" s="305">
        <v>0</v>
      </c>
      <c r="P8441" s="306">
        <v>9.8483863120000006</v>
      </c>
      <c r="Q8441" s="157" t="s">
        <v>7883</v>
      </c>
      <c r="R8441" s="303"/>
    </row>
    <row r="8442" spans="1:18" s="162" customFormat="1" ht="96" x14ac:dyDescent="0.25">
      <c r="A8442" s="184">
        <v>44132</v>
      </c>
      <c r="B8442" s="184">
        <v>44132</v>
      </c>
      <c r="C8442" s="138">
        <v>2020</v>
      </c>
      <c r="D8442" s="24" t="s">
        <v>141</v>
      </c>
      <c r="E8442" s="30" t="s">
        <v>142</v>
      </c>
      <c r="F8442" s="7" t="s">
        <v>62</v>
      </c>
      <c r="G8442" s="33" t="s">
        <v>8553</v>
      </c>
      <c r="H8442" s="33" t="s">
        <v>11453</v>
      </c>
      <c r="I8442" s="157">
        <v>1</v>
      </c>
      <c r="J8442" s="305">
        <v>40</v>
      </c>
      <c r="K8442" s="142">
        <v>0</v>
      </c>
      <c r="L8442" s="142">
        <v>0</v>
      </c>
      <c r="M8442" s="142">
        <v>0</v>
      </c>
      <c r="N8442" s="142">
        <v>0</v>
      </c>
      <c r="O8442" s="305">
        <v>0</v>
      </c>
      <c r="P8442" s="306">
        <v>1.76942887</v>
      </c>
      <c r="Q8442" s="157" t="s">
        <v>154</v>
      </c>
      <c r="R8442" s="303"/>
    </row>
    <row r="8443" spans="1:18" s="162" customFormat="1" ht="60" x14ac:dyDescent="0.25">
      <c r="A8443" s="184">
        <v>44133</v>
      </c>
      <c r="B8443" s="184">
        <v>44154</v>
      </c>
      <c r="C8443" s="138">
        <v>2020</v>
      </c>
      <c r="D8443" s="351" t="s">
        <v>23</v>
      </c>
      <c r="E8443" s="22" t="s">
        <v>86</v>
      </c>
      <c r="F8443" s="25" t="s">
        <v>781</v>
      </c>
      <c r="G8443" s="33" t="s">
        <v>11408</v>
      </c>
      <c r="H8443" s="33" t="s">
        <v>11454</v>
      </c>
      <c r="I8443" s="157">
        <v>10</v>
      </c>
      <c r="J8443" s="305">
        <v>801600</v>
      </c>
      <c r="K8443" s="142">
        <v>200400</v>
      </c>
      <c r="L8443" s="142">
        <v>511</v>
      </c>
      <c r="M8443" s="142">
        <v>0</v>
      </c>
      <c r="N8443" s="142">
        <v>0</v>
      </c>
      <c r="O8443" s="305">
        <v>151409.20000000001</v>
      </c>
      <c r="P8443" s="306">
        <v>13580.56011719139</v>
      </c>
      <c r="Q8443" s="157" t="s">
        <v>11455</v>
      </c>
      <c r="R8443" s="303"/>
    </row>
    <row r="8444" spans="1:18" s="162" customFormat="1" ht="24" x14ac:dyDescent="0.25">
      <c r="A8444" s="184">
        <v>44134</v>
      </c>
      <c r="B8444" s="184">
        <v>44136</v>
      </c>
      <c r="C8444" s="138">
        <v>2020</v>
      </c>
      <c r="D8444" s="351" t="s">
        <v>23</v>
      </c>
      <c r="E8444" s="22" t="s">
        <v>86</v>
      </c>
      <c r="F8444" s="28" t="s">
        <v>210</v>
      </c>
      <c r="G8444" s="206" t="s">
        <v>26</v>
      </c>
      <c r="H8444" s="44" t="s">
        <v>11456</v>
      </c>
      <c r="I8444" s="157">
        <v>0</v>
      </c>
      <c r="J8444" s="305">
        <v>3891</v>
      </c>
      <c r="K8444" s="142">
        <v>0</v>
      </c>
      <c r="L8444" s="142">
        <v>0</v>
      </c>
      <c r="M8444" s="142">
        <v>0</v>
      </c>
      <c r="N8444" s="142">
        <v>0</v>
      </c>
      <c r="O8444" s="305">
        <v>0</v>
      </c>
      <c r="P8444" s="306">
        <v>840.91295102399999</v>
      </c>
      <c r="Q8444" s="157" t="s">
        <v>7883</v>
      </c>
      <c r="R8444" s="303"/>
    </row>
    <row r="8445" spans="1:18" s="162" customFormat="1" ht="84" x14ac:dyDescent="0.25">
      <c r="A8445" s="184">
        <v>44135</v>
      </c>
      <c r="B8445" s="184">
        <v>44135</v>
      </c>
      <c r="C8445" s="138">
        <v>2020</v>
      </c>
      <c r="D8445" s="24" t="s">
        <v>141</v>
      </c>
      <c r="E8445" s="30" t="s">
        <v>142</v>
      </c>
      <c r="F8445" s="7" t="s">
        <v>87</v>
      </c>
      <c r="G8445" s="33" t="s">
        <v>4751</v>
      </c>
      <c r="H8445" s="33" t="s">
        <v>11457</v>
      </c>
      <c r="I8445" s="157">
        <v>0</v>
      </c>
      <c r="J8445" s="305">
        <v>2</v>
      </c>
      <c r="K8445" s="142">
        <v>0</v>
      </c>
      <c r="L8445" s="142">
        <v>0</v>
      </c>
      <c r="M8445" s="142">
        <v>0</v>
      </c>
      <c r="N8445" s="142">
        <v>0</v>
      </c>
      <c r="O8445" s="305">
        <v>0</v>
      </c>
      <c r="P8445" s="306">
        <v>5.432873278379283</v>
      </c>
      <c r="Q8445" s="157" t="s">
        <v>154</v>
      </c>
      <c r="R8445" s="303"/>
    </row>
    <row r="8446" spans="1:18" s="162" customFormat="1" ht="84" x14ac:dyDescent="0.25">
      <c r="A8446" s="184">
        <v>44135</v>
      </c>
      <c r="B8446" s="184">
        <v>44135</v>
      </c>
      <c r="C8446" s="138">
        <v>2020</v>
      </c>
      <c r="D8446" s="24" t="s">
        <v>141</v>
      </c>
      <c r="E8446" s="30" t="s">
        <v>142</v>
      </c>
      <c r="F8446" s="7" t="s">
        <v>72</v>
      </c>
      <c r="G8446" s="33" t="s">
        <v>11458</v>
      </c>
      <c r="H8446" s="33" t="s">
        <v>11459</v>
      </c>
      <c r="I8446" s="157">
        <v>0</v>
      </c>
      <c r="J8446" s="305">
        <v>8</v>
      </c>
      <c r="K8446" s="142">
        <v>0</v>
      </c>
      <c r="L8446" s="142">
        <v>0</v>
      </c>
      <c r="M8446" s="142">
        <v>0</v>
      </c>
      <c r="N8446" s="142">
        <v>0</v>
      </c>
      <c r="O8446" s="305">
        <v>0</v>
      </c>
      <c r="P8446" s="306">
        <v>0.55199932783792804</v>
      </c>
      <c r="Q8446" s="157" t="s">
        <v>154</v>
      </c>
      <c r="R8446" s="303"/>
    </row>
    <row r="8447" spans="1:18" s="162" customFormat="1" ht="96" x14ac:dyDescent="0.25">
      <c r="A8447" s="184">
        <v>44138</v>
      </c>
      <c r="B8447" s="184">
        <v>44138</v>
      </c>
      <c r="C8447" s="138">
        <v>2020</v>
      </c>
      <c r="D8447" s="24" t="s">
        <v>141</v>
      </c>
      <c r="E8447" s="30" t="s">
        <v>142</v>
      </c>
      <c r="F8447" s="7" t="s">
        <v>56</v>
      </c>
      <c r="G8447" s="33" t="s">
        <v>351</v>
      </c>
      <c r="H8447" s="33" t="s">
        <v>11460</v>
      </c>
      <c r="I8447" s="157">
        <v>0</v>
      </c>
      <c r="J8447" s="305">
        <v>7</v>
      </c>
      <c r="K8447" s="142">
        <v>0</v>
      </c>
      <c r="L8447" s="142">
        <v>0</v>
      </c>
      <c r="M8447" s="142">
        <v>0</v>
      </c>
      <c r="N8447" s="142">
        <v>0</v>
      </c>
      <c r="O8447" s="305">
        <v>0</v>
      </c>
      <c r="P8447" s="306">
        <v>0.14361948699999999</v>
      </c>
      <c r="Q8447" s="157" t="s">
        <v>154</v>
      </c>
      <c r="R8447" s="303"/>
    </row>
    <row r="8448" spans="1:18" s="162" customFormat="1" ht="84" x14ac:dyDescent="0.25">
      <c r="A8448" s="184">
        <v>44139</v>
      </c>
      <c r="B8448" s="184">
        <v>44139</v>
      </c>
      <c r="C8448" s="138">
        <v>2020</v>
      </c>
      <c r="D8448" s="35" t="s">
        <v>28</v>
      </c>
      <c r="E8448" s="30" t="s">
        <v>133</v>
      </c>
      <c r="F8448" s="7" t="s">
        <v>60</v>
      </c>
      <c r="G8448" s="33" t="s">
        <v>1256</v>
      </c>
      <c r="H8448" s="33" t="s">
        <v>11461</v>
      </c>
      <c r="I8448" s="157">
        <v>0</v>
      </c>
      <c r="J8448" s="305">
        <v>5</v>
      </c>
      <c r="K8448" s="142">
        <v>0</v>
      </c>
      <c r="L8448" s="142">
        <v>0</v>
      </c>
      <c r="M8448" s="142">
        <v>0</v>
      </c>
      <c r="N8448" s="142">
        <v>1</v>
      </c>
      <c r="O8448" s="305">
        <v>0</v>
      </c>
      <c r="P8448" s="306">
        <v>0.21044739000000001</v>
      </c>
      <c r="Q8448" s="157" t="s">
        <v>154</v>
      </c>
      <c r="R8448" s="303"/>
    </row>
    <row r="8449" spans="1:18" s="162" customFormat="1" ht="120" x14ac:dyDescent="0.25">
      <c r="A8449" s="184">
        <v>44141</v>
      </c>
      <c r="B8449" s="184">
        <v>44141</v>
      </c>
      <c r="C8449" s="138">
        <v>2020</v>
      </c>
      <c r="D8449" s="351" t="s">
        <v>23</v>
      </c>
      <c r="E8449" s="22" t="s">
        <v>86</v>
      </c>
      <c r="F8449" s="28" t="s">
        <v>210</v>
      </c>
      <c r="G8449" s="33" t="s">
        <v>11462</v>
      </c>
      <c r="H8449" s="33" t="s">
        <v>11463</v>
      </c>
      <c r="I8449" s="157">
        <v>0</v>
      </c>
      <c r="J8449" s="305">
        <v>22993</v>
      </c>
      <c r="K8449" s="142">
        <v>5790</v>
      </c>
      <c r="L8449" s="142">
        <v>1</v>
      </c>
      <c r="M8449" s="142">
        <v>0</v>
      </c>
      <c r="N8449" s="142">
        <v>0</v>
      </c>
      <c r="O8449" s="305">
        <v>0</v>
      </c>
      <c r="P8449" s="306">
        <v>405.92055400319998</v>
      </c>
      <c r="Q8449" s="157" t="s">
        <v>7883</v>
      </c>
      <c r="R8449" s="303"/>
    </row>
    <row r="8450" spans="1:18" s="162" customFormat="1" ht="96" x14ac:dyDescent="0.25">
      <c r="A8450" s="184">
        <v>44142</v>
      </c>
      <c r="B8450" s="184">
        <v>44142</v>
      </c>
      <c r="C8450" s="138">
        <v>2020</v>
      </c>
      <c r="D8450" s="24" t="s">
        <v>141</v>
      </c>
      <c r="E8450" s="30" t="s">
        <v>142</v>
      </c>
      <c r="F8450" s="7" t="s">
        <v>49</v>
      </c>
      <c r="G8450" s="33" t="s">
        <v>11464</v>
      </c>
      <c r="H8450" s="33" t="s">
        <v>11465</v>
      </c>
      <c r="I8450" s="157">
        <v>0</v>
      </c>
      <c r="J8450" s="305">
        <v>3</v>
      </c>
      <c r="K8450" s="142">
        <v>0</v>
      </c>
      <c r="L8450" s="142">
        <v>0</v>
      </c>
      <c r="M8450" s="142">
        <v>0</v>
      </c>
      <c r="N8450" s="142">
        <v>0</v>
      </c>
      <c r="O8450" s="305">
        <v>0</v>
      </c>
      <c r="P8450" s="306">
        <v>5.4361402783792832</v>
      </c>
      <c r="Q8450" s="157" t="s">
        <v>154</v>
      </c>
      <c r="R8450" s="303"/>
    </row>
    <row r="8451" spans="1:18" s="162" customFormat="1" ht="96" x14ac:dyDescent="0.25">
      <c r="A8451" s="184">
        <v>44142</v>
      </c>
      <c r="B8451" s="184">
        <v>44143</v>
      </c>
      <c r="C8451" s="138">
        <v>2020</v>
      </c>
      <c r="D8451" s="24" t="s">
        <v>141</v>
      </c>
      <c r="E8451" s="30" t="s">
        <v>142</v>
      </c>
      <c r="F8451" s="28" t="s">
        <v>157</v>
      </c>
      <c r="G8451" s="33" t="s">
        <v>4820</v>
      </c>
      <c r="H8451" s="33" t="s">
        <v>11466</v>
      </c>
      <c r="I8451" s="157">
        <v>0</v>
      </c>
      <c r="J8451" s="305">
        <v>5</v>
      </c>
      <c r="K8451" s="142">
        <v>0</v>
      </c>
      <c r="L8451" s="142">
        <v>0</v>
      </c>
      <c r="M8451" s="142">
        <v>0</v>
      </c>
      <c r="N8451" s="142">
        <v>0</v>
      </c>
      <c r="O8451" s="305">
        <v>0</v>
      </c>
      <c r="P8451" s="306">
        <v>7.8553200000000004E-2</v>
      </c>
      <c r="Q8451" s="157" t="s">
        <v>154</v>
      </c>
      <c r="R8451" s="303"/>
    </row>
    <row r="8452" spans="1:18" s="162" customFormat="1" ht="96" x14ac:dyDescent="0.25">
      <c r="A8452" s="184">
        <v>44143</v>
      </c>
      <c r="B8452" s="184">
        <v>44143</v>
      </c>
      <c r="C8452" s="138">
        <v>2020</v>
      </c>
      <c r="D8452" s="24" t="s">
        <v>141</v>
      </c>
      <c r="E8452" s="30" t="s">
        <v>142</v>
      </c>
      <c r="F8452" s="7" t="s">
        <v>67</v>
      </c>
      <c r="G8452" s="33" t="s">
        <v>2271</v>
      </c>
      <c r="H8452" s="33" t="s">
        <v>11467</v>
      </c>
      <c r="I8452" s="157">
        <v>4</v>
      </c>
      <c r="J8452" s="305">
        <v>16</v>
      </c>
      <c r="K8452" s="142">
        <v>0</v>
      </c>
      <c r="L8452" s="142">
        <v>0</v>
      </c>
      <c r="M8452" s="142">
        <v>0</v>
      </c>
      <c r="N8452" s="142">
        <v>0</v>
      </c>
      <c r="O8452" s="305">
        <v>0</v>
      </c>
      <c r="P8452" s="306">
        <v>0.40979774000000002</v>
      </c>
      <c r="Q8452" s="157" t="s">
        <v>154</v>
      </c>
      <c r="R8452" s="303"/>
    </row>
    <row r="8453" spans="1:18" s="162" customFormat="1" ht="108" x14ac:dyDescent="0.25">
      <c r="A8453" s="184">
        <v>44145</v>
      </c>
      <c r="B8453" s="184">
        <v>44145</v>
      </c>
      <c r="C8453" s="138">
        <v>2020</v>
      </c>
      <c r="D8453" s="35" t="s">
        <v>28</v>
      </c>
      <c r="E8453" s="6" t="s">
        <v>149</v>
      </c>
      <c r="F8453" s="7" t="s">
        <v>53</v>
      </c>
      <c r="G8453" s="33" t="s">
        <v>4464</v>
      </c>
      <c r="H8453" s="33" t="s">
        <v>11468</v>
      </c>
      <c r="I8453" s="157">
        <v>0</v>
      </c>
      <c r="J8453" s="305">
        <v>400</v>
      </c>
      <c r="K8453" s="142">
        <v>0</v>
      </c>
      <c r="L8453" s="142">
        <v>0</v>
      </c>
      <c r="M8453" s="142">
        <v>0</v>
      </c>
      <c r="N8453" s="142">
        <v>1</v>
      </c>
      <c r="O8453" s="305">
        <v>0</v>
      </c>
      <c r="P8453" s="306">
        <v>0.01</v>
      </c>
      <c r="Q8453" s="157" t="s">
        <v>154</v>
      </c>
      <c r="R8453" s="303"/>
    </row>
    <row r="8454" spans="1:18" s="162" customFormat="1" ht="132" x14ac:dyDescent="0.25">
      <c r="A8454" s="184">
        <v>44147</v>
      </c>
      <c r="B8454" s="184">
        <v>44147</v>
      </c>
      <c r="C8454" s="138">
        <v>2020</v>
      </c>
      <c r="D8454" s="35" t="s">
        <v>28</v>
      </c>
      <c r="E8454" s="6" t="s">
        <v>149</v>
      </c>
      <c r="F8454" s="7" t="s">
        <v>30</v>
      </c>
      <c r="G8454" s="33" t="s">
        <v>1078</v>
      </c>
      <c r="H8454" s="33" t="s">
        <v>11469</v>
      </c>
      <c r="I8454" s="157">
        <v>0</v>
      </c>
      <c r="J8454" s="305">
        <v>130</v>
      </c>
      <c r="K8454" s="142">
        <v>0</v>
      </c>
      <c r="L8454" s="142">
        <v>0</v>
      </c>
      <c r="M8454" s="142">
        <v>0</v>
      </c>
      <c r="N8454" s="142">
        <v>1</v>
      </c>
      <c r="O8454" s="305">
        <v>0</v>
      </c>
      <c r="P8454" s="306">
        <v>0.01</v>
      </c>
      <c r="Q8454" s="157" t="s">
        <v>154</v>
      </c>
      <c r="R8454" s="303"/>
    </row>
    <row r="8455" spans="1:18" s="162" customFormat="1" ht="108" x14ac:dyDescent="0.25">
      <c r="A8455" s="184">
        <v>44148</v>
      </c>
      <c r="B8455" s="184">
        <v>44149</v>
      </c>
      <c r="C8455" s="138">
        <v>2020</v>
      </c>
      <c r="D8455" s="35" t="s">
        <v>28</v>
      </c>
      <c r="E8455" s="6" t="s">
        <v>369</v>
      </c>
      <c r="F8455" s="7" t="s">
        <v>56</v>
      </c>
      <c r="G8455" s="33" t="s">
        <v>358</v>
      </c>
      <c r="H8455" s="33" t="s">
        <v>11470</v>
      </c>
      <c r="I8455" s="157">
        <v>5</v>
      </c>
      <c r="J8455" s="305">
        <v>5</v>
      </c>
      <c r="K8455" s="142">
        <v>0</v>
      </c>
      <c r="L8455" s="142">
        <v>0</v>
      </c>
      <c r="M8455" s="142">
        <v>0</v>
      </c>
      <c r="N8455" s="142">
        <v>1</v>
      </c>
      <c r="O8455" s="305">
        <v>0</v>
      </c>
      <c r="P8455" s="306">
        <v>0.01</v>
      </c>
      <c r="Q8455" s="157" t="s">
        <v>154</v>
      </c>
      <c r="R8455" s="303"/>
    </row>
    <row r="8456" spans="1:18" s="162" customFormat="1" ht="408" x14ac:dyDescent="0.25">
      <c r="A8456" s="184">
        <v>44148</v>
      </c>
      <c r="B8456" s="184">
        <v>44148</v>
      </c>
      <c r="C8456" s="138">
        <v>2020</v>
      </c>
      <c r="D8456" s="35" t="s">
        <v>28</v>
      </c>
      <c r="E8456" s="30" t="s">
        <v>133</v>
      </c>
      <c r="F8456" s="28" t="s">
        <v>157</v>
      </c>
      <c r="G8456" s="33" t="s">
        <v>716</v>
      </c>
      <c r="H8456" s="33" t="s">
        <v>11471</v>
      </c>
      <c r="I8456" s="157">
        <v>2</v>
      </c>
      <c r="J8456" s="305">
        <v>80</v>
      </c>
      <c r="K8456" s="142">
        <v>9</v>
      </c>
      <c r="L8456" s="142">
        <v>0</v>
      </c>
      <c r="M8456" s="142">
        <v>0</v>
      </c>
      <c r="N8456" s="142">
        <v>2</v>
      </c>
      <c r="O8456" s="305">
        <v>0</v>
      </c>
      <c r="P8456" s="306">
        <v>0.55756235499999995</v>
      </c>
      <c r="Q8456" s="157" t="s">
        <v>154</v>
      </c>
      <c r="R8456" s="303"/>
    </row>
    <row r="8457" spans="1:18" s="162" customFormat="1" ht="264" x14ac:dyDescent="0.25">
      <c r="A8457" s="184">
        <v>44151</v>
      </c>
      <c r="B8457" s="184">
        <v>44151</v>
      </c>
      <c r="C8457" s="138">
        <v>2020</v>
      </c>
      <c r="D8457" s="35" t="s">
        <v>28</v>
      </c>
      <c r="E8457" s="30" t="s">
        <v>133</v>
      </c>
      <c r="F8457" s="7" t="s">
        <v>67</v>
      </c>
      <c r="G8457" s="33" t="s">
        <v>11472</v>
      </c>
      <c r="H8457" s="33" t="s">
        <v>11473</v>
      </c>
      <c r="I8457" s="157">
        <v>14</v>
      </c>
      <c r="J8457" s="305">
        <v>15</v>
      </c>
      <c r="K8457" s="142">
        <v>0</v>
      </c>
      <c r="L8457" s="142">
        <v>0</v>
      </c>
      <c r="M8457" s="142">
        <v>0</v>
      </c>
      <c r="N8457" s="142">
        <v>0</v>
      </c>
      <c r="O8457" s="305">
        <v>0</v>
      </c>
      <c r="P8457" s="306">
        <v>0.95106263858823537</v>
      </c>
      <c r="Q8457" s="157" t="s">
        <v>154</v>
      </c>
      <c r="R8457" s="303"/>
    </row>
    <row r="8458" spans="1:18" s="162" customFormat="1" x14ac:dyDescent="0.25">
      <c r="A8458" s="184">
        <v>44156</v>
      </c>
      <c r="B8458" s="184">
        <v>44157</v>
      </c>
      <c r="C8458" s="138">
        <v>2020</v>
      </c>
      <c r="D8458" s="351" t="s">
        <v>23</v>
      </c>
      <c r="E8458" s="14" t="s">
        <v>52</v>
      </c>
      <c r="F8458" s="28" t="s">
        <v>210</v>
      </c>
      <c r="G8458" s="206" t="s">
        <v>26</v>
      </c>
      <c r="H8458" s="33" t="s">
        <v>11474</v>
      </c>
      <c r="I8458" s="157">
        <v>0</v>
      </c>
      <c r="J8458" s="305">
        <v>11280</v>
      </c>
      <c r="K8458" s="142">
        <v>0</v>
      </c>
      <c r="L8458" s="142">
        <v>0</v>
      </c>
      <c r="M8458" s="142">
        <v>0</v>
      </c>
      <c r="N8458" s="142">
        <v>0</v>
      </c>
      <c r="O8458" s="305">
        <v>0</v>
      </c>
      <c r="P8458" s="306">
        <v>46.499141159999994</v>
      </c>
      <c r="Q8458" s="157" t="s">
        <v>7883</v>
      </c>
      <c r="R8458" s="303"/>
    </row>
    <row r="8459" spans="1:18" s="162" customFormat="1" ht="180" x14ac:dyDescent="0.25">
      <c r="A8459" s="184">
        <v>44157</v>
      </c>
      <c r="B8459" s="184">
        <v>44157</v>
      </c>
      <c r="C8459" s="138">
        <v>2020</v>
      </c>
      <c r="D8459" s="24" t="s">
        <v>141</v>
      </c>
      <c r="E8459" s="30" t="s">
        <v>142</v>
      </c>
      <c r="F8459" s="7" t="s">
        <v>91</v>
      </c>
      <c r="G8459" s="33" t="s">
        <v>803</v>
      </c>
      <c r="H8459" s="33" t="s">
        <v>11475</v>
      </c>
      <c r="I8459" s="157">
        <v>2</v>
      </c>
      <c r="J8459" s="305">
        <v>45</v>
      </c>
      <c r="K8459" s="142">
        <v>0</v>
      </c>
      <c r="L8459" s="142">
        <v>0</v>
      </c>
      <c r="M8459" s="142">
        <v>0</v>
      </c>
      <c r="N8459" s="142">
        <v>0</v>
      </c>
      <c r="O8459" s="305">
        <v>0</v>
      </c>
      <c r="P8459" s="306">
        <v>0.80404500000000001</v>
      </c>
      <c r="Q8459" s="157" t="s">
        <v>154</v>
      </c>
      <c r="R8459" s="303"/>
    </row>
    <row r="8460" spans="1:18" s="162" customFormat="1" ht="144" x14ac:dyDescent="0.25">
      <c r="A8460" s="184">
        <v>44161</v>
      </c>
      <c r="B8460" s="184">
        <v>44161</v>
      </c>
      <c r="C8460" s="138">
        <v>2020</v>
      </c>
      <c r="D8460" s="35" t="s">
        <v>28</v>
      </c>
      <c r="E8460" s="6" t="s">
        <v>369</v>
      </c>
      <c r="F8460" s="28" t="s">
        <v>157</v>
      </c>
      <c r="G8460" s="33" t="s">
        <v>158</v>
      </c>
      <c r="H8460" s="33" t="s">
        <v>11476</v>
      </c>
      <c r="I8460" s="157">
        <v>0</v>
      </c>
      <c r="J8460" s="305">
        <v>702</v>
      </c>
      <c r="K8460" s="142">
        <v>0</v>
      </c>
      <c r="L8460" s="142">
        <v>0</v>
      </c>
      <c r="M8460" s="142">
        <v>0</v>
      </c>
      <c r="N8460" s="142">
        <v>0</v>
      </c>
      <c r="O8460" s="305">
        <v>0</v>
      </c>
      <c r="P8460" s="306">
        <v>5.9328258588235303E-2</v>
      </c>
      <c r="Q8460" s="157" t="s">
        <v>154</v>
      </c>
      <c r="R8460" s="303"/>
    </row>
    <row r="8461" spans="1:18" s="162" customFormat="1" ht="84" x14ac:dyDescent="0.25">
      <c r="A8461" s="184">
        <v>44162</v>
      </c>
      <c r="B8461" s="184">
        <v>44162</v>
      </c>
      <c r="C8461" s="138">
        <v>2020</v>
      </c>
      <c r="D8461" s="35" t="s">
        <v>28</v>
      </c>
      <c r="E8461" s="6" t="s">
        <v>149</v>
      </c>
      <c r="F8461" s="7" t="s">
        <v>30</v>
      </c>
      <c r="G8461" s="33" t="s">
        <v>6764</v>
      </c>
      <c r="H8461" s="33" t="s">
        <v>11477</v>
      </c>
      <c r="I8461" s="157">
        <v>1</v>
      </c>
      <c r="J8461" s="305">
        <v>1</v>
      </c>
      <c r="K8461" s="142">
        <v>0</v>
      </c>
      <c r="L8461" s="142">
        <v>0</v>
      </c>
      <c r="M8461" s="142">
        <v>0</v>
      </c>
      <c r="N8461" s="142">
        <v>1</v>
      </c>
      <c r="O8461" s="305">
        <v>0</v>
      </c>
      <c r="P8461" s="306">
        <v>0.01</v>
      </c>
      <c r="Q8461" s="157" t="s">
        <v>154</v>
      </c>
      <c r="R8461" s="303"/>
    </row>
    <row r="8462" spans="1:18" s="162" customFormat="1" ht="72" x14ac:dyDescent="0.25">
      <c r="A8462" s="184">
        <v>44166</v>
      </c>
      <c r="B8462" s="184">
        <v>44167</v>
      </c>
      <c r="C8462" s="138">
        <v>2020</v>
      </c>
      <c r="D8462" s="24" t="s">
        <v>141</v>
      </c>
      <c r="E8462" s="30" t="s">
        <v>142</v>
      </c>
      <c r="F8462" s="7" t="s">
        <v>49</v>
      </c>
      <c r="G8462" s="33" t="s">
        <v>228</v>
      </c>
      <c r="H8462" s="33" t="s">
        <v>11478</v>
      </c>
      <c r="I8462" s="157">
        <v>2</v>
      </c>
      <c r="J8462" s="305">
        <v>2</v>
      </c>
      <c r="K8462" s="142">
        <v>0</v>
      </c>
      <c r="L8462" s="142">
        <v>0</v>
      </c>
      <c r="M8462" s="142">
        <v>0</v>
      </c>
      <c r="N8462" s="142">
        <v>0</v>
      </c>
      <c r="O8462" s="305">
        <v>0</v>
      </c>
      <c r="P8462" s="306">
        <v>9.6799999999999997E-2</v>
      </c>
      <c r="Q8462" s="157" t="s">
        <v>154</v>
      </c>
      <c r="R8462" s="303"/>
    </row>
    <row r="8463" spans="1:18" s="162" customFormat="1" ht="144" x14ac:dyDescent="0.25">
      <c r="A8463" s="184">
        <v>44170</v>
      </c>
      <c r="B8463" s="184">
        <v>44170</v>
      </c>
      <c r="C8463" s="138">
        <v>2020</v>
      </c>
      <c r="D8463" s="24" t="s">
        <v>141</v>
      </c>
      <c r="E8463" s="30" t="s">
        <v>142</v>
      </c>
      <c r="F8463" s="7" t="s">
        <v>36</v>
      </c>
      <c r="G8463" s="33" t="s">
        <v>232</v>
      </c>
      <c r="H8463" s="33" t="s">
        <v>11479</v>
      </c>
      <c r="I8463" s="157">
        <v>3</v>
      </c>
      <c r="J8463" s="305">
        <v>19</v>
      </c>
      <c r="K8463" s="142">
        <v>0</v>
      </c>
      <c r="L8463" s="142">
        <v>0</v>
      </c>
      <c r="M8463" s="142">
        <v>0</v>
      </c>
      <c r="N8463" s="142">
        <v>0</v>
      </c>
      <c r="O8463" s="305">
        <v>0</v>
      </c>
      <c r="P8463" s="306">
        <v>0.21578887000000002</v>
      </c>
      <c r="Q8463" s="157" t="s">
        <v>154</v>
      </c>
      <c r="R8463" s="303"/>
    </row>
    <row r="8464" spans="1:18" s="162" customFormat="1" ht="108" x14ac:dyDescent="0.25">
      <c r="A8464" s="184">
        <v>44172</v>
      </c>
      <c r="B8464" s="184">
        <v>44172</v>
      </c>
      <c r="C8464" s="138">
        <v>2020</v>
      </c>
      <c r="D8464" s="24" t="s">
        <v>141</v>
      </c>
      <c r="E8464" s="30" t="s">
        <v>142</v>
      </c>
      <c r="F8464" s="28" t="s">
        <v>157</v>
      </c>
      <c r="G8464" s="33" t="s">
        <v>526</v>
      </c>
      <c r="H8464" s="33" t="s">
        <v>11480</v>
      </c>
      <c r="I8464" s="157">
        <v>0</v>
      </c>
      <c r="J8464" s="305">
        <v>5</v>
      </c>
      <c r="K8464" s="142">
        <v>0</v>
      </c>
      <c r="L8464" s="142">
        <v>0</v>
      </c>
      <c r="M8464" s="142">
        <v>0</v>
      </c>
      <c r="N8464" s="142">
        <v>0</v>
      </c>
      <c r="O8464" s="305">
        <v>0</v>
      </c>
      <c r="P8464" s="306">
        <v>1.9836486999999996E-2</v>
      </c>
      <c r="Q8464" s="157" t="s">
        <v>154</v>
      </c>
      <c r="R8464" s="303"/>
    </row>
    <row r="8465" spans="1:18" s="162" customFormat="1" ht="108" x14ac:dyDescent="0.25">
      <c r="A8465" s="184">
        <v>44173</v>
      </c>
      <c r="B8465" s="184">
        <v>44173</v>
      </c>
      <c r="C8465" s="138">
        <v>2020</v>
      </c>
      <c r="D8465" s="24" t="s">
        <v>141</v>
      </c>
      <c r="E8465" s="30" t="s">
        <v>142</v>
      </c>
      <c r="F8465" s="7" t="s">
        <v>53</v>
      </c>
      <c r="G8465" s="33" t="s">
        <v>11481</v>
      </c>
      <c r="H8465" s="33" t="s">
        <v>11482</v>
      </c>
      <c r="I8465" s="157">
        <v>3</v>
      </c>
      <c r="J8465" s="305">
        <v>38</v>
      </c>
      <c r="K8465" s="142">
        <v>0</v>
      </c>
      <c r="L8465" s="142">
        <v>0</v>
      </c>
      <c r="M8465" s="142">
        <v>0</v>
      </c>
      <c r="N8465" s="142">
        <v>0</v>
      </c>
      <c r="O8465" s="305">
        <v>0</v>
      </c>
      <c r="P8465" s="306">
        <v>0.79642199999999996</v>
      </c>
      <c r="Q8465" s="157" t="s">
        <v>154</v>
      </c>
      <c r="R8465" s="303"/>
    </row>
    <row r="8466" spans="1:18" s="162" customFormat="1" ht="84" x14ac:dyDescent="0.25">
      <c r="A8466" s="184">
        <v>44175</v>
      </c>
      <c r="B8466" s="184">
        <v>44175</v>
      </c>
      <c r="C8466" s="138">
        <v>2020</v>
      </c>
      <c r="D8466" s="35" t="s">
        <v>28</v>
      </c>
      <c r="E8466" s="30" t="s">
        <v>133</v>
      </c>
      <c r="F8466" s="7" t="s">
        <v>68</v>
      </c>
      <c r="G8466" s="33" t="s">
        <v>11308</v>
      </c>
      <c r="H8466" s="33" t="s">
        <v>11483</v>
      </c>
      <c r="I8466" s="157">
        <v>0</v>
      </c>
      <c r="J8466" s="305">
        <v>5</v>
      </c>
      <c r="K8466" s="142">
        <v>0</v>
      </c>
      <c r="L8466" s="142">
        <v>0</v>
      </c>
      <c r="M8466" s="142">
        <v>0</v>
      </c>
      <c r="N8466" s="142">
        <v>1</v>
      </c>
      <c r="O8466" s="305">
        <v>0</v>
      </c>
      <c r="P8466" s="306">
        <v>1.5445E-2</v>
      </c>
      <c r="Q8466" s="157" t="s">
        <v>154</v>
      </c>
      <c r="R8466" s="303"/>
    </row>
    <row r="8467" spans="1:18" s="162" customFormat="1" ht="96" x14ac:dyDescent="0.25">
      <c r="A8467" s="184">
        <v>44176</v>
      </c>
      <c r="B8467" s="184">
        <v>44176</v>
      </c>
      <c r="C8467" s="138">
        <v>2020</v>
      </c>
      <c r="D8467" s="24" t="s">
        <v>141</v>
      </c>
      <c r="E8467" s="30" t="s">
        <v>142</v>
      </c>
      <c r="F8467" s="7" t="s">
        <v>75</v>
      </c>
      <c r="G8467" s="33" t="s">
        <v>5046</v>
      </c>
      <c r="H8467" s="33" t="s">
        <v>11484</v>
      </c>
      <c r="I8467" s="157">
        <v>0</v>
      </c>
      <c r="J8467" s="305">
        <v>17</v>
      </c>
      <c r="K8467" s="142">
        <v>0</v>
      </c>
      <c r="L8467" s="142">
        <v>0</v>
      </c>
      <c r="M8467" s="142">
        <v>0</v>
      </c>
      <c r="N8467" s="142">
        <v>0</v>
      </c>
      <c r="O8467" s="305">
        <v>0</v>
      </c>
      <c r="P8467" s="306">
        <v>3.5602104641860461</v>
      </c>
      <c r="Q8467" s="157" t="s">
        <v>154</v>
      </c>
      <c r="R8467" s="303"/>
    </row>
    <row r="8468" spans="1:18" s="162" customFormat="1" ht="72" x14ac:dyDescent="0.25">
      <c r="A8468" s="184">
        <v>44176</v>
      </c>
      <c r="B8468" s="184">
        <v>44176</v>
      </c>
      <c r="C8468" s="138">
        <v>2020</v>
      </c>
      <c r="D8468" s="24" t="s">
        <v>141</v>
      </c>
      <c r="E8468" s="30" t="s">
        <v>142</v>
      </c>
      <c r="F8468" s="7" t="s">
        <v>68</v>
      </c>
      <c r="G8468" s="33" t="s">
        <v>5096</v>
      </c>
      <c r="H8468" s="33" t="s">
        <v>11485</v>
      </c>
      <c r="I8468" s="157">
        <v>2</v>
      </c>
      <c r="J8468" s="305">
        <v>9</v>
      </c>
      <c r="K8468" s="142">
        <v>0</v>
      </c>
      <c r="L8468" s="142">
        <v>0</v>
      </c>
      <c r="M8468" s="142">
        <v>0</v>
      </c>
      <c r="N8468" s="142">
        <v>0</v>
      </c>
      <c r="O8468" s="305">
        <v>0</v>
      </c>
      <c r="P8468" s="306">
        <v>0.32124404220930236</v>
      </c>
      <c r="Q8468" s="157" t="s">
        <v>154</v>
      </c>
      <c r="R8468" s="303"/>
    </row>
    <row r="8469" spans="1:18" s="162" customFormat="1" ht="120" x14ac:dyDescent="0.25">
      <c r="A8469" s="184">
        <v>44177</v>
      </c>
      <c r="B8469" s="184">
        <v>44177</v>
      </c>
      <c r="C8469" s="138">
        <v>2020</v>
      </c>
      <c r="D8469" s="35" t="s">
        <v>28</v>
      </c>
      <c r="E8469" s="30" t="s">
        <v>125</v>
      </c>
      <c r="F8469" s="7" t="s">
        <v>75</v>
      </c>
      <c r="G8469" s="33" t="s">
        <v>11486</v>
      </c>
      <c r="H8469" s="33" t="s">
        <v>11487</v>
      </c>
      <c r="I8469" s="157">
        <v>0</v>
      </c>
      <c r="J8469" s="305">
        <v>9</v>
      </c>
      <c r="K8469" s="142">
        <v>0</v>
      </c>
      <c r="L8469" s="142">
        <v>0</v>
      </c>
      <c r="M8469" s="142">
        <v>0</v>
      </c>
      <c r="N8469" s="142">
        <v>1</v>
      </c>
      <c r="O8469" s="305">
        <v>0</v>
      </c>
      <c r="P8469" s="306">
        <v>0.01</v>
      </c>
      <c r="Q8469" s="157" t="s">
        <v>154</v>
      </c>
      <c r="R8469" s="303"/>
    </row>
    <row r="8470" spans="1:18" s="162" customFormat="1" ht="108" x14ac:dyDescent="0.25">
      <c r="A8470" s="184">
        <v>44177</v>
      </c>
      <c r="B8470" s="184">
        <v>44177</v>
      </c>
      <c r="C8470" s="138">
        <v>2020</v>
      </c>
      <c r="D8470" s="24" t="s">
        <v>141</v>
      </c>
      <c r="E8470" s="30" t="s">
        <v>142</v>
      </c>
      <c r="F8470" s="28" t="s">
        <v>210</v>
      </c>
      <c r="G8470" s="33" t="s">
        <v>921</v>
      </c>
      <c r="H8470" s="33" t="s">
        <v>11488</v>
      </c>
      <c r="I8470" s="157">
        <v>0</v>
      </c>
      <c r="J8470" s="305">
        <v>80</v>
      </c>
      <c r="K8470" s="142">
        <v>2</v>
      </c>
      <c r="L8470" s="142">
        <v>0</v>
      </c>
      <c r="M8470" s="142">
        <v>0</v>
      </c>
      <c r="N8470" s="142">
        <v>0</v>
      </c>
      <c r="O8470" s="305">
        <v>0</v>
      </c>
      <c r="P8470" s="306">
        <v>5.3325758588235302E-2</v>
      </c>
      <c r="Q8470" s="157" t="s">
        <v>154</v>
      </c>
      <c r="R8470" s="303"/>
    </row>
    <row r="8471" spans="1:18" s="162" customFormat="1" ht="96" x14ac:dyDescent="0.25">
      <c r="A8471" s="184">
        <v>44178</v>
      </c>
      <c r="B8471" s="184">
        <v>44178</v>
      </c>
      <c r="C8471" s="138">
        <v>2020</v>
      </c>
      <c r="D8471" s="24" t="s">
        <v>141</v>
      </c>
      <c r="E8471" s="30" t="s">
        <v>142</v>
      </c>
      <c r="F8471" s="7" t="s">
        <v>60</v>
      </c>
      <c r="G8471" s="33" t="s">
        <v>11189</v>
      </c>
      <c r="H8471" s="33" t="s">
        <v>11489</v>
      </c>
      <c r="I8471" s="157">
        <v>2</v>
      </c>
      <c r="J8471" s="305">
        <v>8</v>
      </c>
      <c r="K8471" s="142">
        <v>0</v>
      </c>
      <c r="L8471" s="142">
        <v>0</v>
      </c>
      <c r="M8471" s="142">
        <v>0</v>
      </c>
      <c r="N8471" s="142">
        <v>0</v>
      </c>
      <c r="O8471" s="305">
        <v>0</v>
      </c>
      <c r="P8471" s="306">
        <v>0.20489887000000001</v>
      </c>
      <c r="Q8471" s="157" t="s">
        <v>154</v>
      </c>
      <c r="R8471" s="303"/>
    </row>
    <row r="8472" spans="1:18" s="162" customFormat="1" ht="84" x14ac:dyDescent="0.25">
      <c r="A8472" s="184">
        <v>44178</v>
      </c>
      <c r="B8472" s="184">
        <v>44178</v>
      </c>
      <c r="C8472" s="138">
        <v>2020</v>
      </c>
      <c r="D8472" s="35" t="s">
        <v>28</v>
      </c>
      <c r="E8472" s="6" t="s">
        <v>149</v>
      </c>
      <c r="F8472" s="7" t="s">
        <v>30</v>
      </c>
      <c r="G8472" s="33" t="s">
        <v>1078</v>
      </c>
      <c r="H8472" s="33" t="s">
        <v>11490</v>
      </c>
      <c r="I8472" s="157">
        <v>0</v>
      </c>
      <c r="J8472" s="305">
        <v>140</v>
      </c>
      <c r="K8472" s="142">
        <v>0</v>
      </c>
      <c r="L8472" s="142">
        <v>0</v>
      </c>
      <c r="M8472" s="142">
        <v>0</v>
      </c>
      <c r="N8472" s="142">
        <v>1</v>
      </c>
      <c r="O8472" s="305">
        <v>0</v>
      </c>
      <c r="P8472" s="306">
        <v>0.01</v>
      </c>
      <c r="Q8472" s="157" t="s">
        <v>154</v>
      </c>
      <c r="R8472" s="303"/>
    </row>
    <row r="8473" spans="1:18" s="162" customFormat="1" ht="108" x14ac:dyDescent="0.25">
      <c r="A8473" s="184">
        <v>44178</v>
      </c>
      <c r="B8473" s="184">
        <v>44178</v>
      </c>
      <c r="C8473" s="138">
        <v>2020</v>
      </c>
      <c r="D8473" s="35" t="s">
        <v>28</v>
      </c>
      <c r="E8473" s="6" t="s">
        <v>369</v>
      </c>
      <c r="F8473" s="7" t="s">
        <v>91</v>
      </c>
      <c r="G8473" s="33" t="s">
        <v>2342</v>
      </c>
      <c r="H8473" s="33" t="s">
        <v>11491</v>
      </c>
      <c r="I8473" s="157">
        <v>0</v>
      </c>
      <c r="J8473" s="305">
        <v>0</v>
      </c>
      <c r="K8473" s="142">
        <v>0</v>
      </c>
      <c r="L8473" s="142">
        <v>0</v>
      </c>
      <c r="M8473" s="142">
        <v>0</v>
      </c>
      <c r="N8473" s="142">
        <v>0</v>
      </c>
      <c r="O8473" s="305">
        <v>0</v>
      </c>
      <c r="P8473" s="306">
        <v>3.6863751662790691</v>
      </c>
      <c r="Q8473" s="157" t="s">
        <v>154</v>
      </c>
      <c r="R8473" s="303"/>
    </row>
    <row r="8474" spans="1:18" s="162" customFormat="1" ht="72" x14ac:dyDescent="0.25">
      <c r="A8474" s="184">
        <v>44179</v>
      </c>
      <c r="B8474" s="184">
        <v>44179</v>
      </c>
      <c r="C8474" s="138">
        <v>2020</v>
      </c>
      <c r="D8474" s="24" t="s">
        <v>141</v>
      </c>
      <c r="E8474" s="30" t="s">
        <v>142</v>
      </c>
      <c r="F8474" s="7" t="s">
        <v>65</v>
      </c>
      <c r="G8474" s="33" t="s">
        <v>1868</v>
      </c>
      <c r="H8474" s="33" t="s">
        <v>11492</v>
      </c>
      <c r="I8474" s="157">
        <v>0</v>
      </c>
      <c r="J8474" s="305">
        <v>15</v>
      </c>
      <c r="K8474" s="142">
        <v>0</v>
      </c>
      <c r="L8474" s="142">
        <v>0</v>
      </c>
      <c r="M8474" s="142">
        <v>0</v>
      </c>
      <c r="N8474" s="142">
        <v>0</v>
      </c>
      <c r="O8474" s="305">
        <v>0</v>
      </c>
      <c r="P8474" s="306">
        <v>4.2185E-2</v>
      </c>
      <c r="Q8474" s="157" t="s">
        <v>154</v>
      </c>
      <c r="R8474" s="303"/>
    </row>
    <row r="8475" spans="1:18" s="162" customFormat="1" ht="84" x14ac:dyDescent="0.25">
      <c r="A8475" s="184">
        <v>44180</v>
      </c>
      <c r="B8475" s="184">
        <v>44180</v>
      </c>
      <c r="C8475" s="138">
        <v>2020</v>
      </c>
      <c r="D8475" s="35" t="s">
        <v>28</v>
      </c>
      <c r="E8475" s="6" t="s">
        <v>149</v>
      </c>
      <c r="F8475" s="7" t="s">
        <v>91</v>
      </c>
      <c r="G8475" s="33" t="s">
        <v>2315</v>
      </c>
      <c r="H8475" s="33" t="s">
        <v>11493</v>
      </c>
      <c r="I8475" s="157">
        <v>0</v>
      </c>
      <c r="J8475" s="305">
        <v>205</v>
      </c>
      <c r="K8475" s="142">
        <v>0</v>
      </c>
      <c r="L8475" s="142">
        <v>0</v>
      </c>
      <c r="M8475" s="142">
        <v>0</v>
      </c>
      <c r="N8475" s="142">
        <v>1</v>
      </c>
      <c r="O8475" s="305">
        <v>0</v>
      </c>
      <c r="P8475" s="306">
        <v>0.01</v>
      </c>
      <c r="Q8475" s="157" t="s">
        <v>154</v>
      </c>
      <c r="R8475" s="303"/>
    </row>
    <row r="8476" spans="1:18" s="162" customFormat="1" ht="72" x14ac:dyDescent="0.25">
      <c r="A8476" s="184">
        <v>44181</v>
      </c>
      <c r="B8476" s="184">
        <v>44181</v>
      </c>
      <c r="C8476" s="138">
        <v>2020</v>
      </c>
      <c r="D8476" s="24" t="s">
        <v>141</v>
      </c>
      <c r="E8476" s="30" t="s">
        <v>142</v>
      </c>
      <c r="F8476" s="7" t="s">
        <v>53</v>
      </c>
      <c r="G8476" s="33" t="s">
        <v>2516</v>
      </c>
      <c r="H8476" s="33" t="s">
        <v>11494</v>
      </c>
      <c r="I8476" s="157">
        <v>0</v>
      </c>
      <c r="J8476" s="305">
        <v>6</v>
      </c>
      <c r="K8476" s="142">
        <v>0</v>
      </c>
      <c r="L8476" s="142">
        <v>0</v>
      </c>
      <c r="M8476" s="142">
        <v>0</v>
      </c>
      <c r="N8476" s="142">
        <v>0</v>
      </c>
      <c r="O8476" s="305">
        <v>0</v>
      </c>
      <c r="P8476" s="306">
        <v>1.9836486999999996E-2</v>
      </c>
      <c r="Q8476" s="157" t="s">
        <v>154</v>
      </c>
      <c r="R8476" s="303"/>
    </row>
    <row r="8477" spans="1:18" s="162" customFormat="1" ht="84" x14ac:dyDescent="0.25">
      <c r="A8477" s="184">
        <v>44182</v>
      </c>
      <c r="B8477" s="184">
        <v>44182</v>
      </c>
      <c r="C8477" s="138">
        <v>2020</v>
      </c>
      <c r="D8477" s="24" t="s">
        <v>141</v>
      </c>
      <c r="E8477" s="30" t="s">
        <v>142</v>
      </c>
      <c r="F8477" s="7" t="s">
        <v>45</v>
      </c>
      <c r="G8477" s="33" t="s">
        <v>1920</v>
      </c>
      <c r="H8477" s="33" t="s">
        <v>11495</v>
      </c>
      <c r="I8477" s="157">
        <v>3</v>
      </c>
      <c r="J8477" s="305">
        <v>3</v>
      </c>
      <c r="K8477" s="142">
        <v>0</v>
      </c>
      <c r="L8477" s="142">
        <v>0</v>
      </c>
      <c r="M8477" s="142">
        <v>0</v>
      </c>
      <c r="N8477" s="142">
        <v>0</v>
      </c>
      <c r="O8477" s="305">
        <v>0</v>
      </c>
      <c r="P8477" s="306">
        <v>0.32690007720930236</v>
      </c>
      <c r="Q8477" s="157" t="s">
        <v>154</v>
      </c>
      <c r="R8477" s="303"/>
    </row>
    <row r="8478" spans="1:18" s="162" customFormat="1" ht="84" x14ac:dyDescent="0.25">
      <c r="A8478" s="184">
        <v>44182</v>
      </c>
      <c r="B8478" s="184">
        <v>44182</v>
      </c>
      <c r="C8478" s="138">
        <v>2020</v>
      </c>
      <c r="D8478" s="35" t="s">
        <v>28</v>
      </c>
      <c r="E8478" s="6" t="s">
        <v>369</v>
      </c>
      <c r="F8478" s="7" t="s">
        <v>36</v>
      </c>
      <c r="G8478" s="33" t="s">
        <v>11496</v>
      </c>
      <c r="H8478" s="33" t="s">
        <v>11497</v>
      </c>
      <c r="I8478" s="157">
        <v>0</v>
      </c>
      <c r="J8478" s="305">
        <v>1</v>
      </c>
      <c r="K8478" s="142">
        <v>0</v>
      </c>
      <c r="L8478" s="142">
        <v>0</v>
      </c>
      <c r="M8478" s="142">
        <v>0</v>
      </c>
      <c r="N8478" s="142">
        <v>0</v>
      </c>
      <c r="O8478" s="305">
        <v>0</v>
      </c>
      <c r="P8478" s="306">
        <v>5.1989258588235304E-2</v>
      </c>
      <c r="Q8478" s="157" t="s">
        <v>154</v>
      </c>
      <c r="R8478" s="303"/>
    </row>
    <row r="8479" spans="1:18" s="162" customFormat="1" ht="264" x14ac:dyDescent="0.25">
      <c r="A8479" s="184">
        <v>44182</v>
      </c>
      <c r="B8479" s="184">
        <v>44182</v>
      </c>
      <c r="C8479" s="138">
        <v>2020</v>
      </c>
      <c r="D8479" s="351" t="s">
        <v>23</v>
      </c>
      <c r="E8479" s="22" t="s">
        <v>86</v>
      </c>
      <c r="F8479" s="28" t="s">
        <v>210</v>
      </c>
      <c r="G8479" s="33" t="s">
        <v>2076</v>
      </c>
      <c r="H8479" s="33" t="s">
        <v>11498</v>
      </c>
      <c r="I8479" s="157">
        <v>0</v>
      </c>
      <c r="J8479" s="305">
        <v>8060</v>
      </c>
      <c r="K8479" s="142">
        <v>2100</v>
      </c>
      <c r="L8479" s="142">
        <v>0</v>
      </c>
      <c r="M8479" s="142">
        <v>2</v>
      </c>
      <c r="N8479" s="142">
        <v>10</v>
      </c>
      <c r="O8479" s="305">
        <v>0</v>
      </c>
      <c r="P8479" s="306">
        <v>7.5584497839999996</v>
      </c>
      <c r="Q8479" s="157" t="s">
        <v>7883</v>
      </c>
      <c r="R8479" s="303"/>
    </row>
    <row r="8480" spans="1:18" s="162" customFormat="1" ht="96" x14ac:dyDescent="0.25">
      <c r="A8480" s="184">
        <v>44184</v>
      </c>
      <c r="B8480" s="184">
        <v>44184</v>
      </c>
      <c r="C8480" s="138">
        <v>2020</v>
      </c>
      <c r="D8480" s="24" t="s">
        <v>141</v>
      </c>
      <c r="E8480" s="49" t="s">
        <v>1600</v>
      </c>
      <c r="F8480" s="7" t="s">
        <v>75</v>
      </c>
      <c r="G8480" s="33" t="s">
        <v>75</v>
      </c>
      <c r="H8480" s="33" t="s">
        <v>11499</v>
      </c>
      <c r="I8480" s="157">
        <v>2</v>
      </c>
      <c r="J8480" s="305">
        <v>6</v>
      </c>
      <c r="K8480" s="142">
        <v>0</v>
      </c>
      <c r="L8480" s="142">
        <v>0</v>
      </c>
      <c r="M8480" s="142">
        <v>0</v>
      </c>
      <c r="N8480" s="142">
        <v>0</v>
      </c>
      <c r="O8480" s="305">
        <v>0</v>
      </c>
      <c r="P8480" s="306">
        <v>0</v>
      </c>
      <c r="Q8480" s="157" t="s">
        <v>154</v>
      </c>
      <c r="R8480" s="303"/>
    </row>
    <row r="8481" spans="1:18" s="162" customFormat="1" ht="108" x14ac:dyDescent="0.25">
      <c r="A8481" s="184">
        <v>44185</v>
      </c>
      <c r="B8481" s="184">
        <v>44186</v>
      </c>
      <c r="C8481" s="138">
        <v>2020</v>
      </c>
      <c r="D8481" s="24" t="s">
        <v>141</v>
      </c>
      <c r="E8481" s="30" t="s">
        <v>142</v>
      </c>
      <c r="F8481" s="25" t="s">
        <v>781</v>
      </c>
      <c r="G8481" s="33" t="s">
        <v>5990</v>
      </c>
      <c r="H8481" s="33" t="s">
        <v>11500</v>
      </c>
      <c r="I8481" s="157">
        <v>2</v>
      </c>
      <c r="J8481" s="305">
        <v>12</v>
      </c>
      <c r="K8481" s="142">
        <v>0</v>
      </c>
      <c r="L8481" s="142">
        <v>0</v>
      </c>
      <c r="M8481" s="142">
        <v>0</v>
      </c>
      <c r="N8481" s="142">
        <v>0</v>
      </c>
      <c r="O8481" s="305">
        <v>0</v>
      </c>
      <c r="P8481" s="306">
        <v>0.20925487000000004</v>
      </c>
      <c r="Q8481" s="157" t="s">
        <v>154</v>
      </c>
      <c r="R8481" s="303"/>
    </row>
    <row r="8482" spans="1:18" s="162" customFormat="1" ht="72" x14ac:dyDescent="0.25">
      <c r="A8482" s="184">
        <v>44186</v>
      </c>
      <c r="B8482" s="184">
        <v>44186</v>
      </c>
      <c r="C8482" s="138">
        <v>2020</v>
      </c>
      <c r="D8482" s="24" t="s">
        <v>141</v>
      </c>
      <c r="E8482" s="30" t="s">
        <v>142</v>
      </c>
      <c r="F8482" s="7" t="s">
        <v>53</v>
      </c>
      <c r="G8482" s="33" t="s">
        <v>1304</v>
      </c>
      <c r="H8482" s="33" t="s">
        <v>11501</v>
      </c>
      <c r="I8482" s="157">
        <v>0</v>
      </c>
      <c r="J8482" s="305">
        <v>5</v>
      </c>
      <c r="K8482" s="142">
        <v>0</v>
      </c>
      <c r="L8482" s="142">
        <v>0</v>
      </c>
      <c r="M8482" s="142">
        <v>0</v>
      </c>
      <c r="N8482" s="142">
        <v>0</v>
      </c>
      <c r="O8482" s="305">
        <v>0</v>
      </c>
      <c r="P8482" s="306">
        <v>2.5281486999999998E-2</v>
      </c>
      <c r="Q8482" s="157" t="s">
        <v>154</v>
      </c>
      <c r="R8482" s="303"/>
    </row>
    <row r="8483" spans="1:18" s="162" customFormat="1" ht="120" x14ac:dyDescent="0.25">
      <c r="A8483" s="184">
        <v>44188</v>
      </c>
      <c r="B8483" s="184">
        <v>44188</v>
      </c>
      <c r="C8483" s="138">
        <v>2020</v>
      </c>
      <c r="D8483" s="24" t="s">
        <v>141</v>
      </c>
      <c r="E8483" s="30" t="s">
        <v>142</v>
      </c>
      <c r="F8483" s="7" t="s">
        <v>62</v>
      </c>
      <c r="G8483" s="33" t="s">
        <v>10904</v>
      </c>
      <c r="H8483" s="33" t="s">
        <v>11502</v>
      </c>
      <c r="I8483" s="157">
        <v>1</v>
      </c>
      <c r="J8483" s="305">
        <v>4</v>
      </c>
      <c r="K8483" s="142">
        <v>0</v>
      </c>
      <c r="L8483" s="142">
        <v>0</v>
      </c>
      <c r="M8483" s="142">
        <v>0</v>
      </c>
      <c r="N8483" s="142">
        <v>0</v>
      </c>
      <c r="O8483" s="305">
        <v>0</v>
      </c>
      <c r="P8483" s="306">
        <v>3.2670000000000008E-3</v>
      </c>
      <c r="Q8483" s="157" t="s">
        <v>154</v>
      </c>
      <c r="R8483" s="303"/>
    </row>
    <row r="8484" spans="1:18" s="162" customFormat="1" ht="120" x14ac:dyDescent="0.25">
      <c r="A8484" s="184">
        <v>44189</v>
      </c>
      <c r="B8484" s="184">
        <v>44189</v>
      </c>
      <c r="C8484" s="138">
        <v>2020</v>
      </c>
      <c r="D8484" s="35" t="s">
        <v>28</v>
      </c>
      <c r="E8484" s="6" t="s">
        <v>369</v>
      </c>
      <c r="F8484" s="7" t="s">
        <v>77</v>
      </c>
      <c r="G8484" s="33" t="s">
        <v>77</v>
      </c>
      <c r="H8484" s="33" t="s">
        <v>11503</v>
      </c>
      <c r="I8484" s="157">
        <v>1</v>
      </c>
      <c r="J8484" s="305">
        <v>2</v>
      </c>
      <c r="K8484" s="142">
        <v>0</v>
      </c>
      <c r="L8484" s="142">
        <v>0</v>
      </c>
      <c r="M8484" s="142">
        <v>0</v>
      </c>
      <c r="N8484" s="142">
        <v>0</v>
      </c>
      <c r="O8484" s="305">
        <v>0</v>
      </c>
      <c r="P8484" s="306">
        <v>7.0736745588235297E-2</v>
      </c>
      <c r="Q8484" s="157" t="s">
        <v>154</v>
      </c>
      <c r="R8484" s="303"/>
    </row>
    <row r="8485" spans="1:18" s="162" customFormat="1" ht="409.5" x14ac:dyDescent="0.25">
      <c r="A8485" s="184">
        <v>44189</v>
      </c>
      <c r="B8485" s="184">
        <v>44189</v>
      </c>
      <c r="C8485" s="138">
        <v>2020</v>
      </c>
      <c r="D8485" s="351" t="s">
        <v>23</v>
      </c>
      <c r="E8485" s="49" t="s">
        <v>323</v>
      </c>
      <c r="F8485" s="28" t="s">
        <v>210</v>
      </c>
      <c r="G8485" s="33" t="s">
        <v>11504</v>
      </c>
      <c r="H8485" s="33" t="s">
        <v>11505</v>
      </c>
      <c r="I8485" s="157">
        <v>0</v>
      </c>
      <c r="J8485" s="305">
        <v>609</v>
      </c>
      <c r="K8485" s="142">
        <v>150</v>
      </c>
      <c r="L8485" s="142">
        <v>2</v>
      </c>
      <c r="M8485" s="142">
        <v>1</v>
      </c>
      <c r="N8485" s="142">
        <v>2</v>
      </c>
      <c r="O8485" s="305">
        <v>0</v>
      </c>
      <c r="P8485" s="306">
        <v>8.3101499999999995E-2</v>
      </c>
      <c r="Q8485" s="157" t="s">
        <v>154</v>
      </c>
      <c r="R8485" s="303"/>
    </row>
    <row r="8486" spans="1:18" s="162" customFormat="1" ht="96" x14ac:dyDescent="0.25">
      <c r="A8486" s="184">
        <v>44190</v>
      </c>
      <c r="B8486" s="184">
        <v>44190</v>
      </c>
      <c r="C8486" s="138">
        <v>2020</v>
      </c>
      <c r="D8486" s="35" t="s">
        <v>28</v>
      </c>
      <c r="E8486" s="30" t="s">
        <v>133</v>
      </c>
      <c r="F8486" s="7" t="s">
        <v>30</v>
      </c>
      <c r="G8486" s="33" t="s">
        <v>1078</v>
      </c>
      <c r="H8486" s="33" t="s">
        <v>11506</v>
      </c>
      <c r="I8486" s="157">
        <v>0</v>
      </c>
      <c r="J8486" s="305">
        <v>4</v>
      </c>
      <c r="K8486" s="142">
        <v>1</v>
      </c>
      <c r="L8486" s="142">
        <v>0</v>
      </c>
      <c r="M8486" s="142">
        <v>0</v>
      </c>
      <c r="N8486" s="142">
        <v>0</v>
      </c>
      <c r="O8486" s="305">
        <v>0</v>
      </c>
      <c r="P8486" s="306">
        <v>9.0042480000000008E-2</v>
      </c>
      <c r="Q8486" s="157" t="s">
        <v>154</v>
      </c>
      <c r="R8486" s="303"/>
    </row>
    <row r="8487" spans="1:18" s="162" customFormat="1" ht="84" x14ac:dyDescent="0.25">
      <c r="A8487" s="184">
        <v>44190</v>
      </c>
      <c r="B8487" s="184">
        <v>44190</v>
      </c>
      <c r="C8487" s="138">
        <v>2020</v>
      </c>
      <c r="D8487" s="24" t="s">
        <v>141</v>
      </c>
      <c r="E8487" s="30" t="s">
        <v>142</v>
      </c>
      <c r="F8487" s="28" t="s">
        <v>157</v>
      </c>
      <c r="G8487" s="33" t="s">
        <v>158</v>
      </c>
      <c r="H8487" s="33" t="s">
        <v>11507</v>
      </c>
      <c r="I8487" s="157">
        <v>0</v>
      </c>
      <c r="J8487" s="305">
        <v>12</v>
      </c>
      <c r="K8487" s="142">
        <v>0</v>
      </c>
      <c r="L8487" s="142">
        <v>0</v>
      </c>
      <c r="M8487" s="142">
        <v>0</v>
      </c>
      <c r="N8487" s="142">
        <v>0</v>
      </c>
      <c r="O8487" s="305">
        <v>0</v>
      </c>
      <c r="P8487" s="306">
        <v>0.12482799999999999</v>
      </c>
      <c r="Q8487" s="157" t="s">
        <v>154</v>
      </c>
      <c r="R8487" s="303"/>
    </row>
    <row r="8488" spans="1:18" s="162" customFormat="1" ht="84" x14ac:dyDescent="0.25">
      <c r="A8488" s="184">
        <v>44193</v>
      </c>
      <c r="B8488" s="184">
        <v>44193</v>
      </c>
      <c r="C8488" s="138">
        <v>2020</v>
      </c>
      <c r="D8488" s="35" t="s">
        <v>28</v>
      </c>
      <c r="E8488" s="6" t="s">
        <v>149</v>
      </c>
      <c r="F8488" s="7" t="s">
        <v>60</v>
      </c>
      <c r="G8488" s="33" t="s">
        <v>1605</v>
      </c>
      <c r="H8488" s="33" t="s">
        <v>11508</v>
      </c>
      <c r="I8488" s="157">
        <v>1</v>
      </c>
      <c r="J8488" s="305">
        <v>6</v>
      </c>
      <c r="K8488" s="142">
        <v>1</v>
      </c>
      <c r="L8488" s="142">
        <v>0</v>
      </c>
      <c r="M8488" s="142">
        <v>0</v>
      </c>
      <c r="N8488" s="142">
        <v>0</v>
      </c>
      <c r="O8488" s="305">
        <v>0</v>
      </c>
      <c r="P8488" s="306">
        <v>1.2127500000000001E-3</v>
      </c>
      <c r="Q8488" s="157" t="s">
        <v>154</v>
      </c>
      <c r="R8488" s="303"/>
    </row>
    <row r="8489" spans="1:18" s="162" customFormat="1" ht="108" x14ac:dyDescent="0.25">
      <c r="A8489" s="184">
        <v>44195</v>
      </c>
      <c r="B8489" s="184">
        <v>44195</v>
      </c>
      <c r="C8489" s="138">
        <v>2020</v>
      </c>
      <c r="D8489" s="24" t="s">
        <v>141</v>
      </c>
      <c r="E8489" s="30" t="s">
        <v>142</v>
      </c>
      <c r="F8489" s="7" t="s">
        <v>56</v>
      </c>
      <c r="G8489" s="33" t="s">
        <v>495</v>
      </c>
      <c r="H8489" s="33" t="s">
        <v>11509</v>
      </c>
      <c r="I8489" s="157">
        <v>2</v>
      </c>
      <c r="J8489" s="305">
        <v>32</v>
      </c>
      <c r="K8489" s="142">
        <v>0</v>
      </c>
      <c r="L8489" s="142">
        <v>0</v>
      </c>
      <c r="M8489" s="142">
        <v>0</v>
      </c>
      <c r="N8489" s="142">
        <v>0</v>
      </c>
      <c r="O8489" s="305">
        <v>0</v>
      </c>
      <c r="P8489" s="306">
        <v>2.0469937220930232</v>
      </c>
      <c r="Q8489" s="157" t="s">
        <v>154</v>
      </c>
      <c r="R8489" s="303"/>
    </row>
    <row r="8490" spans="1:18" s="162" customFormat="1" ht="96" x14ac:dyDescent="0.25">
      <c r="A8490" s="184">
        <v>44195</v>
      </c>
      <c r="B8490" s="184">
        <v>44195</v>
      </c>
      <c r="C8490" s="138">
        <v>2020</v>
      </c>
      <c r="D8490" s="35" t="s">
        <v>28</v>
      </c>
      <c r="E8490" s="30" t="s">
        <v>133</v>
      </c>
      <c r="F8490" s="7" t="s">
        <v>62</v>
      </c>
      <c r="G8490" s="33" t="s">
        <v>11510</v>
      </c>
      <c r="H8490" s="33" t="s">
        <v>11511</v>
      </c>
      <c r="I8490" s="157">
        <v>0</v>
      </c>
      <c r="J8490" s="305">
        <v>4</v>
      </c>
      <c r="K8490" s="142">
        <v>0</v>
      </c>
      <c r="L8490" s="142">
        <v>0</v>
      </c>
      <c r="M8490" s="142">
        <v>0</v>
      </c>
      <c r="N8490" s="142">
        <v>0</v>
      </c>
      <c r="O8490" s="305">
        <v>0</v>
      </c>
      <c r="P8490" s="306">
        <v>3.0045510000000001E-2</v>
      </c>
      <c r="Q8490" s="157" t="s">
        <v>154</v>
      </c>
      <c r="R8490" s="303"/>
    </row>
    <row r="8491" spans="1:18" s="162" customFormat="1" ht="108" x14ac:dyDescent="0.25">
      <c r="A8491" s="184">
        <v>44196</v>
      </c>
      <c r="B8491" s="184">
        <v>44196</v>
      </c>
      <c r="C8491" s="138">
        <v>2020</v>
      </c>
      <c r="D8491" s="24" t="s">
        <v>141</v>
      </c>
      <c r="E8491" s="30" t="s">
        <v>142</v>
      </c>
      <c r="F8491" s="7" t="s">
        <v>80</v>
      </c>
      <c r="G8491" s="33" t="s">
        <v>1089</v>
      </c>
      <c r="H8491" s="33" t="s">
        <v>11512</v>
      </c>
      <c r="I8491" s="157">
        <v>0</v>
      </c>
      <c r="J8491" s="305">
        <v>20</v>
      </c>
      <c r="K8491" s="142">
        <v>0</v>
      </c>
      <c r="L8491" s="142">
        <v>0</v>
      </c>
      <c r="M8491" s="142">
        <v>0</v>
      </c>
      <c r="N8491" s="142">
        <v>0</v>
      </c>
      <c r="O8491" s="305">
        <v>0</v>
      </c>
      <c r="P8491" s="306">
        <v>0.66500500000000007</v>
      </c>
      <c r="Q8491" s="157" t="s">
        <v>154</v>
      </c>
      <c r="R8491" s="303"/>
    </row>
    <row r="8492" spans="1:18" s="162" customFormat="1" ht="108" x14ac:dyDescent="0.25">
      <c r="A8492" s="184">
        <v>44196</v>
      </c>
      <c r="B8492" s="184">
        <v>44197</v>
      </c>
      <c r="C8492" s="138">
        <v>2020</v>
      </c>
      <c r="D8492" s="35" t="s">
        <v>28</v>
      </c>
      <c r="E8492" s="30" t="s">
        <v>133</v>
      </c>
      <c r="F8492" s="28" t="s">
        <v>160</v>
      </c>
      <c r="G8492" s="33" t="s">
        <v>2822</v>
      </c>
      <c r="H8492" s="33" t="s">
        <v>11513</v>
      </c>
      <c r="I8492" s="157">
        <v>1</v>
      </c>
      <c r="J8492" s="305">
        <v>4</v>
      </c>
      <c r="K8492" s="142">
        <v>0</v>
      </c>
      <c r="L8492" s="142">
        <v>0</v>
      </c>
      <c r="M8492" s="142">
        <v>0</v>
      </c>
      <c r="N8492" s="142">
        <v>1</v>
      </c>
      <c r="O8492" s="305">
        <v>0</v>
      </c>
      <c r="P8492" s="306">
        <v>1.1089E-2</v>
      </c>
      <c r="Q8492" s="157" t="s">
        <v>154</v>
      </c>
      <c r="R8492" s="303"/>
    </row>
    <row r="8493" spans="1:18" s="162" customFormat="1" x14ac:dyDescent="0.25">
      <c r="A8493" s="184">
        <v>44195</v>
      </c>
      <c r="B8493" s="184">
        <v>44196</v>
      </c>
      <c r="C8493" s="138">
        <v>2020</v>
      </c>
      <c r="D8493" s="351" t="s">
        <v>23</v>
      </c>
      <c r="E8493" s="22" t="s">
        <v>42</v>
      </c>
      <c r="F8493" s="7" t="s">
        <v>49</v>
      </c>
      <c r="G8493" s="33">
        <v>13</v>
      </c>
      <c r="H8493" s="33" t="s">
        <v>11514</v>
      </c>
      <c r="I8493" s="157">
        <v>0</v>
      </c>
      <c r="J8493" s="305">
        <v>0</v>
      </c>
      <c r="K8493" s="142">
        <v>0</v>
      </c>
      <c r="L8493" s="142">
        <v>0</v>
      </c>
      <c r="M8493" s="142">
        <v>0</v>
      </c>
      <c r="N8493" s="142">
        <v>0</v>
      </c>
      <c r="O8493" s="305">
        <v>0</v>
      </c>
      <c r="P8493" s="306">
        <v>14.651238359999999</v>
      </c>
      <c r="Q8493" s="157" t="s">
        <v>186</v>
      </c>
      <c r="R8493" s="303"/>
    </row>
    <row r="8494" spans="1:18" s="162" customFormat="1" ht="24" x14ac:dyDescent="0.25">
      <c r="A8494" s="184">
        <v>44195</v>
      </c>
      <c r="B8494" s="184">
        <v>44196</v>
      </c>
      <c r="C8494" s="138">
        <v>2020</v>
      </c>
      <c r="D8494" s="351" t="s">
        <v>23</v>
      </c>
      <c r="E8494" s="22" t="s">
        <v>42</v>
      </c>
      <c r="F8494" s="7" t="s">
        <v>40</v>
      </c>
      <c r="G8494" s="33">
        <v>17</v>
      </c>
      <c r="H8494" s="33" t="s">
        <v>11515</v>
      </c>
      <c r="I8494" s="157">
        <v>0</v>
      </c>
      <c r="J8494" s="305">
        <v>0</v>
      </c>
      <c r="K8494" s="142">
        <v>0</v>
      </c>
      <c r="L8494" s="142">
        <v>0</v>
      </c>
      <c r="M8494" s="142">
        <v>0</v>
      </c>
      <c r="N8494" s="142">
        <v>0</v>
      </c>
      <c r="O8494" s="305">
        <v>0</v>
      </c>
      <c r="P8494" s="306">
        <v>26.530080999999999</v>
      </c>
      <c r="Q8494" s="157" t="s">
        <v>186</v>
      </c>
      <c r="R8494" s="303"/>
    </row>
    <row r="8495" spans="1:18" s="162" customFormat="1" x14ac:dyDescent="0.25">
      <c r="A8495" s="184">
        <v>44195</v>
      </c>
      <c r="B8495" s="184">
        <v>44196</v>
      </c>
      <c r="C8495" s="138">
        <v>2020</v>
      </c>
      <c r="D8495" s="351" t="s">
        <v>23</v>
      </c>
      <c r="E8495" s="22" t="s">
        <v>42</v>
      </c>
      <c r="F8495" s="7" t="s">
        <v>40</v>
      </c>
      <c r="G8495" s="33">
        <v>9</v>
      </c>
      <c r="H8495" s="33" t="s">
        <v>11514</v>
      </c>
      <c r="I8495" s="157">
        <v>0</v>
      </c>
      <c r="J8495" s="305">
        <v>0</v>
      </c>
      <c r="K8495" s="142">
        <v>0</v>
      </c>
      <c r="L8495" s="142">
        <v>0</v>
      </c>
      <c r="M8495" s="142">
        <v>0</v>
      </c>
      <c r="N8495" s="142">
        <v>0</v>
      </c>
      <c r="O8495" s="305">
        <v>0</v>
      </c>
      <c r="P8495" s="306">
        <v>7.2573080000000001</v>
      </c>
      <c r="Q8495" s="157" t="s">
        <v>186</v>
      </c>
      <c r="R8495" s="303"/>
    </row>
    <row r="8496" spans="1:18" s="162" customFormat="1" ht="72" x14ac:dyDescent="0.25">
      <c r="A8496" s="184">
        <v>44197</v>
      </c>
      <c r="B8496" s="184">
        <v>44197</v>
      </c>
      <c r="C8496" s="138">
        <v>2021</v>
      </c>
      <c r="D8496" s="35" t="s">
        <v>28</v>
      </c>
      <c r="E8496" s="30" t="s">
        <v>133</v>
      </c>
      <c r="F8496" s="28" t="s">
        <v>160</v>
      </c>
      <c r="G8496" s="33" t="s">
        <v>2822</v>
      </c>
      <c r="H8496" s="311" t="s">
        <v>11516</v>
      </c>
      <c r="I8496" s="157">
        <v>1</v>
      </c>
      <c r="J8496" s="305">
        <v>4</v>
      </c>
      <c r="K8496" s="142">
        <v>0</v>
      </c>
      <c r="L8496" s="142">
        <v>0</v>
      </c>
      <c r="M8496" s="142">
        <v>0</v>
      </c>
      <c r="N8496" s="142">
        <v>1</v>
      </c>
      <c r="O8496" s="142">
        <v>0</v>
      </c>
      <c r="P8496" s="306">
        <v>0</v>
      </c>
      <c r="Q8496" s="50" t="s">
        <v>9523</v>
      </c>
      <c r="R8496" s="303"/>
    </row>
    <row r="8497" spans="1:18" s="162" customFormat="1" ht="36" x14ac:dyDescent="0.25">
      <c r="A8497" s="184">
        <v>44197</v>
      </c>
      <c r="B8497" s="184">
        <v>44561</v>
      </c>
      <c r="C8497" s="138">
        <v>2021</v>
      </c>
      <c r="D8497" s="351" t="s">
        <v>23</v>
      </c>
      <c r="E8497" s="22" t="s">
        <v>42</v>
      </c>
      <c r="F8497" s="7" t="s">
        <v>30</v>
      </c>
      <c r="G8497" s="33" t="s">
        <v>1070</v>
      </c>
      <c r="H8497" s="311" t="s">
        <v>11517</v>
      </c>
      <c r="I8497" s="157">
        <v>2</v>
      </c>
      <c r="J8497" s="142">
        <v>108</v>
      </c>
      <c r="K8497" s="142">
        <v>0</v>
      </c>
      <c r="L8497" s="142">
        <v>0</v>
      </c>
      <c r="M8497" s="142">
        <v>0</v>
      </c>
      <c r="N8497" s="142">
        <v>0</v>
      </c>
      <c r="O8497" s="142">
        <v>0</v>
      </c>
      <c r="P8497" s="306">
        <v>0</v>
      </c>
      <c r="Q8497" s="35" t="s">
        <v>9333</v>
      </c>
      <c r="R8497" s="303"/>
    </row>
    <row r="8498" spans="1:18" s="162" customFormat="1" ht="48" x14ac:dyDescent="0.25">
      <c r="A8498" s="184">
        <v>44197</v>
      </c>
      <c r="B8498" s="184">
        <v>44561</v>
      </c>
      <c r="C8498" s="138">
        <v>2021</v>
      </c>
      <c r="D8498" s="35" t="s">
        <v>28</v>
      </c>
      <c r="E8498" s="14" t="s">
        <v>29</v>
      </c>
      <c r="F8498" s="7" t="s">
        <v>25</v>
      </c>
      <c r="G8498" s="33" t="s">
        <v>2109</v>
      </c>
      <c r="H8498" s="311" t="s">
        <v>11518</v>
      </c>
      <c r="I8498" s="157">
        <v>0</v>
      </c>
      <c r="J8498" s="142">
        <v>2</v>
      </c>
      <c r="K8498" s="142">
        <v>0</v>
      </c>
      <c r="L8498" s="142">
        <v>0</v>
      </c>
      <c r="M8498" s="142">
        <v>0</v>
      </c>
      <c r="N8498" s="142">
        <v>0</v>
      </c>
      <c r="O8498" s="142">
        <v>1415.6</v>
      </c>
      <c r="P8498" s="306">
        <v>2.0412002899999999</v>
      </c>
      <c r="Q8498" s="50" t="s">
        <v>2387</v>
      </c>
      <c r="R8498" s="303"/>
    </row>
    <row r="8499" spans="1:18" s="162" customFormat="1" ht="48" x14ac:dyDescent="0.25">
      <c r="A8499" s="184">
        <v>44197</v>
      </c>
      <c r="B8499" s="184">
        <v>44561</v>
      </c>
      <c r="C8499" s="138">
        <v>2021</v>
      </c>
      <c r="D8499" s="35" t="s">
        <v>28</v>
      </c>
      <c r="E8499" s="14" t="s">
        <v>29</v>
      </c>
      <c r="F8499" s="7" t="s">
        <v>30</v>
      </c>
      <c r="G8499" s="33" t="s">
        <v>2109</v>
      </c>
      <c r="H8499" s="311" t="s">
        <v>11519</v>
      </c>
      <c r="I8499" s="157">
        <v>0</v>
      </c>
      <c r="J8499" s="142">
        <v>0</v>
      </c>
      <c r="K8499" s="142">
        <v>0</v>
      </c>
      <c r="L8499" s="142">
        <v>0</v>
      </c>
      <c r="M8499" s="142">
        <v>0</v>
      </c>
      <c r="N8499" s="142">
        <v>0</v>
      </c>
      <c r="O8499" s="142">
        <v>19500.509999999998</v>
      </c>
      <c r="P8499" s="306">
        <v>27.232072204799998</v>
      </c>
      <c r="Q8499" s="50" t="s">
        <v>3556</v>
      </c>
      <c r="R8499" s="303"/>
    </row>
    <row r="8500" spans="1:18" s="162" customFormat="1" ht="36" x14ac:dyDescent="0.25">
      <c r="A8500" s="184">
        <v>44197</v>
      </c>
      <c r="B8500" s="184">
        <v>44561</v>
      </c>
      <c r="C8500" s="138">
        <v>2021</v>
      </c>
      <c r="D8500" s="35" t="s">
        <v>28</v>
      </c>
      <c r="E8500" s="14" t="s">
        <v>29</v>
      </c>
      <c r="F8500" s="7" t="s">
        <v>33</v>
      </c>
      <c r="G8500" s="33" t="s">
        <v>2109</v>
      </c>
      <c r="H8500" s="311" t="s">
        <v>11520</v>
      </c>
      <c r="I8500" s="157">
        <v>0</v>
      </c>
      <c r="J8500" s="142">
        <v>0</v>
      </c>
      <c r="K8500" s="142">
        <v>0</v>
      </c>
      <c r="L8500" s="142">
        <v>0</v>
      </c>
      <c r="M8500" s="142">
        <v>0</v>
      </c>
      <c r="N8500" s="142">
        <v>0</v>
      </c>
      <c r="O8500" s="142">
        <v>10.47</v>
      </c>
      <c r="P8500" s="306">
        <v>1.4621145600000001E-2</v>
      </c>
      <c r="Q8500" s="50" t="s">
        <v>3556</v>
      </c>
      <c r="R8500" s="303"/>
    </row>
    <row r="8501" spans="1:18" s="162" customFormat="1" ht="24" x14ac:dyDescent="0.25">
      <c r="A8501" s="184">
        <v>44197</v>
      </c>
      <c r="B8501" s="184">
        <v>44561</v>
      </c>
      <c r="C8501" s="138">
        <v>2021</v>
      </c>
      <c r="D8501" s="351" t="s">
        <v>23</v>
      </c>
      <c r="E8501" s="22" t="s">
        <v>42</v>
      </c>
      <c r="F8501" s="7" t="s">
        <v>60</v>
      </c>
      <c r="G8501" s="33" t="s">
        <v>26</v>
      </c>
      <c r="H8501" s="311" t="s">
        <v>11521</v>
      </c>
      <c r="I8501" s="157">
        <v>1</v>
      </c>
      <c r="J8501" s="142">
        <v>1</v>
      </c>
      <c r="K8501" s="142">
        <v>0</v>
      </c>
      <c r="L8501" s="142">
        <v>0</v>
      </c>
      <c r="M8501" s="142">
        <v>0</v>
      </c>
      <c r="N8501" s="142">
        <v>0</v>
      </c>
      <c r="O8501" s="142">
        <v>2029.03</v>
      </c>
      <c r="P8501" s="306">
        <v>0</v>
      </c>
      <c r="Q8501" s="35" t="s">
        <v>9333</v>
      </c>
      <c r="R8501" s="303"/>
    </row>
    <row r="8502" spans="1:18" s="162" customFormat="1" ht="72" x14ac:dyDescent="0.25">
      <c r="A8502" s="184">
        <v>44197</v>
      </c>
      <c r="B8502" s="184">
        <v>44561</v>
      </c>
      <c r="C8502" s="138">
        <v>2021</v>
      </c>
      <c r="D8502" s="35" t="s">
        <v>28</v>
      </c>
      <c r="E8502" s="14" t="s">
        <v>29</v>
      </c>
      <c r="F8502" s="28" t="s">
        <v>151</v>
      </c>
      <c r="G8502" s="33" t="s">
        <v>2109</v>
      </c>
      <c r="H8502" s="311" t="s">
        <v>11522</v>
      </c>
      <c r="I8502" s="157">
        <v>0</v>
      </c>
      <c r="J8502" s="142">
        <v>0</v>
      </c>
      <c r="K8502" s="142">
        <v>0</v>
      </c>
      <c r="L8502" s="142">
        <v>0</v>
      </c>
      <c r="M8502" s="142">
        <v>0</v>
      </c>
      <c r="N8502" s="142">
        <v>0</v>
      </c>
      <c r="O8502" s="142">
        <v>47682.38</v>
      </c>
      <c r="P8502" s="306">
        <v>2.8334998144000001</v>
      </c>
      <c r="Q8502" s="50" t="s">
        <v>3556</v>
      </c>
      <c r="R8502" s="303"/>
    </row>
    <row r="8503" spans="1:18" s="162" customFormat="1" ht="60" x14ac:dyDescent="0.25">
      <c r="A8503" s="184">
        <v>44197</v>
      </c>
      <c r="B8503" s="184">
        <v>44561</v>
      </c>
      <c r="C8503" s="138">
        <v>2021</v>
      </c>
      <c r="D8503" s="35" t="s">
        <v>28</v>
      </c>
      <c r="E8503" s="14" t="s">
        <v>29</v>
      </c>
      <c r="F8503" s="7" t="s">
        <v>36</v>
      </c>
      <c r="G8503" s="33" t="s">
        <v>2109</v>
      </c>
      <c r="H8503" s="311" t="s">
        <v>11523</v>
      </c>
      <c r="I8503" s="157">
        <v>0</v>
      </c>
      <c r="J8503" s="142">
        <v>0</v>
      </c>
      <c r="K8503" s="142">
        <v>0</v>
      </c>
      <c r="L8503" s="142">
        <v>0</v>
      </c>
      <c r="M8503" s="142">
        <v>0</v>
      </c>
      <c r="N8503" s="142">
        <v>0</v>
      </c>
      <c r="O8503" s="142">
        <v>89524.81</v>
      </c>
      <c r="P8503" s="306">
        <v>66.587490022400004</v>
      </c>
      <c r="Q8503" s="50" t="s">
        <v>3556</v>
      </c>
      <c r="R8503" s="303"/>
    </row>
    <row r="8504" spans="1:18" s="162" customFormat="1" ht="48" x14ac:dyDescent="0.25">
      <c r="A8504" s="184">
        <v>44197</v>
      </c>
      <c r="B8504" s="184">
        <v>44561</v>
      </c>
      <c r="C8504" s="138">
        <v>2021</v>
      </c>
      <c r="D8504" s="35" t="s">
        <v>28</v>
      </c>
      <c r="E8504" s="14" t="s">
        <v>29</v>
      </c>
      <c r="F8504" s="7" t="s">
        <v>40</v>
      </c>
      <c r="G8504" s="33" t="s">
        <v>2109</v>
      </c>
      <c r="H8504" s="311" t="s">
        <v>11518</v>
      </c>
      <c r="I8504" s="157">
        <v>0</v>
      </c>
      <c r="J8504" s="142">
        <v>0</v>
      </c>
      <c r="K8504" s="142">
        <v>0</v>
      </c>
      <c r="L8504" s="142">
        <v>0</v>
      </c>
      <c r="M8504" s="142">
        <v>0</v>
      </c>
      <c r="N8504" s="142">
        <v>0</v>
      </c>
      <c r="O8504" s="142">
        <v>4146.42</v>
      </c>
      <c r="P8504" s="306">
        <v>125.01960666879999</v>
      </c>
      <c r="Q8504" s="50" t="s">
        <v>3556</v>
      </c>
      <c r="R8504" s="303"/>
    </row>
    <row r="8505" spans="1:18" s="162" customFormat="1" ht="48" x14ac:dyDescent="0.25">
      <c r="A8505" s="184">
        <v>44197</v>
      </c>
      <c r="B8505" s="184">
        <v>44561</v>
      </c>
      <c r="C8505" s="138">
        <v>2021</v>
      </c>
      <c r="D8505" s="35" t="s">
        <v>28</v>
      </c>
      <c r="E8505" s="14" t="s">
        <v>29</v>
      </c>
      <c r="F8505" s="28" t="s">
        <v>157</v>
      </c>
      <c r="G8505" s="33" t="s">
        <v>2109</v>
      </c>
      <c r="H8505" s="311" t="s">
        <v>11524</v>
      </c>
      <c r="I8505" s="157">
        <v>0</v>
      </c>
      <c r="J8505" s="142">
        <v>330</v>
      </c>
      <c r="K8505" s="142">
        <v>0</v>
      </c>
      <c r="L8505" s="142">
        <v>0</v>
      </c>
      <c r="M8505" s="142">
        <v>0</v>
      </c>
      <c r="N8505" s="142">
        <v>0</v>
      </c>
      <c r="O8505" s="142">
        <v>7553.45</v>
      </c>
      <c r="P8505" s="306">
        <v>5.7903926016000007</v>
      </c>
      <c r="Q8505" s="50" t="s">
        <v>3556</v>
      </c>
      <c r="R8505" s="303"/>
    </row>
    <row r="8506" spans="1:18" s="162" customFormat="1" ht="36" x14ac:dyDescent="0.25">
      <c r="A8506" s="184">
        <v>44197</v>
      </c>
      <c r="B8506" s="184">
        <v>44561</v>
      </c>
      <c r="C8506" s="138">
        <v>2021</v>
      </c>
      <c r="D8506" s="35" t="s">
        <v>28</v>
      </c>
      <c r="E8506" s="14" t="s">
        <v>29</v>
      </c>
      <c r="F8506" s="7" t="s">
        <v>45</v>
      </c>
      <c r="G8506" s="33" t="s">
        <v>2109</v>
      </c>
      <c r="H8506" s="311" t="s">
        <v>11525</v>
      </c>
      <c r="I8506" s="157">
        <v>0</v>
      </c>
      <c r="J8506" s="142">
        <v>21</v>
      </c>
      <c r="K8506" s="142">
        <v>0</v>
      </c>
      <c r="L8506" s="142">
        <v>0</v>
      </c>
      <c r="M8506" s="142">
        <v>0</v>
      </c>
      <c r="N8506" s="142">
        <v>0</v>
      </c>
      <c r="O8506" s="142">
        <v>2357.39</v>
      </c>
      <c r="P8506" s="306">
        <v>11.395222086</v>
      </c>
      <c r="Q8506" s="50" t="s">
        <v>11526</v>
      </c>
      <c r="R8506" s="303"/>
    </row>
    <row r="8507" spans="1:18" s="162" customFormat="1" ht="36" x14ac:dyDescent="0.25">
      <c r="A8507" s="184">
        <v>44197</v>
      </c>
      <c r="B8507" s="184">
        <v>44561</v>
      </c>
      <c r="C8507" s="138">
        <v>2021</v>
      </c>
      <c r="D8507" s="35" t="s">
        <v>28</v>
      </c>
      <c r="E8507" s="14" t="s">
        <v>29</v>
      </c>
      <c r="F8507" s="7" t="s">
        <v>47</v>
      </c>
      <c r="G8507" s="33" t="s">
        <v>2109</v>
      </c>
      <c r="H8507" s="311" t="s">
        <v>11527</v>
      </c>
      <c r="I8507" s="157">
        <v>0</v>
      </c>
      <c r="J8507" s="142">
        <v>0</v>
      </c>
      <c r="K8507" s="142">
        <v>0</v>
      </c>
      <c r="L8507" s="142">
        <v>0</v>
      </c>
      <c r="M8507" s="142">
        <v>0</v>
      </c>
      <c r="N8507" s="142">
        <v>0</v>
      </c>
      <c r="O8507" s="142">
        <v>75924.850000000006</v>
      </c>
      <c r="P8507" s="306">
        <v>3.2920479871999997</v>
      </c>
      <c r="Q8507" s="50" t="s">
        <v>3556</v>
      </c>
      <c r="R8507" s="303"/>
    </row>
    <row r="8508" spans="1:18" s="162" customFormat="1" ht="48" x14ac:dyDescent="0.25">
      <c r="A8508" s="184">
        <v>44197</v>
      </c>
      <c r="B8508" s="184">
        <v>44561</v>
      </c>
      <c r="C8508" s="138">
        <v>2021</v>
      </c>
      <c r="D8508" s="35" t="s">
        <v>28</v>
      </c>
      <c r="E8508" s="14" t="s">
        <v>29</v>
      </c>
      <c r="F8508" s="7" t="s">
        <v>49</v>
      </c>
      <c r="G8508" s="33" t="s">
        <v>2109</v>
      </c>
      <c r="H8508" s="311" t="s">
        <v>11528</v>
      </c>
      <c r="I8508" s="157">
        <v>0</v>
      </c>
      <c r="J8508" s="142">
        <v>1441</v>
      </c>
      <c r="K8508" s="142">
        <v>0</v>
      </c>
      <c r="L8508" s="142">
        <v>0</v>
      </c>
      <c r="M8508" s="142">
        <v>0</v>
      </c>
      <c r="N8508" s="142">
        <v>0</v>
      </c>
      <c r="O8508" s="142">
        <v>3885.91</v>
      </c>
      <c r="P8508" s="306">
        <v>106.02753452800002</v>
      </c>
      <c r="Q8508" s="50" t="s">
        <v>3556</v>
      </c>
      <c r="R8508" s="303"/>
    </row>
    <row r="8509" spans="1:18" s="162" customFormat="1" ht="48" x14ac:dyDescent="0.25">
      <c r="A8509" s="184">
        <v>44197</v>
      </c>
      <c r="B8509" s="184">
        <v>44561</v>
      </c>
      <c r="C8509" s="138">
        <v>2021</v>
      </c>
      <c r="D8509" s="35" t="s">
        <v>28</v>
      </c>
      <c r="E8509" s="14" t="s">
        <v>29</v>
      </c>
      <c r="F8509" s="7" t="s">
        <v>56</v>
      </c>
      <c r="G8509" s="33" t="s">
        <v>2109</v>
      </c>
      <c r="H8509" s="311" t="s">
        <v>11528</v>
      </c>
      <c r="I8509" s="157">
        <v>0</v>
      </c>
      <c r="J8509" s="142">
        <v>0</v>
      </c>
      <c r="K8509" s="142">
        <v>0</v>
      </c>
      <c r="L8509" s="142">
        <v>0</v>
      </c>
      <c r="M8509" s="142">
        <v>0</v>
      </c>
      <c r="N8509" s="142">
        <v>0</v>
      </c>
      <c r="O8509" s="142">
        <v>82322.95</v>
      </c>
      <c r="P8509" s="306">
        <v>5.4265955967999995</v>
      </c>
      <c r="Q8509" s="50" t="s">
        <v>2387</v>
      </c>
      <c r="R8509" s="303"/>
    </row>
    <row r="8510" spans="1:18" s="162" customFormat="1" ht="48" x14ac:dyDescent="0.25">
      <c r="A8510" s="184">
        <v>44197</v>
      </c>
      <c r="B8510" s="184">
        <v>44561</v>
      </c>
      <c r="C8510" s="138">
        <v>2021</v>
      </c>
      <c r="D8510" s="35" t="s">
        <v>28</v>
      </c>
      <c r="E8510" s="14" t="s">
        <v>29</v>
      </c>
      <c r="F8510" s="7" t="s">
        <v>58</v>
      </c>
      <c r="G8510" s="33" t="s">
        <v>2109</v>
      </c>
      <c r="H8510" s="311" t="s">
        <v>11529</v>
      </c>
      <c r="I8510" s="157">
        <v>0</v>
      </c>
      <c r="J8510" s="142">
        <v>0</v>
      </c>
      <c r="K8510" s="142">
        <v>0</v>
      </c>
      <c r="L8510" s="142">
        <v>0</v>
      </c>
      <c r="M8510" s="142">
        <v>0</v>
      </c>
      <c r="N8510" s="142">
        <v>0</v>
      </c>
      <c r="O8510" s="142">
        <v>1347.64</v>
      </c>
      <c r="P8510" s="306">
        <v>114.962353216</v>
      </c>
      <c r="Q8510" s="50" t="s">
        <v>3556</v>
      </c>
      <c r="R8510" s="303"/>
    </row>
    <row r="8511" spans="1:18" s="162" customFormat="1" ht="36" x14ac:dyDescent="0.25">
      <c r="A8511" s="184">
        <v>44197</v>
      </c>
      <c r="B8511" s="184">
        <v>44561</v>
      </c>
      <c r="C8511" s="138">
        <v>2021</v>
      </c>
      <c r="D8511" s="35" t="s">
        <v>28</v>
      </c>
      <c r="E8511" s="14" t="s">
        <v>29</v>
      </c>
      <c r="F8511" s="28" t="s">
        <v>160</v>
      </c>
      <c r="G8511" s="33" t="s">
        <v>2109</v>
      </c>
      <c r="H8511" s="33" t="s">
        <v>11530</v>
      </c>
      <c r="I8511" s="157">
        <v>0</v>
      </c>
      <c r="J8511" s="142">
        <v>200</v>
      </c>
      <c r="K8511" s="142">
        <v>0</v>
      </c>
      <c r="L8511" s="142">
        <v>0</v>
      </c>
      <c r="M8511" s="142">
        <v>0</v>
      </c>
      <c r="N8511" s="142">
        <v>0</v>
      </c>
      <c r="O8511" s="142">
        <v>76490.37</v>
      </c>
      <c r="P8511" s="306">
        <v>1.8819523072000002</v>
      </c>
      <c r="Q8511" s="50" t="s">
        <v>3556</v>
      </c>
      <c r="R8511" s="303"/>
    </row>
    <row r="8512" spans="1:18" s="162" customFormat="1" ht="48" x14ac:dyDescent="0.25">
      <c r="A8512" s="184">
        <v>44197</v>
      </c>
      <c r="B8512" s="184">
        <v>44561</v>
      </c>
      <c r="C8512" s="138">
        <v>2021</v>
      </c>
      <c r="D8512" s="35" t="s">
        <v>28</v>
      </c>
      <c r="E8512" s="14" t="s">
        <v>29</v>
      </c>
      <c r="F8512" s="7" t="s">
        <v>60</v>
      </c>
      <c r="G8512" s="33" t="s">
        <v>2109</v>
      </c>
      <c r="H8512" s="33" t="s">
        <v>11531</v>
      </c>
      <c r="I8512" s="157">
        <v>0</v>
      </c>
      <c r="J8512" s="142">
        <v>7</v>
      </c>
      <c r="K8512" s="142">
        <v>0</v>
      </c>
      <c r="L8512" s="142">
        <v>0</v>
      </c>
      <c r="M8512" s="142">
        <v>0</v>
      </c>
      <c r="N8512" s="142">
        <v>0</v>
      </c>
      <c r="O8512" s="142">
        <v>17579.54</v>
      </c>
      <c r="P8512" s="306">
        <v>107.5222525036</v>
      </c>
      <c r="Q8512" s="50" t="s">
        <v>3556</v>
      </c>
      <c r="R8512" s="303"/>
    </row>
    <row r="8513" spans="1:18" s="162" customFormat="1" ht="48" x14ac:dyDescent="0.25">
      <c r="A8513" s="184">
        <v>44197</v>
      </c>
      <c r="B8513" s="184">
        <v>44561</v>
      </c>
      <c r="C8513" s="138">
        <v>2021</v>
      </c>
      <c r="D8513" s="35" t="s">
        <v>28</v>
      </c>
      <c r="E8513" s="14" t="s">
        <v>29</v>
      </c>
      <c r="F8513" s="7" t="s">
        <v>53</v>
      </c>
      <c r="G8513" s="33" t="s">
        <v>2109</v>
      </c>
      <c r="H8513" s="33" t="s">
        <v>11532</v>
      </c>
      <c r="I8513" s="157">
        <v>0</v>
      </c>
      <c r="J8513" s="142">
        <v>16</v>
      </c>
      <c r="K8513" s="142">
        <v>0</v>
      </c>
      <c r="L8513" s="142">
        <v>0</v>
      </c>
      <c r="M8513" s="142">
        <v>0</v>
      </c>
      <c r="N8513" s="142">
        <v>0</v>
      </c>
      <c r="O8513" s="142">
        <v>34107.4</v>
      </c>
      <c r="P8513" s="306">
        <v>24.5494760192</v>
      </c>
      <c r="Q8513" s="50" t="s">
        <v>3556</v>
      </c>
      <c r="R8513" s="303"/>
    </row>
    <row r="8514" spans="1:18" s="162" customFormat="1" ht="48" x14ac:dyDescent="0.25">
      <c r="A8514" s="184">
        <v>44197</v>
      </c>
      <c r="B8514" s="184">
        <v>44561</v>
      </c>
      <c r="C8514" s="138">
        <v>2021</v>
      </c>
      <c r="D8514" s="35" t="s">
        <v>28</v>
      </c>
      <c r="E8514" s="14" t="s">
        <v>29</v>
      </c>
      <c r="F8514" s="7" t="s">
        <v>62</v>
      </c>
      <c r="G8514" s="33" t="s">
        <v>2109</v>
      </c>
      <c r="H8514" s="311" t="s">
        <v>11533</v>
      </c>
      <c r="I8514" s="157">
        <v>0</v>
      </c>
      <c r="J8514" s="142">
        <v>0</v>
      </c>
      <c r="K8514" s="142">
        <v>0</v>
      </c>
      <c r="L8514" s="142">
        <v>0</v>
      </c>
      <c r="M8514" s="142">
        <v>0</v>
      </c>
      <c r="N8514" s="142">
        <v>0</v>
      </c>
      <c r="O8514" s="142">
        <v>5014.93</v>
      </c>
      <c r="P8514" s="306">
        <v>47.630301951999996</v>
      </c>
      <c r="Q8514" s="50" t="s">
        <v>3556</v>
      </c>
      <c r="R8514" s="303"/>
    </row>
    <row r="8515" spans="1:18" s="162" customFormat="1" ht="48" x14ac:dyDescent="0.25">
      <c r="A8515" s="184">
        <v>44197</v>
      </c>
      <c r="B8515" s="184">
        <v>44561</v>
      </c>
      <c r="C8515" s="138">
        <v>2021</v>
      </c>
      <c r="D8515" s="35" t="s">
        <v>28</v>
      </c>
      <c r="E8515" s="14" t="s">
        <v>29</v>
      </c>
      <c r="F8515" s="7" t="s">
        <v>65</v>
      </c>
      <c r="G8515" s="33" t="s">
        <v>2109</v>
      </c>
      <c r="H8515" s="311" t="s">
        <v>11534</v>
      </c>
      <c r="I8515" s="157">
        <v>0</v>
      </c>
      <c r="J8515" s="142">
        <v>0</v>
      </c>
      <c r="K8515" s="142">
        <v>0</v>
      </c>
      <c r="L8515" s="142">
        <v>0</v>
      </c>
      <c r="M8515" s="142">
        <v>0</v>
      </c>
      <c r="N8515" s="142">
        <v>0</v>
      </c>
      <c r="O8515" s="142">
        <v>36843.47</v>
      </c>
      <c r="P8515" s="306">
        <v>7.0032494464000008</v>
      </c>
      <c r="Q8515" s="50" t="s">
        <v>3556</v>
      </c>
      <c r="R8515" s="303"/>
    </row>
    <row r="8516" spans="1:18" s="162" customFormat="1" ht="48" x14ac:dyDescent="0.25">
      <c r="A8516" s="184">
        <v>44197</v>
      </c>
      <c r="B8516" s="184">
        <v>44561</v>
      </c>
      <c r="C8516" s="138">
        <v>2021</v>
      </c>
      <c r="D8516" s="35" t="s">
        <v>28</v>
      </c>
      <c r="E8516" s="14" t="s">
        <v>29</v>
      </c>
      <c r="F8516" s="7" t="s">
        <v>67</v>
      </c>
      <c r="G8516" s="33" t="s">
        <v>2109</v>
      </c>
      <c r="H8516" s="311" t="s">
        <v>11535</v>
      </c>
      <c r="I8516" s="157">
        <v>1</v>
      </c>
      <c r="J8516" s="142">
        <v>1</v>
      </c>
      <c r="K8516" s="142">
        <v>0</v>
      </c>
      <c r="L8516" s="142">
        <v>0</v>
      </c>
      <c r="M8516" s="142">
        <v>0</v>
      </c>
      <c r="N8516" s="142">
        <v>0</v>
      </c>
      <c r="O8516" s="142">
        <v>32793.980000000003</v>
      </c>
      <c r="P8516" s="306">
        <v>51.451168985599999</v>
      </c>
      <c r="Q8516" s="50" t="s">
        <v>3556</v>
      </c>
      <c r="R8516" s="303"/>
    </row>
    <row r="8517" spans="1:18" s="162" customFormat="1" ht="168" x14ac:dyDescent="0.25">
      <c r="A8517" s="184">
        <v>44197</v>
      </c>
      <c r="B8517" s="184">
        <v>44561</v>
      </c>
      <c r="C8517" s="138">
        <v>2021</v>
      </c>
      <c r="D8517" s="35" t="s">
        <v>28</v>
      </c>
      <c r="E8517" s="14" t="s">
        <v>29</v>
      </c>
      <c r="F8517" s="7" t="s">
        <v>68</v>
      </c>
      <c r="G8517" s="33" t="s">
        <v>2109</v>
      </c>
      <c r="H8517" s="311" t="s">
        <v>11536</v>
      </c>
      <c r="I8517" s="157">
        <v>0</v>
      </c>
      <c r="J8517" s="142">
        <v>1100</v>
      </c>
      <c r="K8517" s="142">
        <v>100</v>
      </c>
      <c r="L8517" s="142">
        <v>1</v>
      </c>
      <c r="M8517" s="142">
        <v>1</v>
      </c>
      <c r="N8517" s="142">
        <v>0</v>
      </c>
      <c r="O8517" s="142">
        <v>31749.38</v>
      </c>
      <c r="P8517" s="306">
        <v>77.355999845400007</v>
      </c>
      <c r="Q8517" s="50" t="s">
        <v>11537</v>
      </c>
      <c r="R8517" s="303"/>
    </row>
    <row r="8518" spans="1:18" s="162" customFormat="1" ht="48" x14ac:dyDescent="0.25">
      <c r="A8518" s="184">
        <v>44197</v>
      </c>
      <c r="B8518" s="184">
        <v>44561</v>
      </c>
      <c r="C8518" s="138">
        <v>2021</v>
      </c>
      <c r="D8518" s="35" t="s">
        <v>28</v>
      </c>
      <c r="E8518" s="14" t="s">
        <v>29</v>
      </c>
      <c r="F8518" s="7" t="s">
        <v>72</v>
      </c>
      <c r="G8518" s="33" t="s">
        <v>2109</v>
      </c>
      <c r="H8518" s="311" t="s">
        <v>11538</v>
      </c>
      <c r="I8518" s="157">
        <v>0</v>
      </c>
      <c r="J8518" s="142">
        <v>50</v>
      </c>
      <c r="K8518" s="142">
        <v>10</v>
      </c>
      <c r="L8518" s="142">
        <v>0</v>
      </c>
      <c r="M8518" s="142">
        <v>0</v>
      </c>
      <c r="N8518" s="142">
        <v>0</v>
      </c>
      <c r="O8518" s="142">
        <v>8002.36</v>
      </c>
      <c r="P8518" s="306">
        <v>96.693632182400023</v>
      </c>
      <c r="Q8518" s="50" t="s">
        <v>11526</v>
      </c>
      <c r="R8518" s="303"/>
    </row>
    <row r="8519" spans="1:18" s="162" customFormat="1" ht="48" x14ac:dyDescent="0.25">
      <c r="A8519" s="184">
        <v>44197</v>
      </c>
      <c r="B8519" s="184">
        <v>44561</v>
      </c>
      <c r="C8519" s="138">
        <v>2021</v>
      </c>
      <c r="D8519" s="35" t="s">
        <v>28</v>
      </c>
      <c r="E8519" s="14" t="s">
        <v>29</v>
      </c>
      <c r="F8519" s="7" t="s">
        <v>75</v>
      </c>
      <c r="G8519" s="33" t="s">
        <v>2109</v>
      </c>
      <c r="H8519" s="311" t="s">
        <v>11539</v>
      </c>
      <c r="I8519" s="157">
        <v>0</v>
      </c>
      <c r="J8519" s="142">
        <v>0</v>
      </c>
      <c r="K8519" s="142">
        <v>0</v>
      </c>
      <c r="L8519" s="142">
        <v>0</v>
      </c>
      <c r="M8519" s="142">
        <v>0</v>
      </c>
      <c r="N8519" s="142">
        <v>0</v>
      </c>
      <c r="O8519" s="142">
        <v>2165.0100000000002</v>
      </c>
      <c r="P8519" s="306">
        <v>11.1751356928</v>
      </c>
      <c r="Q8519" s="50" t="s">
        <v>2387</v>
      </c>
      <c r="R8519" s="303"/>
    </row>
    <row r="8520" spans="1:18" s="162" customFormat="1" ht="36" x14ac:dyDescent="0.25">
      <c r="A8520" s="184">
        <v>44197</v>
      </c>
      <c r="B8520" s="184">
        <v>44561</v>
      </c>
      <c r="C8520" s="138">
        <v>2021</v>
      </c>
      <c r="D8520" s="35" t="s">
        <v>28</v>
      </c>
      <c r="E8520" s="14" t="s">
        <v>29</v>
      </c>
      <c r="F8520" s="7" t="s">
        <v>77</v>
      </c>
      <c r="G8520" s="33" t="s">
        <v>2109</v>
      </c>
      <c r="H8520" s="311" t="s">
        <v>11540</v>
      </c>
      <c r="I8520" s="157">
        <v>0</v>
      </c>
      <c r="J8520" s="142">
        <v>0</v>
      </c>
      <c r="K8520" s="142">
        <v>0</v>
      </c>
      <c r="L8520" s="142">
        <v>0</v>
      </c>
      <c r="M8520" s="142">
        <v>0</v>
      </c>
      <c r="N8520" s="142">
        <v>0</v>
      </c>
      <c r="O8520" s="142">
        <v>1878.61</v>
      </c>
      <c r="P8520" s="306">
        <v>3.0233931648000003</v>
      </c>
      <c r="Q8520" s="50" t="s">
        <v>3556</v>
      </c>
      <c r="R8520" s="303"/>
    </row>
    <row r="8521" spans="1:18" s="162" customFormat="1" ht="36" x14ac:dyDescent="0.25">
      <c r="A8521" s="184">
        <v>44197</v>
      </c>
      <c r="B8521" s="184">
        <v>44561</v>
      </c>
      <c r="C8521" s="138">
        <v>2021</v>
      </c>
      <c r="D8521" s="35" t="s">
        <v>28</v>
      </c>
      <c r="E8521" s="14" t="s">
        <v>29</v>
      </c>
      <c r="F8521" s="7" t="s">
        <v>80</v>
      </c>
      <c r="G8521" s="33" t="s">
        <v>2109</v>
      </c>
      <c r="H8521" s="311" t="s">
        <v>11541</v>
      </c>
      <c r="I8521" s="157">
        <v>0</v>
      </c>
      <c r="J8521" s="142">
        <v>0</v>
      </c>
      <c r="K8521" s="142">
        <v>0</v>
      </c>
      <c r="L8521" s="142">
        <v>0</v>
      </c>
      <c r="M8521" s="142">
        <v>0</v>
      </c>
      <c r="N8521" s="142">
        <v>0</v>
      </c>
      <c r="O8521" s="142">
        <v>11322.05</v>
      </c>
      <c r="P8521" s="306">
        <v>2.6234412927999999</v>
      </c>
      <c r="Q8521" s="50" t="s">
        <v>3556</v>
      </c>
      <c r="R8521" s="303"/>
    </row>
    <row r="8522" spans="1:18" s="162" customFormat="1" ht="168" x14ac:dyDescent="0.25">
      <c r="A8522" s="184">
        <v>44197</v>
      </c>
      <c r="B8522" s="184">
        <v>44561</v>
      </c>
      <c r="C8522" s="138">
        <v>2021</v>
      </c>
      <c r="D8522" s="35" t="s">
        <v>28</v>
      </c>
      <c r="E8522" s="14" t="s">
        <v>29</v>
      </c>
      <c r="F8522" s="7" t="s">
        <v>82</v>
      </c>
      <c r="G8522" s="33" t="s">
        <v>2109</v>
      </c>
      <c r="H8522" s="311" t="s">
        <v>11542</v>
      </c>
      <c r="I8522" s="157">
        <v>0</v>
      </c>
      <c r="J8522" s="142">
        <v>50</v>
      </c>
      <c r="K8522" s="142">
        <v>0</v>
      </c>
      <c r="L8522" s="142">
        <v>0</v>
      </c>
      <c r="M8522" s="142">
        <v>0</v>
      </c>
      <c r="N8522" s="142">
        <v>0</v>
      </c>
      <c r="O8522" s="142">
        <v>2784.55</v>
      </c>
      <c r="P8522" s="306">
        <v>15.811016384</v>
      </c>
      <c r="Q8522" s="50" t="s">
        <v>3556</v>
      </c>
      <c r="R8522" s="303"/>
    </row>
    <row r="8523" spans="1:18" s="162" customFormat="1" ht="36" x14ac:dyDescent="0.25">
      <c r="A8523" s="184">
        <v>44197</v>
      </c>
      <c r="B8523" s="184">
        <v>44561</v>
      </c>
      <c r="C8523" s="138">
        <v>2021</v>
      </c>
      <c r="D8523" s="35" t="s">
        <v>28</v>
      </c>
      <c r="E8523" s="14" t="s">
        <v>29</v>
      </c>
      <c r="F8523" s="7" t="s">
        <v>84</v>
      </c>
      <c r="G8523" s="33" t="s">
        <v>2109</v>
      </c>
      <c r="H8523" s="311" t="s">
        <v>11543</v>
      </c>
      <c r="I8523" s="157">
        <v>0</v>
      </c>
      <c r="J8523" s="142">
        <v>0</v>
      </c>
      <c r="K8523" s="142">
        <v>0</v>
      </c>
      <c r="L8523" s="142">
        <v>0</v>
      </c>
      <c r="M8523" s="142">
        <v>0</v>
      </c>
      <c r="N8523" s="142">
        <v>0</v>
      </c>
      <c r="O8523" s="142">
        <v>20186.25</v>
      </c>
      <c r="P8523" s="306">
        <v>3.888568384</v>
      </c>
      <c r="Q8523" s="50" t="s">
        <v>3556</v>
      </c>
      <c r="R8523" s="303"/>
    </row>
    <row r="8524" spans="1:18" s="162" customFormat="1" ht="48" x14ac:dyDescent="0.25">
      <c r="A8524" s="184">
        <v>44197</v>
      </c>
      <c r="B8524" s="184">
        <v>44561</v>
      </c>
      <c r="C8524" s="138">
        <v>2021</v>
      </c>
      <c r="D8524" s="35" t="s">
        <v>28</v>
      </c>
      <c r="E8524" s="14" t="s">
        <v>29</v>
      </c>
      <c r="F8524" s="7" t="s">
        <v>87</v>
      </c>
      <c r="G8524" s="33" t="s">
        <v>2109</v>
      </c>
      <c r="H8524" s="311" t="s">
        <v>11544</v>
      </c>
      <c r="I8524" s="157">
        <v>0</v>
      </c>
      <c r="J8524" s="142">
        <v>0</v>
      </c>
      <c r="K8524" s="142">
        <v>0</v>
      </c>
      <c r="L8524" s="142">
        <v>0</v>
      </c>
      <c r="M8524" s="142">
        <v>0</v>
      </c>
      <c r="N8524" s="142">
        <v>0</v>
      </c>
      <c r="O8524" s="142">
        <v>12608.05</v>
      </c>
      <c r="P8524" s="306">
        <v>28.189694399999997</v>
      </c>
      <c r="Q8524" s="50" t="s">
        <v>3556</v>
      </c>
      <c r="R8524" s="303"/>
    </row>
    <row r="8525" spans="1:18" s="162" customFormat="1" ht="36" x14ac:dyDescent="0.25">
      <c r="A8525" s="184">
        <v>44197</v>
      </c>
      <c r="B8525" s="184">
        <v>44561</v>
      </c>
      <c r="C8525" s="138">
        <v>2021</v>
      </c>
      <c r="D8525" s="35" t="s">
        <v>28</v>
      </c>
      <c r="E8525" s="14" t="s">
        <v>29</v>
      </c>
      <c r="F8525" s="25" t="s">
        <v>781</v>
      </c>
      <c r="G8525" s="33" t="s">
        <v>2109</v>
      </c>
      <c r="H8525" s="311" t="s">
        <v>11545</v>
      </c>
      <c r="I8525" s="157">
        <v>0</v>
      </c>
      <c r="J8525" s="142">
        <v>0</v>
      </c>
      <c r="K8525" s="142">
        <v>0</v>
      </c>
      <c r="L8525" s="142">
        <v>0</v>
      </c>
      <c r="M8525" s="142">
        <v>0</v>
      </c>
      <c r="N8525" s="142">
        <v>0</v>
      </c>
      <c r="O8525" s="142">
        <v>13432.5</v>
      </c>
      <c r="P8525" s="306">
        <v>17.606889664000001</v>
      </c>
      <c r="Q8525" s="50" t="s">
        <v>3556</v>
      </c>
      <c r="R8525" s="303"/>
    </row>
    <row r="8526" spans="1:18" s="162" customFormat="1" ht="48" x14ac:dyDescent="0.25">
      <c r="A8526" s="184">
        <v>44197</v>
      </c>
      <c r="B8526" s="184">
        <v>44561</v>
      </c>
      <c r="C8526" s="138">
        <v>2021</v>
      </c>
      <c r="D8526" s="35" t="s">
        <v>28</v>
      </c>
      <c r="E8526" s="14" t="s">
        <v>29</v>
      </c>
      <c r="F8526" s="7" t="s">
        <v>91</v>
      </c>
      <c r="G8526" s="33" t="s">
        <v>2109</v>
      </c>
      <c r="H8526" s="311" t="s">
        <v>11546</v>
      </c>
      <c r="I8526" s="157">
        <v>0</v>
      </c>
      <c r="J8526" s="142">
        <v>0</v>
      </c>
      <c r="K8526" s="142">
        <v>0</v>
      </c>
      <c r="L8526" s="142">
        <v>0</v>
      </c>
      <c r="M8526" s="142">
        <v>0</v>
      </c>
      <c r="N8526" s="142">
        <v>0</v>
      </c>
      <c r="O8526" s="142">
        <v>2258.87</v>
      </c>
      <c r="P8526" s="306">
        <v>18.758217600000002</v>
      </c>
      <c r="Q8526" s="50" t="s">
        <v>3556</v>
      </c>
      <c r="R8526" s="303"/>
    </row>
    <row r="8527" spans="1:18" s="162" customFormat="1" ht="48" x14ac:dyDescent="0.25">
      <c r="A8527" s="184">
        <v>44197</v>
      </c>
      <c r="B8527" s="184">
        <v>44561</v>
      </c>
      <c r="C8527" s="138">
        <v>2021</v>
      </c>
      <c r="D8527" s="35" t="s">
        <v>28</v>
      </c>
      <c r="E8527" s="14" t="s">
        <v>29</v>
      </c>
      <c r="F8527" s="7" t="s">
        <v>97</v>
      </c>
      <c r="G8527" s="33" t="s">
        <v>2109</v>
      </c>
      <c r="H8527" s="311" t="s">
        <v>11547</v>
      </c>
      <c r="I8527" s="157">
        <v>0</v>
      </c>
      <c r="J8527" s="142">
        <v>0</v>
      </c>
      <c r="K8527" s="142">
        <v>0</v>
      </c>
      <c r="L8527" s="142">
        <v>0</v>
      </c>
      <c r="M8527" s="142">
        <v>0</v>
      </c>
      <c r="N8527" s="142">
        <v>0</v>
      </c>
      <c r="O8527" s="142">
        <v>2693.85</v>
      </c>
      <c r="P8527" s="306">
        <v>3.1544667775999997</v>
      </c>
      <c r="Q8527" s="50" t="s">
        <v>3556</v>
      </c>
      <c r="R8527" s="303"/>
    </row>
    <row r="8528" spans="1:18" s="162" customFormat="1" ht="48" x14ac:dyDescent="0.25">
      <c r="A8528" s="184">
        <v>44197</v>
      </c>
      <c r="B8528" s="184">
        <v>44561</v>
      </c>
      <c r="C8528" s="138">
        <v>2021</v>
      </c>
      <c r="D8528" s="35" t="s">
        <v>28</v>
      </c>
      <c r="E8528" s="14" t="s">
        <v>29</v>
      </c>
      <c r="F8528" s="28" t="s">
        <v>210</v>
      </c>
      <c r="G8528" s="33" t="s">
        <v>2109</v>
      </c>
      <c r="H8528" s="311" t="s">
        <v>11548</v>
      </c>
      <c r="I8528" s="157">
        <v>0</v>
      </c>
      <c r="J8528" s="142">
        <v>0</v>
      </c>
      <c r="K8528" s="142">
        <v>0</v>
      </c>
      <c r="L8528" s="142">
        <v>0</v>
      </c>
      <c r="M8528" s="142">
        <v>0</v>
      </c>
      <c r="N8528" s="142">
        <v>0</v>
      </c>
      <c r="O8528" s="142">
        <v>891.77</v>
      </c>
      <c r="P8528" s="306">
        <v>3.7619076480000002</v>
      </c>
      <c r="Q8528" s="50" t="s">
        <v>2387</v>
      </c>
      <c r="R8528" s="303"/>
    </row>
    <row r="8529" spans="1:18" s="162" customFormat="1" ht="36" x14ac:dyDescent="0.25">
      <c r="A8529" s="184">
        <v>44197</v>
      </c>
      <c r="B8529" s="184">
        <v>44561</v>
      </c>
      <c r="C8529" s="138">
        <v>2021</v>
      </c>
      <c r="D8529" s="35" t="s">
        <v>28</v>
      </c>
      <c r="E8529" s="14" t="s">
        <v>29</v>
      </c>
      <c r="F8529" s="28" t="s">
        <v>163</v>
      </c>
      <c r="G8529" s="33" t="s">
        <v>2109</v>
      </c>
      <c r="H8529" s="311" t="s">
        <v>11549</v>
      </c>
      <c r="I8529" s="157">
        <v>0</v>
      </c>
      <c r="J8529" s="142">
        <v>0</v>
      </c>
      <c r="K8529" s="142">
        <v>0</v>
      </c>
      <c r="L8529" s="142">
        <v>0</v>
      </c>
      <c r="M8529" s="142">
        <v>0</v>
      </c>
      <c r="N8529" s="142">
        <v>0</v>
      </c>
      <c r="O8529" s="142">
        <v>10230.219999999999</v>
      </c>
      <c r="P8529" s="306">
        <v>1.2453389695999999</v>
      </c>
      <c r="Q8529" s="50" t="s">
        <v>2387</v>
      </c>
      <c r="R8529" s="303"/>
    </row>
    <row r="8530" spans="1:18" s="162" customFormat="1" ht="48" x14ac:dyDescent="0.25">
      <c r="A8530" s="184">
        <v>44197</v>
      </c>
      <c r="B8530" s="184">
        <v>44561</v>
      </c>
      <c r="C8530" s="138">
        <v>2021</v>
      </c>
      <c r="D8530" s="35" t="s">
        <v>28</v>
      </c>
      <c r="E8530" s="14" t="s">
        <v>29</v>
      </c>
      <c r="F8530" s="7" t="s">
        <v>101</v>
      </c>
      <c r="G8530" s="33" t="s">
        <v>2109</v>
      </c>
      <c r="H8530" s="311" t="s">
        <v>11550</v>
      </c>
      <c r="I8530" s="157">
        <v>0</v>
      </c>
      <c r="J8530" s="142">
        <v>0</v>
      </c>
      <c r="K8530" s="142">
        <v>0</v>
      </c>
      <c r="L8530" s="142">
        <v>0</v>
      </c>
      <c r="M8530" s="142">
        <v>0</v>
      </c>
      <c r="N8530" s="142">
        <v>0</v>
      </c>
      <c r="O8530" s="305">
        <v>10222</v>
      </c>
      <c r="P8530" s="306">
        <v>14.2862976256</v>
      </c>
      <c r="Q8530" s="50" t="s">
        <v>3556</v>
      </c>
      <c r="R8530" s="303"/>
    </row>
    <row r="8531" spans="1:18" s="162" customFormat="1" ht="24" x14ac:dyDescent="0.25">
      <c r="A8531" s="184">
        <v>44197</v>
      </c>
      <c r="B8531" s="184">
        <v>44561</v>
      </c>
      <c r="C8531" s="138">
        <v>2021</v>
      </c>
      <c r="D8531" s="351" t="s">
        <v>23</v>
      </c>
      <c r="E8531" s="22" t="s">
        <v>42</v>
      </c>
      <c r="F8531" s="7" t="s">
        <v>36</v>
      </c>
      <c r="G8531" s="33" t="s">
        <v>26</v>
      </c>
      <c r="H8531" s="206" t="s">
        <v>11551</v>
      </c>
      <c r="I8531" s="157">
        <v>0</v>
      </c>
      <c r="J8531" s="142">
        <v>2</v>
      </c>
      <c r="K8531" s="142">
        <v>0</v>
      </c>
      <c r="L8531" s="142">
        <v>0</v>
      </c>
      <c r="M8531" s="142">
        <v>0</v>
      </c>
      <c r="N8531" s="142">
        <v>0</v>
      </c>
      <c r="O8531" s="142">
        <v>0</v>
      </c>
      <c r="P8531" s="306">
        <v>0</v>
      </c>
      <c r="Q8531" s="35" t="s">
        <v>9333</v>
      </c>
      <c r="R8531" s="303"/>
    </row>
    <row r="8532" spans="1:18" s="162" customFormat="1" ht="48" x14ac:dyDescent="0.25">
      <c r="A8532" s="184">
        <v>44197</v>
      </c>
      <c r="B8532" s="184">
        <v>44561</v>
      </c>
      <c r="C8532" s="138">
        <v>2021</v>
      </c>
      <c r="D8532" s="351" t="s">
        <v>23</v>
      </c>
      <c r="E8532" s="22" t="s">
        <v>42</v>
      </c>
      <c r="F8532" s="7" t="s">
        <v>40</v>
      </c>
      <c r="G8532" s="33" t="s">
        <v>26</v>
      </c>
      <c r="H8532" s="206" t="s">
        <v>11552</v>
      </c>
      <c r="I8532" s="157">
        <v>7</v>
      </c>
      <c r="J8532" s="142">
        <v>56</v>
      </c>
      <c r="K8532" s="142">
        <v>0</v>
      </c>
      <c r="L8532" s="142">
        <v>0</v>
      </c>
      <c r="M8532" s="142">
        <v>0</v>
      </c>
      <c r="N8532" s="142">
        <v>0</v>
      </c>
      <c r="O8532" s="142">
        <v>0</v>
      </c>
      <c r="P8532" s="306">
        <v>0</v>
      </c>
      <c r="Q8532" s="35" t="s">
        <v>9333</v>
      </c>
      <c r="R8532" s="303"/>
    </row>
    <row r="8533" spans="1:18" s="162" customFormat="1" ht="24" x14ac:dyDescent="0.25">
      <c r="A8533" s="184">
        <v>44197</v>
      </c>
      <c r="B8533" s="184">
        <v>44561</v>
      </c>
      <c r="C8533" s="138">
        <v>2021</v>
      </c>
      <c r="D8533" s="351" t="s">
        <v>23</v>
      </c>
      <c r="E8533" s="22" t="s">
        <v>42</v>
      </c>
      <c r="F8533" s="7" t="s">
        <v>45</v>
      </c>
      <c r="G8533" s="33" t="s">
        <v>26</v>
      </c>
      <c r="H8533" s="206" t="s">
        <v>11553</v>
      </c>
      <c r="I8533" s="157">
        <v>0</v>
      </c>
      <c r="J8533" s="142">
        <v>3</v>
      </c>
      <c r="K8533" s="142">
        <v>0</v>
      </c>
      <c r="L8533" s="142">
        <v>0</v>
      </c>
      <c r="M8533" s="142">
        <v>0</v>
      </c>
      <c r="N8533" s="142">
        <v>0</v>
      </c>
      <c r="O8533" s="142">
        <v>0</v>
      </c>
      <c r="P8533" s="306">
        <v>0</v>
      </c>
      <c r="Q8533" s="35" t="s">
        <v>9333</v>
      </c>
      <c r="R8533" s="303"/>
    </row>
    <row r="8534" spans="1:18" s="162" customFormat="1" ht="36" x14ac:dyDescent="0.25">
      <c r="A8534" s="184">
        <v>44197</v>
      </c>
      <c r="B8534" s="184">
        <v>44561</v>
      </c>
      <c r="C8534" s="138">
        <v>2021</v>
      </c>
      <c r="D8534" s="351" t="s">
        <v>23</v>
      </c>
      <c r="E8534" s="22" t="s">
        <v>42</v>
      </c>
      <c r="F8534" s="7" t="s">
        <v>49</v>
      </c>
      <c r="G8534" s="33" t="s">
        <v>26</v>
      </c>
      <c r="H8534" s="206" t="s">
        <v>11554</v>
      </c>
      <c r="I8534" s="157">
        <v>3</v>
      </c>
      <c r="J8534" s="142">
        <v>3</v>
      </c>
      <c r="K8534" s="142">
        <v>0</v>
      </c>
      <c r="L8534" s="142">
        <v>0</v>
      </c>
      <c r="M8534" s="142">
        <v>0</v>
      </c>
      <c r="N8534" s="142">
        <v>0</v>
      </c>
      <c r="O8534" s="142">
        <v>0</v>
      </c>
      <c r="P8534" s="306">
        <v>0</v>
      </c>
      <c r="Q8534" s="35" t="s">
        <v>9333</v>
      </c>
      <c r="R8534" s="303"/>
    </row>
    <row r="8535" spans="1:18" s="162" customFormat="1" ht="24" x14ac:dyDescent="0.25">
      <c r="A8535" s="184">
        <v>44197</v>
      </c>
      <c r="B8535" s="184">
        <v>44561</v>
      </c>
      <c r="C8535" s="138">
        <v>2021</v>
      </c>
      <c r="D8535" s="351" t="s">
        <v>23</v>
      </c>
      <c r="E8535" s="22" t="s">
        <v>42</v>
      </c>
      <c r="F8535" s="28" t="s">
        <v>160</v>
      </c>
      <c r="G8535" s="33" t="s">
        <v>26</v>
      </c>
      <c r="H8535" s="206" t="s">
        <v>11555</v>
      </c>
      <c r="I8535" s="157">
        <v>0</v>
      </c>
      <c r="J8535" s="142">
        <v>3</v>
      </c>
      <c r="K8535" s="142">
        <v>0</v>
      </c>
      <c r="L8535" s="142">
        <v>0</v>
      </c>
      <c r="M8535" s="142">
        <v>0</v>
      </c>
      <c r="N8535" s="142">
        <v>0</v>
      </c>
      <c r="O8535" s="142">
        <v>0</v>
      </c>
      <c r="P8535" s="306">
        <v>0</v>
      </c>
      <c r="Q8535" s="35" t="s">
        <v>9333</v>
      </c>
      <c r="R8535" s="303"/>
    </row>
    <row r="8536" spans="1:18" s="162" customFormat="1" ht="24" x14ac:dyDescent="0.25">
      <c r="A8536" s="184">
        <v>44197</v>
      </c>
      <c r="B8536" s="184">
        <v>44561</v>
      </c>
      <c r="C8536" s="138">
        <v>2021</v>
      </c>
      <c r="D8536" s="351" t="s">
        <v>23</v>
      </c>
      <c r="E8536" s="22" t="s">
        <v>42</v>
      </c>
      <c r="F8536" s="7" t="s">
        <v>62</v>
      </c>
      <c r="G8536" s="33" t="s">
        <v>26</v>
      </c>
      <c r="H8536" s="206" t="s">
        <v>11556</v>
      </c>
      <c r="I8536" s="157">
        <v>0</v>
      </c>
      <c r="J8536" s="142">
        <v>2</v>
      </c>
      <c r="K8536" s="142">
        <v>0</v>
      </c>
      <c r="L8536" s="142">
        <v>0</v>
      </c>
      <c r="M8536" s="142">
        <v>0</v>
      </c>
      <c r="N8536" s="142">
        <v>0</v>
      </c>
      <c r="O8536" s="142">
        <v>0</v>
      </c>
      <c r="P8536" s="306">
        <v>0</v>
      </c>
      <c r="Q8536" s="35" t="s">
        <v>9333</v>
      </c>
      <c r="R8536" s="303"/>
    </row>
    <row r="8537" spans="1:18" s="162" customFormat="1" x14ac:dyDescent="0.25">
      <c r="A8537" s="184">
        <v>44197</v>
      </c>
      <c r="B8537" s="184">
        <v>44561</v>
      </c>
      <c r="C8537" s="138">
        <v>2021</v>
      </c>
      <c r="D8537" s="351" t="s">
        <v>23</v>
      </c>
      <c r="E8537" s="22" t="s">
        <v>42</v>
      </c>
      <c r="F8537" s="7" t="s">
        <v>68</v>
      </c>
      <c r="G8537" s="33" t="s">
        <v>26</v>
      </c>
      <c r="H8537" s="206" t="s">
        <v>11557</v>
      </c>
      <c r="I8537" s="157">
        <v>0</v>
      </c>
      <c r="J8537" s="142">
        <v>1</v>
      </c>
      <c r="K8537" s="142">
        <v>0</v>
      </c>
      <c r="L8537" s="142">
        <v>0</v>
      </c>
      <c r="M8537" s="142">
        <v>0</v>
      </c>
      <c r="N8537" s="142">
        <v>0</v>
      </c>
      <c r="O8537" s="142">
        <v>0</v>
      </c>
      <c r="P8537" s="306">
        <v>0</v>
      </c>
      <c r="Q8537" s="35" t="s">
        <v>9333</v>
      </c>
      <c r="R8537" s="303"/>
    </row>
    <row r="8538" spans="1:18" s="162" customFormat="1" ht="24" x14ac:dyDescent="0.25">
      <c r="A8538" s="184">
        <v>44197</v>
      </c>
      <c r="B8538" s="184">
        <v>44561</v>
      </c>
      <c r="C8538" s="138">
        <v>2021</v>
      </c>
      <c r="D8538" s="351" t="s">
        <v>23</v>
      </c>
      <c r="E8538" s="22" t="s">
        <v>42</v>
      </c>
      <c r="F8538" s="7" t="s">
        <v>75</v>
      </c>
      <c r="G8538" s="33" t="s">
        <v>26</v>
      </c>
      <c r="H8538" s="206" t="s">
        <v>11553</v>
      </c>
      <c r="I8538" s="157">
        <v>0</v>
      </c>
      <c r="J8538" s="142">
        <v>3</v>
      </c>
      <c r="K8538" s="142">
        <v>0</v>
      </c>
      <c r="L8538" s="142">
        <v>0</v>
      </c>
      <c r="M8538" s="142">
        <v>0</v>
      </c>
      <c r="N8538" s="142">
        <v>0</v>
      </c>
      <c r="O8538" s="142">
        <v>0</v>
      </c>
      <c r="P8538" s="306">
        <v>0</v>
      </c>
      <c r="Q8538" s="35" t="s">
        <v>9333</v>
      </c>
      <c r="R8538" s="303"/>
    </row>
    <row r="8539" spans="1:18" s="162" customFormat="1" x14ac:dyDescent="0.25">
      <c r="A8539" s="184">
        <v>44197</v>
      </c>
      <c r="B8539" s="184">
        <v>44561</v>
      </c>
      <c r="C8539" s="138">
        <v>2021</v>
      </c>
      <c r="D8539" s="351" t="s">
        <v>23</v>
      </c>
      <c r="E8539" s="22" t="s">
        <v>42</v>
      </c>
      <c r="F8539" s="7" t="s">
        <v>80</v>
      </c>
      <c r="G8539" s="33" t="s">
        <v>26</v>
      </c>
      <c r="H8539" s="206" t="s">
        <v>11558</v>
      </c>
      <c r="I8539" s="157">
        <v>0</v>
      </c>
      <c r="J8539" s="142">
        <v>1</v>
      </c>
      <c r="K8539" s="142">
        <v>0</v>
      </c>
      <c r="L8539" s="142">
        <v>0</v>
      </c>
      <c r="M8539" s="142">
        <v>0</v>
      </c>
      <c r="N8539" s="142">
        <v>0</v>
      </c>
      <c r="O8539" s="142">
        <v>0</v>
      </c>
      <c r="P8539" s="306">
        <v>0</v>
      </c>
      <c r="Q8539" s="35" t="s">
        <v>9333</v>
      </c>
      <c r="R8539" s="303"/>
    </row>
    <row r="8540" spans="1:18" s="162" customFormat="1" ht="24" x14ac:dyDescent="0.25">
      <c r="A8540" s="184">
        <v>44197</v>
      </c>
      <c r="B8540" s="184">
        <v>44561</v>
      </c>
      <c r="C8540" s="138">
        <v>2021</v>
      </c>
      <c r="D8540" s="351" t="s">
        <v>23</v>
      </c>
      <c r="E8540" s="22" t="s">
        <v>42</v>
      </c>
      <c r="F8540" s="7" t="s">
        <v>82</v>
      </c>
      <c r="G8540" s="33" t="s">
        <v>26</v>
      </c>
      <c r="H8540" s="206" t="s">
        <v>11559</v>
      </c>
      <c r="I8540" s="157">
        <v>0</v>
      </c>
      <c r="J8540" s="142">
        <v>2</v>
      </c>
      <c r="K8540" s="142">
        <v>0</v>
      </c>
      <c r="L8540" s="142">
        <v>0</v>
      </c>
      <c r="M8540" s="142">
        <v>0</v>
      </c>
      <c r="N8540" s="142">
        <v>0</v>
      </c>
      <c r="O8540" s="142">
        <v>0</v>
      </c>
      <c r="P8540" s="306">
        <v>0</v>
      </c>
      <c r="Q8540" s="35" t="s">
        <v>9333</v>
      </c>
      <c r="R8540" s="303"/>
    </row>
    <row r="8541" spans="1:18" s="162" customFormat="1" ht="60" x14ac:dyDescent="0.25">
      <c r="A8541" s="184">
        <v>44197</v>
      </c>
      <c r="B8541" s="184">
        <v>44561</v>
      </c>
      <c r="C8541" s="138">
        <v>2021</v>
      </c>
      <c r="D8541" s="351" t="s">
        <v>23</v>
      </c>
      <c r="E8541" s="22" t="s">
        <v>42</v>
      </c>
      <c r="F8541" s="7" t="s">
        <v>87</v>
      </c>
      <c r="G8541" s="33" t="s">
        <v>26</v>
      </c>
      <c r="H8541" s="206" t="s">
        <v>11560</v>
      </c>
      <c r="I8541" s="157">
        <v>5</v>
      </c>
      <c r="J8541" s="142">
        <v>31</v>
      </c>
      <c r="K8541" s="142">
        <v>0</v>
      </c>
      <c r="L8541" s="142">
        <v>0</v>
      </c>
      <c r="M8541" s="142">
        <v>0</v>
      </c>
      <c r="N8541" s="142">
        <v>0</v>
      </c>
      <c r="O8541" s="142">
        <v>0</v>
      </c>
      <c r="P8541" s="306">
        <v>0</v>
      </c>
      <c r="Q8541" s="35" t="s">
        <v>9333</v>
      </c>
      <c r="R8541" s="303"/>
    </row>
    <row r="8542" spans="1:18" s="162" customFormat="1" ht="48" x14ac:dyDescent="0.25">
      <c r="A8542" s="184">
        <v>44197</v>
      </c>
      <c r="B8542" s="184">
        <v>44561</v>
      </c>
      <c r="C8542" s="138">
        <v>2021</v>
      </c>
      <c r="D8542" s="351" t="s">
        <v>23</v>
      </c>
      <c r="E8542" s="22" t="s">
        <v>42</v>
      </c>
      <c r="F8542" s="7" t="s">
        <v>91</v>
      </c>
      <c r="G8542" s="33" t="s">
        <v>26</v>
      </c>
      <c r="H8542" s="206" t="s">
        <v>11561</v>
      </c>
      <c r="I8542" s="157">
        <v>7</v>
      </c>
      <c r="J8542" s="142">
        <v>58</v>
      </c>
      <c r="K8542" s="142">
        <v>0</v>
      </c>
      <c r="L8542" s="142">
        <v>0</v>
      </c>
      <c r="M8542" s="142">
        <v>0</v>
      </c>
      <c r="N8542" s="142">
        <v>0</v>
      </c>
      <c r="O8542" s="142">
        <v>0</v>
      </c>
      <c r="P8542" s="306">
        <v>0</v>
      </c>
      <c r="Q8542" s="35" t="s">
        <v>9333</v>
      </c>
      <c r="R8542" s="303"/>
    </row>
    <row r="8543" spans="1:18" s="162" customFormat="1" ht="24" x14ac:dyDescent="0.25">
      <c r="A8543" s="184">
        <v>44197</v>
      </c>
      <c r="B8543" s="184">
        <v>44561</v>
      </c>
      <c r="C8543" s="138">
        <v>2021</v>
      </c>
      <c r="D8543" s="351" t="s">
        <v>23</v>
      </c>
      <c r="E8543" s="22" t="s">
        <v>42</v>
      </c>
      <c r="F8543" s="28" t="s">
        <v>210</v>
      </c>
      <c r="G8543" s="33" t="s">
        <v>26</v>
      </c>
      <c r="H8543" s="206" t="s">
        <v>11562</v>
      </c>
      <c r="I8543" s="157">
        <v>0</v>
      </c>
      <c r="J8543" s="142">
        <v>6</v>
      </c>
      <c r="K8543" s="142">
        <v>0</v>
      </c>
      <c r="L8543" s="142">
        <v>0</v>
      </c>
      <c r="M8543" s="142">
        <v>0</v>
      </c>
      <c r="N8543" s="142">
        <v>0</v>
      </c>
      <c r="O8543" s="142">
        <v>0</v>
      </c>
      <c r="P8543" s="306">
        <v>0</v>
      </c>
      <c r="Q8543" s="35" t="s">
        <v>9333</v>
      </c>
      <c r="R8543" s="303"/>
    </row>
    <row r="8544" spans="1:18" s="162" customFormat="1" ht="48" x14ac:dyDescent="0.25">
      <c r="A8544" s="184">
        <v>44197</v>
      </c>
      <c r="B8544" s="184">
        <v>44561</v>
      </c>
      <c r="C8544" s="138">
        <v>2021</v>
      </c>
      <c r="D8544" s="351" t="s">
        <v>23</v>
      </c>
      <c r="E8544" s="28" t="s">
        <v>327</v>
      </c>
      <c r="F8544" s="7" t="s">
        <v>30</v>
      </c>
      <c r="G8544" s="33" t="s">
        <v>26</v>
      </c>
      <c r="H8544" s="206" t="s">
        <v>11563</v>
      </c>
      <c r="I8544" s="157">
        <v>19</v>
      </c>
      <c r="J8544" s="142">
        <v>431</v>
      </c>
      <c r="K8544" s="142">
        <v>0</v>
      </c>
      <c r="L8544" s="142">
        <v>0</v>
      </c>
      <c r="M8544" s="142">
        <v>0</v>
      </c>
      <c r="N8544" s="142">
        <v>0</v>
      </c>
      <c r="O8544" s="142">
        <v>0</v>
      </c>
      <c r="P8544" s="306">
        <v>0</v>
      </c>
      <c r="Q8544" s="35" t="s">
        <v>9333</v>
      </c>
      <c r="R8544" s="303"/>
    </row>
    <row r="8545" spans="1:18" s="162" customFormat="1" ht="48" x14ac:dyDescent="0.25">
      <c r="A8545" s="184">
        <v>44197</v>
      </c>
      <c r="B8545" s="184">
        <v>44561</v>
      </c>
      <c r="C8545" s="138">
        <v>2021</v>
      </c>
      <c r="D8545" s="351" t="s">
        <v>23</v>
      </c>
      <c r="E8545" s="28" t="s">
        <v>327</v>
      </c>
      <c r="F8545" s="7" t="s">
        <v>33</v>
      </c>
      <c r="G8545" s="33" t="s">
        <v>26</v>
      </c>
      <c r="H8545" s="206" t="s">
        <v>11564</v>
      </c>
      <c r="I8545" s="157">
        <v>3</v>
      </c>
      <c r="J8545" s="142">
        <v>15</v>
      </c>
      <c r="K8545" s="142">
        <v>0</v>
      </c>
      <c r="L8545" s="142">
        <v>0</v>
      </c>
      <c r="M8545" s="142">
        <v>0</v>
      </c>
      <c r="N8545" s="142">
        <v>0</v>
      </c>
      <c r="O8545" s="142">
        <v>0</v>
      </c>
      <c r="P8545" s="306">
        <v>0</v>
      </c>
      <c r="Q8545" s="35" t="s">
        <v>9333</v>
      </c>
      <c r="R8545" s="303"/>
    </row>
    <row r="8546" spans="1:18" s="162" customFormat="1" ht="36" x14ac:dyDescent="0.25">
      <c r="A8546" s="184">
        <v>44197</v>
      </c>
      <c r="B8546" s="184">
        <v>44561</v>
      </c>
      <c r="C8546" s="138">
        <v>2021</v>
      </c>
      <c r="D8546" s="351" t="s">
        <v>23</v>
      </c>
      <c r="E8546" s="28" t="s">
        <v>327</v>
      </c>
      <c r="F8546" s="28" t="s">
        <v>151</v>
      </c>
      <c r="G8546" s="33" t="s">
        <v>26</v>
      </c>
      <c r="H8546" s="206" t="s">
        <v>11565</v>
      </c>
      <c r="I8546" s="157">
        <v>0</v>
      </c>
      <c r="J8546" s="142">
        <v>8</v>
      </c>
      <c r="K8546" s="142">
        <v>0</v>
      </c>
      <c r="L8546" s="142">
        <v>0</v>
      </c>
      <c r="M8546" s="142">
        <v>0</v>
      </c>
      <c r="N8546" s="142">
        <v>0</v>
      </c>
      <c r="O8546" s="142">
        <v>0</v>
      </c>
      <c r="P8546" s="306">
        <v>0</v>
      </c>
      <c r="Q8546" s="35" t="s">
        <v>9333</v>
      </c>
      <c r="R8546" s="303"/>
    </row>
    <row r="8547" spans="1:18" s="162" customFormat="1" ht="36" x14ac:dyDescent="0.25">
      <c r="A8547" s="184">
        <v>44197</v>
      </c>
      <c r="B8547" s="184">
        <v>44561</v>
      </c>
      <c r="C8547" s="138">
        <v>2021</v>
      </c>
      <c r="D8547" s="351" t="s">
        <v>23</v>
      </c>
      <c r="E8547" s="28" t="s">
        <v>327</v>
      </c>
      <c r="F8547" s="7" t="s">
        <v>36</v>
      </c>
      <c r="G8547" s="33" t="s">
        <v>26</v>
      </c>
      <c r="H8547" s="206" t="s">
        <v>11566</v>
      </c>
      <c r="I8547" s="157">
        <v>0</v>
      </c>
      <c r="J8547" s="142">
        <v>2</v>
      </c>
      <c r="K8547" s="142">
        <v>0</v>
      </c>
      <c r="L8547" s="142">
        <v>0</v>
      </c>
      <c r="M8547" s="142">
        <v>0</v>
      </c>
      <c r="N8547" s="142">
        <v>0</v>
      </c>
      <c r="O8547" s="142">
        <v>0</v>
      </c>
      <c r="P8547" s="306">
        <v>0</v>
      </c>
      <c r="Q8547" s="35" t="s">
        <v>9333</v>
      </c>
      <c r="R8547" s="303"/>
    </row>
    <row r="8548" spans="1:18" s="162" customFormat="1" ht="36" x14ac:dyDescent="0.25">
      <c r="A8548" s="184">
        <v>44197</v>
      </c>
      <c r="B8548" s="184">
        <v>44561</v>
      </c>
      <c r="C8548" s="138">
        <v>2021</v>
      </c>
      <c r="D8548" s="351" t="s">
        <v>23</v>
      </c>
      <c r="E8548" s="28" t="s">
        <v>327</v>
      </c>
      <c r="F8548" s="7" t="s">
        <v>40</v>
      </c>
      <c r="G8548" s="33" t="s">
        <v>26</v>
      </c>
      <c r="H8548" s="206" t="s">
        <v>11567</v>
      </c>
      <c r="I8548" s="157">
        <v>0</v>
      </c>
      <c r="J8548" s="142">
        <v>19</v>
      </c>
      <c r="K8548" s="142">
        <v>0</v>
      </c>
      <c r="L8548" s="142">
        <v>0</v>
      </c>
      <c r="M8548" s="142">
        <v>0</v>
      </c>
      <c r="N8548" s="142">
        <v>0</v>
      </c>
      <c r="O8548" s="142">
        <v>0</v>
      </c>
      <c r="P8548" s="306">
        <v>0</v>
      </c>
      <c r="Q8548" s="35" t="s">
        <v>9333</v>
      </c>
      <c r="R8548" s="303"/>
    </row>
    <row r="8549" spans="1:18" s="162" customFormat="1" ht="36" x14ac:dyDescent="0.25">
      <c r="A8549" s="184">
        <v>44197</v>
      </c>
      <c r="B8549" s="184">
        <v>44561</v>
      </c>
      <c r="C8549" s="138">
        <v>2021</v>
      </c>
      <c r="D8549" s="351" t="s">
        <v>23</v>
      </c>
      <c r="E8549" s="28" t="s">
        <v>327</v>
      </c>
      <c r="F8549" s="7" t="s">
        <v>45</v>
      </c>
      <c r="G8549" s="33" t="s">
        <v>26</v>
      </c>
      <c r="H8549" s="206" t="s">
        <v>11568</v>
      </c>
      <c r="I8549" s="157">
        <v>0</v>
      </c>
      <c r="J8549" s="142">
        <v>7</v>
      </c>
      <c r="K8549" s="142">
        <v>0</v>
      </c>
      <c r="L8549" s="142">
        <v>0</v>
      </c>
      <c r="M8549" s="142">
        <v>0</v>
      </c>
      <c r="N8549" s="142">
        <v>0</v>
      </c>
      <c r="O8549" s="142">
        <v>0</v>
      </c>
      <c r="P8549" s="306">
        <v>0</v>
      </c>
      <c r="Q8549" s="35" t="s">
        <v>9333</v>
      </c>
      <c r="R8549" s="303"/>
    </row>
    <row r="8550" spans="1:18" s="162" customFormat="1" ht="24" x14ac:dyDescent="0.25">
      <c r="A8550" s="184">
        <v>44197</v>
      </c>
      <c r="B8550" s="184">
        <v>44561</v>
      </c>
      <c r="C8550" s="138">
        <v>2021</v>
      </c>
      <c r="D8550" s="351" t="s">
        <v>23</v>
      </c>
      <c r="E8550" s="28" t="s">
        <v>327</v>
      </c>
      <c r="F8550" s="7" t="s">
        <v>47</v>
      </c>
      <c r="G8550" s="33" t="s">
        <v>26</v>
      </c>
      <c r="H8550" s="206" t="s">
        <v>11569</v>
      </c>
      <c r="I8550" s="157">
        <v>0</v>
      </c>
      <c r="J8550" s="142">
        <v>1</v>
      </c>
      <c r="K8550" s="142">
        <v>0</v>
      </c>
      <c r="L8550" s="142">
        <v>0</v>
      </c>
      <c r="M8550" s="142">
        <v>0</v>
      </c>
      <c r="N8550" s="142">
        <v>0</v>
      </c>
      <c r="O8550" s="142">
        <v>0</v>
      </c>
      <c r="P8550" s="306">
        <v>0</v>
      </c>
      <c r="Q8550" s="35" t="s">
        <v>9333</v>
      </c>
      <c r="R8550" s="303"/>
    </row>
    <row r="8551" spans="1:18" s="162" customFormat="1" ht="36" x14ac:dyDescent="0.25">
      <c r="A8551" s="184">
        <v>44197</v>
      </c>
      <c r="B8551" s="184">
        <v>44561</v>
      </c>
      <c r="C8551" s="138">
        <v>2021</v>
      </c>
      <c r="D8551" s="351" t="s">
        <v>23</v>
      </c>
      <c r="E8551" s="28" t="s">
        <v>327</v>
      </c>
      <c r="F8551" s="7" t="s">
        <v>56</v>
      </c>
      <c r="G8551" s="33" t="s">
        <v>26</v>
      </c>
      <c r="H8551" s="206" t="s">
        <v>11570</v>
      </c>
      <c r="I8551" s="157">
        <v>0</v>
      </c>
      <c r="J8551" s="142">
        <v>3</v>
      </c>
      <c r="K8551" s="142">
        <v>0</v>
      </c>
      <c r="L8551" s="142">
        <v>0</v>
      </c>
      <c r="M8551" s="142">
        <v>0</v>
      </c>
      <c r="N8551" s="142">
        <v>0</v>
      </c>
      <c r="O8551" s="142">
        <v>0</v>
      </c>
      <c r="P8551" s="306">
        <v>0</v>
      </c>
      <c r="Q8551" s="35" t="s">
        <v>9333</v>
      </c>
      <c r="R8551" s="303"/>
    </row>
    <row r="8552" spans="1:18" s="162" customFormat="1" ht="24" x14ac:dyDescent="0.25">
      <c r="A8552" s="184">
        <v>44197</v>
      </c>
      <c r="B8552" s="184">
        <v>44561</v>
      </c>
      <c r="C8552" s="138">
        <v>2021</v>
      </c>
      <c r="D8552" s="351" t="s">
        <v>23</v>
      </c>
      <c r="E8552" s="28" t="s">
        <v>327</v>
      </c>
      <c r="F8552" s="28" t="s">
        <v>160</v>
      </c>
      <c r="G8552" s="33" t="s">
        <v>26</v>
      </c>
      <c r="H8552" s="206" t="s">
        <v>11571</v>
      </c>
      <c r="I8552" s="157">
        <v>1</v>
      </c>
      <c r="J8552" s="142">
        <v>1</v>
      </c>
      <c r="K8552" s="142">
        <v>0</v>
      </c>
      <c r="L8552" s="142">
        <v>0</v>
      </c>
      <c r="M8552" s="142">
        <v>0</v>
      </c>
      <c r="N8552" s="142">
        <v>0</v>
      </c>
      <c r="O8552" s="142">
        <v>0</v>
      </c>
      <c r="P8552" s="306">
        <v>0</v>
      </c>
      <c r="Q8552" s="35" t="s">
        <v>9333</v>
      </c>
      <c r="R8552" s="303"/>
    </row>
    <row r="8553" spans="1:18" s="162" customFormat="1" ht="36" x14ac:dyDescent="0.25">
      <c r="A8553" s="184">
        <v>44197</v>
      </c>
      <c r="B8553" s="184">
        <v>44561</v>
      </c>
      <c r="C8553" s="138">
        <v>2021</v>
      </c>
      <c r="D8553" s="351" t="s">
        <v>23</v>
      </c>
      <c r="E8553" s="28" t="s">
        <v>327</v>
      </c>
      <c r="F8553" s="7" t="s">
        <v>60</v>
      </c>
      <c r="G8553" s="33" t="s">
        <v>26</v>
      </c>
      <c r="H8553" s="206" t="s">
        <v>11572</v>
      </c>
      <c r="I8553" s="157">
        <v>0</v>
      </c>
      <c r="J8553" s="142">
        <v>24</v>
      </c>
      <c r="K8553" s="142">
        <v>0</v>
      </c>
      <c r="L8553" s="142">
        <v>0</v>
      </c>
      <c r="M8553" s="142">
        <v>0</v>
      </c>
      <c r="N8553" s="142">
        <v>0</v>
      </c>
      <c r="O8553" s="142">
        <v>0</v>
      </c>
      <c r="P8553" s="306">
        <v>0</v>
      </c>
      <c r="Q8553" s="35" t="s">
        <v>9333</v>
      </c>
      <c r="R8553" s="303"/>
    </row>
    <row r="8554" spans="1:18" s="162" customFormat="1" x14ac:dyDescent="0.25">
      <c r="A8554" s="184">
        <v>44197</v>
      </c>
      <c r="B8554" s="184">
        <v>44561</v>
      </c>
      <c r="C8554" s="138">
        <v>2021</v>
      </c>
      <c r="D8554" s="351" t="s">
        <v>23</v>
      </c>
      <c r="E8554" s="28" t="s">
        <v>327</v>
      </c>
      <c r="F8554" s="7" t="s">
        <v>62</v>
      </c>
      <c r="G8554" s="33" t="s">
        <v>26</v>
      </c>
      <c r="H8554" s="206" t="s">
        <v>11573</v>
      </c>
      <c r="I8554" s="157">
        <v>0</v>
      </c>
      <c r="J8554" s="142">
        <v>1</v>
      </c>
      <c r="K8554" s="142">
        <v>0</v>
      </c>
      <c r="L8554" s="142">
        <v>0</v>
      </c>
      <c r="M8554" s="142">
        <v>0</v>
      </c>
      <c r="N8554" s="142">
        <v>0</v>
      </c>
      <c r="O8554" s="142">
        <v>0</v>
      </c>
      <c r="P8554" s="306">
        <v>0</v>
      </c>
      <c r="Q8554" s="35" t="s">
        <v>9333</v>
      </c>
      <c r="R8554" s="303"/>
    </row>
    <row r="8555" spans="1:18" s="162" customFormat="1" ht="36" x14ac:dyDescent="0.25">
      <c r="A8555" s="184">
        <v>44197</v>
      </c>
      <c r="B8555" s="184">
        <v>44561</v>
      </c>
      <c r="C8555" s="138">
        <v>2021</v>
      </c>
      <c r="D8555" s="351" t="s">
        <v>23</v>
      </c>
      <c r="E8555" s="28" t="s">
        <v>327</v>
      </c>
      <c r="F8555" s="7" t="s">
        <v>67</v>
      </c>
      <c r="G8555" s="33" t="s">
        <v>26</v>
      </c>
      <c r="H8555" s="206" t="s">
        <v>11574</v>
      </c>
      <c r="I8555" s="157">
        <v>0</v>
      </c>
      <c r="J8555" s="142">
        <v>12</v>
      </c>
      <c r="K8555" s="142">
        <v>0</v>
      </c>
      <c r="L8555" s="142">
        <v>0</v>
      </c>
      <c r="M8555" s="142">
        <v>0</v>
      </c>
      <c r="N8555" s="142">
        <v>0</v>
      </c>
      <c r="O8555" s="142">
        <v>0</v>
      </c>
      <c r="P8555" s="306">
        <v>0</v>
      </c>
      <c r="Q8555" s="35" t="s">
        <v>9333</v>
      </c>
      <c r="R8555" s="303"/>
    </row>
    <row r="8556" spans="1:18" s="162" customFormat="1" ht="24" x14ac:dyDescent="0.25">
      <c r="A8556" s="184">
        <v>44197</v>
      </c>
      <c r="B8556" s="184">
        <v>44561</v>
      </c>
      <c r="C8556" s="138">
        <v>2021</v>
      </c>
      <c r="D8556" s="351" t="s">
        <v>23</v>
      </c>
      <c r="E8556" s="28" t="s">
        <v>327</v>
      </c>
      <c r="F8556" s="7" t="s">
        <v>68</v>
      </c>
      <c r="G8556" s="33" t="s">
        <v>26</v>
      </c>
      <c r="H8556" s="206" t="s">
        <v>11575</v>
      </c>
      <c r="I8556" s="157">
        <v>0</v>
      </c>
      <c r="J8556" s="142">
        <v>1</v>
      </c>
      <c r="K8556" s="142">
        <v>0</v>
      </c>
      <c r="L8556" s="142">
        <v>0</v>
      </c>
      <c r="M8556" s="142">
        <v>0</v>
      </c>
      <c r="N8556" s="142">
        <v>0</v>
      </c>
      <c r="O8556" s="142">
        <v>0</v>
      </c>
      <c r="P8556" s="306">
        <v>0</v>
      </c>
      <c r="Q8556" s="35" t="s">
        <v>9333</v>
      </c>
      <c r="R8556" s="303"/>
    </row>
    <row r="8557" spans="1:18" s="162" customFormat="1" ht="24" x14ac:dyDescent="0.25">
      <c r="A8557" s="184">
        <v>44197</v>
      </c>
      <c r="B8557" s="184">
        <v>44561</v>
      </c>
      <c r="C8557" s="138">
        <v>2021</v>
      </c>
      <c r="D8557" s="351" t="s">
        <v>23</v>
      </c>
      <c r="E8557" s="28" t="s">
        <v>327</v>
      </c>
      <c r="F8557" s="7" t="s">
        <v>72</v>
      </c>
      <c r="G8557" s="33" t="s">
        <v>26</v>
      </c>
      <c r="H8557" s="206" t="s">
        <v>11576</v>
      </c>
      <c r="I8557" s="157">
        <v>0</v>
      </c>
      <c r="J8557" s="142">
        <v>2</v>
      </c>
      <c r="K8557" s="142">
        <v>0</v>
      </c>
      <c r="L8557" s="142">
        <v>0</v>
      </c>
      <c r="M8557" s="142">
        <v>0</v>
      </c>
      <c r="N8557" s="142">
        <v>0</v>
      </c>
      <c r="O8557" s="142">
        <v>0</v>
      </c>
      <c r="P8557" s="306">
        <v>0</v>
      </c>
      <c r="Q8557" s="35" t="s">
        <v>9333</v>
      </c>
      <c r="R8557" s="303"/>
    </row>
    <row r="8558" spans="1:18" s="162" customFormat="1" ht="36" x14ac:dyDescent="0.25">
      <c r="A8558" s="184">
        <v>44197</v>
      </c>
      <c r="B8558" s="184">
        <v>44561</v>
      </c>
      <c r="C8558" s="138">
        <v>2021</v>
      </c>
      <c r="D8558" s="351" t="s">
        <v>23</v>
      </c>
      <c r="E8558" s="28" t="s">
        <v>327</v>
      </c>
      <c r="F8558" s="7" t="s">
        <v>80</v>
      </c>
      <c r="G8558" s="33" t="s">
        <v>26</v>
      </c>
      <c r="H8558" s="206" t="s">
        <v>11577</v>
      </c>
      <c r="I8558" s="157">
        <v>0</v>
      </c>
      <c r="J8558" s="142">
        <v>3</v>
      </c>
      <c r="K8558" s="142">
        <v>0</v>
      </c>
      <c r="L8558" s="142">
        <v>0</v>
      </c>
      <c r="M8558" s="142">
        <v>0</v>
      </c>
      <c r="N8558" s="142">
        <v>0</v>
      </c>
      <c r="O8558" s="142">
        <v>0</v>
      </c>
      <c r="P8558" s="306">
        <v>0</v>
      </c>
      <c r="Q8558" s="35" t="s">
        <v>9333</v>
      </c>
      <c r="R8558" s="303"/>
    </row>
    <row r="8559" spans="1:18" s="162" customFormat="1" ht="36" x14ac:dyDescent="0.25">
      <c r="A8559" s="184">
        <v>44197</v>
      </c>
      <c r="B8559" s="184">
        <v>44561</v>
      </c>
      <c r="C8559" s="138">
        <v>2021</v>
      </c>
      <c r="D8559" s="351" t="s">
        <v>23</v>
      </c>
      <c r="E8559" s="28" t="s">
        <v>327</v>
      </c>
      <c r="F8559" s="7" t="s">
        <v>82</v>
      </c>
      <c r="G8559" s="33" t="s">
        <v>26</v>
      </c>
      <c r="H8559" s="206" t="s">
        <v>11578</v>
      </c>
      <c r="I8559" s="157">
        <v>0</v>
      </c>
      <c r="J8559" s="142">
        <v>4</v>
      </c>
      <c r="K8559" s="142">
        <v>0</v>
      </c>
      <c r="L8559" s="142">
        <v>0</v>
      </c>
      <c r="M8559" s="142">
        <v>0</v>
      </c>
      <c r="N8559" s="142">
        <v>0</v>
      </c>
      <c r="O8559" s="142">
        <v>0</v>
      </c>
      <c r="P8559" s="306">
        <v>0</v>
      </c>
      <c r="Q8559" s="35" t="s">
        <v>9333</v>
      </c>
      <c r="R8559" s="303"/>
    </row>
    <row r="8560" spans="1:18" s="162" customFormat="1" ht="48" x14ac:dyDescent="0.25">
      <c r="A8560" s="184">
        <v>44197</v>
      </c>
      <c r="B8560" s="184">
        <v>44561</v>
      </c>
      <c r="C8560" s="138">
        <v>2021</v>
      </c>
      <c r="D8560" s="351" t="s">
        <v>23</v>
      </c>
      <c r="E8560" s="28" t="s">
        <v>327</v>
      </c>
      <c r="F8560" s="7" t="s">
        <v>84</v>
      </c>
      <c r="G8560" s="33" t="s">
        <v>26</v>
      </c>
      <c r="H8560" s="206" t="s">
        <v>11579</v>
      </c>
      <c r="I8560" s="157">
        <v>1</v>
      </c>
      <c r="J8560" s="142">
        <v>44</v>
      </c>
      <c r="K8560" s="142">
        <v>0</v>
      </c>
      <c r="L8560" s="142">
        <v>0</v>
      </c>
      <c r="M8560" s="142">
        <v>0</v>
      </c>
      <c r="N8560" s="142">
        <v>0</v>
      </c>
      <c r="O8560" s="142">
        <v>0</v>
      </c>
      <c r="P8560" s="306">
        <v>0</v>
      </c>
      <c r="Q8560" s="35" t="s">
        <v>9333</v>
      </c>
      <c r="R8560" s="303"/>
    </row>
    <row r="8561" spans="1:18" s="162" customFormat="1" ht="48" x14ac:dyDescent="0.25">
      <c r="A8561" s="184">
        <v>44197</v>
      </c>
      <c r="B8561" s="184">
        <v>44561</v>
      </c>
      <c r="C8561" s="138">
        <v>2021</v>
      </c>
      <c r="D8561" s="351" t="s">
        <v>23</v>
      </c>
      <c r="E8561" s="28" t="s">
        <v>327</v>
      </c>
      <c r="F8561" s="7" t="s">
        <v>87</v>
      </c>
      <c r="G8561" s="33" t="s">
        <v>26</v>
      </c>
      <c r="H8561" s="206" t="s">
        <v>11580</v>
      </c>
      <c r="I8561" s="157">
        <v>5</v>
      </c>
      <c r="J8561" s="142">
        <v>109</v>
      </c>
      <c r="K8561" s="142">
        <v>0</v>
      </c>
      <c r="L8561" s="142">
        <v>0</v>
      </c>
      <c r="M8561" s="142">
        <v>0</v>
      </c>
      <c r="N8561" s="142">
        <v>0</v>
      </c>
      <c r="O8561" s="142">
        <v>0</v>
      </c>
      <c r="P8561" s="306">
        <v>0</v>
      </c>
      <c r="Q8561" s="35" t="s">
        <v>9333</v>
      </c>
      <c r="R8561" s="303"/>
    </row>
    <row r="8562" spans="1:18" s="162" customFormat="1" ht="48" x14ac:dyDescent="0.25">
      <c r="A8562" s="184">
        <v>44197</v>
      </c>
      <c r="B8562" s="184">
        <v>44561</v>
      </c>
      <c r="C8562" s="138">
        <v>2021</v>
      </c>
      <c r="D8562" s="351" t="s">
        <v>23</v>
      </c>
      <c r="E8562" s="28" t="s">
        <v>327</v>
      </c>
      <c r="F8562" s="25" t="s">
        <v>781</v>
      </c>
      <c r="G8562" s="33" t="s">
        <v>26</v>
      </c>
      <c r="H8562" s="206" t="s">
        <v>11581</v>
      </c>
      <c r="I8562" s="157">
        <v>1</v>
      </c>
      <c r="J8562" s="142">
        <v>146</v>
      </c>
      <c r="K8562" s="142">
        <v>0</v>
      </c>
      <c r="L8562" s="142">
        <v>0</v>
      </c>
      <c r="M8562" s="142">
        <v>0</v>
      </c>
      <c r="N8562" s="142">
        <v>0</v>
      </c>
      <c r="O8562" s="142">
        <v>0</v>
      </c>
      <c r="P8562" s="306">
        <v>0</v>
      </c>
      <c r="Q8562" s="35" t="s">
        <v>9333</v>
      </c>
      <c r="R8562" s="303"/>
    </row>
    <row r="8563" spans="1:18" s="162" customFormat="1" ht="36" x14ac:dyDescent="0.25">
      <c r="A8563" s="184">
        <v>44197</v>
      </c>
      <c r="B8563" s="184">
        <v>44561</v>
      </c>
      <c r="C8563" s="138">
        <v>2021</v>
      </c>
      <c r="D8563" s="351" t="s">
        <v>23</v>
      </c>
      <c r="E8563" s="28" t="s">
        <v>327</v>
      </c>
      <c r="F8563" s="7" t="s">
        <v>91</v>
      </c>
      <c r="G8563" s="33" t="s">
        <v>26</v>
      </c>
      <c r="H8563" s="206" t="s">
        <v>11582</v>
      </c>
      <c r="I8563" s="157">
        <v>0</v>
      </c>
      <c r="J8563" s="142">
        <v>5</v>
      </c>
      <c r="K8563" s="142">
        <v>0</v>
      </c>
      <c r="L8563" s="142">
        <v>0</v>
      </c>
      <c r="M8563" s="142">
        <v>0</v>
      </c>
      <c r="N8563" s="142">
        <v>0</v>
      </c>
      <c r="O8563" s="142">
        <v>0</v>
      </c>
      <c r="P8563" s="306">
        <v>0</v>
      </c>
      <c r="Q8563" s="35" t="s">
        <v>9333</v>
      </c>
      <c r="R8563" s="303"/>
    </row>
    <row r="8564" spans="1:18" s="162" customFormat="1" ht="48" x14ac:dyDescent="0.25">
      <c r="A8564" s="184">
        <v>44197</v>
      </c>
      <c r="B8564" s="184">
        <v>44561</v>
      </c>
      <c r="C8564" s="138">
        <v>2021</v>
      </c>
      <c r="D8564" s="351" t="s">
        <v>23</v>
      </c>
      <c r="E8564" s="28" t="s">
        <v>327</v>
      </c>
      <c r="F8564" s="28" t="s">
        <v>210</v>
      </c>
      <c r="G8564" s="33" t="s">
        <v>26</v>
      </c>
      <c r="H8564" s="206" t="s">
        <v>11583</v>
      </c>
      <c r="I8564" s="157">
        <v>1</v>
      </c>
      <c r="J8564" s="142">
        <v>9</v>
      </c>
      <c r="K8564" s="142">
        <v>0</v>
      </c>
      <c r="L8564" s="142">
        <v>0</v>
      </c>
      <c r="M8564" s="142">
        <v>0</v>
      </c>
      <c r="N8564" s="142">
        <v>0</v>
      </c>
      <c r="O8564" s="142">
        <v>0</v>
      </c>
      <c r="P8564" s="306">
        <v>0</v>
      </c>
      <c r="Q8564" s="35" t="s">
        <v>9333</v>
      </c>
      <c r="R8564" s="303"/>
    </row>
    <row r="8565" spans="1:18" s="162" customFormat="1" ht="36" x14ac:dyDescent="0.25">
      <c r="A8565" s="184">
        <v>44197</v>
      </c>
      <c r="B8565" s="184">
        <v>44561</v>
      </c>
      <c r="C8565" s="138">
        <v>2021</v>
      </c>
      <c r="D8565" s="351" t="s">
        <v>23</v>
      </c>
      <c r="E8565" s="28" t="s">
        <v>327</v>
      </c>
      <c r="F8565" s="28" t="s">
        <v>163</v>
      </c>
      <c r="G8565" s="33" t="s">
        <v>26</v>
      </c>
      <c r="H8565" s="206" t="s">
        <v>11584</v>
      </c>
      <c r="I8565" s="157">
        <v>2</v>
      </c>
      <c r="J8565" s="142">
        <v>23</v>
      </c>
      <c r="K8565" s="142">
        <v>0</v>
      </c>
      <c r="L8565" s="142">
        <v>0</v>
      </c>
      <c r="M8565" s="142">
        <v>0</v>
      </c>
      <c r="N8565" s="142">
        <v>0</v>
      </c>
      <c r="O8565" s="142">
        <v>0</v>
      </c>
      <c r="P8565" s="306">
        <v>0</v>
      </c>
      <c r="Q8565" s="35" t="s">
        <v>9333</v>
      </c>
      <c r="R8565" s="303"/>
    </row>
    <row r="8566" spans="1:18" s="162" customFormat="1" ht="96" x14ac:dyDescent="0.25">
      <c r="A8566" s="184">
        <v>44200</v>
      </c>
      <c r="B8566" s="184">
        <v>44201</v>
      </c>
      <c r="C8566" s="138">
        <v>2021</v>
      </c>
      <c r="D8566" s="35" t="s">
        <v>28</v>
      </c>
      <c r="E8566" s="6" t="s">
        <v>149</v>
      </c>
      <c r="F8566" s="28" t="s">
        <v>157</v>
      </c>
      <c r="G8566" s="33" t="s">
        <v>1190</v>
      </c>
      <c r="H8566" s="311" t="s">
        <v>11585</v>
      </c>
      <c r="I8566" s="157">
        <v>0</v>
      </c>
      <c r="J8566" s="142">
        <v>40</v>
      </c>
      <c r="K8566" s="142">
        <v>12</v>
      </c>
      <c r="L8566" s="142">
        <v>0</v>
      </c>
      <c r="M8566" s="142">
        <v>0</v>
      </c>
      <c r="N8566" s="142">
        <v>0</v>
      </c>
      <c r="O8566" s="142">
        <v>0</v>
      </c>
      <c r="P8566" s="306">
        <v>5.5902000000000009E-3</v>
      </c>
      <c r="Q8566" s="50" t="s">
        <v>9523</v>
      </c>
      <c r="R8566" s="303"/>
    </row>
    <row r="8567" spans="1:18" s="162" customFormat="1" ht="168" x14ac:dyDescent="0.25">
      <c r="A8567" s="184">
        <v>44201</v>
      </c>
      <c r="B8567" s="184">
        <v>44201</v>
      </c>
      <c r="C8567" s="138">
        <v>2021</v>
      </c>
      <c r="D8567" s="35" t="s">
        <v>28</v>
      </c>
      <c r="E8567" s="6" t="s">
        <v>149</v>
      </c>
      <c r="F8567" s="28" t="s">
        <v>157</v>
      </c>
      <c r="G8567" s="33" t="s">
        <v>526</v>
      </c>
      <c r="H8567" s="311" t="s">
        <v>11586</v>
      </c>
      <c r="I8567" s="157">
        <v>0</v>
      </c>
      <c r="J8567" s="142">
        <v>6</v>
      </c>
      <c r="K8567" s="142">
        <v>0</v>
      </c>
      <c r="L8567" s="142">
        <v>0</v>
      </c>
      <c r="M8567" s="142">
        <v>0</v>
      </c>
      <c r="N8567" s="142">
        <v>2</v>
      </c>
      <c r="O8567" s="142">
        <v>0</v>
      </c>
      <c r="P8567" s="306">
        <v>0</v>
      </c>
      <c r="Q8567" s="50" t="s">
        <v>9523</v>
      </c>
      <c r="R8567" s="303"/>
    </row>
    <row r="8568" spans="1:18" s="162" customFormat="1" ht="120" x14ac:dyDescent="0.25">
      <c r="A8568" s="184">
        <v>44201</v>
      </c>
      <c r="B8568" s="184">
        <v>44201</v>
      </c>
      <c r="C8568" s="138">
        <v>2021</v>
      </c>
      <c r="D8568" s="24" t="s">
        <v>141</v>
      </c>
      <c r="E8568" s="30" t="s">
        <v>142</v>
      </c>
      <c r="F8568" s="7" t="s">
        <v>53</v>
      </c>
      <c r="G8568" s="33" t="s">
        <v>1304</v>
      </c>
      <c r="H8568" s="311" t="s">
        <v>11587</v>
      </c>
      <c r="I8568" s="157">
        <v>0</v>
      </c>
      <c r="J8568" s="142">
        <v>12</v>
      </c>
      <c r="K8568" s="142">
        <v>0</v>
      </c>
      <c r="L8568" s="142">
        <v>0</v>
      </c>
      <c r="M8568" s="142">
        <v>0</v>
      </c>
      <c r="N8568" s="142">
        <v>0</v>
      </c>
      <c r="O8568" s="142">
        <v>0</v>
      </c>
      <c r="P8568" s="306">
        <v>0.90787510000000005</v>
      </c>
      <c r="Q8568" s="50" t="s">
        <v>9523</v>
      </c>
      <c r="R8568" s="303"/>
    </row>
    <row r="8569" spans="1:18" s="162" customFormat="1" ht="72" x14ac:dyDescent="0.25">
      <c r="A8569" s="184">
        <v>44201</v>
      </c>
      <c r="B8569" s="184">
        <v>44201</v>
      </c>
      <c r="C8569" s="138">
        <v>2021</v>
      </c>
      <c r="D8569" s="35" t="s">
        <v>28</v>
      </c>
      <c r="E8569" s="6" t="s">
        <v>149</v>
      </c>
      <c r="F8569" s="28" t="s">
        <v>157</v>
      </c>
      <c r="G8569" s="33" t="s">
        <v>158</v>
      </c>
      <c r="H8569" s="311" t="s">
        <v>11588</v>
      </c>
      <c r="I8569" s="157">
        <v>0</v>
      </c>
      <c r="J8569" s="142">
        <v>20</v>
      </c>
      <c r="K8569" s="142">
        <v>0</v>
      </c>
      <c r="L8569" s="142">
        <v>0</v>
      </c>
      <c r="M8569" s="142">
        <v>0</v>
      </c>
      <c r="N8569" s="142">
        <v>0</v>
      </c>
      <c r="O8569" s="142">
        <v>0</v>
      </c>
      <c r="P8569" s="306">
        <v>0.21296000000000004</v>
      </c>
      <c r="Q8569" s="50" t="s">
        <v>9523</v>
      </c>
      <c r="R8569" s="303"/>
    </row>
    <row r="8570" spans="1:18" s="162" customFormat="1" ht="120" x14ac:dyDescent="0.25">
      <c r="A8570" s="184">
        <v>44205</v>
      </c>
      <c r="B8570" s="184">
        <v>44205</v>
      </c>
      <c r="C8570" s="138">
        <v>2021</v>
      </c>
      <c r="D8570" s="35" t="s">
        <v>28</v>
      </c>
      <c r="E8570" s="6" t="s">
        <v>149</v>
      </c>
      <c r="F8570" s="28" t="s">
        <v>157</v>
      </c>
      <c r="G8570" s="33" t="s">
        <v>1062</v>
      </c>
      <c r="H8570" s="311" t="s">
        <v>11589</v>
      </c>
      <c r="I8570" s="157">
        <v>1</v>
      </c>
      <c r="J8570" s="142">
        <v>61</v>
      </c>
      <c r="K8570" s="142">
        <v>0</v>
      </c>
      <c r="L8570" s="142">
        <v>0</v>
      </c>
      <c r="M8570" s="142">
        <v>0</v>
      </c>
      <c r="N8570" s="142">
        <v>0</v>
      </c>
      <c r="O8570" s="142">
        <v>0</v>
      </c>
      <c r="P8570" s="306">
        <v>0</v>
      </c>
      <c r="Q8570" s="50" t="s">
        <v>9523</v>
      </c>
      <c r="R8570" s="303"/>
    </row>
    <row r="8571" spans="1:18" s="162" customFormat="1" ht="72" x14ac:dyDescent="0.25">
      <c r="A8571" s="184">
        <v>44207</v>
      </c>
      <c r="B8571" s="184">
        <v>44207</v>
      </c>
      <c r="C8571" s="138">
        <v>2021</v>
      </c>
      <c r="D8571" s="24" t="s">
        <v>141</v>
      </c>
      <c r="E8571" s="30" t="s">
        <v>142</v>
      </c>
      <c r="F8571" s="7" t="s">
        <v>56</v>
      </c>
      <c r="G8571" s="33" t="s">
        <v>646</v>
      </c>
      <c r="H8571" s="311" t="s">
        <v>11590</v>
      </c>
      <c r="I8571" s="157">
        <v>0</v>
      </c>
      <c r="J8571" s="142">
        <v>5</v>
      </c>
      <c r="K8571" s="142">
        <v>0</v>
      </c>
      <c r="L8571" s="142">
        <v>0</v>
      </c>
      <c r="M8571" s="142">
        <v>0</v>
      </c>
      <c r="N8571" s="142">
        <v>0</v>
      </c>
      <c r="O8571" s="142">
        <v>0</v>
      </c>
      <c r="P8571" s="306">
        <v>0.22419085700000005</v>
      </c>
      <c r="Q8571" s="50" t="s">
        <v>9523</v>
      </c>
      <c r="R8571" s="303"/>
    </row>
    <row r="8572" spans="1:18" s="162" customFormat="1" ht="60" x14ac:dyDescent="0.25">
      <c r="A8572" s="184">
        <v>44208</v>
      </c>
      <c r="B8572" s="184">
        <v>44208</v>
      </c>
      <c r="C8572" s="138">
        <v>2021</v>
      </c>
      <c r="D8572" s="35" t="s">
        <v>28</v>
      </c>
      <c r="E8572" s="30" t="s">
        <v>133</v>
      </c>
      <c r="F8572" s="28" t="s">
        <v>160</v>
      </c>
      <c r="G8572" s="33" t="s">
        <v>11591</v>
      </c>
      <c r="H8572" s="311" t="s">
        <v>11592</v>
      </c>
      <c r="I8572" s="157">
        <v>1</v>
      </c>
      <c r="J8572" s="142">
        <v>240</v>
      </c>
      <c r="K8572" s="142">
        <v>0</v>
      </c>
      <c r="L8572" s="142">
        <v>0</v>
      </c>
      <c r="M8572" s="142">
        <v>0</v>
      </c>
      <c r="N8572" s="142">
        <v>0</v>
      </c>
      <c r="O8572" s="142">
        <v>0</v>
      </c>
      <c r="P8572" s="306">
        <v>0.59341284447058829</v>
      </c>
      <c r="Q8572" s="50" t="s">
        <v>9523</v>
      </c>
      <c r="R8572" s="303"/>
    </row>
    <row r="8573" spans="1:18" s="162" customFormat="1" ht="84" x14ac:dyDescent="0.25">
      <c r="A8573" s="184">
        <v>44208</v>
      </c>
      <c r="B8573" s="184">
        <v>44208</v>
      </c>
      <c r="C8573" s="138">
        <v>2021</v>
      </c>
      <c r="D8573" s="24" t="s">
        <v>141</v>
      </c>
      <c r="E8573" s="30" t="s">
        <v>142</v>
      </c>
      <c r="F8573" s="28" t="s">
        <v>157</v>
      </c>
      <c r="G8573" s="33" t="s">
        <v>716</v>
      </c>
      <c r="H8573" s="311" t="s">
        <v>11593</v>
      </c>
      <c r="I8573" s="157">
        <v>0</v>
      </c>
      <c r="J8573" s="142">
        <v>6</v>
      </c>
      <c r="K8573" s="142">
        <v>0</v>
      </c>
      <c r="L8573" s="142">
        <v>0</v>
      </c>
      <c r="M8573" s="142">
        <v>0</v>
      </c>
      <c r="N8573" s="142">
        <v>0</v>
      </c>
      <c r="O8573" s="142">
        <v>0</v>
      </c>
      <c r="P8573" s="306">
        <v>0.28434999999999999</v>
      </c>
      <c r="Q8573" s="50" t="s">
        <v>9523</v>
      </c>
      <c r="R8573" s="303"/>
    </row>
    <row r="8574" spans="1:18" s="162" customFormat="1" ht="84" x14ac:dyDescent="0.25">
      <c r="A8574" s="184">
        <v>44209</v>
      </c>
      <c r="B8574" s="184">
        <v>44209</v>
      </c>
      <c r="C8574" s="138">
        <v>2021</v>
      </c>
      <c r="D8574" s="24" t="s">
        <v>141</v>
      </c>
      <c r="E8574" s="30" t="s">
        <v>142</v>
      </c>
      <c r="F8574" s="28" t="s">
        <v>157</v>
      </c>
      <c r="G8574" s="33" t="s">
        <v>526</v>
      </c>
      <c r="H8574" s="311" t="s">
        <v>11594</v>
      </c>
      <c r="I8574" s="157">
        <v>0</v>
      </c>
      <c r="J8574" s="142">
        <v>8</v>
      </c>
      <c r="K8574" s="142">
        <v>0</v>
      </c>
      <c r="L8574" s="142">
        <v>0</v>
      </c>
      <c r="M8574" s="142">
        <v>0</v>
      </c>
      <c r="N8574" s="142">
        <v>0</v>
      </c>
      <c r="O8574" s="142">
        <v>0</v>
      </c>
      <c r="P8574" s="306">
        <v>0.86408520000000011</v>
      </c>
      <c r="Q8574" s="50" t="s">
        <v>9523</v>
      </c>
      <c r="R8574" s="303"/>
    </row>
    <row r="8575" spans="1:18" s="162" customFormat="1" ht="96" x14ac:dyDescent="0.25">
      <c r="A8575" s="184">
        <v>44215</v>
      </c>
      <c r="B8575" s="184">
        <v>44215</v>
      </c>
      <c r="C8575" s="138">
        <v>2021</v>
      </c>
      <c r="D8575" s="24" t="s">
        <v>141</v>
      </c>
      <c r="E8575" s="30" t="s">
        <v>142</v>
      </c>
      <c r="F8575" s="7" t="s">
        <v>87</v>
      </c>
      <c r="G8575" s="33" t="s">
        <v>936</v>
      </c>
      <c r="H8575" s="311" t="s">
        <v>11595</v>
      </c>
      <c r="I8575" s="157">
        <v>0</v>
      </c>
      <c r="J8575" s="142">
        <v>30</v>
      </c>
      <c r="K8575" s="142">
        <v>0</v>
      </c>
      <c r="L8575" s="142">
        <v>0</v>
      </c>
      <c r="M8575" s="142">
        <v>0</v>
      </c>
      <c r="N8575" s="142">
        <v>0</v>
      </c>
      <c r="O8575" s="142">
        <v>0</v>
      </c>
      <c r="P8575" s="306">
        <v>0.45545408943023252</v>
      </c>
      <c r="Q8575" s="50" t="s">
        <v>9523</v>
      </c>
      <c r="R8575" s="303"/>
    </row>
    <row r="8576" spans="1:18" s="162" customFormat="1" ht="192" x14ac:dyDescent="0.25">
      <c r="A8576" s="184">
        <v>44215</v>
      </c>
      <c r="B8576" s="184">
        <v>44215</v>
      </c>
      <c r="C8576" s="138">
        <v>2021</v>
      </c>
      <c r="D8576" s="351" t="s">
        <v>23</v>
      </c>
      <c r="E8576" s="22" t="s">
        <v>86</v>
      </c>
      <c r="F8576" s="28" t="s">
        <v>210</v>
      </c>
      <c r="G8576" s="33" t="s">
        <v>11596</v>
      </c>
      <c r="H8576" s="311" t="s">
        <v>11597</v>
      </c>
      <c r="I8576" s="157">
        <v>0</v>
      </c>
      <c r="J8576" s="142">
        <v>30</v>
      </c>
      <c r="K8576" s="142">
        <v>30</v>
      </c>
      <c r="L8576" s="142">
        <v>0</v>
      </c>
      <c r="M8576" s="142">
        <v>0</v>
      </c>
      <c r="N8576" s="142">
        <v>0</v>
      </c>
      <c r="O8576" s="142">
        <v>0</v>
      </c>
      <c r="P8576" s="306">
        <v>0.14650075000000001</v>
      </c>
      <c r="Q8576" s="50" t="s">
        <v>9523</v>
      </c>
      <c r="R8576" s="303"/>
    </row>
    <row r="8577" spans="1:18" s="162" customFormat="1" ht="72" x14ac:dyDescent="0.25">
      <c r="A8577" s="184">
        <v>44217</v>
      </c>
      <c r="B8577" s="184">
        <v>44217</v>
      </c>
      <c r="C8577" s="138">
        <v>2021</v>
      </c>
      <c r="D8577" s="35" t="s">
        <v>28</v>
      </c>
      <c r="E8577" s="6" t="s">
        <v>149</v>
      </c>
      <c r="F8577" s="28" t="s">
        <v>157</v>
      </c>
      <c r="G8577" s="33" t="s">
        <v>1062</v>
      </c>
      <c r="H8577" s="311" t="s">
        <v>11598</v>
      </c>
      <c r="I8577" s="157">
        <v>0</v>
      </c>
      <c r="J8577" s="142">
        <v>75</v>
      </c>
      <c r="K8577" s="142">
        <v>1</v>
      </c>
      <c r="L8577" s="142">
        <v>0</v>
      </c>
      <c r="M8577" s="142">
        <v>0</v>
      </c>
      <c r="N8577" s="142">
        <v>0</v>
      </c>
      <c r="O8577" s="142">
        <v>0</v>
      </c>
      <c r="P8577" s="306">
        <v>1.3340250000000002E-3</v>
      </c>
      <c r="Q8577" s="50" t="s">
        <v>9523</v>
      </c>
      <c r="R8577" s="303"/>
    </row>
    <row r="8578" spans="1:18" s="162" customFormat="1" ht="72" x14ac:dyDescent="0.25">
      <c r="A8578" s="184">
        <v>44218</v>
      </c>
      <c r="B8578" s="184">
        <v>44218</v>
      </c>
      <c r="C8578" s="138">
        <v>2021</v>
      </c>
      <c r="D8578" s="351" t="s">
        <v>23</v>
      </c>
      <c r="E8578" s="14" t="s">
        <v>52</v>
      </c>
      <c r="F8578" s="7" t="s">
        <v>30</v>
      </c>
      <c r="G8578" s="33" t="s">
        <v>901</v>
      </c>
      <c r="H8578" s="311" t="s">
        <v>11599</v>
      </c>
      <c r="I8578" s="157">
        <v>0</v>
      </c>
      <c r="J8578" s="142">
        <v>32</v>
      </c>
      <c r="K8578" s="142">
        <v>8</v>
      </c>
      <c r="L8578" s="142">
        <v>0</v>
      </c>
      <c r="M8578" s="142">
        <v>0</v>
      </c>
      <c r="N8578" s="142">
        <v>0</v>
      </c>
      <c r="O8578" s="142">
        <v>0</v>
      </c>
      <c r="P8578" s="306">
        <v>1.0672200000000001E-2</v>
      </c>
      <c r="Q8578" s="50" t="s">
        <v>9523</v>
      </c>
      <c r="R8578" s="303"/>
    </row>
    <row r="8579" spans="1:18" s="162" customFormat="1" ht="216" x14ac:dyDescent="0.25">
      <c r="A8579" s="184">
        <v>44220</v>
      </c>
      <c r="B8579" s="184">
        <v>44220</v>
      </c>
      <c r="C8579" s="138">
        <v>2021</v>
      </c>
      <c r="D8579" s="35" t="s">
        <v>28</v>
      </c>
      <c r="E8579" s="6" t="s">
        <v>149</v>
      </c>
      <c r="F8579" s="7" t="s">
        <v>77</v>
      </c>
      <c r="G8579" s="33" t="s">
        <v>9607</v>
      </c>
      <c r="H8579" s="311" t="s">
        <v>11600</v>
      </c>
      <c r="I8579" s="157">
        <v>0</v>
      </c>
      <c r="J8579" s="142">
        <v>203</v>
      </c>
      <c r="K8579" s="142">
        <v>2</v>
      </c>
      <c r="L8579" s="142">
        <v>0</v>
      </c>
      <c r="M8579" s="142">
        <v>0</v>
      </c>
      <c r="N8579" s="142">
        <v>0</v>
      </c>
      <c r="O8579" s="142">
        <v>0</v>
      </c>
      <c r="P8579" s="306">
        <v>0.82549140300000012</v>
      </c>
      <c r="Q8579" s="50" t="s">
        <v>9523</v>
      </c>
      <c r="R8579" s="303"/>
    </row>
    <row r="8580" spans="1:18" s="162" customFormat="1" ht="96" x14ac:dyDescent="0.25">
      <c r="A8580" s="184">
        <v>44221</v>
      </c>
      <c r="B8580" s="184">
        <v>44221</v>
      </c>
      <c r="C8580" s="138">
        <v>2021</v>
      </c>
      <c r="D8580" s="24" t="s">
        <v>141</v>
      </c>
      <c r="E8580" s="30" t="s">
        <v>142</v>
      </c>
      <c r="F8580" s="7" t="s">
        <v>75</v>
      </c>
      <c r="G8580" s="33" t="s">
        <v>75</v>
      </c>
      <c r="H8580" s="311" t="s">
        <v>11601</v>
      </c>
      <c r="I8580" s="157">
        <v>0</v>
      </c>
      <c r="J8580" s="142">
        <v>12</v>
      </c>
      <c r="K8580" s="142">
        <v>0</v>
      </c>
      <c r="L8580" s="142">
        <v>0</v>
      </c>
      <c r="M8580" s="142">
        <v>0</v>
      </c>
      <c r="N8580" s="142">
        <v>0</v>
      </c>
      <c r="O8580" s="142">
        <v>0</v>
      </c>
      <c r="P8580" s="306">
        <v>0.3093728</v>
      </c>
      <c r="Q8580" s="50" t="s">
        <v>9523</v>
      </c>
      <c r="R8580" s="303"/>
    </row>
    <row r="8581" spans="1:18" s="162" customFormat="1" ht="72" x14ac:dyDescent="0.25">
      <c r="A8581" s="184">
        <v>44222</v>
      </c>
      <c r="B8581" s="184">
        <v>44223</v>
      </c>
      <c r="C8581" s="138">
        <v>2021</v>
      </c>
      <c r="D8581" s="35" t="s">
        <v>28</v>
      </c>
      <c r="E8581" s="30" t="s">
        <v>133</v>
      </c>
      <c r="F8581" s="7" t="s">
        <v>58</v>
      </c>
      <c r="G8581" s="33" t="s">
        <v>9947</v>
      </c>
      <c r="H8581" s="311" t="s">
        <v>11602</v>
      </c>
      <c r="I8581" s="157">
        <v>0</v>
      </c>
      <c r="J8581" s="142">
        <v>3</v>
      </c>
      <c r="K8581" s="142">
        <v>0</v>
      </c>
      <c r="L8581" s="142">
        <v>0</v>
      </c>
      <c r="M8581" s="142">
        <v>0</v>
      </c>
      <c r="N8581" s="142">
        <v>1</v>
      </c>
      <c r="O8581" s="142">
        <v>0</v>
      </c>
      <c r="P8581" s="306">
        <v>9.6514803000000024E-2</v>
      </c>
      <c r="Q8581" s="50" t="s">
        <v>9523</v>
      </c>
      <c r="R8581" s="303"/>
    </row>
    <row r="8582" spans="1:18" s="162" customFormat="1" ht="120" x14ac:dyDescent="0.25">
      <c r="A8582" s="184">
        <v>44222</v>
      </c>
      <c r="B8582" s="184">
        <v>44222</v>
      </c>
      <c r="C8582" s="138">
        <v>2021</v>
      </c>
      <c r="D8582" s="351" t="s">
        <v>23</v>
      </c>
      <c r="E8582" s="22" t="s">
        <v>42</v>
      </c>
      <c r="F8582" s="7" t="s">
        <v>30</v>
      </c>
      <c r="G8582" s="33" t="s">
        <v>1573</v>
      </c>
      <c r="H8582" s="311" t="s">
        <v>11603</v>
      </c>
      <c r="I8582" s="157">
        <v>0</v>
      </c>
      <c r="J8582" s="142">
        <v>180</v>
      </c>
      <c r="K8582" s="142">
        <v>0</v>
      </c>
      <c r="L8582" s="142">
        <v>0</v>
      </c>
      <c r="M8582" s="142">
        <v>0</v>
      </c>
      <c r="N8582" s="142">
        <v>0</v>
      </c>
      <c r="O8582" s="142">
        <v>0</v>
      </c>
      <c r="P8582" s="306">
        <v>0</v>
      </c>
      <c r="Q8582" s="50" t="s">
        <v>9523</v>
      </c>
      <c r="R8582" s="303"/>
    </row>
    <row r="8583" spans="1:18" s="162" customFormat="1" ht="84" x14ac:dyDescent="0.25">
      <c r="A8583" s="184">
        <v>44223</v>
      </c>
      <c r="B8583" s="184">
        <v>44223</v>
      </c>
      <c r="C8583" s="138">
        <v>2021</v>
      </c>
      <c r="D8583" s="35" t="s">
        <v>28</v>
      </c>
      <c r="E8583" s="6" t="s">
        <v>149</v>
      </c>
      <c r="F8583" s="28" t="s">
        <v>157</v>
      </c>
      <c r="G8583" s="33" t="s">
        <v>526</v>
      </c>
      <c r="H8583" s="311" t="s">
        <v>11604</v>
      </c>
      <c r="I8583" s="157">
        <v>0</v>
      </c>
      <c r="J8583" s="142">
        <v>4</v>
      </c>
      <c r="K8583" s="142">
        <v>0</v>
      </c>
      <c r="L8583" s="142">
        <v>0</v>
      </c>
      <c r="M8583" s="142">
        <v>0</v>
      </c>
      <c r="N8583" s="142">
        <v>0</v>
      </c>
      <c r="O8583" s="142">
        <v>0</v>
      </c>
      <c r="P8583" s="306">
        <v>5.8096000000000016E-3</v>
      </c>
      <c r="Q8583" s="50" t="s">
        <v>9523</v>
      </c>
      <c r="R8583" s="303"/>
    </row>
    <row r="8584" spans="1:18" s="162" customFormat="1" ht="108" x14ac:dyDescent="0.25">
      <c r="A8584" s="184">
        <v>44224</v>
      </c>
      <c r="B8584" s="184">
        <v>44224</v>
      </c>
      <c r="C8584" s="138">
        <v>2021</v>
      </c>
      <c r="D8584" s="35" t="s">
        <v>28</v>
      </c>
      <c r="E8584" s="30" t="s">
        <v>133</v>
      </c>
      <c r="F8584" s="7" t="s">
        <v>53</v>
      </c>
      <c r="G8584" s="33" t="s">
        <v>451</v>
      </c>
      <c r="H8584" s="311" t="s">
        <v>11605</v>
      </c>
      <c r="I8584" s="157">
        <v>1</v>
      </c>
      <c r="J8584" s="142">
        <v>1</v>
      </c>
      <c r="K8584" s="142">
        <v>0</v>
      </c>
      <c r="L8584" s="142">
        <v>0</v>
      </c>
      <c r="M8584" s="142">
        <v>0</v>
      </c>
      <c r="N8584" s="142">
        <v>0</v>
      </c>
      <c r="O8584" s="142">
        <v>0</v>
      </c>
      <c r="P8584" s="306">
        <v>1.1979000000000002E-3</v>
      </c>
      <c r="Q8584" s="50" t="s">
        <v>9523</v>
      </c>
      <c r="R8584" s="303"/>
    </row>
    <row r="8585" spans="1:18" s="162" customFormat="1" ht="132" x14ac:dyDescent="0.25">
      <c r="A8585" s="184">
        <v>44226</v>
      </c>
      <c r="B8585" s="184">
        <v>44226</v>
      </c>
      <c r="C8585" s="138">
        <v>2021</v>
      </c>
      <c r="D8585" s="35" t="s">
        <v>17</v>
      </c>
      <c r="E8585" s="6" t="s">
        <v>328</v>
      </c>
      <c r="F8585" s="7" t="s">
        <v>30</v>
      </c>
      <c r="G8585" s="33" t="s">
        <v>1078</v>
      </c>
      <c r="H8585" s="311" t="s">
        <v>11606</v>
      </c>
      <c r="I8585" s="157">
        <v>0</v>
      </c>
      <c r="J8585" s="142">
        <v>90</v>
      </c>
      <c r="K8585" s="142">
        <v>35</v>
      </c>
      <c r="L8585" s="142">
        <v>0</v>
      </c>
      <c r="M8585" s="142">
        <v>0</v>
      </c>
      <c r="N8585" s="142">
        <v>0</v>
      </c>
      <c r="O8585" s="142">
        <v>0</v>
      </c>
      <c r="P8585" s="306">
        <v>1.5697027500000003</v>
      </c>
      <c r="Q8585" s="50" t="s">
        <v>9523</v>
      </c>
      <c r="R8585" s="303"/>
    </row>
    <row r="8586" spans="1:18" s="162" customFormat="1" ht="120" x14ac:dyDescent="0.25">
      <c r="A8586" s="184">
        <v>44226</v>
      </c>
      <c r="B8586" s="184">
        <v>44226</v>
      </c>
      <c r="C8586" s="138">
        <v>2021</v>
      </c>
      <c r="D8586" s="24" t="s">
        <v>130</v>
      </c>
      <c r="E8586" s="30" t="s">
        <v>136</v>
      </c>
      <c r="F8586" s="28" t="s">
        <v>157</v>
      </c>
      <c r="G8586" s="33" t="s">
        <v>1190</v>
      </c>
      <c r="H8586" s="311" t="s">
        <v>11607</v>
      </c>
      <c r="I8586" s="157">
        <v>0</v>
      </c>
      <c r="J8586" s="142">
        <v>5</v>
      </c>
      <c r="K8586" s="142">
        <v>0</v>
      </c>
      <c r="L8586" s="142">
        <v>0</v>
      </c>
      <c r="M8586" s="142">
        <v>0</v>
      </c>
      <c r="N8586" s="142">
        <v>0</v>
      </c>
      <c r="O8586" s="142">
        <v>0</v>
      </c>
      <c r="P8586" s="306">
        <v>4.7916000000000009E-3</v>
      </c>
      <c r="Q8586" s="50" t="s">
        <v>9523</v>
      </c>
      <c r="R8586" s="303"/>
    </row>
    <row r="8587" spans="1:18" s="162" customFormat="1" ht="96" x14ac:dyDescent="0.25">
      <c r="A8587" s="184">
        <v>44226</v>
      </c>
      <c r="B8587" s="184">
        <v>44226</v>
      </c>
      <c r="C8587" s="138">
        <v>2021</v>
      </c>
      <c r="D8587" s="24" t="s">
        <v>141</v>
      </c>
      <c r="E8587" s="30" t="s">
        <v>142</v>
      </c>
      <c r="F8587" s="7" t="s">
        <v>62</v>
      </c>
      <c r="G8587" s="33" t="s">
        <v>9135</v>
      </c>
      <c r="H8587" s="311" t="s">
        <v>11608</v>
      </c>
      <c r="I8587" s="157">
        <v>2</v>
      </c>
      <c r="J8587" s="142">
        <v>22</v>
      </c>
      <c r="K8587" s="142">
        <v>0</v>
      </c>
      <c r="L8587" s="142">
        <v>0</v>
      </c>
      <c r="M8587" s="142">
        <v>0</v>
      </c>
      <c r="N8587" s="142">
        <v>0</v>
      </c>
      <c r="O8587" s="142">
        <v>0</v>
      </c>
      <c r="P8587" s="306">
        <v>0.23497195700000006</v>
      </c>
      <c r="Q8587" s="50" t="s">
        <v>9523</v>
      </c>
      <c r="R8587" s="303"/>
    </row>
    <row r="8588" spans="1:18" s="162" customFormat="1" ht="96" x14ac:dyDescent="0.25">
      <c r="A8588" s="184">
        <v>44226</v>
      </c>
      <c r="B8588" s="184">
        <v>44226</v>
      </c>
      <c r="C8588" s="138">
        <v>2021</v>
      </c>
      <c r="D8588" s="35" t="s">
        <v>17</v>
      </c>
      <c r="E8588" s="6" t="s">
        <v>328</v>
      </c>
      <c r="F8588" s="7" t="s">
        <v>30</v>
      </c>
      <c r="G8588" s="33" t="s">
        <v>1078</v>
      </c>
      <c r="H8588" s="311" t="s">
        <v>11609</v>
      </c>
      <c r="I8588" s="157">
        <v>0</v>
      </c>
      <c r="J8588" s="142">
        <v>164</v>
      </c>
      <c r="K8588" s="142">
        <v>41</v>
      </c>
      <c r="L8588" s="142">
        <v>0</v>
      </c>
      <c r="M8588" s="142">
        <v>0</v>
      </c>
      <c r="N8588" s="142">
        <v>0</v>
      </c>
      <c r="O8588" s="142">
        <v>0</v>
      </c>
      <c r="P8588" s="306">
        <v>5.7833160000000001</v>
      </c>
      <c r="Q8588" s="50" t="s">
        <v>9523</v>
      </c>
      <c r="R8588" s="303"/>
    </row>
    <row r="8589" spans="1:18" s="162" customFormat="1" ht="108" x14ac:dyDescent="0.25">
      <c r="A8589" s="184">
        <v>44227</v>
      </c>
      <c r="B8589" s="184">
        <v>44227</v>
      </c>
      <c r="C8589" s="138">
        <v>2021</v>
      </c>
      <c r="D8589" s="24" t="s">
        <v>141</v>
      </c>
      <c r="E8589" s="30" t="s">
        <v>142</v>
      </c>
      <c r="F8589" s="7" t="s">
        <v>80</v>
      </c>
      <c r="G8589" s="33" t="s">
        <v>1089</v>
      </c>
      <c r="H8589" s="311" t="s">
        <v>11610</v>
      </c>
      <c r="I8589" s="157">
        <v>0</v>
      </c>
      <c r="J8589" s="142">
        <v>8</v>
      </c>
      <c r="K8589" s="142">
        <v>0</v>
      </c>
      <c r="L8589" s="142">
        <v>0</v>
      </c>
      <c r="M8589" s="142">
        <v>0</v>
      </c>
      <c r="N8589" s="142">
        <v>0</v>
      </c>
      <c r="O8589" s="142">
        <v>0</v>
      </c>
      <c r="P8589" s="306">
        <v>1.1845899999999999E-2</v>
      </c>
      <c r="Q8589" s="50" t="s">
        <v>9523</v>
      </c>
      <c r="R8589" s="303"/>
    </row>
    <row r="8590" spans="1:18" s="162" customFormat="1" ht="132" x14ac:dyDescent="0.25">
      <c r="A8590" s="184">
        <v>44229</v>
      </c>
      <c r="B8590" s="184">
        <v>44229</v>
      </c>
      <c r="C8590" s="138">
        <v>2021</v>
      </c>
      <c r="D8590" s="35" t="s">
        <v>28</v>
      </c>
      <c r="E8590" s="6" t="s">
        <v>149</v>
      </c>
      <c r="F8590" s="28" t="s">
        <v>157</v>
      </c>
      <c r="G8590" s="33" t="s">
        <v>716</v>
      </c>
      <c r="H8590" s="311" t="s">
        <v>11611</v>
      </c>
      <c r="I8590" s="157">
        <v>0</v>
      </c>
      <c r="J8590" s="142">
        <v>708</v>
      </c>
      <c r="K8590" s="142">
        <v>3</v>
      </c>
      <c r="L8590" s="142">
        <v>0</v>
      </c>
      <c r="M8590" s="142">
        <v>0</v>
      </c>
      <c r="N8590" s="142">
        <v>7</v>
      </c>
      <c r="O8590" s="142">
        <v>0</v>
      </c>
      <c r="P8590" s="306">
        <v>2.5298075E-2</v>
      </c>
      <c r="Q8590" s="50" t="s">
        <v>9523</v>
      </c>
      <c r="R8590" s="303"/>
    </row>
    <row r="8591" spans="1:18" s="162" customFormat="1" ht="48" x14ac:dyDescent="0.25">
      <c r="A8591" s="184">
        <v>44229</v>
      </c>
      <c r="B8591" s="184">
        <v>44249</v>
      </c>
      <c r="C8591" s="138">
        <v>2021</v>
      </c>
      <c r="D8591" s="351" t="s">
        <v>23</v>
      </c>
      <c r="E8591" s="22" t="s">
        <v>2689</v>
      </c>
      <c r="F8591" s="7" t="s">
        <v>72</v>
      </c>
      <c r="G8591" s="33" t="s">
        <v>11612</v>
      </c>
      <c r="H8591" s="311" t="s">
        <v>11613</v>
      </c>
      <c r="I8591" s="157">
        <v>0</v>
      </c>
      <c r="J8591" s="142">
        <v>0</v>
      </c>
      <c r="K8591" s="142">
        <v>0</v>
      </c>
      <c r="L8591" s="142">
        <v>0</v>
      </c>
      <c r="M8591" s="142">
        <v>0</v>
      </c>
      <c r="N8591" s="142">
        <v>0</v>
      </c>
      <c r="O8591" s="142">
        <v>0</v>
      </c>
      <c r="P8591" s="306">
        <v>0.63204150000000003</v>
      </c>
      <c r="Q8591" s="50" t="s">
        <v>9161</v>
      </c>
      <c r="R8591" s="303"/>
    </row>
    <row r="8592" spans="1:18" s="162" customFormat="1" ht="84" x14ac:dyDescent="0.25">
      <c r="A8592" s="184">
        <v>44233</v>
      </c>
      <c r="B8592" s="184">
        <v>44233</v>
      </c>
      <c r="C8592" s="138">
        <v>2021</v>
      </c>
      <c r="D8592" s="24" t="s">
        <v>141</v>
      </c>
      <c r="E8592" s="30" t="s">
        <v>142</v>
      </c>
      <c r="F8592" s="7" t="s">
        <v>68</v>
      </c>
      <c r="G8592" s="33" t="s">
        <v>5096</v>
      </c>
      <c r="H8592" s="311" t="s">
        <v>11614</v>
      </c>
      <c r="I8592" s="157">
        <v>0</v>
      </c>
      <c r="J8592" s="142">
        <v>5</v>
      </c>
      <c r="K8592" s="142">
        <v>0</v>
      </c>
      <c r="L8592" s="142">
        <v>0</v>
      </c>
      <c r="M8592" s="142">
        <v>0</v>
      </c>
      <c r="N8592" s="142">
        <v>0</v>
      </c>
      <c r="O8592" s="142">
        <v>0</v>
      </c>
      <c r="P8592" s="306">
        <v>0.15180458943023256</v>
      </c>
      <c r="Q8592" s="50" t="s">
        <v>9523</v>
      </c>
      <c r="R8592" s="303"/>
    </row>
    <row r="8593" spans="1:18" s="162" customFormat="1" ht="120" x14ac:dyDescent="0.25">
      <c r="A8593" s="184">
        <v>44233</v>
      </c>
      <c r="B8593" s="184">
        <v>44233</v>
      </c>
      <c r="C8593" s="138">
        <v>2021</v>
      </c>
      <c r="D8593" s="35" t="s">
        <v>28</v>
      </c>
      <c r="E8593" s="6" t="s">
        <v>149</v>
      </c>
      <c r="F8593" s="7" t="s">
        <v>60</v>
      </c>
      <c r="G8593" s="33" t="s">
        <v>1605</v>
      </c>
      <c r="H8593" s="311" t="s">
        <v>11615</v>
      </c>
      <c r="I8593" s="157">
        <v>2</v>
      </c>
      <c r="J8593" s="142">
        <v>64</v>
      </c>
      <c r="K8593" s="142">
        <v>0</v>
      </c>
      <c r="L8593" s="142">
        <v>0</v>
      </c>
      <c r="M8593" s="142">
        <v>0</v>
      </c>
      <c r="N8593" s="142">
        <v>1</v>
      </c>
      <c r="O8593" s="142">
        <v>0</v>
      </c>
      <c r="P8593" s="306">
        <v>6.4343202000000016E-2</v>
      </c>
      <c r="Q8593" s="50" t="s">
        <v>9523</v>
      </c>
      <c r="R8593" s="303"/>
    </row>
    <row r="8594" spans="1:18" s="162" customFormat="1" ht="84" x14ac:dyDescent="0.25">
      <c r="A8594" s="184">
        <v>44234</v>
      </c>
      <c r="B8594" s="184">
        <v>44234</v>
      </c>
      <c r="C8594" s="138">
        <v>2021</v>
      </c>
      <c r="D8594" s="35" t="s">
        <v>28</v>
      </c>
      <c r="E8594" s="6" t="s">
        <v>149</v>
      </c>
      <c r="F8594" s="28" t="s">
        <v>210</v>
      </c>
      <c r="G8594" s="33" t="s">
        <v>210</v>
      </c>
      <c r="H8594" s="311" t="s">
        <v>11616</v>
      </c>
      <c r="I8594" s="157">
        <v>0</v>
      </c>
      <c r="J8594" s="142">
        <v>15</v>
      </c>
      <c r="K8594" s="142">
        <v>1</v>
      </c>
      <c r="L8594" s="142">
        <v>0</v>
      </c>
      <c r="M8594" s="142">
        <v>0</v>
      </c>
      <c r="N8594" s="142">
        <v>0</v>
      </c>
      <c r="O8594" s="142">
        <v>0</v>
      </c>
      <c r="P8594" s="306">
        <v>1.1779350000000003E-2</v>
      </c>
      <c r="Q8594" s="50" t="s">
        <v>9523</v>
      </c>
      <c r="R8594" s="303"/>
    </row>
    <row r="8595" spans="1:18" s="162" customFormat="1" ht="84" x14ac:dyDescent="0.25">
      <c r="A8595" s="184">
        <v>44236</v>
      </c>
      <c r="B8595" s="184">
        <v>44236</v>
      </c>
      <c r="C8595" s="138">
        <v>2021</v>
      </c>
      <c r="D8595" s="24" t="s">
        <v>141</v>
      </c>
      <c r="E8595" s="30" t="s">
        <v>142</v>
      </c>
      <c r="F8595" s="28" t="s">
        <v>157</v>
      </c>
      <c r="G8595" s="33" t="s">
        <v>1190</v>
      </c>
      <c r="H8595" s="311" t="s">
        <v>11617</v>
      </c>
      <c r="I8595" s="157">
        <v>0</v>
      </c>
      <c r="J8595" s="305">
        <v>6</v>
      </c>
      <c r="K8595" s="142">
        <v>0</v>
      </c>
      <c r="L8595" s="142">
        <v>0</v>
      </c>
      <c r="M8595" s="142">
        <v>0</v>
      </c>
      <c r="N8595" s="142">
        <v>0</v>
      </c>
      <c r="O8595" s="142">
        <v>0</v>
      </c>
      <c r="P8595" s="306">
        <v>6.903408444705883E-2</v>
      </c>
      <c r="Q8595" s="50" t="s">
        <v>9523</v>
      </c>
      <c r="R8595" s="303"/>
    </row>
    <row r="8596" spans="1:18" s="162" customFormat="1" ht="120" x14ac:dyDescent="0.25">
      <c r="A8596" s="184">
        <v>44236</v>
      </c>
      <c r="B8596" s="184">
        <v>44236</v>
      </c>
      <c r="C8596" s="138">
        <v>2021</v>
      </c>
      <c r="D8596" s="35" t="s">
        <v>28</v>
      </c>
      <c r="E8596" s="6" t="s">
        <v>149</v>
      </c>
      <c r="F8596" s="7" t="s">
        <v>53</v>
      </c>
      <c r="G8596" s="33" t="s">
        <v>353</v>
      </c>
      <c r="H8596" s="311" t="s">
        <v>11618</v>
      </c>
      <c r="I8596" s="157">
        <v>0</v>
      </c>
      <c r="J8596" s="142">
        <v>2</v>
      </c>
      <c r="K8596" s="142">
        <v>0</v>
      </c>
      <c r="L8596" s="142">
        <v>0</v>
      </c>
      <c r="M8596" s="142">
        <v>0</v>
      </c>
      <c r="N8596" s="142">
        <v>1</v>
      </c>
      <c r="O8596" s="142">
        <v>0</v>
      </c>
      <c r="P8596" s="306">
        <v>2.3958000000000004E-3</v>
      </c>
      <c r="Q8596" s="50" t="s">
        <v>9523</v>
      </c>
      <c r="R8596" s="303"/>
    </row>
    <row r="8597" spans="1:18" s="162" customFormat="1" ht="84" x14ac:dyDescent="0.25">
      <c r="A8597" s="184">
        <v>44237</v>
      </c>
      <c r="B8597" s="184">
        <v>44237</v>
      </c>
      <c r="C8597" s="138">
        <v>2021</v>
      </c>
      <c r="D8597" s="35" t="s">
        <v>28</v>
      </c>
      <c r="E8597" s="6" t="s">
        <v>149</v>
      </c>
      <c r="F8597" s="7" t="s">
        <v>68</v>
      </c>
      <c r="G8597" s="33" t="s">
        <v>1121</v>
      </c>
      <c r="H8597" s="311" t="s">
        <v>11619</v>
      </c>
      <c r="I8597" s="157">
        <v>0</v>
      </c>
      <c r="J8597" s="142">
        <v>400</v>
      </c>
      <c r="K8597" s="142">
        <v>0</v>
      </c>
      <c r="L8597" s="142">
        <v>0</v>
      </c>
      <c r="M8597" s="142">
        <v>0</v>
      </c>
      <c r="N8597" s="142">
        <v>1</v>
      </c>
      <c r="O8597" s="142">
        <v>0</v>
      </c>
      <c r="P8597" s="306">
        <v>0</v>
      </c>
      <c r="Q8597" s="50" t="s">
        <v>9523</v>
      </c>
      <c r="R8597" s="303"/>
    </row>
    <row r="8598" spans="1:18" s="162" customFormat="1" ht="84" x14ac:dyDescent="0.25">
      <c r="A8598" s="184">
        <v>44238</v>
      </c>
      <c r="B8598" s="184">
        <v>44238</v>
      </c>
      <c r="C8598" s="138">
        <v>2021</v>
      </c>
      <c r="D8598" s="24" t="s">
        <v>141</v>
      </c>
      <c r="E8598" s="30" t="s">
        <v>142</v>
      </c>
      <c r="F8598" s="7" t="s">
        <v>84</v>
      </c>
      <c r="G8598" s="33" t="s">
        <v>2846</v>
      </c>
      <c r="H8598" s="311" t="s">
        <v>11620</v>
      </c>
      <c r="I8598" s="157">
        <v>3</v>
      </c>
      <c r="J8598" s="142">
        <v>3</v>
      </c>
      <c r="K8598" s="142">
        <v>0</v>
      </c>
      <c r="L8598" s="142">
        <v>0</v>
      </c>
      <c r="M8598" s="142">
        <v>0</v>
      </c>
      <c r="N8598" s="142">
        <v>0</v>
      </c>
      <c r="O8598" s="142">
        <v>0</v>
      </c>
      <c r="P8598" s="306">
        <v>0</v>
      </c>
      <c r="Q8598" s="50" t="s">
        <v>9523</v>
      </c>
      <c r="R8598" s="303"/>
    </row>
    <row r="8599" spans="1:18" s="162" customFormat="1" ht="60" x14ac:dyDescent="0.25">
      <c r="A8599" s="184">
        <v>44239</v>
      </c>
      <c r="B8599" s="184">
        <v>44239</v>
      </c>
      <c r="C8599" s="138">
        <v>2021</v>
      </c>
      <c r="D8599" s="24" t="s">
        <v>141</v>
      </c>
      <c r="E8599" s="30" t="s">
        <v>142</v>
      </c>
      <c r="F8599" s="7" t="s">
        <v>62</v>
      </c>
      <c r="G8599" s="33" t="s">
        <v>10649</v>
      </c>
      <c r="H8599" s="311" t="s">
        <v>11621</v>
      </c>
      <c r="I8599" s="157">
        <v>0</v>
      </c>
      <c r="J8599" s="142">
        <v>7</v>
      </c>
      <c r="K8599" s="142">
        <v>0</v>
      </c>
      <c r="L8599" s="142">
        <v>0</v>
      </c>
      <c r="M8599" s="142">
        <v>0</v>
      </c>
      <c r="N8599" s="142">
        <v>0</v>
      </c>
      <c r="O8599" s="142">
        <v>0</v>
      </c>
      <c r="P8599" s="306">
        <v>0.87247050000000015</v>
      </c>
      <c r="Q8599" s="50" t="s">
        <v>9523</v>
      </c>
      <c r="R8599" s="303"/>
    </row>
    <row r="8600" spans="1:18" s="162" customFormat="1" ht="84" x14ac:dyDescent="0.25">
      <c r="A8600" s="184">
        <v>44239</v>
      </c>
      <c r="B8600" s="184">
        <v>44239</v>
      </c>
      <c r="C8600" s="138">
        <v>2021</v>
      </c>
      <c r="D8600" s="24" t="s">
        <v>141</v>
      </c>
      <c r="E8600" s="30" t="s">
        <v>142</v>
      </c>
      <c r="F8600" s="7" t="s">
        <v>72</v>
      </c>
      <c r="G8600" s="33" t="s">
        <v>3749</v>
      </c>
      <c r="H8600" s="311" t="s">
        <v>11622</v>
      </c>
      <c r="I8600" s="157">
        <v>0</v>
      </c>
      <c r="J8600" s="142">
        <v>9</v>
      </c>
      <c r="K8600" s="142">
        <v>0</v>
      </c>
      <c r="L8600" s="142">
        <v>0</v>
      </c>
      <c r="M8600" s="142">
        <v>0</v>
      </c>
      <c r="N8600" s="142">
        <v>0</v>
      </c>
      <c r="O8600" s="142">
        <v>0</v>
      </c>
      <c r="P8600" s="306">
        <v>2.8483400000000002E-2</v>
      </c>
      <c r="Q8600" s="50" t="s">
        <v>9523</v>
      </c>
      <c r="R8600" s="303"/>
    </row>
    <row r="8601" spans="1:18" s="162" customFormat="1" ht="96" x14ac:dyDescent="0.25">
      <c r="A8601" s="184">
        <v>44239</v>
      </c>
      <c r="B8601" s="184">
        <v>44239</v>
      </c>
      <c r="C8601" s="138">
        <v>2021</v>
      </c>
      <c r="D8601" s="24" t="s">
        <v>141</v>
      </c>
      <c r="E8601" s="30" t="s">
        <v>142</v>
      </c>
      <c r="F8601" s="28" t="s">
        <v>157</v>
      </c>
      <c r="G8601" s="33" t="s">
        <v>526</v>
      </c>
      <c r="H8601" s="311" t="s">
        <v>11623</v>
      </c>
      <c r="I8601" s="157">
        <v>2</v>
      </c>
      <c r="J8601" s="142">
        <v>4</v>
      </c>
      <c r="K8601" s="142">
        <v>0</v>
      </c>
      <c r="L8601" s="142">
        <v>0</v>
      </c>
      <c r="M8601" s="142">
        <v>0</v>
      </c>
      <c r="N8601" s="142">
        <v>0</v>
      </c>
      <c r="O8601" s="142">
        <v>0</v>
      </c>
      <c r="P8601" s="306">
        <v>0.21535580000000001</v>
      </c>
      <c r="Q8601" s="50" t="s">
        <v>9523</v>
      </c>
      <c r="R8601" s="303"/>
    </row>
    <row r="8602" spans="1:18" s="162" customFormat="1" ht="60" x14ac:dyDescent="0.25">
      <c r="A8602" s="184">
        <v>44240</v>
      </c>
      <c r="B8602" s="184">
        <v>44241</v>
      </c>
      <c r="C8602" s="138">
        <v>2021</v>
      </c>
      <c r="D8602" s="24" t="s">
        <v>141</v>
      </c>
      <c r="E8602" s="30" t="s">
        <v>142</v>
      </c>
      <c r="F8602" s="7" t="s">
        <v>67</v>
      </c>
      <c r="G8602" s="33" t="s">
        <v>2973</v>
      </c>
      <c r="H8602" s="311" t="s">
        <v>11624</v>
      </c>
      <c r="I8602" s="157">
        <v>0</v>
      </c>
      <c r="J8602" s="142">
        <v>2</v>
      </c>
      <c r="K8602" s="142">
        <v>0</v>
      </c>
      <c r="L8602" s="142">
        <v>0</v>
      </c>
      <c r="M8602" s="142">
        <v>0</v>
      </c>
      <c r="N8602" s="142">
        <v>0</v>
      </c>
      <c r="O8602" s="142">
        <v>0</v>
      </c>
      <c r="P8602" s="306">
        <v>0.24404288943023258</v>
      </c>
      <c r="Q8602" s="50" t="s">
        <v>9523</v>
      </c>
      <c r="R8602" s="303"/>
    </row>
    <row r="8603" spans="1:18" s="162" customFormat="1" ht="168" x14ac:dyDescent="0.25">
      <c r="A8603" s="184">
        <v>44241</v>
      </c>
      <c r="B8603" s="184">
        <v>44241</v>
      </c>
      <c r="C8603" s="138">
        <v>2021</v>
      </c>
      <c r="D8603" s="351" t="s">
        <v>23</v>
      </c>
      <c r="E8603" s="49" t="s">
        <v>5893</v>
      </c>
      <c r="F8603" s="7" t="s">
        <v>40</v>
      </c>
      <c r="G8603" s="33" t="s">
        <v>11625</v>
      </c>
      <c r="H8603" s="311" t="s">
        <v>11626</v>
      </c>
      <c r="I8603" s="157">
        <v>1</v>
      </c>
      <c r="J8603" s="142">
        <v>23</v>
      </c>
      <c r="K8603" s="142">
        <v>0</v>
      </c>
      <c r="L8603" s="142">
        <v>0</v>
      </c>
      <c r="M8603" s="142">
        <v>0</v>
      </c>
      <c r="N8603" s="142">
        <v>0</v>
      </c>
      <c r="O8603" s="142">
        <v>0</v>
      </c>
      <c r="P8603" s="306">
        <v>5.3240000000000006E-3</v>
      </c>
      <c r="Q8603" s="50" t="s">
        <v>9523</v>
      </c>
      <c r="R8603" s="303"/>
    </row>
    <row r="8604" spans="1:18" s="162" customFormat="1" ht="108" x14ac:dyDescent="0.25">
      <c r="A8604" s="184">
        <v>44241</v>
      </c>
      <c r="B8604" s="184">
        <v>44241</v>
      </c>
      <c r="C8604" s="138">
        <v>2021</v>
      </c>
      <c r="D8604" s="24" t="s">
        <v>141</v>
      </c>
      <c r="E8604" s="30" t="s">
        <v>142</v>
      </c>
      <c r="F8604" s="7" t="s">
        <v>53</v>
      </c>
      <c r="G8604" s="33" t="s">
        <v>847</v>
      </c>
      <c r="H8604" s="311" t="s">
        <v>11627</v>
      </c>
      <c r="I8604" s="157">
        <v>1</v>
      </c>
      <c r="J8604" s="142">
        <v>5</v>
      </c>
      <c r="K8604" s="142">
        <v>0</v>
      </c>
      <c r="L8604" s="142">
        <v>0</v>
      </c>
      <c r="M8604" s="142">
        <v>0</v>
      </c>
      <c r="N8604" s="142">
        <v>0</v>
      </c>
      <c r="O8604" s="142">
        <v>0</v>
      </c>
      <c r="P8604" s="306">
        <v>0.32947295700000007</v>
      </c>
      <c r="Q8604" s="50" t="s">
        <v>9523</v>
      </c>
      <c r="R8604" s="303"/>
    </row>
    <row r="8605" spans="1:18" s="162" customFormat="1" ht="144" x14ac:dyDescent="0.25">
      <c r="A8605" s="184">
        <v>44242</v>
      </c>
      <c r="B8605" s="184">
        <v>44242</v>
      </c>
      <c r="C8605" s="138">
        <v>2021</v>
      </c>
      <c r="D8605" s="24" t="s">
        <v>141</v>
      </c>
      <c r="E8605" s="30" t="s">
        <v>142</v>
      </c>
      <c r="F8605" s="28" t="s">
        <v>157</v>
      </c>
      <c r="G8605" s="33" t="s">
        <v>1062</v>
      </c>
      <c r="H8605" s="311" t="s">
        <v>11628</v>
      </c>
      <c r="I8605" s="157">
        <v>1</v>
      </c>
      <c r="J8605" s="142">
        <v>6</v>
      </c>
      <c r="K8605" s="142">
        <v>0</v>
      </c>
      <c r="L8605" s="142">
        <v>0</v>
      </c>
      <c r="M8605" s="142">
        <v>0</v>
      </c>
      <c r="N8605" s="142">
        <v>0</v>
      </c>
      <c r="O8605" s="142">
        <v>0</v>
      </c>
      <c r="P8605" s="306">
        <v>0.43656800000000007</v>
      </c>
      <c r="Q8605" s="50" t="s">
        <v>9523</v>
      </c>
      <c r="R8605" s="303"/>
    </row>
    <row r="8606" spans="1:18" s="162" customFormat="1" ht="144" x14ac:dyDescent="0.25">
      <c r="A8606" s="184">
        <v>44242</v>
      </c>
      <c r="B8606" s="184">
        <v>44242</v>
      </c>
      <c r="C8606" s="138">
        <v>2021</v>
      </c>
      <c r="D8606" s="351" t="s">
        <v>23</v>
      </c>
      <c r="E8606" s="22" t="s">
        <v>42</v>
      </c>
      <c r="F8606" s="7" t="s">
        <v>45</v>
      </c>
      <c r="G8606" s="33" t="s">
        <v>11629</v>
      </c>
      <c r="H8606" s="311" t="s">
        <v>11630</v>
      </c>
      <c r="I8606" s="157">
        <v>0</v>
      </c>
      <c r="J8606" s="142">
        <v>36</v>
      </c>
      <c r="K8606" s="142">
        <v>0</v>
      </c>
      <c r="L8606" s="142">
        <v>0</v>
      </c>
      <c r="M8606" s="142">
        <v>0</v>
      </c>
      <c r="N8606" s="142">
        <v>0</v>
      </c>
      <c r="O8606" s="142">
        <v>0</v>
      </c>
      <c r="P8606" s="306">
        <v>0</v>
      </c>
      <c r="Q8606" s="50" t="s">
        <v>9523</v>
      </c>
      <c r="R8606" s="303"/>
    </row>
    <row r="8607" spans="1:18" s="162" customFormat="1" ht="72" x14ac:dyDescent="0.25">
      <c r="A8607" s="184">
        <v>44245</v>
      </c>
      <c r="B8607" s="184">
        <v>44245</v>
      </c>
      <c r="C8607" s="138">
        <v>2021</v>
      </c>
      <c r="D8607" s="24" t="s">
        <v>141</v>
      </c>
      <c r="E8607" s="30" t="s">
        <v>142</v>
      </c>
      <c r="F8607" s="7" t="s">
        <v>62</v>
      </c>
      <c r="G8607" s="33" t="s">
        <v>11357</v>
      </c>
      <c r="H8607" s="311" t="s">
        <v>11631</v>
      </c>
      <c r="I8607" s="157">
        <v>1</v>
      </c>
      <c r="J8607" s="142">
        <v>28</v>
      </c>
      <c r="K8607" s="142">
        <v>0</v>
      </c>
      <c r="L8607" s="142">
        <v>0</v>
      </c>
      <c r="M8607" s="142">
        <v>0</v>
      </c>
      <c r="N8607" s="142">
        <v>0</v>
      </c>
      <c r="O8607" s="142">
        <v>0</v>
      </c>
      <c r="P8607" s="306">
        <v>0.50255135700000009</v>
      </c>
      <c r="Q8607" s="50" t="s">
        <v>9523</v>
      </c>
      <c r="R8607" s="303"/>
    </row>
    <row r="8608" spans="1:18" s="162" customFormat="1" ht="84" x14ac:dyDescent="0.25">
      <c r="A8608" s="184">
        <v>44245</v>
      </c>
      <c r="B8608" s="184">
        <v>44246</v>
      </c>
      <c r="C8608" s="138">
        <v>2021</v>
      </c>
      <c r="D8608" s="24" t="s">
        <v>141</v>
      </c>
      <c r="E8608" s="30" t="s">
        <v>142</v>
      </c>
      <c r="F8608" s="28" t="s">
        <v>210</v>
      </c>
      <c r="G8608" s="33" t="s">
        <v>2938</v>
      </c>
      <c r="H8608" s="311" t="s">
        <v>11632</v>
      </c>
      <c r="I8608" s="157">
        <v>2</v>
      </c>
      <c r="J8608" s="142">
        <v>8</v>
      </c>
      <c r="K8608" s="142">
        <v>0</v>
      </c>
      <c r="L8608" s="142">
        <v>0</v>
      </c>
      <c r="M8608" s="142">
        <v>0</v>
      </c>
      <c r="N8608" s="142">
        <v>0</v>
      </c>
      <c r="O8608" s="142">
        <v>0</v>
      </c>
      <c r="P8608" s="306">
        <v>0.87127260000000006</v>
      </c>
      <c r="Q8608" s="50" t="s">
        <v>9523</v>
      </c>
      <c r="R8608" s="303"/>
    </row>
    <row r="8609" spans="1:18" s="162" customFormat="1" ht="96" x14ac:dyDescent="0.25">
      <c r="A8609" s="184">
        <v>44246</v>
      </c>
      <c r="B8609" s="184">
        <v>44246</v>
      </c>
      <c r="C8609" s="138">
        <v>2021</v>
      </c>
      <c r="D8609" s="35" t="s">
        <v>28</v>
      </c>
      <c r="E8609" s="6" t="s">
        <v>149</v>
      </c>
      <c r="F8609" s="7" t="s">
        <v>58</v>
      </c>
      <c r="G8609" s="33" t="s">
        <v>6775</v>
      </c>
      <c r="H8609" s="311" t="s">
        <v>11633</v>
      </c>
      <c r="I8609" s="157">
        <v>0</v>
      </c>
      <c r="J8609" s="142">
        <v>22</v>
      </c>
      <c r="K8609" s="142">
        <v>3</v>
      </c>
      <c r="L8609" s="142">
        <v>0</v>
      </c>
      <c r="M8609" s="142">
        <v>0</v>
      </c>
      <c r="N8609" s="142">
        <v>0</v>
      </c>
      <c r="O8609" s="142">
        <v>0</v>
      </c>
      <c r="P8609" s="306">
        <v>0.10787755000000002</v>
      </c>
      <c r="Q8609" s="50" t="s">
        <v>9523</v>
      </c>
      <c r="R8609" s="303"/>
    </row>
    <row r="8610" spans="1:18" s="162" customFormat="1" ht="96" x14ac:dyDescent="0.25">
      <c r="A8610" s="184">
        <v>44246</v>
      </c>
      <c r="B8610" s="184">
        <v>44246</v>
      </c>
      <c r="C8610" s="138">
        <v>2021</v>
      </c>
      <c r="D8610" s="35" t="s">
        <v>28</v>
      </c>
      <c r="E8610" s="6" t="s">
        <v>149</v>
      </c>
      <c r="F8610" s="28" t="s">
        <v>157</v>
      </c>
      <c r="G8610" s="33" t="s">
        <v>1062</v>
      </c>
      <c r="H8610" s="311" t="s">
        <v>11634</v>
      </c>
      <c r="I8610" s="157">
        <v>0</v>
      </c>
      <c r="J8610" s="142">
        <v>15</v>
      </c>
      <c r="K8610" s="142">
        <v>1</v>
      </c>
      <c r="L8610" s="142">
        <v>0</v>
      </c>
      <c r="M8610" s="142">
        <v>0</v>
      </c>
      <c r="N8610" s="142">
        <v>0</v>
      </c>
      <c r="O8610" s="142">
        <v>0</v>
      </c>
      <c r="P8610" s="306">
        <v>1.3340250000000002E-3</v>
      </c>
      <c r="Q8610" s="50" t="s">
        <v>9523</v>
      </c>
      <c r="R8610" s="303"/>
    </row>
    <row r="8611" spans="1:18" s="162" customFormat="1" ht="84" x14ac:dyDescent="0.25">
      <c r="A8611" s="184">
        <v>44246</v>
      </c>
      <c r="B8611" s="184">
        <v>44246</v>
      </c>
      <c r="C8611" s="138">
        <v>2021</v>
      </c>
      <c r="D8611" s="24" t="s">
        <v>141</v>
      </c>
      <c r="E8611" s="30" t="s">
        <v>142</v>
      </c>
      <c r="F8611" s="7" t="s">
        <v>45</v>
      </c>
      <c r="G8611" s="33" t="s">
        <v>11635</v>
      </c>
      <c r="H8611" s="311" t="s">
        <v>11636</v>
      </c>
      <c r="I8611" s="157">
        <v>0</v>
      </c>
      <c r="J8611" s="142">
        <v>0</v>
      </c>
      <c r="K8611" s="142">
        <v>0</v>
      </c>
      <c r="L8611" s="142">
        <v>0</v>
      </c>
      <c r="M8611" s="142">
        <v>0</v>
      </c>
      <c r="N8611" s="142">
        <v>0</v>
      </c>
      <c r="O8611" s="142">
        <v>0</v>
      </c>
      <c r="P8611" s="306">
        <v>1.486837983732558</v>
      </c>
      <c r="Q8611" s="50" t="s">
        <v>9523</v>
      </c>
      <c r="R8611" s="303"/>
    </row>
    <row r="8612" spans="1:18" s="162" customFormat="1" ht="120" x14ac:dyDescent="0.25">
      <c r="A8612" s="184">
        <v>44246</v>
      </c>
      <c r="B8612" s="184">
        <v>44246</v>
      </c>
      <c r="C8612" s="138">
        <v>2021</v>
      </c>
      <c r="D8612" s="35" t="s">
        <v>28</v>
      </c>
      <c r="E8612" s="6" t="s">
        <v>369</v>
      </c>
      <c r="F8612" s="7" t="s">
        <v>53</v>
      </c>
      <c r="G8612" s="33" t="s">
        <v>4816</v>
      </c>
      <c r="H8612" s="311" t="s">
        <v>11637</v>
      </c>
      <c r="I8612" s="157">
        <v>0</v>
      </c>
      <c r="J8612" s="142">
        <v>30</v>
      </c>
      <c r="K8612" s="142">
        <v>0</v>
      </c>
      <c r="L8612" s="142">
        <v>0</v>
      </c>
      <c r="M8612" s="142">
        <v>0</v>
      </c>
      <c r="N8612" s="142">
        <v>0</v>
      </c>
      <c r="O8612" s="142">
        <v>0</v>
      </c>
      <c r="P8612" s="306">
        <v>0.14399999999999999</v>
      </c>
      <c r="Q8612" s="50" t="s">
        <v>9523</v>
      </c>
      <c r="R8612" s="303"/>
    </row>
    <row r="8613" spans="1:18" s="162" customFormat="1" ht="144" x14ac:dyDescent="0.25">
      <c r="A8613" s="184">
        <v>44247</v>
      </c>
      <c r="B8613" s="184">
        <v>44247</v>
      </c>
      <c r="C8613" s="138">
        <v>2021</v>
      </c>
      <c r="D8613" s="35" t="s">
        <v>28</v>
      </c>
      <c r="E8613" s="6" t="s">
        <v>149</v>
      </c>
      <c r="F8613" s="28" t="s">
        <v>160</v>
      </c>
      <c r="G8613" s="33" t="s">
        <v>2822</v>
      </c>
      <c r="H8613" s="311" t="s">
        <v>11638</v>
      </c>
      <c r="I8613" s="157">
        <v>0</v>
      </c>
      <c r="J8613" s="142">
        <v>28</v>
      </c>
      <c r="K8613" s="142">
        <v>0</v>
      </c>
      <c r="L8613" s="142">
        <v>0</v>
      </c>
      <c r="M8613" s="142">
        <v>1</v>
      </c>
      <c r="N8613" s="142">
        <v>0</v>
      </c>
      <c r="O8613" s="142">
        <v>0</v>
      </c>
      <c r="P8613" s="306">
        <v>5.9895000000000018E-3</v>
      </c>
      <c r="Q8613" s="50" t="s">
        <v>9523</v>
      </c>
      <c r="R8613" s="303"/>
    </row>
    <row r="8614" spans="1:18" s="162" customFormat="1" ht="84" x14ac:dyDescent="0.25">
      <c r="A8614" s="184">
        <v>44247</v>
      </c>
      <c r="B8614" s="184">
        <v>44247</v>
      </c>
      <c r="C8614" s="138">
        <v>2021</v>
      </c>
      <c r="D8614" s="24" t="s">
        <v>141</v>
      </c>
      <c r="E8614" s="30" t="s">
        <v>142</v>
      </c>
      <c r="F8614" s="7" t="s">
        <v>45</v>
      </c>
      <c r="G8614" s="33" t="s">
        <v>2890</v>
      </c>
      <c r="H8614" s="311" t="s">
        <v>11639</v>
      </c>
      <c r="I8614" s="157">
        <v>2</v>
      </c>
      <c r="J8614" s="142">
        <v>17</v>
      </c>
      <c r="K8614" s="142">
        <v>0</v>
      </c>
      <c r="L8614" s="142">
        <v>0</v>
      </c>
      <c r="M8614" s="142">
        <v>0</v>
      </c>
      <c r="N8614" s="142">
        <v>0</v>
      </c>
      <c r="O8614" s="142">
        <v>0</v>
      </c>
      <c r="P8614" s="306">
        <v>1.0172207894302325</v>
      </c>
      <c r="Q8614" s="50" t="s">
        <v>9523</v>
      </c>
      <c r="R8614" s="303"/>
    </row>
    <row r="8615" spans="1:18" s="162" customFormat="1" ht="72" x14ac:dyDescent="0.25">
      <c r="A8615" s="184">
        <v>44248</v>
      </c>
      <c r="B8615" s="184">
        <v>44248</v>
      </c>
      <c r="C8615" s="138">
        <v>2021</v>
      </c>
      <c r="D8615" s="24" t="s">
        <v>141</v>
      </c>
      <c r="E8615" s="30" t="s">
        <v>142</v>
      </c>
      <c r="F8615" s="28" t="s">
        <v>210</v>
      </c>
      <c r="G8615" s="33" t="s">
        <v>1140</v>
      </c>
      <c r="H8615" s="311" t="s">
        <v>11640</v>
      </c>
      <c r="I8615" s="157">
        <v>6</v>
      </c>
      <c r="J8615" s="142">
        <v>0</v>
      </c>
      <c r="K8615" s="142">
        <v>0</v>
      </c>
      <c r="L8615" s="142">
        <v>0</v>
      </c>
      <c r="M8615" s="142">
        <v>0</v>
      </c>
      <c r="N8615" s="142">
        <v>0</v>
      </c>
      <c r="O8615" s="142">
        <v>0</v>
      </c>
      <c r="P8615" s="306">
        <v>0</v>
      </c>
      <c r="Q8615" s="50" t="s">
        <v>9523</v>
      </c>
      <c r="R8615" s="303"/>
    </row>
    <row r="8616" spans="1:18" s="162" customFormat="1" ht="72" x14ac:dyDescent="0.25">
      <c r="A8616" s="184">
        <v>44248</v>
      </c>
      <c r="B8616" s="184">
        <v>44248</v>
      </c>
      <c r="C8616" s="138">
        <v>2021</v>
      </c>
      <c r="D8616" s="35" t="s">
        <v>28</v>
      </c>
      <c r="E8616" s="6" t="s">
        <v>149</v>
      </c>
      <c r="F8616" s="28" t="s">
        <v>157</v>
      </c>
      <c r="G8616" s="33" t="s">
        <v>857</v>
      </c>
      <c r="H8616" s="311" t="s">
        <v>11641</v>
      </c>
      <c r="I8616" s="157">
        <v>0</v>
      </c>
      <c r="J8616" s="142">
        <v>225</v>
      </c>
      <c r="K8616" s="142">
        <v>1</v>
      </c>
      <c r="L8616" s="142">
        <v>0</v>
      </c>
      <c r="M8616" s="142">
        <v>0</v>
      </c>
      <c r="N8616" s="142">
        <v>0</v>
      </c>
      <c r="O8616" s="142">
        <v>0</v>
      </c>
      <c r="P8616" s="306">
        <v>1.3340250000000002E-3</v>
      </c>
      <c r="Q8616" s="50" t="s">
        <v>9523</v>
      </c>
      <c r="R8616" s="303"/>
    </row>
    <row r="8617" spans="1:18" s="162" customFormat="1" ht="84" x14ac:dyDescent="0.25">
      <c r="A8617" s="184">
        <v>44249</v>
      </c>
      <c r="B8617" s="184">
        <v>44249</v>
      </c>
      <c r="C8617" s="138">
        <v>2021</v>
      </c>
      <c r="D8617" s="35" t="s">
        <v>28</v>
      </c>
      <c r="E8617" s="6" t="s">
        <v>149</v>
      </c>
      <c r="F8617" s="7" t="s">
        <v>60</v>
      </c>
      <c r="G8617" s="33" t="s">
        <v>908</v>
      </c>
      <c r="H8617" s="311" t="s">
        <v>11642</v>
      </c>
      <c r="I8617" s="157">
        <v>0</v>
      </c>
      <c r="J8617" s="142">
        <v>30</v>
      </c>
      <c r="K8617" s="142">
        <v>0</v>
      </c>
      <c r="L8617" s="142">
        <v>0</v>
      </c>
      <c r="M8617" s="142">
        <v>0</v>
      </c>
      <c r="N8617" s="142">
        <v>1</v>
      </c>
      <c r="O8617" s="142">
        <v>0</v>
      </c>
      <c r="P8617" s="306">
        <v>0</v>
      </c>
      <c r="Q8617" s="50" t="s">
        <v>9523</v>
      </c>
      <c r="R8617" s="303"/>
    </row>
    <row r="8618" spans="1:18" s="162" customFormat="1" ht="84" x14ac:dyDescent="0.25">
      <c r="A8618" s="184">
        <v>44251</v>
      </c>
      <c r="B8618" s="184">
        <v>44251</v>
      </c>
      <c r="C8618" s="138">
        <v>2021</v>
      </c>
      <c r="D8618" s="35" t="s">
        <v>28</v>
      </c>
      <c r="E8618" s="30" t="s">
        <v>133</v>
      </c>
      <c r="F8618" s="7" t="s">
        <v>53</v>
      </c>
      <c r="G8618" s="33" t="s">
        <v>451</v>
      </c>
      <c r="H8618" s="311" t="s">
        <v>11643</v>
      </c>
      <c r="I8618" s="157">
        <v>0</v>
      </c>
      <c r="J8618" s="142">
        <v>2</v>
      </c>
      <c r="K8618" s="142">
        <v>1</v>
      </c>
      <c r="L8618" s="142">
        <v>0</v>
      </c>
      <c r="M8618" s="142">
        <v>0</v>
      </c>
      <c r="N8618" s="142">
        <v>0</v>
      </c>
      <c r="O8618" s="142">
        <v>0</v>
      </c>
      <c r="P8618" s="306">
        <v>1.3340250000000002E-3</v>
      </c>
      <c r="Q8618" s="50" t="s">
        <v>9523</v>
      </c>
      <c r="R8618" s="303"/>
    </row>
    <row r="8619" spans="1:18" s="162" customFormat="1" ht="132" x14ac:dyDescent="0.25">
      <c r="A8619" s="184">
        <v>44251</v>
      </c>
      <c r="B8619" s="184">
        <v>44251</v>
      </c>
      <c r="C8619" s="138">
        <v>2021</v>
      </c>
      <c r="D8619" s="24" t="s">
        <v>141</v>
      </c>
      <c r="E8619" s="30" t="s">
        <v>142</v>
      </c>
      <c r="F8619" s="7" t="s">
        <v>62</v>
      </c>
      <c r="G8619" s="33" t="s">
        <v>1011</v>
      </c>
      <c r="H8619" s="311" t="s">
        <v>11644</v>
      </c>
      <c r="I8619" s="157">
        <v>0</v>
      </c>
      <c r="J8619" s="142">
        <v>20</v>
      </c>
      <c r="K8619" s="142">
        <v>0</v>
      </c>
      <c r="L8619" s="142">
        <v>0</v>
      </c>
      <c r="M8619" s="142">
        <v>0</v>
      </c>
      <c r="N8619" s="142">
        <v>0</v>
      </c>
      <c r="O8619" s="142">
        <v>0</v>
      </c>
      <c r="P8619" s="306">
        <v>0.14355238943023257</v>
      </c>
      <c r="Q8619" s="50" t="s">
        <v>9523</v>
      </c>
      <c r="R8619" s="303"/>
    </row>
    <row r="8620" spans="1:18" s="162" customFormat="1" ht="84" x14ac:dyDescent="0.25">
      <c r="A8620" s="184">
        <v>44251</v>
      </c>
      <c r="B8620" s="184">
        <v>44252</v>
      </c>
      <c r="C8620" s="138">
        <v>2021</v>
      </c>
      <c r="D8620" s="24" t="s">
        <v>141</v>
      </c>
      <c r="E8620" s="30" t="s">
        <v>142</v>
      </c>
      <c r="F8620" s="7" t="s">
        <v>75</v>
      </c>
      <c r="G8620" s="33" t="s">
        <v>75</v>
      </c>
      <c r="H8620" s="311" t="s">
        <v>11645</v>
      </c>
      <c r="I8620" s="157">
        <v>0</v>
      </c>
      <c r="J8620" s="142">
        <v>7</v>
      </c>
      <c r="K8620" s="142">
        <v>0</v>
      </c>
      <c r="L8620" s="142">
        <v>0</v>
      </c>
      <c r="M8620" s="142">
        <v>0</v>
      </c>
      <c r="N8620" s="142">
        <v>0</v>
      </c>
      <c r="O8620" s="142">
        <v>0</v>
      </c>
      <c r="P8620" s="306">
        <v>0.22538875700000005</v>
      </c>
      <c r="Q8620" s="50" t="s">
        <v>9523</v>
      </c>
      <c r="R8620" s="303"/>
    </row>
    <row r="8621" spans="1:18" s="162" customFormat="1" ht="96" x14ac:dyDescent="0.25">
      <c r="A8621" s="184">
        <v>44252</v>
      </c>
      <c r="B8621" s="184">
        <v>44252</v>
      </c>
      <c r="C8621" s="138">
        <v>2021</v>
      </c>
      <c r="D8621" s="24" t="s">
        <v>141</v>
      </c>
      <c r="E8621" s="30" t="s">
        <v>142</v>
      </c>
      <c r="F8621" s="7" t="s">
        <v>36</v>
      </c>
      <c r="G8621" s="33" t="s">
        <v>232</v>
      </c>
      <c r="H8621" s="311" t="s">
        <v>11646</v>
      </c>
      <c r="I8621" s="157">
        <v>0</v>
      </c>
      <c r="J8621" s="142">
        <v>15</v>
      </c>
      <c r="K8621" s="142">
        <v>0</v>
      </c>
      <c r="L8621" s="142">
        <v>0</v>
      </c>
      <c r="M8621" s="142">
        <v>0</v>
      </c>
      <c r="N8621" s="142">
        <v>0</v>
      </c>
      <c r="O8621" s="142">
        <v>0</v>
      </c>
      <c r="P8621" s="306">
        <v>0.34264985700000006</v>
      </c>
      <c r="Q8621" s="50" t="s">
        <v>9523</v>
      </c>
      <c r="R8621" s="303"/>
    </row>
    <row r="8622" spans="1:18" s="162" customFormat="1" ht="108" x14ac:dyDescent="0.25">
      <c r="A8622" s="184">
        <v>44254</v>
      </c>
      <c r="B8622" s="184">
        <v>44254</v>
      </c>
      <c r="C8622" s="138">
        <v>2021</v>
      </c>
      <c r="D8622" s="24" t="s">
        <v>141</v>
      </c>
      <c r="E8622" s="30" t="s">
        <v>142</v>
      </c>
      <c r="F8622" s="7" t="s">
        <v>72</v>
      </c>
      <c r="G8622" s="33" t="s">
        <v>1954</v>
      </c>
      <c r="H8622" s="311" t="s">
        <v>11647</v>
      </c>
      <c r="I8622" s="157">
        <v>0</v>
      </c>
      <c r="J8622" s="142">
        <v>40</v>
      </c>
      <c r="K8622" s="142">
        <v>0</v>
      </c>
      <c r="L8622" s="142">
        <v>0</v>
      </c>
      <c r="M8622" s="142">
        <v>0</v>
      </c>
      <c r="N8622" s="142">
        <v>0</v>
      </c>
      <c r="O8622" s="142">
        <v>0</v>
      </c>
      <c r="P8622" s="306">
        <v>0.89283480000000004</v>
      </c>
      <c r="Q8622" s="50" t="s">
        <v>9523</v>
      </c>
      <c r="R8622" s="303"/>
    </row>
    <row r="8623" spans="1:18" s="162" customFormat="1" ht="108" x14ac:dyDescent="0.25">
      <c r="A8623" s="184">
        <v>44255</v>
      </c>
      <c r="B8623" s="184">
        <v>44255</v>
      </c>
      <c r="C8623" s="138">
        <v>2021</v>
      </c>
      <c r="D8623" s="24" t="s">
        <v>141</v>
      </c>
      <c r="E8623" s="30" t="s">
        <v>142</v>
      </c>
      <c r="F8623" s="7" t="s">
        <v>87</v>
      </c>
      <c r="G8623" s="33" t="s">
        <v>2168</v>
      </c>
      <c r="H8623" s="311" t="s">
        <v>11648</v>
      </c>
      <c r="I8623" s="157">
        <v>1</v>
      </c>
      <c r="J8623" s="142">
        <v>16</v>
      </c>
      <c r="K8623" s="142">
        <v>0</v>
      </c>
      <c r="L8623" s="142">
        <v>0</v>
      </c>
      <c r="M8623" s="142">
        <v>0</v>
      </c>
      <c r="N8623" s="142">
        <v>0</v>
      </c>
      <c r="O8623" s="142">
        <v>0</v>
      </c>
      <c r="P8623" s="306">
        <v>0.88205370000000005</v>
      </c>
      <c r="Q8623" s="50" t="s">
        <v>9523</v>
      </c>
      <c r="R8623" s="303"/>
    </row>
    <row r="8624" spans="1:18" s="162" customFormat="1" ht="60" x14ac:dyDescent="0.25">
      <c r="A8624" s="184">
        <v>44255</v>
      </c>
      <c r="B8624" s="184">
        <v>44255</v>
      </c>
      <c r="C8624" s="138">
        <v>2021</v>
      </c>
      <c r="D8624" s="35" t="s">
        <v>28</v>
      </c>
      <c r="E8624" s="6" t="s">
        <v>149</v>
      </c>
      <c r="F8624" s="7" t="s">
        <v>56</v>
      </c>
      <c r="G8624" s="33" t="s">
        <v>358</v>
      </c>
      <c r="H8624" s="311" t="s">
        <v>11649</v>
      </c>
      <c r="I8624" s="157">
        <v>2</v>
      </c>
      <c r="J8624" s="142">
        <v>5</v>
      </c>
      <c r="K8624" s="142">
        <v>1</v>
      </c>
      <c r="L8624" s="142">
        <v>0</v>
      </c>
      <c r="M8624" s="142">
        <v>0</v>
      </c>
      <c r="N8624" s="142">
        <v>0</v>
      </c>
      <c r="O8624" s="142">
        <v>0</v>
      </c>
      <c r="P8624" s="306">
        <v>1.0581450000000003E-2</v>
      </c>
      <c r="Q8624" s="50" t="s">
        <v>9523</v>
      </c>
      <c r="R8624" s="303"/>
    </row>
    <row r="8625" spans="1:18" s="162" customFormat="1" ht="60" x14ac:dyDescent="0.25">
      <c r="A8625" s="184">
        <v>44255</v>
      </c>
      <c r="B8625" s="184">
        <v>44256</v>
      </c>
      <c r="C8625" s="138">
        <v>2021</v>
      </c>
      <c r="D8625" s="24" t="s">
        <v>141</v>
      </c>
      <c r="E8625" s="30" t="s">
        <v>142</v>
      </c>
      <c r="F8625" s="28" t="s">
        <v>210</v>
      </c>
      <c r="G8625" s="33" t="s">
        <v>5517</v>
      </c>
      <c r="H8625" s="311" t="s">
        <v>11650</v>
      </c>
      <c r="I8625" s="157">
        <v>0</v>
      </c>
      <c r="J8625" s="142">
        <v>1</v>
      </c>
      <c r="K8625" s="142">
        <v>0</v>
      </c>
      <c r="L8625" s="142">
        <v>0</v>
      </c>
      <c r="M8625" s="142">
        <v>0</v>
      </c>
      <c r="N8625" s="142">
        <v>0</v>
      </c>
      <c r="O8625" s="142">
        <v>0</v>
      </c>
      <c r="P8625" s="306">
        <v>1.1979000000000002E-3</v>
      </c>
      <c r="Q8625" s="50" t="s">
        <v>9523</v>
      </c>
      <c r="R8625" s="303"/>
    </row>
    <row r="8626" spans="1:18" s="162" customFormat="1" ht="72" x14ac:dyDescent="0.25">
      <c r="A8626" s="184">
        <v>44258</v>
      </c>
      <c r="B8626" s="184">
        <v>44258</v>
      </c>
      <c r="C8626" s="138">
        <v>2021</v>
      </c>
      <c r="D8626" s="35" t="s">
        <v>28</v>
      </c>
      <c r="E8626" s="6" t="s">
        <v>149</v>
      </c>
      <c r="F8626" s="28" t="s">
        <v>157</v>
      </c>
      <c r="G8626" s="33" t="s">
        <v>1062</v>
      </c>
      <c r="H8626" s="311" t="s">
        <v>11651</v>
      </c>
      <c r="I8626" s="157">
        <v>0</v>
      </c>
      <c r="J8626" s="142">
        <v>30</v>
      </c>
      <c r="K8626" s="142">
        <v>1</v>
      </c>
      <c r="L8626" s="142">
        <v>0</v>
      </c>
      <c r="M8626" s="142">
        <v>0</v>
      </c>
      <c r="N8626" s="142">
        <v>0</v>
      </c>
      <c r="O8626" s="142">
        <v>0</v>
      </c>
      <c r="P8626" s="306">
        <v>6.9877500000000018E-3</v>
      </c>
      <c r="Q8626" s="50" t="s">
        <v>9523</v>
      </c>
      <c r="R8626" s="303"/>
    </row>
    <row r="8627" spans="1:18" s="162" customFormat="1" ht="96" x14ac:dyDescent="0.25">
      <c r="A8627" s="184">
        <v>44259</v>
      </c>
      <c r="B8627" s="184">
        <v>44259</v>
      </c>
      <c r="C8627" s="138">
        <v>2021</v>
      </c>
      <c r="D8627" s="35" t="s">
        <v>28</v>
      </c>
      <c r="E8627" s="6" t="s">
        <v>149</v>
      </c>
      <c r="F8627" s="7" t="s">
        <v>60</v>
      </c>
      <c r="G8627" s="33" t="s">
        <v>1605</v>
      </c>
      <c r="H8627" s="311" t="s">
        <v>11652</v>
      </c>
      <c r="I8627" s="157">
        <v>0</v>
      </c>
      <c r="J8627" s="142">
        <v>5</v>
      </c>
      <c r="K8627" s="142">
        <v>1</v>
      </c>
      <c r="L8627" s="142">
        <v>0</v>
      </c>
      <c r="M8627" s="142">
        <v>0</v>
      </c>
      <c r="N8627" s="142">
        <v>0</v>
      </c>
      <c r="O8627" s="142">
        <v>0</v>
      </c>
      <c r="P8627" s="306">
        <v>0.15844949999999999</v>
      </c>
      <c r="Q8627" s="50" t="s">
        <v>9523</v>
      </c>
      <c r="R8627" s="303"/>
    </row>
    <row r="8628" spans="1:18" s="162" customFormat="1" ht="108" x14ac:dyDescent="0.25">
      <c r="A8628" s="184">
        <v>44260</v>
      </c>
      <c r="B8628" s="184">
        <v>44260</v>
      </c>
      <c r="C8628" s="138">
        <v>2021</v>
      </c>
      <c r="D8628" s="24" t="s">
        <v>141</v>
      </c>
      <c r="E8628" s="30" t="s">
        <v>142</v>
      </c>
      <c r="F8628" s="28" t="s">
        <v>210</v>
      </c>
      <c r="G8628" s="33" t="s">
        <v>11653</v>
      </c>
      <c r="H8628" s="311" t="s">
        <v>11654</v>
      </c>
      <c r="I8628" s="157">
        <v>0</v>
      </c>
      <c r="J8628" s="142">
        <v>15</v>
      </c>
      <c r="K8628" s="142">
        <v>0</v>
      </c>
      <c r="L8628" s="142">
        <v>0</v>
      </c>
      <c r="M8628" s="142">
        <v>0</v>
      </c>
      <c r="N8628" s="142">
        <v>0</v>
      </c>
      <c r="O8628" s="142">
        <v>0</v>
      </c>
      <c r="P8628" s="306">
        <v>0.23616985700000004</v>
      </c>
      <c r="Q8628" s="50" t="s">
        <v>9523</v>
      </c>
      <c r="R8628" s="303"/>
    </row>
    <row r="8629" spans="1:18" s="162" customFormat="1" ht="72" x14ac:dyDescent="0.25">
      <c r="A8629" s="184">
        <v>44261</v>
      </c>
      <c r="B8629" s="184">
        <v>44261</v>
      </c>
      <c r="C8629" s="138">
        <v>2021</v>
      </c>
      <c r="D8629" s="24" t="s">
        <v>141</v>
      </c>
      <c r="E8629" s="30" t="s">
        <v>142</v>
      </c>
      <c r="F8629" s="7" t="s">
        <v>62</v>
      </c>
      <c r="G8629" s="33" t="s">
        <v>10342</v>
      </c>
      <c r="H8629" s="311" t="s">
        <v>11655</v>
      </c>
      <c r="I8629" s="157">
        <v>3</v>
      </c>
      <c r="J8629" s="142">
        <v>19</v>
      </c>
      <c r="K8629" s="142">
        <v>1</v>
      </c>
      <c r="L8629" s="142">
        <v>0</v>
      </c>
      <c r="M8629" s="142">
        <v>0</v>
      </c>
      <c r="N8629" s="142">
        <v>0</v>
      </c>
      <c r="O8629" s="142">
        <v>0</v>
      </c>
      <c r="P8629" s="306">
        <v>1.3037669394302327</v>
      </c>
      <c r="Q8629" s="50" t="s">
        <v>9523</v>
      </c>
      <c r="R8629" s="303"/>
    </row>
    <row r="8630" spans="1:18" s="162" customFormat="1" ht="72" x14ac:dyDescent="0.25">
      <c r="A8630" s="184">
        <v>44261</v>
      </c>
      <c r="B8630" s="184">
        <v>44261</v>
      </c>
      <c r="C8630" s="138">
        <v>2021</v>
      </c>
      <c r="D8630" s="24" t="s">
        <v>141</v>
      </c>
      <c r="E8630" s="30" t="s">
        <v>142</v>
      </c>
      <c r="F8630" s="7" t="s">
        <v>97</v>
      </c>
      <c r="G8630" s="33" t="s">
        <v>97</v>
      </c>
      <c r="H8630" s="311" t="s">
        <v>11656</v>
      </c>
      <c r="I8630" s="157">
        <v>0</v>
      </c>
      <c r="J8630" s="142">
        <v>7</v>
      </c>
      <c r="K8630" s="142">
        <v>0</v>
      </c>
      <c r="L8630" s="142">
        <v>0</v>
      </c>
      <c r="M8630" s="142">
        <v>0</v>
      </c>
      <c r="N8630" s="142">
        <v>0</v>
      </c>
      <c r="O8630" s="142">
        <v>0</v>
      </c>
      <c r="P8630" s="306">
        <v>2.9681300000000004E-2</v>
      </c>
      <c r="Q8630" s="50" t="s">
        <v>9523</v>
      </c>
      <c r="R8630" s="303"/>
    </row>
    <row r="8631" spans="1:18" s="162" customFormat="1" ht="60" x14ac:dyDescent="0.25">
      <c r="A8631" s="184">
        <v>44266</v>
      </c>
      <c r="B8631" s="184">
        <v>44266</v>
      </c>
      <c r="C8631" s="138">
        <v>2021</v>
      </c>
      <c r="D8631" s="24" t="s">
        <v>141</v>
      </c>
      <c r="E8631" s="30" t="s">
        <v>142</v>
      </c>
      <c r="F8631" s="25" t="s">
        <v>781</v>
      </c>
      <c r="G8631" s="33" t="s">
        <v>5514</v>
      </c>
      <c r="H8631" s="311" t="s">
        <v>11657</v>
      </c>
      <c r="I8631" s="157">
        <v>0</v>
      </c>
      <c r="J8631" s="142">
        <v>2</v>
      </c>
      <c r="K8631" s="142">
        <v>0</v>
      </c>
      <c r="L8631" s="142">
        <v>0</v>
      </c>
      <c r="M8631" s="142">
        <v>0</v>
      </c>
      <c r="N8631" s="142">
        <v>0</v>
      </c>
      <c r="O8631" s="142">
        <v>0</v>
      </c>
      <c r="P8631" s="306">
        <v>0</v>
      </c>
      <c r="Q8631" s="50" t="s">
        <v>9523</v>
      </c>
      <c r="R8631" s="303"/>
    </row>
    <row r="8632" spans="1:18" s="162" customFormat="1" ht="108" x14ac:dyDescent="0.25">
      <c r="A8632" s="184">
        <v>44266</v>
      </c>
      <c r="B8632" s="184">
        <v>44266</v>
      </c>
      <c r="C8632" s="138">
        <v>2021</v>
      </c>
      <c r="D8632" s="24" t="s">
        <v>141</v>
      </c>
      <c r="E8632" s="30" t="s">
        <v>142</v>
      </c>
      <c r="F8632" s="7" t="s">
        <v>68</v>
      </c>
      <c r="G8632" s="33" t="s">
        <v>2852</v>
      </c>
      <c r="H8632" s="311" t="s">
        <v>11658</v>
      </c>
      <c r="I8632" s="157">
        <v>11</v>
      </c>
      <c r="J8632" s="142">
        <v>17</v>
      </c>
      <c r="K8632" s="142">
        <v>0</v>
      </c>
      <c r="L8632" s="142">
        <v>0</v>
      </c>
      <c r="M8632" s="142">
        <v>0</v>
      </c>
      <c r="N8632" s="142">
        <v>0</v>
      </c>
      <c r="O8632" s="142">
        <v>0</v>
      </c>
      <c r="P8632" s="306">
        <v>2.2719733444705881</v>
      </c>
      <c r="Q8632" s="50" t="s">
        <v>9523</v>
      </c>
      <c r="R8632" s="303"/>
    </row>
    <row r="8633" spans="1:18" s="162" customFormat="1" ht="72" x14ac:dyDescent="0.25">
      <c r="A8633" s="184">
        <v>44268</v>
      </c>
      <c r="B8633" s="184">
        <v>44268</v>
      </c>
      <c r="C8633" s="138">
        <v>2021</v>
      </c>
      <c r="D8633" s="24" t="s">
        <v>141</v>
      </c>
      <c r="E8633" s="30" t="s">
        <v>142</v>
      </c>
      <c r="F8633" s="7" t="s">
        <v>30</v>
      </c>
      <c r="G8633" s="33" t="s">
        <v>1070</v>
      </c>
      <c r="H8633" s="311" t="s">
        <v>11659</v>
      </c>
      <c r="I8633" s="157">
        <v>0</v>
      </c>
      <c r="J8633" s="142">
        <v>24</v>
      </c>
      <c r="K8633" s="142">
        <v>0</v>
      </c>
      <c r="L8633" s="142">
        <v>0</v>
      </c>
      <c r="M8633" s="142">
        <v>0</v>
      </c>
      <c r="N8633" s="142">
        <v>0</v>
      </c>
      <c r="O8633" s="142">
        <v>0</v>
      </c>
      <c r="P8633" s="306">
        <v>0.89283480000000004</v>
      </c>
      <c r="Q8633" s="50" t="s">
        <v>9523</v>
      </c>
      <c r="R8633" s="303"/>
    </row>
    <row r="8634" spans="1:18" s="162" customFormat="1" ht="132" x14ac:dyDescent="0.25">
      <c r="A8634" s="184">
        <v>44269</v>
      </c>
      <c r="B8634" s="184">
        <v>44269</v>
      </c>
      <c r="C8634" s="138">
        <v>2021</v>
      </c>
      <c r="D8634" s="24" t="s">
        <v>141</v>
      </c>
      <c r="E8634" s="30" t="s">
        <v>142</v>
      </c>
      <c r="F8634" s="7" t="s">
        <v>75</v>
      </c>
      <c r="G8634" s="33" t="s">
        <v>75</v>
      </c>
      <c r="H8634" s="311" t="s">
        <v>11660</v>
      </c>
      <c r="I8634" s="157">
        <v>0</v>
      </c>
      <c r="J8634" s="142">
        <v>23</v>
      </c>
      <c r="K8634" s="142">
        <v>0</v>
      </c>
      <c r="L8634" s="142">
        <v>0</v>
      </c>
      <c r="M8634" s="142">
        <v>0</v>
      </c>
      <c r="N8634" s="142">
        <v>0</v>
      </c>
      <c r="O8634" s="142">
        <v>0</v>
      </c>
      <c r="P8634" s="306">
        <v>0.86648100000000017</v>
      </c>
      <c r="Q8634" s="50" t="s">
        <v>9523</v>
      </c>
      <c r="R8634" s="303"/>
    </row>
    <row r="8635" spans="1:18" s="162" customFormat="1" ht="72" x14ac:dyDescent="0.25">
      <c r="A8635" s="184">
        <v>44270</v>
      </c>
      <c r="B8635" s="184">
        <v>44270</v>
      </c>
      <c r="C8635" s="138">
        <v>2021</v>
      </c>
      <c r="D8635" s="24" t="s">
        <v>141</v>
      </c>
      <c r="E8635" s="30" t="s">
        <v>142</v>
      </c>
      <c r="F8635" s="28" t="s">
        <v>210</v>
      </c>
      <c r="G8635" s="33" t="s">
        <v>11661</v>
      </c>
      <c r="H8635" s="311" t="s">
        <v>11662</v>
      </c>
      <c r="I8635" s="157">
        <v>0</v>
      </c>
      <c r="J8635" s="142">
        <v>11</v>
      </c>
      <c r="K8635" s="142">
        <v>0</v>
      </c>
      <c r="L8635" s="142">
        <v>0</v>
      </c>
      <c r="M8635" s="142">
        <v>0</v>
      </c>
      <c r="N8635" s="142">
        <v>0</v>
      </c>
      <c r="O8635" s="142">
        <v>0</v>
      </c>
      <c r="P8635" s="306">
        <v>0.87726210000000004</v>
      </c>
      <c r="Q8635" s="50" t="s">
        <v>9523</v>
      </c>
      <c r="R8635" s="303"/>
    </row>
    <row r="8636" spans="1:18" s="162" customFormat="1" ht="132" x14ac:dyDescent="0.25">
      <c r="A8636" s="184">
        <v>44270</v>
      </c>
      <c r="B8636" s="184">
        <v>44271</v>
      </c>
      <c r="C8636" s="138">
        <v>2021</v>
      </c>
      <c r="D8636" s="24" t="s">
        <v>141</v>
      </c>
      <c r="E8636" s="30" t="s">
        <v>142</v>
      </c>
      <c r="F8636" s="7" t="s">
        <v>56</v>
      </c>
      <c r="G8636" s="33" t="s">
        <v>1160</v>
      </c>
      <c r="H8636" s="311" t="s">
        <v>11663</v>
      </c>
      <c r="I8636" s="157">
        <v>0</v>
      </c>
      <c r="J8636" s="142">
        <v>7</v>
      </c>
      <c r="K8636" s="142">
        <v>0</v>
      </c>
      <c r="L8636" s="142">
        <v>0</v>
      </c>
      <c r="M8636" s="142">
        <v>0</v>
      </c>
      <c r="N8636" s="142">
        <v>0</v>
      </c>
      <c r="O8636" s="142">
        <v>0</v>
      </c>
      <c r="P8636" s="306">
        <v>0.11366740000000003</v>
      </c>
      <c r="Q8636" s="50" t="s">
        <v>9523</v>
      </c>
      <c r="R8636" s="303"/>
    </row>
    <row r="8637" spans="1:18" s="162" customFormat="1" ht="72" x14ac:dyDescent="0.25">
      <c r="A8637" s="184">
        <v>44270</v>
      </c>
      <c r="B8637" s="184">
        <v>44271</v>
      </c>
      <c r="C8637" s="138">
        <v>2021</v>
      </c>
      <c r="D8637" s="24" t="s">
        <v>141</v>
      </c>
      <c r="E8637" s="30" t="s">
        <v>142</v>
      </c>
      <c r="F8637" s="7" t="s">
        <v>75</v>
      </c>
      <c r="G8637" s="33" t="s">
        <v>5585</v>
      </c>
      <c r="H8637" s="311" t="s">
        <v>11664</v>
      </c>
      <c r="I8637" s="157">
        <v>0</v>
      </c>
      <c r="J8637" s="142">
        <v>23</v>
      </c>
      <c r="K8637" s="142">
        <v>0</v>
      </c>
      <c r="L8637" s="142">
        <v>0</v>
      </c>
      <c r="M8637" s="142">
        <v>0</v>
      </c>
      <c r="N8637" s="142">
        <v>0</v>
      </c>
      <c r="O8637" s="142">
        <v>0</v>
      </c>
      <c r="P8637" s="306">
        <v>0.86648100000000017</v>
      </c>
      <c r="Q8637" s="50" t="s">
        <v>9523</v>
      </c>
      <c r="R8637" s="303"/>
    </row>
    <row r="8638" spans="1:18" s="162" customFormat="1" ht="72" x14ac:dyDescent="0.25">
      <c r="A8638" s="184">
        <v>44270</v>
      </c>
      <c r="B8638" s="184">
        <v>44271</v>
      </c>
      <c r="C8638" s="138">
        <v>2021</v>
      </c>
      <c r="D8638" s="24" t="s">
        <v>141</v>
      </c>
      <c r="E8638" s="30" t="s">
        <v>142</v>
      </c>
      <c r="F8638" s="28" t="s">
        <v>163</v>
      </c>
      <c r="G8638" s="33" t="s">
        <v>7222</v>
      </c>
      <c r="H8638" s="311" t="s">
        <v>11665</v>
      </c>
      <c r="I8638" s="157">
        <v>0</v>
      </c>
      <c r="J8638" s="142">
        <v>15</v>
      </c>
      <c r="K8638" s="142">
        <v>0</v>
      </c>
      <c r="L8638" s="142">
        <v>0</v>
      </c>
      <c r="M8638" s="142">
        <v>0</v>
      </c>
      <c r="N8638" s="142">
        <v>0</v>
      </c>
      <c r="O8638" s="142">
        <v>0</v>
      </c>
      <c r="P8638" s="306">
        <v>0.8747332000000001</v>
      </c>
      <c r="Q8638" s="50" t="s">
        <v>9523</v>
      </c>
      <c r="R8638" s="303"/>
    </row>
    <row r="8639" spans="1:18" s="162" customFormat="1" ht="108" x14ac:dyDescent="0.25">
      <c r="A8639" s="184">
        <v>44272</v>
      </c>
      <c r="B8639" s="184">
        <v>44272</v>
      </c>
      <c r="C8639" s="138">
        <v>2021</v>
      </c>
      <c r="D8639" s="24" t="s">
        <v>141</v>
      </c>
      <c r="E8639" s="30" t="s">
        <v>142</v>
      </c>
      <c r="F8639" s="7" t="s">
        <v>84</v>
      </c>
      <c r="G8639" s="33" t="s">
        <v>1559</v>
      </c>
      <c r="H8639" s="311" t="s">
        <v>11666</v>
      </c>
      <c r="I8639" s="157">
        <v>0</v>
      </c>
      <c r="J8639" s="142">
        <v>0</v>
      </c>
      <c r="K8639" s="142">
        <v>0</v>
      </c>
      <c r="L8639" s="142">
        <v>0</v>
      </c>
      <c r="M8639" s="142">
        <v>0</v>
      </c>
      <c r="N8639" s="142">
        <v>0</v>
      </c>
      <c r="O8639" s="142">
        <v>0</v>
      </c>
      <c r="P8639" s="306">
        <v>0</v>
      </c>
      <c r="Q8639" s="50" t="s">
        <v>9523</v>
      </c>
      <c r="R8639" s="303"/>
    </row>
    <row r="8640" spans="1:18" s="162" customFormat="1" ht="72" x14ac:dyDescent="0.25">
      <c r="A8640" s="184">
        <v>44272</v>
      </c>
      <c r="B8640" s="184">
        <v>44272</v>
      </c>
      <c r="C8640" s="138">
        <v>2021</v>
      </c>
      <c r="D8640" s="24" t="s">
        <v>141</v>
      </c>
      <c r="E8640" s="30" t="s">
        <v>142</v>
      </c>
      <c r="F8640" s="28" t="s">
        <v>157</v>
      </c>
      <c r="G8640" s="33" t="s">
        <v>158</v>
      </c>
      <c r="H8640" s="311" t="s">
        <v>11667</v>
      </c>
      <c r="I8640" s="157">
        <v>1</v>
      </c>
      <c r="J8640" s="142">
        <v>0</v>
      </c>
      <c r="K8640" s="142">
        <v>0</v>
      </c>
      <c r="L8640" s="142">
        <v>0</v>
      </c>
      <c r="M8640" s="142">
        <v>0</v>
      </c>
      <c r="N8640" s="142">
        <v>0</v>
      </c>
      <c r="O8640" s="142">
        <v>0</v>
      </c>
      <c r="P8640" s="306">
        <v>0.89270170000000004</v>
      </c>
      <c r="Q8640" s="50" t="s">
        <v>9523</v>
      </c>
      <c r="R8640" s="303"/>
    </row>
    <row r="8641" spans="1:18" s="162" customFormat="1" x14ac:dyDescent="0.25">
      <c r="A8641" s="184">
        <v>44273</v>
      </c>
      <c r="B8641" s="184">
        <v>44273</v>
      </c>
      <c r="C8641" s="138">
        <v>2021</v>
      </c>
      <c r="D8641" s="351" t="s">
        <v>23</v>
      </c>
      <c r="E8641" s="22" t="s">
        <v>86</v>
      </c>
      <c r="F8641" s="7" t="s">
        <v>36</v>
      </c>
      <c r="G8641" s="33" t="s">
        <v>11668</v>
      </c>
      <c r="H8641" s="311" t="s">
        <v>11669</v>
      </c>
      <c r="I8641" s="157">
        <v>0</v>
      </c>
      <c r="J8641" s="142">
        <v>515</v>
      </c>
      <c r="K8641" s="142">
        <v>0</v>
      </c>
      <c r="L8641" s="142">
        <v>0</v>
      </c>
      <c r="M8641" s="142">
        <v>0</v>
      </c>
      <c r="N8641" s="142">
        <v>0</v>
      </c>
      <c r="O8641" s="142">
        <v>0</v>
      </c>
      <c r="P8641" s="306">
        <v>0.29598240000000003</v>
      </c>
      <c r="Q8641" s="50" t="s">
        <v>11670</v>
      </c>
      <c r="R8641" s="303"/>
    </row>
    <row r="8642" spans="1:18" s="162" customFormat="1" ht="204" x14ac:dyDescent="0.25">
      <c r="A8642" s="184">
        <v>44274</v>
      </c>
      <c r="B8642" s="184">
        <v>44277</v>
      </c>
      <c r="C8642" s="138">
        <v>2021</v>
      </c>
      <c r="D8642" s="35" t="s">
        <v>17</v>
      </c>
      <c r="E8642" s="30" t="s">
        <v>122</v>
      </c>
      <c r="F8642" s="7" t="s">
        <v>58</v>
      </c>
      <c r="G8642" s="33" t="s">
        <v>5825</v>
      </c>
      <c r="H8642" s="311" t="s">
        <v>11671</v>
      </c>
      <c r="I8642" s="157">
        <v>0</v>
      </c>
      <c r="J8642" s="142">
        <v>400</v>
      </c>
      <c r="K8642" s="142">
        <v>100</v>
      </c>
      <c r="L8642" s="142">
        <v>0</v>
      </c>
      <c r="M8642" s="142">
        <v>0</v>
      </c>
      <c r="N8642" s="142">
        <v>0</v>
      </c>
      <c r="O8642" s="142">
        <v>0</v>
      </c>
      <c r="P8642" s="306">
        <v>0.13340250000000001</v>
      </c>
      <c r="Q8642" s="50" t="s">
        <v>9523</v>
      </c>
      <c r="R8642" s="303"/>
    </row>
    <row r="8643" spans="1:18" s="162" customFormat="1" ht="96" x14ac:dyDescent="0.25">
      <c r="A8643" s="184">
        <v>44277</v>
      </c>
      <c r="B8643" s="184">
        <v>44277</v>
      </c>
      <c r="C8643" s="138">
        <v>2021</v>
      </c>
      <c r="D8643" s="24" t="s">
        <v>141</v>
      </c>
      <c r="E8643" s="30" t="s">
        <v>142</v>
      </c>
      <c r="F8643" s="7" t="s">
        <v>40</v>
      </c>
      <c r="G8643" s="33" t="s">
        <v>830</v>
      </c>
      <c r="H8643" s="311" t="s">
        <v>11672</v>
      </c>
      <c r="I8643" s="157">
        <v>0</v>
      </c>
      <c r="J8643" s="142">
        <v>0</v>
      </c>
      <c r="K8643" s="142">
        <v>0</v>
      </c>
      <c r="L8643" s="142">
        <v>0</v>
      </c>
      <c r="M8643" s="142">
        <v>0</v>
      </c>
      <c r="N8643" s="142">
        <v>0</v>
      </c>
      <c r="O8643" s="142">
        <v>0</v>
      </c>
      <c r="P8643" s="306">
        <v>1.0892864070000001</v>
      </c>
      <c r="Q8643" s="50" t="s">
        <v>9523</v>
      </c>
      <c r="R8643" s="303"/>
    </row>
    <row r="8644" spans="1:18" s="162" customFormat="1" ht="72" x14ac:dyDescent="0.25">
      <c r="A8644" s="184">
        <v>44282</v>
      </c>
      <c r="B8644" s="184">
        <v>44282</v>
      </c>
      <c r="C8644" s="138">
        <v>2021</v>
      </c>
      <c r="D8644" s="35" t="s">
        <v>28</v>
      </c>
      <c r="E8644" s="6" t="s">
        <v>149</v>
      </c>
      <c r="F8644" s="7" t="s">
        <v>97</v>
      </c>
      <c r="G8644" s="33" t="s">
        <v>11673</v>
      </c>
      <c r="H8644" s="311" t="s">
        <v>11674</v>
      </c>
      <c r="I8644" s="157">
        <v>0</v>
      </c>
      <c r="J8644" s="142">
        <v>12</v>
      </c>
      <c r="K8644" s="142">
        <v>0</v>
      </c>
      <c r="L8644" s="142">
        <v>0</v>
      </c>
      <c r="M8644" s="142">
        <v>0</v>
      </c>
      <c r="N8644" s="142">
        <v>1</v>
      </c>
      <c r="O8644" s="142">
        <v>0</v>
      </c>
      <c r="P8644" s="306">
        <v>0</v>
      </c>
      <c r="Q8644" s="50" t="s">
        <v>9523</v>
      </c>
      <c r="R8644" s="303"/>
    </row>
    <row r="8645" spans="1:18" s="162" customFormat="1" ht="72" x14ac:dyDescent="0.25">
      <c r="A8645" s="184">
        <v>44282</v>
      </c>
      <c r="B8645" s="184">
        <v>44283</v>
      </c>
      <c r="C8645" s="138">
        <v>2021</v>
      </c>
      <c r="D8645" s="24" t="s">
        <v>141</v>
      </c>
      <c r="E8645" s="30" t="s">
        <v>142</v>
      </c>
      <c r="F8645" s="7" t="s">
        <v>87</v>
      </c>
      <c r="G8645" s="33" t="s">
        <v>2608</v>
      </c>
      <c r="H8645" s="311" t="s">
        <v>11675</v>
      </c>
      <c r="I8645" s="157">
        <v>6</v>
      </c>
      <c r="J8645" s="142">
        <v>7</v>
      </c>
      <c r="K8645" s="142">
        <v>0</v>
      </c>
      <c r="L8645" s="142">
        <v>0</v>
      </c>
      <c r="M8645" s="142">
        <v>0</v>
      </c>
      <c r="N8645" s="142">
        <v>0</v>
      </c>
      <c r="O8645" s="142">
        <v>0</v>
      </c>
      <c r="P8645" s="306">
        <v>0.17591960100000004</v>
      </c>
      <c r="Q8645" s="50" t="s">
        <v>9523</v>
      </c>
      <c r="R8645" s="303"/>
    </row>
    <row r="8646" spans="1:18" s="162" customFormat="1" ht="60" x14ac:dyDescent="0.25">
      <c r="A8646" s="184">
        <v>44283</v>
      </c>
      <c r="B8646" s="184">
        <v>44283</v>
      </c>
      <c r="C8646" s="138">
        <v>2021</v>
      </c>
      <c r="D8646" s="24" t="s">
        <v>141</v>
      </c>
      <c r="E8646" s="30" t="s">
        <v>142</v>
      </c>
      <c r="F8646" s="7" t="s">
        <v>62</v>
      </c>
      <c r="G8646" s="33" t="s">
        <v>1011</v>
      </c>
      <c r="H8646" s="311" t="s">
        <v>11676</v>
      </c>
      <c r="I8646" s="157">
        <v>0</v>
      </c>
      <c r="J8646" s="142">
        <v>5</v>
      </c>
      <c r="K8646" s="142">
        <v>0</v>
      </c>
      <c r="L8646" s="142">
        <v>0</v>
      </c>
      <c r="M8646" s="142">
        <v>0</v>
      </c>
      <c r="N8646" s="142">
        <v>0</v>
      </c>
      <c r="O8646" s="142">
        <v>0</v>
      </c>
      <c r="P8646" s="306">
        <v>0.3306708570000001</v>
      </c>
      <c r="Q8646" s="50" t="s">
        <v>9523</v>
      </c>
      <c r="R8646" s="303"/>
    </row>
    <row r="8647" spans="1:18" s="162" customFormat="1" ht="96" x14ac:dyDescent="0.25">
      <c r="A8647" s="184">
        <v>44283</v>
      </c>
      <c r="B8647" s="184">
        <v>44284</v>
      </c>
      <c r="C8647" s="138">
        <v>2021</v>
      </c>
      <c r="D8647" s="24" t="s">
        <v>141</v>
      </c>
      <c r="E8647" s="30" t="s">
        <v>142</v>
      </c>
      <c r="F8647" s="7" t="s">
        <v>36</v>
      </c>
      <c r="G8647" s="33" t="s">
        <v>854</v>
      </c>
      <c r="H8647" s="311" t="s">
        <v>11677</v>
      </c>
      <c r="I8647" s="157">
        <v>0</v>
      </c>
      <c r="J8647" s="142">
        <v>0</v>
      </c>
      <c r="K8647" s="142">
        <v>0</v>
      </c>
      <c r="L8647" s="142">
        <v>0</v>
      </c>
      <c r="M8647" s="142">
        <v>0</v>
      </c>
      <c r="N8647" s="142">
        <v>0</v>
      </c>
      <c r="O8647" s="142">
        <v>0</v>
      </c>
      <c r="P8647" s="306">
        <v>0.33666035700000008</v>
      </c>
      <c r="Q8647" s="50" t="s">
        <v>9523</v>
      </c>
      <c r="R8647" s="303"/>
    </row>
    <row r="8648" spans="1:18" s="162" customFormat="1" ht="72" x14ac:dyDescent="0.25">
      <c r="A8648" s="184">
        <v>44283</v>
      </c>
      <c r="B8648" s="184">
        <v>44284</v>
      </c>
      <c r="C8648" s="138">
        <v>2021</v>
      </c>
      <c r="D8648" s="35" t="s">
        <v>28</v>
      </c>
      <c r="E8648" s="30" t="s">
        <v>133</v>
      </c>
      <c r="F8648" s="7" t="s">
        <v>75</v>
      </c>
      <c r="G8648" s="33" t="s">
        <v>11678</v>
      </c>
      <c r="H8648" s="311" t="s">
        <v>11679</v>
      </c>
      <c r="I8648" s="157">
        <v>0</v>
      </c>
      <c r="J8648" s="142">
        <v>2</v>
      </c>
      <c r="K8648" s="142">
        <v>0</v>
      </c>
      <c r="L8648" s="142">
        <v>0</v>
      </c>
      <c r="M8648" s="142">
        <v>0</v>
      </c>
      <c r="N8648" s="142">
        <v>0</v>
      </c>
      <c r="O8648" s="142">
        <v>0</v>
      </c>
      <c r="P8648" s="306">
        <v>0.22059715700000004</v>
      </c>
      <c r="Q8648" s="50" t="s">
        <v>9523</v>
      </c>
      <c r="R8648" s="303"/>
    </row>
    <row r="8649" spans="1:18" s="162" customFormat="1" ht="96" x14ac:dyDescent="0.25">
      <c r="A8649" s="184">
        <v>44284</v>
      </c>
      <c r="B8649" s="184">
        <v>44284</v>
      </c>
      <c r="C8649" s="138">
        <v>2021</v>
      </c>
      <c r="D8649" s="24" t="s">
        <v>141</v>
      </c>
      <c r="E8649" s="30" t="s">
        <v>142</v>
      </c>
      <c r="F8649" s="7" t="s">
        <v>53</v>
      </c>
      <c r="G8649" s="33" t="s">
        <v>7455</v>
      </c>
      <c r="H8649" s="311" t="s">
        <v>11680</v>
      </c>
      <c r="I8649" s="157">
        <v>7</v>
      </c>
      <c r="J8649" s="142">
        <v>43</v>
      </c>
      <c r="K8649" s="142">
        <v>0</v>
      </c>
      <c r="L8649" s="142">
        <v>0</v>
      </c>
      <c r="M8649" s="142">
        <v>0</v>
      </c>
      <c r="N8649" s="142">
        <v>0</v>
      </c>
      <c r="O8649" s="142">
        <v>0</v>
      </c>
      <c r="P8649" s="306">
        <v>0.87007470000000009</v>
      </c>
      <c r="Q8649" s="50" t="s">
        <v>9523</v>
      </c>
      <c r="R8649" s="303"/>
    </row>
    <row r="8650" spans="1:18" s="162" customFormat="1" ht="108" x14ac:dyDescent="0.25">
      <c r="A8650" s="184">
        <v>44284</v>
      </c>
      <c r="B8650" s="184">
        <v>44284</v>
      </c>
      <c r="C8650" s="138">
        <v>2021</v>
      </c>
      <c r="D8650" s="35" t="s">
        <v>28</v>
      </c>
      <c r="E8650" s="30" t="s">
        <v>125</v>
      </c>
      <c r="F8650" s="7" t="s">
        <v>56</v>
      </c>
      <c r="G8650" s="33" t="s">
        <v>1160</v>
      </c>
      <c r="H8650" s="311" t="s">
        <v>11681</v>
      </c>
      <c r="I8650" s="157">
        <v>0</v>
      </c>
      <c r="J8650" s="142">
        <v>114</v>
      </c>
      <c r="K8650" s="142">
        <v>0</v>
      </c>
      <c r="L8650" s="142">
        <v>0</v>
      </c>
      <c r="M8650" s="142">
        <v>0</v>
      </c>
      <c r="N8650" s="142">
        <v>1</v>
      </c>
      <c r="O8650" s="142">
        <v>0</v>
      </c>
      <c r="P8650" s="306">
        <v>1.1979000000000002E-3</v>
      </c>
      <c r="Q8650" s="50" t="s">
        <v>9523</v>
      </c>
      <c r="R8650" s="303"/>
    </row>
    <row r="8651" spans="1:18" s="162" customFormat="1" ht="144" x14ac:dyDescent="0.25">
      <c r="A8651" s="184">
        <v>44284</v>
      </c>
      <c r="B8651" s="184">
        <v>44284</v>
      </c>
      <c r="C8651" s="138">
        <v>2021</v>
      </c>
      <c r="D8651" s="35" t="s">
        <v>28</v>
      </c>
      <c r="E8651" s="6" t="s">
        <v>149</v>
      </c>
      <c r="F8651" s="28" t="s">
        <v>210</v>
      </c>
      <c r="G8651" s="33" t="s">
        <v>210</v>
      </c>
      <c r="H8651" s="311" t="s">
        <v>11682</v>
      </c>
      <c r="I8651" s="157">
        <v>0</v>
      </c>
      <c r="J8651" s="142">
        <v>261</v>
      </c>
      <c r="K8651" s="142">
        <v>0</v>
      </c>
      <c r="L8651" s="142">
        <v>0</v>
      </c>
      <c r="M8651" s="142">
        <v>0</v>
      </c>
      <c r="N8651" s="142">
        <v>1</v>
      </c>
      <c r="O8651" s="142">
        <v>0</v>
      </c>
      <c r="P8651" s="306">
        <v>1.1979000000000002E-3</v>
      </c>
      <c r="Q8651" s="50" t="s">
        <v>9523</v>
      </c>
      <c r="R8651" s="303"/>
    </row>
    <row r="8652" spans="1:18" s="162" customFormat="1" ht="72" x14ac:dyDescent="0.25">
      <c r="A8652" s="184">
        <v>44284</v>
      </c>
      <c r="B8652" s="184">
        <v>44285</v>
      </c>
      <c r="C8652" s="138">
        <v>2021</v>
      </c>
      <c r="D8652" s="35" t="s">
        <v>28</v>
      </c>
      <c r="E8652" s="30" t="s">
        <v>133</v>
      </c>
      <c r="F8652" s="7" t="s">
        <v>65</v>
      </c>
      <c r="G8652" s="33" t="s">
        <v>1868</v>
      </c>
      <c r="H8652" s="311" t="s">
        <v>11683</v>
      </c>
      <c r="I8652" s="157">
        <v>0</v>
      </c>
      <c r="J8652" s="142">
        <v>0</v>
      </c>
      <c r="K8652" s="142">
        <v>0</v>
      </c>
      <c r="L8652" s="142">
        <v>0</v>
      </c>
      <c r="M8652" s="142">
        <v>0</v>
      </c>
      <c r="N8652" s="142">
        <v>0</v>
      </c>
      <c r="O8652" s="142">
        <v>0</v>
      </c>
      <c r="P8652" s="306">
        <v>1.1979000000000004E-2</v>
      </c>
      <c r="Q8652" s="50" t="s">
        <v>9523</v>
      </c>
      <c r="R8652" s="303"/>
    </row>
    <row r="8653" spans="1:18" s="162" customFormat="1" ht="72" x14ac:dyDescent="0.25">
      <c r="A8653" s="184">
        <v>44285</v>
      </c>
      <c r="B8653" s="184">
        <v>44285</v>
      </c>
      <c r="C8653" s="138">
        <v>2021</v>
      </c>
      <c r="D8653" s="24" t="s">
        <v>141</v>
      </c>
      <c r="E8653" s="30" t="s">
        <v>142</v>
      </c>
      <c r="F8653" s="7" t="s">
        <v>80</v>
      </c>
      <c r="G8653" s="33" t="s">
        <v>1089</v>
      </c>
      <c r="H8653" s="311" t="s">
        <v>11684</v>
      </c>
      <c r="I8653" s="157">
        <v>2</v>
      </c>
      <c r="J8653" s="142">
        <v>0</v>
      </c>
      <c r="K8653" s="142">
        <v>0</v>
      </c>
      <c r="L8653" s="142">
        <v>0</v>
      </c>
      <c r="M8653" s="142">
        <v>0</v>
      </c>
      <c r="N8653" s="142">
        <v>0</v>
      </c>
      <c r="O8653" s="142">
        <v>0</v>
      </c>
      <c r="P8653" s="306">
        <v>6.4343202000000016E-2</v>
      </c>
      <c r="Q8653" s="50" t="s">
        <v>9523</v>
      </c>
      <c r="R8653" s="303"/>
    </row>
    <row r="8654" spans="1:18" s="162" customFormat="1" ht="60" x14ac:dyDescent="0.25">
      <c r="A8654" s="184">
        <v>44285</v>
      </c>
      <c r="B8654" s="184">
        <v>44285</v>
      </c>
      <c r="C8654" s="138">
        <v>2021</v>
      </c>
      <c r="D8654" s="24" t="s">
        <v>141</v>
      </c>
      <c r="E8654" s="30" t="s">
        <v>142</v>
      </c>
      <c r="F8654" s="7" t="s">
        <v>87</v>
      </c>
      <c r="G8654" s="33" t="s">
        <v>4751</v>
      </c>
      <c r="H8654" s="311" t="s">
        <v>11685</v>
      </c>
      <c r="I8654" s="157">
        <v>0</v>
      </c>
      <c r="J8654" s="142">
        <v>2</v>
      </c>
      <c r="K8654" s="142">
        <v>0</v>
      </c>
      <c r="L8654" s="142">
        <v>0</v>
      </c>
      <c r="M8654" s="142">
        <v>0</v>
      </c>
      <c r="N8654" s="142">
        <v>0</v>
      </c>
      <c r="O8654" s="142">
        <v>0</v>
      </c>
      <c r="P8654" s="306">
        <v>0</v>
      </c>
      <c r="Q8654" s="50" t="s">
        <v>9523</v>
      </c>
      <c r="R8654" s="303"/>
    </row>
    <row r="8655" spans="1:18" s="162" customFormat="1" ht="96" x14ac:dyDescent="0.25">
      <c r="A8655" s="184">
        <v>44285</v>
      </c>
      <c r="B8655" s="184">
        <v>44285</v>
      </c>
      <c r="C8655" s="138">
        <v>2021</v>
      </c>
      <c r="D8655" s="24" t="s">
        <v>141</v>
      </c>
      <c r="E8655" s="30" t="s">
        <v>142</v>
      </c>
      <c r="F8655" s="7" t="s">
        <v>84</v>
      </c>
      <c r="G8655" s="33" t="s">
        <v>257</v>
      </c>
      <c r="H8655" s="311" t="s">
        <v>11686</v>
      </c>
      <c r="I8655" s="157">
        <v>1</v>
      </c>
      <c r="J8655" s="142">
        <v>0</v>
      </c>
      <c r="K8655" s="142">
        <v>0</v>
      </c>
      <c r="L8655" s="142">
        <v>0</v>
      </c>
      <c r="M8655" s="142">
        <v>0</v>
      </c>
      <c r="N8655" s="142">
        <v>0</v>
      </c>
      <c r="O8655" s="142">
        <v>0</v>
      </c>
      <c r="P8655" s="306">
        <v>1.0894739569999998</v>
      </c>
      <c r="Q8655" s="50" t="s">
        <v>9523</v>
      </c>
      <c r="R8655" s="303"/>
    </row>
    <row r="8656" spans="1:18" s="162" customFormat="1" ht="108" x14ac:dyDescent="0.25">
      <c r="A8656" s="184">
        <v>44286</v>
      </c>
      <c r="B8656" s="184">
        <v>44286</v>
      </c>
      <c r="C8656" s="138">
        <v>2021</v>
      </c>
      <c r="D8656" s="24" t="s">
        <v>141</v>
      </c>
      <c r="E8656" s="30" t="s">
        <v>142</v>
      </c>
      <c r="F8656" s="7" t="s">
        <v>60</v>
      </c>
      <c r="G8656" s="33" t="s">
        <v>2508</v>
      </c>
      <c r="H8656" s="311" t="s">
        <v>11687</v>
      </c>
      <c r="I8656" s="157">
        <v>0</v>
      </c>
      <c r="J8656" s="142">
        <v>0</v>
      </c>
      <c r="K8656" s="142">
        <v>0</v>
      </c>
      <c r="L8656" s="142">
        <v>0</v>
      </c>
      <c r="M8656" s="142">
        <v>0</v>
      </c>
      <c r="N8656" s="142">
        <v>0</v>
      </c>
      <c r="O8656" s="142">
        <v>0</v>
      </c>
      <c r="P8656" s="306">
        <v>1.1532268000000003</v>
      </c>
      <c r="Q8656" s="50" t="s">
        <v>9523</v>
      </c>
      <c r="R8656" s="303"/>
    </row>
    <row r="8657" spans="1:18" s="162" customFormat="1" ht="132" x14ac:dyDescent="0.25">
      <c r="A8657" s="184">
        <v>44290</v>
      </c>
      <c r="B8657" s="184">
        <v>44290</v>
      </c>
      <c r="C8657" s="138">
        <v>2021</v>
      </c>
      <c r="D8657" s="35" t="s">
        <v>28</v>
      </c>
      <c r="E8657" s="6" t="s">
        <v>149</v>
      </c>
      <c r="F8657" s="7" t="s">
        <v>60</v>
      </c>
      <c r="G8657" s="33" t="s">
        <v>908</v>
      </c>
      <c r="H8657" s="311" t="s">
        <v>11688</v>
      </c>
      <c r="I8657" s="157">
        <v>0</v>
      </c>
      <c r="J8657" s="142">
        <v>3</v>
      </c>
      <c r="K8657" s="142">
        <v>1</v>
      </c>
      <c r="L8657" s="142">
        <v>0</v>
      </c>
      <c r="M8657" s="142">
        <v>0</v>
      </c>
      <c r="N8657" s="142">
        <v>0</v>
      </c>
      <c r="O8657" s="142">
        <v>0</v>
      </c>
      <c r="P8657" s="306">
        <v>3.9167700000000014E-2</v>
      </c>
      <c r="Q8657" s="50" t="s">
        <v>9523</v>
      </c>
      <c r="R8657" s="303"/>
    </row>
    <row r="8658" spans="1:18" s="162" customFormat="1" ht="96" x14ac:dyDescent="0.25">
      <c r="A8658" s="184">
        <v>44290</v>
      </c>
      <c r="B8658" s="184">
        <v>44290</v>
      </c>
      <c r="C8658" s="138">
        <v>2021</v>
      </c>
      <c r="D8658" s="24" t="s">
        <v>141</v>
      </c>
      <c r="E8658" s="30" t="s">
        <v>142</v>
      </c>
      <c r="F8658" s="28" t="s">
        <v>210</v>
      </c>
      <c r="G8658" s="33" t="s">
        <v>7197</v>
      </c>
      <c r="H8658" s="311" t="s">
        <v>11689</v>
      </c>
      <c r="I8658" s="157">
        <v>0</v>
      </c>
      <c r="J8658" s="142">
        <v>11</v>
      </c>
      <c r="K8658" s="142">
        <v>0</v>
      </c>
      <c r="L8658" s="142">
        <v>0</v>
      </c>
      <c r="M8658" s="142">
        <v>0</v>
      </c>
      <c r="N8658" s="142">
        <v>0</v>
      </c>
      <c r="O8658" s="142">
        <v>0</v>
      </c>
      <c r="P8658" s="306">
        <v>1.0942655569999999</v>
      </c>
      <c r="Q8658" s="50" t="s">
        <v>9523</v>
      </c>
      <c r="R8658" s="303"/>
    </row>
    <row r="8659" spans="1:18" s="162" customFormat="1" ht="72" x14ac:dyDescent="0.25">
      <c r="A8659" s="184">
        <v>44290</v>
      </c>
      <c r="B8659" s="184">
        <v>44290</v>
      </c>
      <c r="C8659" s="138">
        <v>2021</v>
      </c>
      <c r="D8659" s="24" t="s">
        <v>141</v>
      </c>
      <c r="E8659" s="30" t="s">
        <v>142</v>
      </c>
      <c r="F8659" s="7" t="s">
        <v>68</v>
      </c>
      <c r="G8659" s="33" t="s">
        <v>11690</v>
      </c>
      <c r="H8659" s="311" t="s">
        <v>11691</v>
      </c>
      <c r="I8659" s="157">
        <v>1</v>
      </c>
      <c r="J8659" s="142">
        <v>15</v>
      </c>
      <c r="K8659" s="142">
        <v>0</v>
      </c>
      <c r="L8659" s="142">
        <v>0</v>
      </c>
      <c r="M8659" s="142">
        <v>0</v>
      </c>
      <c r="N8659" s="142">
        <v>0</v>
      </c>
      <c r="O8659" s="142">
        <v>0</v>
      </c>
      <c r="P8659" s="306">
        <v>0.88205370000000005</v>
      </c>
      <c r="Q8659" s="50" t="s">
        <v>9523</v>
      </c>
      <c r="R8659" s="303"/>
    </row>
    <row r="8660" spans="1:18" s="162" customFormat="1" ht="108" x14ac:dyDescent="0.25">
      <c r="A8660" s="184">
        <v>44291</v>
      </c>
      <c r="B8660" s="184">
        <v>44291</v>
      </c>
      <c r="C8660" s="138">
        <v>2021</v>
      </c>
      <c r="D8660" s="24" t="s">
        <v>141</v>
      </c>
      <c r="E8660" s="30" t="s">
        <v>142</v>
      </c>
      <c r="F8660" s="7" t="s">
        <v>67</v>
      </c>
      <c r="G8660" s="33" t="s">
        <v>11692</v>
      </c>
      <c r="H8660" s="311" t="s">
        <v>11693</v>
      </c>
      <c r="I8660" s="157">
        <v>4</v>
      </c>
      <c r="J8660" s="142">
        <v>16</v>
      </c>
      <c r="K8660" s="142">
        <v>0</v>
      </c>
      <c r="L8660" s="142">
        <v>0</v>
      </c>
      <c r="M8660" s="142">
        <v>0</v>
      </c>
      <c r="N8660" s="142">
        <v>0</v>
      </c>
      <c r="O8660" s="142">
        <v>0</v>
      </c>
      <c r="P8660" s="306">
        <v>0</v>
      </c>
      <c r="Q8660" s="50" t="s">
        <v>9523</v>
      </c>
      <c r="R8660" s="303"/>
    </row>
    <row r="8661" spans="1:18" s="162" customFormat="1" ht="108" x14ac:dyDescent="0.25">
      <c r="A8661" s="184">
        <v>44292</v>
      </c>
      <c r="B8661" s="184">
        <v>44292</v>
      </c>
      <c r="C8661" s="138">
        <v>2021</v>
      </c>
      <c r="D8661" s="35" t="s">
        <v>17</v>
      </c>
      <c r="E8661" s="6" t="s">
        <v>328</v>
      </c>
      <c r="F8661" s="7" t="s">
        <v>30</v>
      </c>
      <c r="G8661" s="33" t="s">
        <v>1078</v>
      </c>
      <c r="H8661" s="311" t="s">
        <v>11694</v>
      </c>
      <c r="I8661" s="157">
        <v>0</v>
      </c>
      <c r="J8661" s="142">
        <v>108</v>
      </c>
      <c r="K8661" s="142">
        <v>27</v>
      </c>
      <c r="L8661" s="142">
        <v>0</v>
      </c>
      <c r="M8661" s="142">
        <v>0</v>
      </c>
      <c r="N8661" s="142">
        <v>0</v>
      </c>
      <c r="O8661" s="142">
        <v>0</v>
      </c>
      <c r="P8661" s="306">
        <v>0.62508600000000003</v>
      </c>
      <c r="Q8661" s="50" t="s">
        <v>9523</v>
      </c>
      <c r="R8661" s="303"/>
    </row>
    <row r="8662" spans="1:18" s="162" customFormat="1" ht="96" x14ac:dyDescent="0.25">
      <c r="A8662" s="184">
        <v>44292</v>
      </c>
      <c r="B8662" s="184">
        <v>44292</v>
      </c>
      <c r="C8662" s="138">
        <v>2021</v>
      </c>
      <c r="D8662" s="24" t="s">
        <v>141</v>
      </c>
      <c r="E8662" s="30" t="s">
        <v>142</v>
      </c>
      <c r="F8662" s="7" t="s">
        <v>87</v>
      </c>
      <c r="G8662" s="33" t="s">
        <v>2168</v>
      </c>
      <c r="H8662" s="311" t="s">
        <v>11695</v>
      </c>
      <c r="I8662" s="157">
        <v>16</v>
      </c>
      <c r="J8662" s="142">
        <v>30</v>
      </c>
      <c r="K8662" s="142">
        <v>0</v>
      </c>
      <c r="L8662" s="142">
        <v>0</v>
      </c>
      <c r="M8662" s="142">
        <v>0</v>
      </c>
      <c r="N8662" s="142">
        <v>0</v>
      </c>
      <c r="O8662" s="142">
        <v>0</v>
      </c>
      <c r="P8662" s="306">
        <v>0.50255135700000009</v>
      </c>
      <c r="Q8662" s="50" t="s">
        <v>9523</v>
      </c>
      <c r="R8662" s="303"/>
    </row>
    <row r="8663" spans="1:18" s="162" customFormat="1" ht="72" x14ac:dyDescent="0.25">
      <c r="A8663" s="184">
        <v>44292</v>
      </c>
      <c r="B8663" s="184">
        <v>44292</v>
      </c>
      <c r="C8663" s="138">
        <v>2021</v>
      </c>
      <c r="D8663" s="351" t="s">
        <v>23</v>
      </c>
      <c r="E8663" s="49" t="s">
        <v>5893</v>
      </c>
      <c r="F8663" s="28" t="s">
        <v>160</v>
      </c>
      <c r="G8663" s="33" t="s">
        <v>11261</v>
      </c>
      <c r="H8663" s="311" t="s">
        <v>11696</v>
      </c>
      <c r="I8663" s="157">
        <v>0</v>
      </c>
      <c r="J8663" s="142">
        <v>16</v>
      </c>
      <c r="K8663" s="142">
        <v>4</v>
      </c>
      <c r="L8663" s="142">
        <v>0</v>
      </c>
      <c r="M8663" s="142">
        <v>0</v>
      </c>
      <c r="N8663" s="142">
        <v>0</v>
      </c>
      <c r="O8663" s="142">
        <v>0</v>
      </c>
      <c r="P8663" s="306">
        <v>2.31594E-2</v>
      </c>
      <c r="Q8663" s="50" t="s">
        <v>9523</v>
      </c>
      <c r="R8663" s="303"/>
    </row>
    <row r="8664" spans="1:18" s="162" customFormat="1" ht="120" x14ac:dyDescent="0.25">
      <c r="A8664" s="184">
        <v>44293</v>
      </c>
      <c r="B8664" s="184">
        <v>44293</v>
      </c>
      <c r="C8664" s="138">
        <v>2021</v>
      </c>
      <c r="D8664" s="35" t="s">
        <v>28</v>
      </c>
      <c r="E8664" s="30" t="s">
        <v>133</v>
      </c>
      <c r="F8664" s="28" t="s">
        <v>210</v>
      </c>
      <c r="G8664" s="33" t="s">
        <v>5694</v>
      </c>
      <c r="H8664" s="311" t="s">
        <v>11697</v>
      </c>
      <c r="I8664" s="157">
        <v>0</v>
      </c>
      <c r="J8664" s="142">
        <v>7</v>
      </c>
      <c r="K8664" s="142">
        <v>0</v>
      </c>
      <c r="L8664" s="142">
        <v>0</v>
      </c>
      <c r="M8664" s="142">
        <v>0</v>
      </c>
      <c r="N8664" s="142">
        <v>0</v>
      </c>
      <c r="O8664" s="142">
        <v>0</v>
      </c>
      <c r="P8664" s="306">
        <v>0</v>
      </c>
      <c r="Q8664" s="50" t="s">
        <v>9523</v>
      </c>
      <c r="R8664" s="303"/>
    </row>
    <row r="8665" spans="1:18" s="162" customFormat="1" ht="84" x14ac:dyDescent="0.25">
      <c r="A8665" s="184">
        <v>44294</v>
      </c>
      <c r="B8665" s="184">
        <v>44295</v>
      </c>
      <c r="C8665" s="138">
        <v>2021</v>
      </c>
      <c r="D8665" s="24" t="s">
        <v>141</v>
      </c>
      <c r="E8665" s="30" t="s">
        <v>142</v>
      </c>
      <c r="F8665" s="7" t="s">
        <v>75</v>
      </c>
      <c r="G8665" s="33" t="s">
        <v>3006</v>
      </c>
      <c r="H8665" s="311" t="s">
        <v>11698</v>
      </c>
      <c r="I8665" s="157">
        <v>0</v>
      </c>
      <c r="J8665" s="142">
        <v>0</v>
      </c>
      <c r="K8665" s="142">
        <v>0</v>
      </c>
      <c r="L8665" s="142">
        <v>0</v>
      </c>
      <c r="M8665" s="142">
        <v>0</v>
      </c>
      <c r="N8665" s="142">
        <v>0</v>
      </c>
      <c r="O8665" s="142">
        <v>0</v>
      </c>
      <c r="P8665" s="306">
        <v>0.32827505700000009</v>
      </c>
      <c r="Q8665" s="50" t="s">
        <v>9523</v>
      </c>
      <c r="R8665" s="303"/>
    </row>
    <row r="8666" spans="1:18" s="162" customFormat="1" ht="120" x14ac:dyDescent="0.25">
      <c r="A8666" s="184">
        <v>44294</v>
      </c>
      <c r="B8666" s="184">
        <v>44295</v>
      </c>
      <c r="C8666" s="138">
        <v>2021</v>
      </c>
      <c r="D8666" s="35" t="s">
        <v>28</v>
      </c>
      <c r="E8666" s="30" t="s">
        <v>133</v>
      </c>
      <c r="F8666" s="28" t="s">
        <v>157</v>
      </c>
      <c r="G8666" s="33" t="s">
        <v>206</v>
      </c>
      <c r="H8666" s="311" t="s">
        <v>11699</v>
      </c>
      <c r="I8666" s="157">
        <v>1</v>
      </c>
      <c r="J8666" s="142">
        <v>151</v>
      </c>
      <c r="K8666" s="142">
        <v>0</v>
      </c>
      <c r="L8666" s="142">
        <v>0</v>
      </c>
      <c r="M8666" s="142">
        <v>0</v>
      </c>
      <c r="N8666" s="142">
        <v>1</v>
      </c>
      <c r="O8666" s="142">
        <v>0</v>
      </c>
      <c r="P8666" s="306">
        <v>0</v>
      </c>
      <c r="Q8666" s="50" t="s">
        <v>9523</v>
      </c>
      <c r="R8666" s="303"/>
    </row>
    <row r="8667" spans="1:18" s="162" customFormat="1" ht="108" x14ac:dyDescent="0.25">
      <c r="A8667" s="184">
        <v>44294</v>
      </c>
      <c r="B8667" s="184">
        <v>44295</v>
      </c>
      <c r="C8667" s="138">
        <v>2021</v>
      </c>
      <c r="D8667" s="35" t="s">
        <v>28</v>
      </c>
      <c r="E8667" s="30" t="s">
        <v>133</v>
      </c>
      <c r="F8667" s="7" t="s">
        <v>45</v>
      </c>
      <c r="G8667" s="33" t="s">
        <v>2866</v>
      </c>
      <c r="H8667" s="311" t="s">
        <v>11700</v>
      </c>
      <c r="I8667" s="157">
        <v>0</v>
      </c>
      <c r="J8667" s="142">
        <v>1</v>
      </c>
      <c r="K8667" s="142">
        <v>1</v>
      </c>
      <c r="L8667" s="142">
        <v>0</v>
      </c>
      <c r="M8667" s="142">
        <v>0</v>
      </c>
      <c r="N8667" s="142">
        <v>0</v>
      </c>
      <c r="O8667" s="142">
        <v>0</v>
      </c>
      <c r="P8667" s="306">
        <v>0.18463160100000003</v>
      </c>
      <c r="Q8667" s="50" t="s">
        <v>9523</v>
      </c>
      <c r="R8667" s="303"/>
    </row>
    <row r="8668" spans="1:18" s="162" customFormat="1" ht="132" x14ac:dyDescent="0.25">
      <c r="A8668" s="184">
        <v>44294</v>
      </c>
      <c r="B8668" s="184">
        <v>44295</v>
      </c>
      <c r="C8668" s="138">
        <v>2021</v>
      </c>
      <c r="D8668" s="24" t="s">
        <v>141</v>
      </c>
      <c r="E8668" s="30" t="s">
        <v>142</v>
      </c>
      <c r="F8668" s="7" t="s">
        <v>65</v>
      </c>
      <c r="G8668" s="33" t="s">
        <v>1632</v>
      </c>
      <c r="H8668" s="311" t="s">
        <v>11701</v>
      </c>
      <c r="I8668" s="157">
        <v>1</v>
      </c>
      <c r="J8668" s="142">
        <v>8</v>
      </c>
      <c r="K8668" s="142">
        <v>0</v>
      </c>
      <c r="L8668" s="142">
        <v>0</v>
      </c>
      <c r="M8668" s="142">
        <v>0</v>
      </c>
      <c r="N8668" s="142">
        <v>0</v>
      </c>
      <c r="O8668" s="142">
        <v>0</v>
      </c>
      <c r="P8668" s="306">
        <v>1.2233478738772916</v>
      </c>
      <c r="Q8668" s="50" t="s">
        <v>9523</v>
      </c>
      <c r="R8668" s="303"/>
    </row>
    <row r="8669" spans="1:18" s="162" customFormat="1" ht="108" x14ac:dyDescent="0.25">
      <c r="A8669" s="184">
        <v>44295</v>
      </c>
      <c r="B8669" s="184">
        <v>44295</v>
      </c>
      <c r="C8669" s="138">
        <v>2021</v>
      </c>
      <c r="D8669" s="24" t="s">
        <v>141</v>
      </c>
      <c r="E8669" s="49" t="s">
        <v>1600</v>
      </c>
      <c r="F8669" s="28" t="s">
        <v>157</v>
      </c>
      <c r="G8669" s="33" t="s">
        <v>857</v>
      </c>
      <c r="H8669" s="311" t="s">
        <v>11702</v>
      </c>
      <c r="I8669" s="157">
        <v>3</v>
      </c>
      <c r="J8669" s="142">
        <v>3</v>
      </c>
      <c r="K8669" s="142">
        <v>0</v>
      </c>
      <c r="L8669" s="142">
        <v>0</v>
      </c>
      <c r="M8669" s="142">
        <v>0</v>
      </c>
      <c r="N8669" s="142">
        <v>0</v>
      </c>
      <c r="O8669" s="142">
        <v>0</v>
      </c>
      <c r="P8669" s="306">
        <v>0</v>
      </c>
      <c r="Q8669" s="50" t="s">
        <v>9523</v>
      </c>
      <c r="R8669" s="303"/>
    </row>
    <row r="8670" spans="1:18" s="162" customFormat="1" ht="72" x14ac:dyDescent="0.25">
      <c r="A8670" s="184">
        <v>44296</v>
      </c>
      <c r="B8670" s="184">
        <v>44296</v>
      </c>
      <c r="C8670" s="138">
        <v>2021</v>
      </c>
      <c r="D8670" s="35" t="s">
        <v>28</v>
      </c>
      <c r="E8670" s="6" t="s">
        <v>149</v>
      </c>
      <c r="F8670" s="7" t="s">
        <v>62</v>
      </c>
      <c r="G8670" s="33" t="s">
        <v>959</v>
      </c>
      <c r="H8670" s="311" t="s">
        <v>11703</v>
      </c>
      <c r="I8670" s="157">
        <v>0</v>
      </c>
      <c r="J8670" s="142">
        <v>2</v>
      </c>
      <c r="K8670" s="142">
        <v>0</v>
      </c>
      <c r="L8670" s="142">
        <v>0</v>
      </c>
      <c r="M8670" s="142">
        <v>0</v>
      </c>
      <c r="N8670" s="142">
        <v>1</v>
      </c>
      <c r="O8670" s="142">
        <v>0</v>
      </c>
      <c r="P8670" s="306">
        <v>0</v>
      </c>
      <c r="Q8670" s="50" t="s">
        <v>9523</v>
      </c>
      <c r="R8670" s="303"/>
    </row>
    <row r="8671" spans="1:18" s="162" customFormat="1" ht="72" x14ac:dyDescent="0.25">
      <c r="A8671" s="184">
        <v>44296</v>
      </c>
      <c r="B8671" s="184">
        <v>44296</v>
      </c>
      <c r="C8671" s="138">
        <v>2021</v>
      </c>
      <c r="D8671" s="35" t="s">
        <v>28</v>
      </c>
      <c r="E8671" s="6" t="s">
        <v>149</v>
      </c>
      <c r="F8671" s="7" t="s">
        <v>25</v>
      </c>
      <c r="G8671" s="33" t="s">
        <v>25</v>
      </c>
      <c r="H8671" s="311" t="s">
        <v>11704</v>
      </c>
      <c r="I8671" s="157">
        <v>2</v>
      </c>
      <c r="J8671" s="142">
        <v>5</v>
      </c>
      <c r="K8671" s="142">
        <v>1</v>
      </c>
      <c r="L8671" s="142">
        <v>0</v>
      </c>
      <c r="M8671" s="142">
        <v>0</v>
      </c>
      <c r="N8671" s="142">
        <v>0</v>
      </c>
      <c r="O8671" s="142">
        <v>0</v>
      </c>
      <c r="P8671" s="306">
        <v>1.0581450000000003E-2</v>
      </c>
      <c r="Q8671" s="50" t="s">
        <v>9523</v>
      </c>
      <c r="R8671" s="303"/>
    </row>
    <row r="8672" spans="1:18" s="162" customFormat="1" ht="324" x14ac:dyDescent="0.25">
      <c r="A8672" s="184">
        <v>44300</v>
      </c>
      <c r="B8672" s="184">
        <v>44300</v>
      </c>
      <c r="C8672" s="138">
        <v>2021</v>
      </c>
      <c r="D8672" s="351" t="s">
        <v>23</v>
      </c>
      <c r="E8672" s="49" t="s">
        <v>5893</v>
      </c>
      <c r="F8672" s="7" t="s">
        <v>53</v>
      </c>
      <c r="G8672" s="33" t="s">
        <v>1236</v>
      </c>
      <c r="H8672" s="311" t="s">
        <v>11705</v>
      </c>
      <c r="I8672" s="157">
        <v>0</v>
      </c>
      <c r="J8672" s="142">
        <v>37</v>
      </c>
      <c r="K8672" s="142">
        <v>5</v>
      </c>
      <c r="L8672" s="142">
        <v>0</v>
      </c>
      <c r="M8672" s="142">
        <v>0</v>
      </c>
      <c r="N8672" s="142">
        <v>1</v>
      </c>
      <c r="O8672" s="142">
        <v>0</v>
      </c>
      <c r="P8672" s="306">
        <v>3.1974250000000003E-3</v>
      </c>
      <c r="Q8672" s="50" t="s">
        <v>9523</v>
      </c>
      <c r="R8672" s="303"/>
    </row>
    <row r="8673" spans="1:18" s="162" customFormat="1" ht="84" x14ac:dyDescent="0.25">
      <c r="A8673" s="184">
        <v>44301</v>
      </c>
      <c r="B8673" s="184">
        <v>44301</v>
      </c>
      <c r="C8673" s="138">
        <v>2021</v>
      </c>
      <c r="D8673" s="24" t="s">
        <v>141</v>
      </c>
      <c r="E8673" s="30" t="s">
        <v>142</v>
      </c>
      <c r="F8673" s="7" t="s">
        <v>53</v>
      </c>
      <c r="G8673" s="33" t="s">
        <v>1304</v>
      </c>
      <c r="H8673" s="311" t="s">
        <v>11706</v>
      </c>
      <c r="I8673" s="157">
        <v>0</v>
      </c>
      <c r="J8673" s="142">
        <v>8</v>
      </c>
      <c r="K8673" s="142">
        <v>0</v>
      </c>
      <c r="L8673" s="142">
        <v>0</v>
      </c>
      <c r="M8673" s="142">
        <v>0</v>
      </c>
      <c r="N8673" s="142">
        <v>0</v>
      </c>
      <c r="O8673" s="142">
        <v>0</v>
      </c>
      <c r="P8673" s="306">
        <v>0.59180100343023267</v>
      </c>
      <c r="Q8673" s="50" t="s">
        <v>9523</v>
      </c>
      <c r="R8673" s="303"/>
    </row>
    <row r="8674" spans="1:18" s="162" customFormat="1" ht="96" x14ac:dyDescent="0.25">
      <c r="A8674" s="184">
        <v>44301</v>
      </c>
      <c r="B8674" s="184">
        <v>44301</v>
      </c>
      <c r="C8674" s="138">
        <v>2021</v>
      </c>
      <c r="D8674" s="24" t="s">
        <v>141</v>
      </c>
      <c r="E8674" s="30" t="s">
        <v>142</v>
      </c>
      <c r="F8674" s="7" t="s">
        <v>77</v>
      </c>
      <c r="G8674" s="33" t="s">
        <v>2954</v>
      </c>
      <c r="H8674" s="311" t="s">
        <v>11707</v>
      </c>
      <c r="I8674" s="157">
        <v>0</v>
      </c>
      <c r="J8674" s="142">
        <v>2</v>
      </c>
      <c r="K8674" s="142">
        <v>0</v>
      </c>
      <c r="L8674" s="142">
        <v>0</v>
      </c>
      <c r="M8674" s="142">
        <v>0</v>
      </c>
      <c r="N8674" s="142">
        <v>0</v>
      </c>
      <c r="O8674" s="142">
        <v>0</v>
      </c>
      <c r="P8674" s="306">
        <v>3.2171601000000008E-2</v>
      </c>
      <c r="Q8674" s="50" t="s">
        <v>9523</v>
      </c>
      <c r="R8674" s="303"/>
    </row>
    <row r="8675" spans="1:18" s="162" customFormat="1" ht="108" x14ac:dyDescent="0.25">
      <c r="A8675" s="184">
        <v>44302</v>
      </c>
      <c r="B8675" s="184">
        <v>44302</v>
      </c>
      <c r="C8675" s="138">
        <v>2021</v>
      </c>
      <c r="D8675" s="35" t="s">
        <v>28</v>
      </c>
      <c r="E8675" s="6" t="s">
        <v>149</v>
      </c>
      <c r="F8675" s="7" t="s">
        <v>53</v>
      </c>
      <c r="G8675" s="33" t="s">
        <v>1502</v>
      </c>
      <c r="H8675" s="311" t="s">
        <v>11708</v>
      </c>
      <c r="I8675" s="157">
        <v>3</v>
      </c>
      <c r="J8675" s="142">
        <v>0</v>
      </c>
      <c r="K8675" s="142">
        <v>1</v>
      </c>
      <c r="L8675" s="142">
        <v>0</v>
      </c>
      <c r="M8675" s="142">
        <v>0</v>
      </c>
      <c r="N8675" s="142">
        <v>0</v>
      </c>
      <c r="O8675" s="142">
        <v>0</v>
      </c>
      <c r="P8675" s="306">
        <v>4.0365600000000008E-2</v>
      </c>
      <c r="Q8675" s="50" t="s">
        <v>9523</v>
      </c>
      <c r="R8675" s="303"/>
    </row>
    <row r="8676" spans="1:18" s="162" customFormat="1" ht="108" x14ac:dyDescent="0.25">
      <c r="A8676" s="184">
        <v>44303</v>
      </c>
      <c r="B8676" s="184">
        <v>44303</v>
      </c>
      <c r="C8676" s="138">
        <v>2021</v>
      </c>
      <c r="D8676" s="24" t="s">
        <v>141</v>
      </c>
      <c r="E8676" s="49" t="s">
        <v>1600</v>
      </c>
      <c r="F8676" s="7" t="s">
        <v>101</v>
      </c>
      <c r="G8676" s="33" t="s">
        <v>5180</v>
      </c>
      <c r="H8676" s="311" t="s">
        <v>11709</v>
      </c>
      <c r="I8676" s="157">
        <v>0</v>
      </c>
      <c r="J8676" s="142">
        <v>8</v>
      </c>
      <c r="K8676" s="142">
        <v>0</v>
      </c>
      <c r="L8676" s="142">
        <v>0</v>
      </c>
      <c r="M8676" s="142">
        <v>0</v>
      </c>
      <c r="N8676" s="142">
        <v>0</v>
      </c>
      <c r="O8676" s="142">
        <v>0</v>
      </c>
      <c r="P8676" s="306">
        <v>0.54007720800000014</v>
      </c>
      <c r="Q8676" s="50" t="s">
        <v>9523</v>
      </c>
      <c r="R8676" s="303"/>
    </row>
    <row r="8677" spans="1:18" s="162" customFormat="1" ht="72" x14ac:dyDescent="0.25">
      <c r="A8677" s="184">
        <v>44303</v>
      </c>
      <c r="B8677" s="184">
        <v>44303</v>
      </c>
      <c r="C8677" s="138">
        <v>2021</v>
      </c>
      <c r="D8677" s="24" t="s">
        <v>141</v>
      </c>
      <c r="E8677" s="30" t="s">
        <v>142</v>
      </c>
      <c r="F8677" s="7" t="s">
        <v>53</v>
      </c>
      <c r="G8677" s="33" t="s">
        <v>1304</v>
      </c>
      <c r="H8677" s="311" t="s">
        <v>11710</v>
      </c>
      <c r="I8677" s="157">
        <v>2</v>
      </c>
      <c r="J8677" s="142">
        <v>2</v>
      </c>
      <c r="K8677" s="142">
        <v>0</v>
      </c>
      <c r="L8677" s="142">
        <v>0</v>
      </c>
      <c r="M8677" s="142">
        <v>0</v>
      </c>
      <c r="N8677" s="142">
        <v>0</v>
      </c>
      <c r="O8677" s="142">
        <v>0</v>
      </c>
      <c r="P8677" s="306">
        <v>0.27033417886046512</v>
      </c>
      <c r="Q8677" s="50" t="s">
        <v>9523</v>
      </c>
      <c r="R8677" s="303"/>
    </row>
    <row r="8678" spans="1:18" s="162" customFormat="1" ht="84" x14ac:dyDescent="0.25">
      <c r="A8678" s="184">
        <v>44304</v>
      </c>
      <c r="B8678" s="184">
        <v>44305</v>
      </c>
      <c r="C8678" s="138">
        <v>2021</v>
      </c>
      <c r="D8678" s="24" t="s">
        <v>141</v>
      </c>
      <c r="E8678" s="30" t="s">
        <v>142</v>
      </c>
      <c r="F8678" s="7" t="s">
        <v>36</v>
      </c>
      <c r="G8678" s="33" t="s">
        <v>854</v>
      </c>
      <c r="H8678" s="311" t="s">
        <v>11711</v>
      </c>
      <c r="I8678" s="157">
        <v>1</v>
      </c>
      <c r="J8678" s="142">
        <v>13</v>
      </c>
      <c r="K8678" s="142">
        <v>0</v>
      </c>
      <c r="L8678" s="142">
        <v>0</v>
      </c>
      <c r="M8678" s="142">
        <v>0</v>
      </c>
      <c r="N8678" s="142">
        <v>0</v>
      </c>
      <c r="O8678" s="142">
        <v>0</v>
      </c>
      <c r="P8678" s="306">
        <v>0.33905615700000008</v>
      </c>
      <c r="Q8678" s="50" t="s">
        <v>9523</v>
      </c>
      <c r="R8678" s="303"/>
    </row>
    <row r="8679" spans="1:18" s="162" customFormat="1" ht="60" x14ac:dyDescent="0.25">
      <c r="A8679" s="184">
        <v>44305</v>
      </c>
      <c r="B8679" s="184">
        <v>44305</v>
      </c>
      <c r="C8679" s="138">
        <v>2021</v>
      </c>
      <c r="D8679" s="24" t="s">
        <v>141</v>
      </c>
      <c r="E8679" s="30" t="s">
        <v>142</v>
      </c>
      <c r="F8679" s="7" t="s">
        <v>62</v>
      </c>
      <c r="G8679" s="33" t="s">
        <v>10608</v>
      </c>
      <c r="H8679" s="311" t="s">
        <v>11712</v>
      </c>
      <c r="I8679" s="157">
        <v>0</v>
      </c>
      <c r="J8679" s="142">
        <v>3</v>
      </c>
      <c r="K8679" s="142">
        <v>0</v>
      </c>
      <c r="L8679" s="142">
        <v>0</v>
      </c>
      <c r="M8679" s="142">
        <v>0</v>
      </c>
      <c r="N8679" s="142">
        <v>0</v>
      </c>
      <c r="O8679" s="142">
        <v>725</v>
      </c>
      <c r="P8679" s="306">
        <v>0.11007370000000001</v>
      </c>
      <c r="Q8679" s="50" t="s">
        <v>9523</v>
      </c>
      <c r="R8679" s="303"/>
    </row>
    <row r="8680" spans="1:18" s="162" customFormat="1" ht="96" x14ac:dyDescent="0.25">
      <c r="A8680" s="184">
        <v>44305</v>
      </c>
      <c r="B8680" s="184">
        <v>44305</v>
      </c>
      <c r="C8680" s="138">
        <v>2021</v>
      </c>
      <c r="D8680" s="35" t="s">
        <v>28</v>
      </c>
      <c r="E8680" s="49" t="s">
        <v>8529</v>
      </c>
      <c r="F8680" s="7" t="s">
        <v>60</v>
      </c>
      <c r="G8680" s="33" t="s">
        <v>1605</v>
      </c>
      <c r="H8680" s="311" t="s">
        <v>11713</v>
      </c>
      <c r="I8680" s="157">
        <v>0</v>
      </c>
      <c r="J8680" s="142">
        <v>1</v>
      </c>
      <c r="K8680" s="142">
        <v>0</v>
      </c>
      <c r="L8680" s="142">
        <v>0</v>
      </c>
      <c r="M8680" s="142">
        <v>0</v>
      </c>
      <c r="N8680" s="142">
        <v>0</v>
      </c>
      <c r="O8680" s="142">
        <v>725</v>
      </c>
      <c r="P8680" s="306">
        <v>0.10767790000000001</v>
      </c>
      <c r="Q8680" s="50" t="s">
        <v>9523</v>
      </c>
      <c r="R8680" s="303"/>
    </row>
    <row r="8681" spans="1:18" s="162" customFormat="1" ht="48" x14ac:dyDescent="0.25">
      <c r="A8681" s="184">
        <v>44307</v>
      </c>
      <c r="B8681" s="184">
        <v>44307</v>
      </c>
      <c r="C8681" s="138">
        <v>2021</v>
      </c>
      <c r="D8681" s="24" t="s">
        <v>141</v>
      </c>
      <c r="E8681" s="30" t="s">
        <v>142</v>
      </c>
      <c r="F8681" s="7" t="s">
        <v>75</v>
      </c>
      <c r="G8681" s="33" t="s">
        <v>75</v>
      </c>
      <c r="H8681" s="311" t="s">
        <v>11714</v>
      </c>
      <c r="I8681" s="157">
        <v>0</v>
      </c>
      <c r="J8681" s="142">
        <v>5</v>
      </c>
      <c r="K8681" s="142">
        <v>0</v>
      </c>
      <c r="L8681" s="142">
        <v>0</v>
      </c>
      <c r="M8681" s="142">
        <v>0</v>
      </c>
      <c r="N8681" s="142">
        <v>0</v>
      </c>
      <c r="O8681" s="142">
        <v>0</v>
      </c>
      <c r="P8681" s="306">
        <v>0.86408520000000011</v>
      </c>
      <c r="Q8681" s="50" t="s">
        <v>9523</v>
      </c>
      <c r="R8681" s="303"/>
    </row>
    <row r="8682" spans="1:18" s="162" customFormat="1" ht="72" x14ac:dyDescent="0.25">
      <c r="A8682" s="184">
        <v>44307</v>
      </c>
      <c r="B8682" s="184">
        <v>44307</v>
      </c>
      <c r="C8682" s="138">
        <v>2021</v>
      </c>
      <c r="D8682" s="24" t="s">
        <v>141</v>
      </c>
      <c r="E8682" s="30" t="s">
        <v>142</v>
      </c>
      <c r="F8682" s="7" t="s">
        <v>84</v>
      </c>
      <c r="G8682" s="33" t="s">
        <v>1453</v>
      </c>
      <c r="H8682" s="311" t="s">
        <v>11715</v>
      </c>
      <c r="I8682" s="157">
        <v>0</v>
      </c>
      <c r="J8682" s="142">
        <v>13</v>
      </c>
      <c r="K8682" s="142">
        <v>0</v>
      </c>
      <c r="L8682" s="142">
        <v>0</v>
      </c>
      <c r="M8682" s="142">
        <v>0</v>
      </c>
      <c r="N8682" s="142">
        <v>0</v>
      </c>
      <c r="O8682" s="142">
        <v>0</v>
      </c>
      <c r="P8682" s="306">
        <v>0.2220934894302326</v>
      </c>
      <c r="Q8682" s="50" t="s">
        <v>9523</v>
      </c>
      <c r="R8682" s="303"/>
    </row>
    <row r="8683" spans="1:18" s="162" customFormat="1" ht="72" x14ac:dyDescent="0.25">
      <c r="A8683" s="184">
        <v>44307</v>
      </c>
      <c r="B8683" s="184">
        <v>44307</v>
      </c>
      <c r="C8683" s="138">
        <v>2021</v>
      </c>
      <c r="D8683" s="24" t="s">
        <v>141</v>
      </c>
      <c r="E8683" s="30" t="s">
        <v>142</v>
      </c>
      <c r="F8683" s="7" t="s">
        <v>75</v>
      </c>
      <c r="G8683" s="33" t="s">
        <v>75</v>
      </c>
      <c r="H8683" s="311" t="s">
        <v>11716</v>
      </c>
      <c r="I8683" s="157">
        <v>0</v>
      </c>
      <c r="J8683" s="142">
        <v>11</v>
      </c>
      <c r="K8683" s="142">
        <v>0</v>
      </c>
      <c r="L8683" s="142">
        <v>0</v>
      </c>
      <c r="M8683" s="142">
        <v>0</v>
      </c>
      <c r="N8683" s="142">
        <v>0</v>
      </c>
      <c r="O8683" s="142">
        <v>0</v>
      </c>
      <c r="P8683" s="306">
        <v>0.87726210000000004</v>
      </c>
      <c r="Q8683" s="50" t="s">
        <v>9523</v>
      </c>
      <c r="R8683" s="303"/>
    </row>
    <row r="8684" spans="1:18" s="162" customFormat="1" ht="84" x14ac:dyDescent="0.25">
      <c r="A8684" s="184">
        <v>44309</v>
      </c>
      <c r="B8684" s="184">
        <v>44309</v>
      </c>
      <c r="C8684" s="138">
        <v>2021</v>
      </c>
      <c r="D8684" s="24" t="s">
        <v>141</v>
      </c>
      <c r="E8684" s="30" t="s">
        <v>142</v>
      </c>
      <c r="F8684" s="7" t="s">
        <v>68</v>
      </c>
      <c r="G8684" s="33" t="s">
        <v>3128</v>
      </c>
      <c r="H8684" s="311" t="s">
        <v>11717</v>
      </c>
      <c r="I8684" s="157">
        <v>1</v>
      </c>
      <c r="J8684" s="142">
        <v>685</v>
      </c>
      <c r="K8684" s="142">
        <v>0</v>
      </c>
      <c r="L8684" s="142">
        <v>0</v>
      </c>
      <c r="M8684" s="142">
        <v>0</v>
      </c>
      <c r="N8684" s="142">
        <v>0</v>
      </c>
      <c r="O8684" s="142">
        <v>0</v>
      </c>
      <c r="P8684" s="306">
        <v>0</v>
      </c>
      <c r="Q8684" s="50" t="s">
        <v>9523</v>
      </c>
      <c r="R8684" s="303"/>
    </row>
    <row r="8685" spans="1:18" s="162" customFormat="1" ht="96" x14ac:dyDescent="0.25">
      <c r="A8685" s="184">
        <v>44311</v>
      </c>
      <c r="B8685" s="184">
        <v>44311</v>
      </c>
      <c r="C8685" s="138">
        <v>2021</v>
      </c>
      <c r="D8685" s="24" t="s">
        <v>141</v>
      </c>
      <c r="E8685" s="30" t="s">
        <v>142</v>
      </c>
      <c r="F8685" s="7" t="s">
        <v>62</v>
      </c>
      <c r="G8685" s="33" t="s">
        <v>4805</v>
      </c>
      <c r="H8685" s="311" t="s">
        <v>11718</v>
      </c>
      <c r="I8685" s="157">
        <v>5</v>
      </c>
      <c r="J8685" s="142">
        <v>36</v>
      </c>
      <c r="K8685" s="142">
        <v>0</v>
      </c>
      <c r="L8685" s="142">
        <v>0</v>
      </c>
      <c r="M8685" s="142">
        <v>0</v>
      </c>
      <c r="N8685" s="142">
        <v>0</v>
      </c>
      <c r="O8685" s="142">
        <v>0</v>
      </c>
      <c r="P8685" s="306">
        <v>0.86408520000000011</v>
      </c>
      <c r="Q8685" s="50" t="s">
        <v>9523</v>
      </c>
      <c r="R8685" s="303"/>
    </row>
    <row r="8686" spans="1:18" s="162" customFormat="1" ht="72" x14ac:dyDescent="0.25">
      <c r="A8686" s="184">
        <v>44311</v>
      </c>
      <c r="B8686" s="184">
        <v>44320</v>
      </c>
      <c r="C8686" s="138">
        <v>2021</v>
      </c>
      <c r="D8686" s="24" t="s">
        <v>141</v>
      </c>
      <c r="E8686" s="30" t="s">
        <v>142</v>
      </c>
      <c r="F8686" s="28" t="s">
        <v>163</v>
      </c>
      <c r="G8686" s="33" t="s">
        <v>4478</v>
      </c>
      <c r="H8686" s="311" t="s">
        <v>11719</v>
      </c>
      <c r="I8686" s="157">
        <v>1</v>
      </c>
      <c r="J8686" s="142">
        <v>17</v>
      </c>
      <c r="K8686" s="142">
        <v>0</v>
      </c>
      <c r="L8686" s="142">
        <v>0</v>
      </c>
      <c r="M8686" s="142">
        <v>0</v>
      </c>
      <c r="N8686" s="142">
        <v>0</v>
      </c>
      <c r="O8686" s="142">
        <v>0</v>
      </c>
      <c r="P8686" s="306">
        <v>1.9345843464302328</v>
      </c>
      <c r="Q8686" s="50" t="s">
        <v>9523</v>
      </c>
      <c r="R8686" s="303"/>
    </row>
    <row r="8687" spans="1:18" s="162" customFormat="1" ht="96" x14ac:dyDescent="0.25">
      <c r="A8687" s="184">
        <v>44312</v>
      </c>
      <c r="B8687" s="184">
        <v>44312</v>
      </c>
      <c r="C8687" s="138">
        <v>2021</v>
      </c>
      <c r="D8687" s="24" t="s">
        <v>141</v>
      </c>
      <c r="E8687" s="30" t="s">
        <v>142</v>
      </c>
      <c r="F8687" s="28" t="s">
        <v>210</v>
      </c>
      <c r="G8687" s="33" t="s">
        <v>11720</v>
      </c>
      <c r="H8687" s="311" t="s">
        <v>11721</v>
      </c>
      <c r="I8687" s="157">
        <v>2</v>
      </c>
      <c r="J8687" s="142">
        <v>8</v>
      </c>
      <c r="K8687" s="142">
        <v>0</v>
      </c>
      <c r="L8687" s="142">
        <v>0</v>
      </c>
      <c r="M8687" s="142">
        <v>0</v>
      </c>
      <c r="N8687" s="142">
        <v>0</v>
      </c>
      <c r="O8687" s="142">
        <v>0</v>
      </c>
      <c r="P8687" s="306">
        <v>1.0894739569999998</v>
      </c>
      <c r="Q8687" s="50" t="s">
        <v>9523</v>
      </c>
      <c r="R8687" s="303"/>
    </row>
    <row r="8688" spans="1:18" s="162" customFormat="1" ht="120" x14ac:dyDescent="0.25">
      <c r="A8688" s="184">
        <v>44314</v>
      </c>
      <c r="B8688" s="184">
        <v>44314</v>
      </c>
      <c r="C8688" s="138">
        <v>2021</v>
      </c>
      <c r="D8688" s="351" t="s">
        <v>23</v>
      </c>
      <c r="E8688" s="49" t="s">
        <v>5893</v>
      </c>
      <c r="F8688" s="7" t="s">
        <v>45</v>
      </c>
      <c r="G8688" s="33" t="s">
        <v>11722</v>
      </c>
      <c r="H8688" s="311" t="s">
        <v>11723</v>
      </c>
      <c r="I8688" s="157">
        <v>0</v>
      </c>
      <c r="J8688" s="305">
        <v>10</v>
      </c>
      <c r="K8688" s="142">
        <v>0</v>
      </c>
      <c r="L8688" s="142">
        <v>0</v>
      </c>
      <c r="M8688" s="142">
        <v>0</v>
      </c>
      <c r="N8688" s="142">
        <v>0</v>
      </c>
      <c r="O8688" s="142">
        <v>0</v>
      </c>
      <c r="P8688" s="306">
        <v>0</v>
      </c>
      <c r="Q8688" s="50" t="s">
        <v>9523</v>
      </c>
      <c r="R8688" s="303"/>
    </row>
    <row r="8689" spans="1:18" s="162" customFormat="1" ht="180" x14ac:dyDescent="0.25">
      <c r="A8689" s="184">
        <v>44314</v>
      </c>
      <c r="B8689" s="184">
        <v>44315</v>
      </c>
      <c r="C8689" s="138">
        <v>2021</v>
      </c>
      <c r="D8689" s="351" t="s">
        <v>23</v>
      </c>
      <c r="E8689" s="49" t="s">
        <v>5893</v>
      </c>
      <c r="F8689" s="7" t="s">
        <v>45</v>
      </c>
      <c r="G8689" s="33" t="s">
        <v>6313</v>
      </c>
      <c r="H8689" s="311" t="s">
        <v>11724</v>
      </c>
      <c r="I8689" s="157">
        <v>0</v>
      </c>
      <c r="J8689" s="142">
        <v>10</v>
      </c>
      <c r="K8689" s="142">
        <v>0</v>
      </c>
      <c r="L8689" s="142">
        <v>0</v>
      </c>
      <c r="M8689" s="142">
        <v>0</v>
      </c>
      <c r="N8689" s="142">
        <v>2</v>
      </c>
      <c r="O8689" s="142">
        <v>0</v>
      </c>
      <c r="P8689" s="306">
        <v>0</v>
      </c>
      <c r="Q8689" s="50" t="s">
        <v>9523</v>
      </c>
      <c r="R8689" s="303"/>
    </row>
    <row r="8690" spans="1:18" s="162" customFormat="1" ht="204" x14ac:dyDescent="0.25">
      <c r="A8690" s="184">
        <v>44314</v>
      </c>
      <c r="B8690" s="184">
        <v>44315</v>
      </c>
      <c r="C8690" s="138">
        <v>2021</v>
      </c>
      <c r="D8690" s="351" t="s">
        <v>23</v>
      </c>
      <c r="E8690" s="49" t="s">
        <v>5893</v>
      </c>
      <c r="F8690" s="28" t="s">
        <v>157</v>
      </c>
      <c r="G8690" s="33" t="s">
        <v>11725</v>
      </c>
      <c r="H8690" s="311" t="s">
        <v>11726</v>
      </c>
      <c r="I8690" s="157">
        <v>0</v>
      </c>
      <c r="J8690" s="142">
        <v>1</v>
      </c>
      <c r="K8690" s="142">
        <v>0</v>
      </c>
      <c r="L8690" s="142">
        <v>0</v>
      </c>
      <c r="M8690" s="142">
        <v>0</v>
      </c>
      <c r="N8690" s="142">
        <v>1</v>
      </c>
      <c r="O8690" s="142">
        <v>0</v>
      </c>
      <c r="P8690" s="306">
        <v>0</v>
      </c>
      <c r="Q8690" s="50" t="s">
        <v>9523</v>
      </c>
      <c r="R8690" s="303"/>
    </row>
    <row r="8691" spans="1:18" s="162" customFormat="1" ht="156" x14ac:dyDescent="0.25">
      <c r="A8691" s="184">
        <v>44315</v>
      </c>
      <c r="B8691" s="184">
        <v>44315</v>
      </c>
      <c r="C8691" s="138">
        <v>2021</v>
      </c>
      <c r="D8691" s="24" t="s">
        <v>141</v>
      </c>
      <c r="E8691" s="30" t="s">
        <v>142</v>
      </c>
      <c r="F8691" s="7" t="s">
        <v>68</v>
      </c>
      <c r="G8691" s="33" t="s">
        <v>11727</v>
      </c>
      <c r="H8691" s="311" t="s">
        <v>11728</v>
      </c>
      <c r="I8691" s="157">
        <v>6</v>
      </c>
      <c r="J8691" s="142">
        <v>157</v>
      </c>
      <c r="K8691" s="142">
        <v>0</v>
      </c>
      <c r="L8691" s="142">
        <v>0</v>
      </c>
      <c r="M8691" s="142">
        <v>0</v>
      </c>
      <c r="N8691" s="142">
        <v>0</v>
      </c>
      <c r="O8691" s="142">
        <v>0</v>
      </c>
      <c r="P8691" s="306">
        <v>0.13516708943023256</v>
      </c>
      <c r="Q8691" s="50" t="s">
        <v>9523</v>
      </c>
      <c r="R8691" s="303"/>
    </row>
    <row r="8692" spans="1:18" s="162" customFormat="1" ht="108" x14ac:dyDescent="0.25">
      <c r="A8692" s="184">
        <v>44316</v>
      </c>
      <c r="B8692" s="184">
        <v>44316</v>
      </c>
      <c r="C8692" s="138">
        <v>2021</v>
      </c>
      <c r="D8692" s="35" t="s">
        <v>28</v>
      </c>
      <c r="E8692" s="6" t="s">
        <v>149</v>
      </c>
      <c r="F8692" s="7" t="s">
        <v>45</v>
      </c>
      <c r="G8692" s="33" t="s">
        <v>259</v>
      </c>
      <c r="H8692" s="311" t="s">
        <v>11729</v>
      </c>
      <c r="I8692" s="157">
        <v>0</v>
      </c>
      <c r="J8692" s="142">
        <v>0</v>
      </c>
      <c r="K8692" s="142">
        <v>0</v>
      </c>
      <c r="L8692" s="142">
        <v>0</v>
      </c>
      <c r="M8692" s="142">
        <v>0</v>
      </c>
      <c r="N8692" s="142">
        <v>0</v>
      </c>
      <c r="O8692" s="142">
        <v>0</v>
      </c>
      <c r="P8692" s="306">
        <v>2.4271170894302325</v>
      </c>
      <c r="Q8692" s="50" t="s">
        <v>9523</v>
      </c>
      <c r="R8692" s="303"/>
    </row>
    <row r="8693" spans="1:18" s="162" customFormat="1" ht="120" x14ac:dyDescent="0.25">
      <c r="A8693" s="184">
        <v>44316</v>
      </c>
      <c r="B8693" s="184">
        <v>44316</v>
      </c>
      <c r="C8693" s="138">
        <v>2021</v>
      </c>
      <c r="D8693" s="351" t="s">
        <v>23</v>
      </c>
      <c r="E8693" s="22" t="s">
        <v>86</v>
      </c>
      <c r="F8693" s="28" t="s">
        <v>210</v>
      </c>
      <c r="G8693" s="33" t="s">
        <v>11730</v>
      </c>
      <c r="H8693" s="311" t="s">
        <v>11731</v>
      </c>
      <c r="I8693" s="157">
        <v>0</v>
      </c>
      <c r="J8693" s="142">
        <v>89</v>
      </c>
      <c r="K8693" s="142">
        <v>22</v>
      </c>
      <c r="L8693" s="142">
        <v>0</v>
      </c>
      <c r="M8693" s="142">
        <v>0</v>
      </c>
      <c r="N8693" s="142">
        <v>0</v>
      </c>
      <c r="O8693" s="142">
        <v>0</v>
      </c>
      <c r="P8693" s="306">
        <v>2.8480374999999999E-2</v>
      </c>
      <c r="Q8693" s="50" t="s">
        <v>9523</v>
      </c>
      <c r="R8693" s="303"/>
    </row>
    <row r="8694" spans="1:18" s="162" customFormat="1" ht="409.5" x14ac:dyDescent="0.25">
      <c r="A8694" s="184">
        <v>44319</v>
      </c>
      <c r="B8694" s="184">
        <v>44319</v>
      </c>
      <c r="C8694" s="138">
        <v>2021</v>
      </c>
      <c r="D8694" s="24" t="s">
        <v>141</v>
      </c>
      <c r="E8694" s="49" t="s">
        <v>1600</v>
      </c>
      <c r="F8694" s="28" t="s">
        <v>157</v>
      </c>
      <c r="G8694" s="33" t="s">
        <v>5443</v>
      </c>
      <c r="H8694" s="311" t="s">
        <v>11732</v>
      </c>
      <c r="I8694" s="157">
        <v>24</v>
      </c>
      <c r="J8694" s="142">
        <v>103</v>
      </c>
      <c r="K8694" s="142">
        <v>0</v>
      </c>
      <c r="L8694" s="142">
        <v>0</v>
      </c>
      <c r="M8694" s="142">
        <v>0</v>
      </c>
      <c r="N8694" s="142">
        <v>0</v>
      </c>
      <c r="O8694" s="142">
        <v>0</v>
      </c>
      <c r="P8694" s="306">
        <v>52.160701978860466</v>
      </c>
      <c r="Q8694" s="50" t="s">
        <v>9523</v>
      </c>
      <c r="R8694" s="303"/>
    </row>
    <row r="8695" spans="1:18" s="162" customFormat="1" ht="108" x14ac:dyDescent="0.25">
      <c r="A8695" s="184">
        <v>44320</v>
      </c>
      <c r="B8695" s="184">
        <v>44321</v>
      </c>
      <c r="C8695" s="138">
        <v>2021</v>
      </c>
      <c r="D8695" s="35" t="s">
        <v>28</v>
      </c>
      <c r="E8695" s="30" t="s">
        <v>133</v>
      </c>
      <c r="F8695" s="28" t="s">
        <v>160</v>
      </c>
      <c r="G8695" s="33" t="s">
        <v>10878</v>
      </c>
      <c r="H8695" s="311" t="s">
        <v>11733</v>
      </c>
      <c r="I8695" s="157">
        <v>0</v>
      </c>
      <c r="J8695" s="142">
        <v>21</v>
      </c>
      <c r="K8695" s="142">
        <v>1</v>
      </c>
      <c r="L8695" s="142">
        <v>0</v>
      </c>
      <c r="M8695" s="142">
        <v>0</v>
      </c>
      <c r="N8695" s="142">
        <v>0</v>
      </c>
      <c r="O8695" s="142">
        <v>0</v>
      </c>
      <c r="P8695" s="306">
        <v>0.10350255300000002</v>
      </c>
      <c r="Q8695" s="50" t="s">
        <v>9523</v>
      </c>
      <c r="R8695" s="303"/>
    </row>
    <row r="8696" spans="1:18" s="162" customFormat="1" ht="84" x14ac:dyDescent="0.25">
      <c r="A8696" s="184">
        <v>44321</v>
      </c>
      <c r="B8696" s="184">
        <v>44321</v>
      </c>
      <c r="C8696" s="138">
        <v>2021</v>
      </c>
      <c r="D8696" s="24" t="s">
        <v>141</v>
      </c>
      <c r="E8696" s="30" t="s">
        <v>142</v>
      </c>
      <c r="F8696" s="7" t="s">
        <v>72</v>
      </c>
      <c r="G8696" s="33" t="s">
        <v>11734</v>
      </c>
      <c r="H8696" s="311" t="s">
        <v>11735</v>
      </c>
      <c r="I8696" s="157">
        <v>0</v>
      </c>
      <c r="J8696" s="142">
        <v>30</v>
      </c>
      <c r="K8696" s="142">
        <v>0</v>
      </c>
      <c r="L8696" s="142">
        <v>0</v>
      </c>
      <c r="M8696" s="142">
        <v>0</v>
      </c>
      <c r="N8696" s="142">
        <v>0</v>
      </c>
      <c r="O8696" s="142">
        <v>0</v>
      </c>
      <c r="P8696" s="306">
        <v>0.90002220000000011</v>
      </c>
      <c r="Q8696" s="50" t="s">
        <v>9523</v>
      </c>
      <c r="R8696" s="303"/>
    </row>
    <row r="8697" spans="1:18" s="162" customFormat="1" ht="72" x14ac:dyDescent="0.25">
      <c r="A8697" s="184">
        <v>44323</v>
      </c>
      <c r="B8697" s="184">
        <v>44323</v>
      </c>
      <c r="C8697" s="138">
        <v>2021</v>
      </c>
      <c r="D8697" s="24" t="s">
        <v>141</v>
      </c>
      <c r="E8697" s="30" t="s">
        <v>142</v>
      </c>
      <c r="F8697" s="7" t="s">
        <v>30</v>
      </c>
      <c r="G8697" s="33" t="s">
        <v>901</v>
      </c>
      <c r="H8697" s="311" t="s">
        <v>11736</v>
      </c>
      <c r="I8697" s="157">
        <v>0</v>
      </c>
      <c r="J8697" s="142">
        <v>20</v>
      </c>
      <c r="K8697" s="142">
        <v>0</v>
      </c>
      <c r="L8697" s="142">
        <v>0</v>
      </c>
      <c r="M8697" s="142">
        <v>0</v>
      </c>
      <c r="N8697" s="142">
        <v>0</v>
      </c>
      <c r="O8697" s="142">
        <v>0</v>
      </c>
      <c r="P8697" s="306">
        <v>1.558180404</v>
      </c>
      <c r="Q8697" s="50" t="s">
        <v>9523</v>
      </c>
      <c r="R8697" s="303"/>
    </row>
    <row r="8698" spans="1:18" s="162" customFormat="1" ht="72" x14ac:dyDescent="0.25">
      <c r="A8698" s="184">
        <v>44323</v>
      </c>
      <c r="B8698" s="184">
        <v>44323</v>
      </c>
      <c r="C8698" s="138">
        <v>2021</v>
      </c>
      <c r="D8698" s="35" t="s">
        <v>28</v>
      </c>
      <c r="E8698" s="30" t="s">
        <v>133</v>
      </c>
      <c r="F8698" s="7" t="s">
        <v>25</v>
      </c>
      <c r="G8698" s="33" t="s">
        <v>1060</v>
      </c>
      <c r="H8698" s="311" t="s">
        <v>11737</v>
      </c>
      <c r="I8698" s="157">
        <v>2</v>
      </c>
      <c r="J8698" s="142">
        <v>2</v>
      </c>
      <c r="K8698" s="142">
        <v>0</v>
      </c>
      <c r="L8698" s="142">
        <v>0</v>
      </c>
      <c r="M8698" s="142">
        <v>0</v>
      </c>
      <c r="N8698" s="142">
        <v>0</v>
      </c>
      <c r="O8698" s="142">
        <v>0</v>
      </c>
      <c r="P8698" s="306">
        <v>0</v>
      </c>
      <c r="Q8698" s="50" t="s">
        <v>9523</v>
      </c>
      <c r="R8698" s="303"/>
    </row>
    <row r="8699" spans="1:18" s="162" customFormat="1" ht="72" x14ac:dyDescent="0.25">
      <c r="A8699" s="184">
        <v>44324</v>
      </c>
      <c r="B8699" s="184">
        <v>44324</v>
      </c>
      <c r="C8699" s="138">
        <v>2021</v>
      </c>
      <c r="D8699" s="35" t="s">
        <v>28</v>
      </c>
      <c r="E8699" s="6" t="s">
        <v>149</v>
      </c>
      <c r="F8699" s="28" t="s">
        <v>210</v>
      </c>
      <c r="G8699" s="33" t="s">
        <v>210</v>
      </c>
      <c r="H8699" s="311" t="s">
        <v>11738</v>
      </c>
      <c r="I8699" s="157">
        <v>0</v>
      </c>
      <c r="J8699" s="142">
        <v>62</v>
      </c>
      <c r="K8699" s="142">
        <v>0</v>
      </c>
      <c r="L8699" s="142">
        <v>0</v>
      </c>
      <c r="M8699" s="142">
        <v>0</v>
      </c>
      <c r="N8699" s="142">
        <v>1</v>
      </c>
      <c r="O8699" s="142">
        <v>0</v>
      </c>
      <c r="P8699" s="306">
        <v>2.3958000000000004E-3</v>
      </c>
      <c r="Q8699" s="50" t="s">
        <v>9523</v>
      </c>
      <c r="R8699" s="303"/>
    </row>
    <row r="8700" spans="1:18" s="162" customFormat="1" ht="96" x14ac:dyDescent="0.25">
      <c r="A8700" s="184">
        <v>44324</v>
      </c>
      <c r="B8700" s="184">
        <v>44324</v>
      </c>
      <c r="C8700" s="138">
        <v>2021</v>
      </c>
      <c r="D8700" s="24" t="s">
        <v>141</v>
      </c>
      <c r="E8700" s="30" t="s">
        <v>142</v>
      </c>
      <c r="F8700" s="7" t="s">
        <v>40</v>
      </c>
      <c r="G8700" s="33" t="s">
        <v>830</v>
      </c>
      <c r="H8700" s="311" t="s">
        <v>11739</v>
      </c>
      <c r="I8700" s="157">
        <v>0</v>
      </c>
      <c r="J8700" s="142">
        <v>16</v>
      </c>
      <c r="K8700" s="142">
        <v>1</v>
      </c>
      <c r="L8700" s="142">
        <v>0</v>
      </c>
      <c r="M8700" s="142">
        <v>0</v>
      </c>
      <c r="N8700" s="142">
        <v>0</v>
      </c>
      <c r="O8700" s="142">
        <v>0</v>
      </c>
      <c r="P8700" s="306">
        <v>1.362603823447059</v>
      </c>
      <c r="Q8700" s="50" t="s">
        <v>9523</v>
      </c>
      <c r="R8700" s="303"/>
    </row>
    <row r="8701" spans="1:18" s="162" customFormat="1" ht="96" x14ac:dyDescent="0.25">
      <c r="A8701" s="184">
        <v>44327</v>
      </c>
      <c r="B8701" s="184">
        <v>44327</v>
      </c>
      <c r="C8701" s="138">
        <v>2021</v>
      </c>
      <c r="D8701" s="351" t="s">
        <v>23</v>
      </c>
      <c r="E8701" s="22" t="s">
        <v>86</v>
      </c>
      <c r="F8701" s="7" t="s">
        <v>60</v>
      </c>
      <c r="G8701" s="33" t="s">
        <v>3754</v>
      </c>
      <c r="H8701" s="311" t="s">
        <v>11740</v>
      </c>
      <c r="I8701" s="157">
        <v>0</v>
      </c>
      <c r="J8701" s="142">
        <v>112</v>
      </c>
      <c r="K8701" s="142">
        <v>28</v>
      </c>
      <c r="L8701" s="142">
        <v>0</v>
      </c>
      <c r="M8701" s="142">
        <v>0</v>
      </c>
      <c r="N8701" s="142">
        <v>2</v>
      </c>
      <c r="O8701" s="142">
        <v>0</v>
      </c>
      <c r="P8701" s="306">
        <v>3.7352700000000003E-2</v>
      </c>
      <c r="Q8701" s="50" t="s">
        <v>9523</v>
      </c>
      <c r="R8701" s="303"/>
    </row>
    <row r="8702" spans="1:18" s="162" customFormat="1" ht="72" x14ac:dyDescent="0.25">
      <c r="A8702" s="184">
        <v>44327</v>
      </c>
      <c r="B8702" s="184">
        <v>44328</v>
      </c>
      <c r="C8702" s="138">
        <v>2021</v>
      </c>
      <c r="D8702" s="24" t="s">
        <v>141</v>
      </c>
      <c r="E8702" s="30" t="s">
        <v>142</v>
      </c>
      <c r="F8702" s="7" t="s">
        <v>68</v>
      </c>
      <c r="G8702" s="33" t="s">
        <v>1121</v>
      </c>
      <c r="H8702" s="311" t="s">
        <v>11741</v>
      </c>
      <c r="I8702" s="157">
        <v>0</v>
      </c>
      <c r="J8702" s="142">
        <v>13</v>
      </c>
      <c r="K8702" s="142">
        <v>0</v>
      </c>
      <c r="L8702" s="142">
        <v>0</v>
      </c>
      <c r="M8702" s="142">
        <v>0</v>
      </c>
      <c r="N8702" s="142">
        <v>0</v>
      </c>
      <c r="O8702" s="142">
        <v>0</v>
      </c>
      <c r="P8702" s="306">
        <v>0.87965789999999999</v>
      </c>
      <c r="Q8702" s="50" t="s">
        <v>9523</v>
      </c>
      <c r="R8702" s="303"/>
    </row>
    <row r="8703" spans="1:18" s="162" customFormat="1" ht="132" x14ac:dyDescent="0.25">
      <c r="A8703" s="184">
        <v>44328</v>
      </c>
      <c r="B8703" s="184">
        <v>44329</v>
      </c>
      <c r="C8703" s="138">
        <v>2021</v>
      </c>
      <c r="D8703" s="351" t="s">
        <v>23</v>
      </c>
      <c r="E8703" s="22" t="s">
        <v>86</v>
      </c>
      <c r="F8703" s="7" t="s">
        <v>82</v>
      </c>
      <c r="G8703" s="33" t="s">
        <v>10531</v>
      </c>
      <c r="H8703" s="311" t="s">
        <v>11742</v>
      </c>
      <c r="I8703" s="157">
        <v>1</v>
      </c>
      <c r="J8703" s="142">
        <v>7</v>
      </c>
      <c r="K8703" s="142">
        <v>0</v>
      </c>
      <c r="L8703" s="142">
        <v>0</v>
      </c>
      <c r="M8703" s="142">
        <v>0</v>
      </c>
      <c r="N8703" s="142">
        <v>0</v>
      </c>
      <c r="O8703" s="142">
        <v>0</v>
      </c>
      <c r="P8703" s="306">
        <v>7.1874000000000018E-3</v>
      </c>
      <c r="Q8703" s="50" t="s">
        <v>9523</v>
      </c>
      <c r="R8703" s="303"/>
    </row>
    <row r="8704" spans="1:18" s="162" customFormat="1" ht="84" x14ac:dyDescent="0.25">
      <c r="A8704" s="184">
        <v>44329</v>
      </c>
      <c r="B8704" s="184">
        <v>44330</v>
      </c>
      <c r="C8704" s="138">
        <v>2021</v>
      </c>
      <c r="D8704" s="351" t="s">
        <v>23</v>
      </c>
      <c r="E8704" s="22" t="s">
        <v>86</v>
      </c>
      <c r="F8704" s="28" t="s">
        <v>157</v>
      </c>
      <c r="G8704" s="33" t="s">
        <v>206</v>
      </c>
      <c r="H8704" s="311" t="s">
        <v>11743</v>
      </c>
      <c r="I8704" s="157">
        <v>0</v>
      </c>
      <c r="J8704" s="142">
        <v>0</v>
      </c>
      <c r="K8704" s="142">
        <v>140</v>
      </c>
      <c r="L8704" s="142">
        <v>0</v>
      </c>
      <c r="M8704" s="142">
        <v>0</v>
      </c>
      <c r="N8704" s="142">
        <v>0</v>
      </c>
      <c r="O8704" s="142">
        <v>0</v>
      </c>
      <c r="P8704" s="306">
        <v>0.43114417500000007</v>
      </c>
      <c r="Q8704" s="50" t="s">
        <v>9523</v>
      </c>
      <c r="R8704" s="303"/>
    </row>
    <row r="8705" spans="1:18" s="162" customFormat="1" ht="84" x14ac:dyDescent="0.25">
      <c r="A8705" s="184">
        <v>44329</v>
      </c>
      <c r="B8705" s="184">
        <v>44330</v>
      </c>
      <c r="C8705" s="138">
        <v>2021</v>
      </c>
      <c r="D8705" s="24" t="s">
        <v>141</v>
      </c>
      <c r="E8705" s="30" t="s">
        <v>142</v>
      </c>
      <c r="F8705" s="7" t="s">
        <v>53</v>
      </c>
      <c r="G8705" s="33" t="s">
        <v>2776</v>
      </c>
      <c r="H8705" s="311" t="s">
        <v>11744</v>
      </c>
      <c r="I8705" s="157">
        <v>0</v>
      </c>
      <c r="J8705" s="142">
        <v>7</v>
      </c>
      <c r="K8705" s="142">
        <v>0</v>
      </c>
      <c r="L8705" s="142">
        <v>0</v>
      </c>
      <c r="M8705" s="142">
        <v>0</v>
      </c>
      <c r="N8705" s="142">
        <v>0</v>
      </c>
      <c r="O8705" s="142">
        <v>0</v>
      </c>
      <c r="P8705" s="306">
        <v>0.36175374643023261</v>
      </c>
      <c r="Q8705" s="50" t="s">
        <v>9523</v>
      </c>
      <c r="R8705" s="303"/>
    </row>
    <row r="8706" spans="1:18" s="162" customFormat="1" ht="84" x14ac:dyDescent="0.25">
      <c r="A8706" s="184">
        <v>44331</v>
      </c>
      <c r="B8706" s="184">
        <v>44331</v>
      </c>
      <c r="C8706" s="138">
        <v>2021</v>
      </c>
      <c r="D8706" s="24" t="s">
        <v>141</v>
      </c>
      <c r="E8706" s="30" t="s">
        <v>142</v>
      </c>
      <c r="F8706" s="7" t="s">
        <v>75</v>
      </c>
      <c r="G8706" s="33" t="s">
        <v>11745</v>
      </c>
      <c r="H8706" s="311" t="s">
        <v>11746</v>
      </c>
      <c r="I8706" s="157">
        <v>5</v>
      </c>
      <c r="J8706" s="142">
        <v>31</v>
      </c>
      <c r="K8706" s="142">
        <v>0</v>
      </c>
      <c r="L8706" s="142">
        <v>0</v>
      </c>
      <c r="M8706" s="142">
        <v>0</v>
      </c>
      <c r="N8706" s="142">
        <v>0</v>
      </c>
      <c r="O8706" s="142">
        <v>0</v>
      </c>
      <c r="P8706" s="306">
        <v>0.8952306000000001</v>
      </c>
      <c r="Q8706" s="50" t="s">
        <v>9523</v>
      </c>
      <c r="R8706" s="303"/>
    </row>
    <row r="8707" spans="1:18" s="162" customFormat="1" ht="108" x14ac:dyDescent="0.25">
      <c r="A8707" s="184">
        <v>44331</v>
      </c>
      <c r="B8707" s="184">
        <v>44331</v>
      </c>
      <c r="C8707" s="138">
        <v>2021</v>
      </c>
      <c r="D8707" s="35" t="s">
        <v>28</v>
      </c>
      <c r="E8707" s="30" t="s">
        <v>133</v>
      </c>
      <c r="F8707" s="28" t="s">
        <v>157</v>
      </c>
      <c r="G8707" s="33" t="s">
        <v>526</v>
      </c>
      <c r="H8707" s="311" t="s">
        <v>11747</v>
      </c>
      <c r="I8707" s="157">
        <v>0</v>
      </c>
      <c r="J8707" s="142">
        <v>35</v>
      </c>
      <c r="K8707" s="142">
        <v>1</v>
      </c>
      <c r="L8707" s="142">
        <v>0</v>
      </c>
      <c r="M8707" s="142">
        <v>0</v>
      </c>
      <c r="N8707" s="142">
        <v>0</v>
      </c>
      <c r="O8707" s="142">
        <v>0</v>
      </c>
      <c r="P8707" s="306">
        <v>2.0182800000000004E-2</v>
      </c>
      <c r="Q8707" s="50" t="s">
        <v>9523</v>
      </c>
      <c r="R8707" s="303"/>
    </row>
    <row r="8708" spans="1:18" s="162" customFormat="1" ht="156" x14ac:dyDescent="0.25">
      <c r="A8708" s="184">
        <v>44331</v>
      </c>
      <c r="B8708" s="184">
        <v>44332</v>
      </c>
      <c r="C8708" s="138">
        <v>2021</v>
      </c>
      <c r="D8708" s="351" t="s">
        <v>23</v>
      </c>
      <c r="E8708" s="22" t="s">
        <v>86</v>
      </c>
      <c r="F8708" s="7" t="s">
        <v>45</v>
      </c>
      <c r="G8708" s="33" t="s">
        <v>6929</v>
      </c>
      <c r="H8708" s="311" t="s">
        <v>11748</v>
      </c>
      <c r="I8708" s="157">
        <v>0</v>
      </c>
      <c r="J8708" s="142">
        <v>28</v>
      </c>
      <c r="K8708" s="142">
        <v>7</v>
      </c>
      <c r="L8708" s="142">
        <v>0</v>
      </c>
      <c r="M8708" s="142">
        <v>0</v>
      </c>
      <c r="N8708" s="142">
        <v>0</v>
      </c>
      <c r="O8708" s="142">
        <v>0</v>
      </c>
      <c r="P8708" s="306">
        <v>9.3381750000000006E-3</v>
      </c>
      <c r="Q8708" s="50" t="s">
        <v>9523</v>
      </c>
      <c r="R8708" s="303"/>
    </row>
    <row r="8709" spans="1:18" s="162" customFormat="1" ht="312" x14ac:dyDescent="0.25">
      <c r="A8709" s="184">
        <v>44331</v>
      </c>
      <c r="B8709" s="184">
        <v>44331</v>
      </c>
      <c r="C8709" s="138">
        <v>2021</v>
      </c>
      <c r="D8709" s="351" t="s">
        <v>23</v>
      </c>
      <c r="E8709" s="49" t="s">
        <v>5893</v>
      </c>
      <c r="F8709" s="7" t="s">
        <v>91</v>
      </c>
      <c r="G8709" s="33" t="s">
        <v>11749</v>
      </c>
      <c r="H8709" s="311" t="s">
        <v>11750</v>
      </c>
      <c r="I8709" s="157">
        <v>0</v>
      </c>
      <c r="J8709" s="142">
        <v>17</v>
      </c>
      <c r="K8709" s="142">
        <v>1</v>
      </c>
      <c r="L8709" s="142">
        <v>0</v>
      </c>
      <c r="M8709" s="142">
        <v>0</v>
      </c>
      <c r="N8709" s="142">
        <v>0</v>
      </c>
      <c r="O8709" s="142">
        <v>0</v>
      </c>
      <c r="P8709" s="306">
        <v>0.97189922500000014</v>
      </c>
      <c r="Q8709" s="50" t="s">
        <v>9523</v>
      </c>
      <c r="R8709" s="303"/>
    </row>
    <row r="8710" spans="1:18" s="162" customFormat="1" ht="84" x14ac:dyDescent="0.25">
      <c r="A8710" s="184">
        <v>44332</v>
      </c>
      <c r="B8710" s="184">
        <v>44333</v>
      </c>
      <c r="C8710" s="138">
        <v>2021</v>
      </c>
      <c r="D8710" s="351" t="s">
        <v>23</v>
      </c>
      <c r="E8710" s="22" t="s">
        <v>86</v>
      </c>
      <c r="F8710" s="7" t="s">
        <v>36</v>
      </c>
      <c r="G8710" s="33" t="s">
        <v>10089</v>
      </c>
      <c r="H8710" s="311" t="s">
        <v>11751</v>
      </c>
      <c r="I8710" s="157">
        <v>0</v>
      </c>
      <c r="J8710" s="142">
        <v>25</v>
      </c>
      <c r="K8710" s="142">
        <v>6</v>
      </c>
      <c r="L8710" s="142">
        <v>0</v>
      </c>
      <c r="M8710" s="142">
        <v>0</v>
      </c>
      <c r="N8710" s="142">
        <v>0</v>
      </c>
      <c r="O8710" s="142">
        <v>0</v>
      </c>
      <c r="P8710" s="306">
        <v>2.7951000000000004E-3</v>
      </c>
      <c r="Q8710" s="50" t="s">
        <v>9523</v>
      </c>
      <c r="R8710" s="303"/>
    </row>
    <row r="8711" spans="1:18" s="162" customFormat="1" ht="156" x14ac:dyDescent="0.25">
      <c r="A8711" s="184">
        <v>44333</v>
      </c>
      <c r="B8711" s="184">
        <v>44334</v>
      </c>
      <c r="C8711" s="138">
        <v>2021</v>
      </c>
      <c r="D8711" s="351" t="s">
        <v>23</v>
      </c>
      <c r="E8711" s="22" t="s">
        <v>86</v>
      </c>
      <c r="F8711" s="7" t="s">
        <v>72</v>
      </c>
      <c r="G8711" s="33" t="s">
        <v>11752</v>
      </c>
      <c r="H8711" s="311" t="s">
        <v>11753</v>
      </c>
      <c r="I8711" s="157">
        <v>1</v>
      </c>
      <c r="J8711" s="142">
        <v>58</v>
      </c>
      <c r="K8711" s="142">
        <v>14</v>
      </c>
      <c r="L8711" s="142"/>
      <c r="M8711" s="142">
        <v>0</v>
      </c>
      <c r="N8711" s="142">
        <v>0</v>
      </c>
      <c r="O8711" s="142">
        <v>0</v>
      </c>
      <c r="P8711" s="306">
        <v>40.114322819999998</v>
      </c>
      <c r="Q8711" s="50" t="s">
        <v>9523</v>
      </c>
      <c r="R8711" s="303"/>
    </row>
    <row r="8712" spans="1:18" s="162" customFormat="1" ht="120" x14ac:dyDescent="0.25">
      <c r="A8712" s="184">
        <v>44333</v>
      </c>
      <c r="B8712" s="184">
        <v>44333</v>
      </c>
      <c r="C8712" s="138">
        <v>2021</v>
      </c>
      <c r="D8712" s="35" t="s">
        <v>28</v>
      </c>
      <c r="E8712" s="6" t="s">
        <v>149</v>
      </c>
      <c r="F8712" s="7" t="s">
        <v>56</v>
      </c>
      <c r="G8712" s="33" t="s">
        <v>1638</v>
      </c>
      <c r="H8712" s="311" t="s">
        <v>11754</v>
      </c>
      <c r="I8712" s="157">
        <v>0</v>
      </c>
      <c r="J8712" s="142">
        <v>120</v>
      </c>
      <c r="K8712" s="142">
        <v>0</v>
      </c>
      <c r="L8712" s="142">
        <v>0</v>
      </c>
      <c r="M8712" s="142">
        <v>0</v>
      </c>
      <c r="N8712" s="142">
        <v>0</v>
      </c>
      <c r="O8712" s="142">
        <v>0</v>
      </c>
      <c r="P8712" s="306">
        <v>1.0285</v>
      </c>
      <c r="Q8712" s="50" t="s">
        <v>9523</v>
      </c>
      <c r="R8712" s="303"/>
    </row>
    <row r="8713" spans="1:18" s="162" customFormat="1" ht="324" x14ac:dyDescent="0.25">
      <c r="A8713" s="184">
        <v>44333</v>
      </c>
      <c r="B8713" s="184">
        <v>44334</v>
      </c>
      <c r="C8713" s="138">
        <v>2021</v>
      </c>
      <c r="D8713" s="35" t="s">
        <v>17</v>
      </c>
      <c r="E8713" s="6" t="s">
        <v>328</v>
      </c>
      <c r="F8713" s="7" t="s">
        <v>72</v>
      </c>
      <c r="G8713" s="33" t="s">
        <v>11755</v>
      </c>
      <c r="H8713" s="311" t="s">
        <v>11756</v>
      </c>
      <c r="I8713" s="157">
        <v>1</v>
      </c>
      <c r="J8713" s="142">
        <v>57</v>
      </c>
      <c r="K8713" s="142">
        <v>0</v>
      </c>
      <c r="L8713" s="142">
        <v>1</v>
      </c>
      <c r="M8713" s="142">
        <v>0</v>
      </c>
      <c r="N8713" s="142">
        <v>0</v>
      </c>
      <c r="O8713" s="142">
        <v>0</v>
      </c>
      <c r="P8713" s="306">
        <v>0</v>
      </c>
      <c r="Q8713" s="50" t="s">
        <v>9523</v>
      </c>
      <c r="R8713" s="303"/>
    </row>
    <row r="8714" spans="1:18" s="162" customFormat="1" ht="324" x14ac:dyDescent="0.25">
      <c r="A8714" s="184">
        <v>44333</v>
      </c>
      <c r="B8714" s="184">
        <v>44334</v>
      </c>
      <c r="C8714" s="138">
        <v>2021</v>
      </c>
      <c r="D8714" s="35" t="s">
        <v>17</v>
      </c>
      <c r="E8714" s="6" t="s">
        <v>328</v>
      </c>
      <c r="F8714" s="7" t="s">
        <v>72</v>
      </c>
      <c r="G8714" s="33" t="s">
        <v>11755</v>
      </c>
      <c r="H8714" s="311" t="s">
        <v>11756</v>
      </c>
      <c r="I8714" s="157">
        <v>1</v>
      </c>
      <c r="J8714" s="142">
        <v>1</v>
      </c>
      <c r="K8714" s="142">
        <v>0</v>
      </c>
      <c r="L8714" s="142">
        <v>0</v>
      </c>
      <c r="M8714" s="142">
        <v>0</v>
      </c>
      <c r="N8714" s="142">
        <v>0</v>
      </c>
      <c r="O8714" s="142">
        <v>0</v>
      </c>
      <c r="P8714" s="306">
        <v>0</v>
      </c>
      <c r="Q8714" s="50" t="s">
        <v>9523</v>
      </c>
      <c r="R8714" s="303"/>
    </row>
    <row r="8715" spans="1:18" s="162" customFormat="1" ht="168" x14ac:dyDescent="0.25">
      <c r="A8715" s="184">
        <v>44333</v>
      </c>
      <c r="B8715" s="184">
        <v>44334</v>
      </c>
      <c r="C8715" s="138">
        <v>2021</v>
      </c>
      <c r="D8715" s="351" t="s">
        <v>23</v>
      </c>
      <c r="E8715" s="22" t="s">
        <v>86</v>
      </c>
      <c r="F8715" s="7" t="s">
        <v>91</v>
      </c>
      <c r="G8715" s="33" t="s">
        <v>1682</v>
      </c>
      <c r="H8715" s="311" t="s">
        <v>11757</v>
      </c>
      <c r="I8715" s="157">
        <v>1</v>
      </c>
      <c r="J8715" s="142">
        <v>6</v>
      </c>
      <c r="K8715" s="142">
        <v>0</v>
      </c>
      <c r="L8715" s="142">
        <v>0</v>
      </c>
      <c r="M8715" s="142">
        <v>0</v>
      </c>
      <c r="N8715" s="142">
        <v>0</v>
      </c>
      <c r="O8715" s="142">
        <v>0</v>
      </c>
      <c r="P8715" s="306">
        <v>0.10648000000000001</v>
      </c>
      <c r="Q8715" s="50" t="s">
        <v>9523</v>
      </c>
      <c r="R8715" s="303"/>
    </row>
    <row r="8716" spans="1:18" s="162" customFormat="1" ht="84" x14ac:dyDescent="0.25">
      <c r="A8716" s="184">
        <v>44334</v>
      </c>
      <c r="B8716" s="184">
        <v>44334</v>
      </c>
      <c r="C8716" s="138">
        <v>2021</v>
      </c>
      <c r="D8716" s="35" t="s">
        <v>28</v>
      </c>
      <c r="E8716" s="30" t="s">
        <v>133</v>
      </c>
      <c r="F8716" s="7" t="s">
        <v>53</v>
      </c>
      <c r="G8716" s="33" t="s">
        <v>5069</v>
      </c>
      <c r="H8716" s="311" t="s">
        <v>11758</v>
      </c>
      <c r="I8716" s="157">
        <v>2</v>
      </c>
      <c r="J8716" s="305">
        <v>2</v>
      </c>
      <c r="K8716" s="142">
        <v>1</v>
      </c>
      <c r="L8716" s="142">
        <v>0</v>
      </c>
      <c r="M8716" s="142">
        <v>0</v>
      </c>
      <c r="N8716" s="142">
        <v>0</v>
      </c>
      <c r="O8716" s="142">
        <v>0</v>
      </c>
      <c r="P8716" s="306">
        <v>1.7787000000000004E-2</v>
      </c>
      <c r="Q8716" s="50" t="s">
        <v>9523</v>
      </c>
      <c r="R8716" s="303"/>
    </row>
    <row r="8717" spans="1:18" s="162" customFormat="1" ht="156" x14ac:dyDescent="0.25">
      <c r="A8717" s="184">
        <v>44334</v>
      </c>
      <c r="B8717" s="184">
        <v>44334</v>
      </c>
      <c r="C8717" s="138">
        <v>2021</v>
      </c>
      <c r="D8717" s="351" t="s">
        <v>23</v>
      </c>
      <c r="E8717" s="22" t="s">
        <v>86</v>
      </c>
      <c r="F8717" s="7" t="s">
        <v>75</v>
      </c>
      <c r="G8717" s="33" t="s">
        <v>11759</v>
      </c>
      <c r="H8717" s="311" t="s">
        <v>11760</v>
      </c>
      <c r="I8717" s="157">
        <v>0</v>
      </c>
      <c r="J8717" s="142">
        <v>160</v>
      </c>
      <c r="K8717" s="142">
        <v>40</v>
      </c>
      <c r="L8717" s="142">
        <v>0</v>
      </c>
      <c r="M8717" s="142">
        <v>0</v>
      </c>
      <c r="N8717" s="142">
        <v>0</v>
      </c>
      <c r="O8717" s="142">
        <v>0</v>
      </c>
      <c r="P8717" s="306">
        <v>5.3360999999999999E-2</v>
      </c>
      <c r="Q8717" s="50" t="s">
        <v>9523</v>
      </c>
      <c r="R8717" s="303"/>
    </row>
    <row r="8718" spans="1:18" s="162" customFormat="1" ht="132" x14ac:dyDescent="0.25">
      <c r="A8718" s="184">
        <v>44334</v>
      </c>
      <c r="B8718" s="184">
        <v>44351</v>
      </c>
      <c r="C8718" s="138">
        <v>2021</v>
      </c>
      <c r="D8718" s="351" t="s">
        <v>23</v>
      </c>
      <c r="E8718" s="22" t="s">
        <v>86</v>
      </c>
      <c r="F8718" s="28" t="s">
        <v>210</v>
      </c>
      <c r="G8718" s="33" t="s">
        <v>11761</v>
      </c>
      <c r="H8718" s="311" t="s">
        <v>11762</v>
      </c>
      <c r="I8718" s="157">
        <v>0</v>
      </c>
      <c r="J8718" s="142">
        <v>156</v>
      </c>
      <c r="K8718" s="142">
        <v>19</v>
      </c>
      <c r="L8718" s="142">
        <v>0</v>
      </c>
      <c r="M8718" s="142">
        <v>0</v>
      </c>
      <c r="N8718" s="142">
        <v>0</v>
      </c>
      <c r="O8718" s="142">
        <v>0</v>
      </c>
      <c r="P8718" s="306">
        <v>1.5373050000000003E-2</v>
      </c>
      <c r="Q8718" s="50" t="s">
        <v>9523</v>
      </c>
      <c r="R8718" s="303"/>
    </row>
    <row r="8719" spans="1:18" s="162" customFormat="1" ht="96" x14ac:dyDescent="0.25">
      <c r="A8719" s="184">
        <v>44334</v>
      </c>
      <c r="B8719" s="184">
        <v>44335</v>
      </c>
      <c r="C8719" s="138">
        <v>2021</v>
      </c>
      <c r="D8719" s="351" t="s">
        <v>23</v>
      </c>
      <c r="E8719" s="22" t="s">
        <v>86</v>
      </c>
      <c r="F8719" s="7" t="s">
        <v>72</v>
      </c>
      <c r="G8719" s="33" t="s">
        <v>11763</v>
      </c>
      <c r="H8719" s="311" t="s">
        <v>11764</v>
      </c>
      <c r="I8719" s="157">
        <v>0</v>
      </c>
      <c r="J8719" s="142">
        <v>25</v>
      </c>
      <c r="K8719" s="142">
        <v>6</v>
      </c>
      <c r="L8719" s="142">
        <v>0</v>
      </c>
      <c r="M8719" s="142">
        <v>0</v>
      </c>
      <c r="N8719" s="142">
        <v>0</v>
      </c>
      <c r="O8719" s="142">
        <v>0</v>
      </c>
      <c r="P8719" s="306">
        <v>8.0041499999999998E-3</v>
      </c>
      <c r="Q8719" s="50" t="s">
        <v>9523</v>
      </c>
      <c r="R8719" s="303"/>
    </row>
    <row r="8720" spans="1:18" s="162" customFormat="1" ht="228" x14ac:dyDescent="0.25">
      <c r="A8720" s="184">
        <v>44334</v>
      </c>
      <c r="B8720" s="184">
        <v>44334</v>
      </c>
      <c r="C8720" s="138">
        <v>2021</v>
      </c>
      <c r="D8720" s="351" t="s">
        <v>23</v>
      </c>
      <c r="E8720" s="22" t="s">
        <v>86</v>
      </c>
      <c r="F8720" s="7" t="s">
        <v>91</v>
      </c>
      <c r="G8720" s="33" t="s">
        <v>1682</v>
      </c>
      <c r="H8720" s="311" t="s">
        <v>11765</v>
      </c>
      <c r="I8720" s="157">
        <v>1</v>
      </c>
      <c r="J8720" s="142">
        <v>632</v>
      </c>
      <c r="K8720" s="142">
        <v>156</v>
      </c>
      <c r="L8720" s="142">
        <v>0</v>
      </c>
      <c r="M8720" s="142">
        <v>0</v>
      </c>
      <c r="N8720" s="142">
        <v>325</v>
      </c>
      <c r="O8720" s="142">
        <v>0</v>
      </c>
      <c r="P8720" s="306">
        <v>1.5597787943023258</v>
      </c>
      <c r="Q8720" s="50" t="s">
        <v>9523</v>
      </c>
      <c r="R8720" s="303"/>
    </row>
    <row r="8721" spans="1:18" s="162" customFormat="1" ht="409.5" x14ac:dyDescent="0.25">
      <c r="A8721" s="184">
        <v>44335</v>
      </c>
      <c r="B8721" s="184">
        <v>44336</v>
      </c>
      <c r="C8721" s="138">
        <v>2021</v>
      </c>
      <c r="D8721" s="351" t="s">
        <v>23</v>
      </c>
      <c r="E8721" s="22" t="s">
        <v>86</v>
      </c>
      <c r="F8721" s="28" t="s">
        <v>210</v>
      </c>
      <c r="G8721" s="33" t="s">
        <v>11766</v>
      </c>
      <c r="H8721" s="311" t="s">
        <v>11767</v>
      </c>
      <c r="I8721" s="157">
        <v>0</v>
      </c>
      <c r="J8721" s="142">
        <v>1152</v>
      </c>
      <c r="K8721" s="142">
        <v>288</v>
      </c>
      <c r="L8721" s="142">
        <v>0</v>
      </c>
      <c r="M8721" s="142">
        <v>0</v>
      </c>
      <c r="N8721" s="142">
        <v>0</v>
      </c>
      <c r="O8721" s="142">
        <v>0</v>
      </c>
      <c r="P8721" s="306">
        <v>0.13416480000000003</v>
      </c>
      <c r="Q8721" s="50" t="s">
        <v>9523</v>
      </c>
      <c r="R8721" s="303"/>
    </row>
    <row r="8722" spans="1:18" s="162" customFormat="1" ht="120" x14ac:dyDescent="0.25">
      <c r="A8722" s="184">
        <v>44336</v>
      </c>
      <c r="B8722" s="184">
        <v>44336</v>
      </c>
      <c r="C8722" s="138">
        <v>2021</v>
      </c>
      <c r="D8722" s="351" t="s">
        <v>23</v>
      </c>
      <c r="E8722" s="22" t="s">
        <v>86</v>
      </c>
      <c r="F8722" s="28" t="s">
        <v>210</v>
      </c>
      <c r="G8722" s="33" t="s">
        <v>8146</v>
      </c>
      <c r="H8722" s="311" t="s">
        <v>11768</v>
      </c>
      <c r="I8722" s="157">
        <v>0</v>
      </c>
      <c r="J8722" s="142">
        <v>224</v>
      </c>
      <c r="K8722" s="142">
        <v>56</v>
      </c>
      <c r="L8722" s="142">
        <v>0</v>
      </c>
      <c r="M8722" s="142">
        <v>0</v>
      </c>
      <c r="N8722" s="142">
        <v>0</v>
      </c>
      <c r="O8722" s="142">
        <v>0</v>
      </c>
      <c r="P8722" s="306">
        <v>7.4705400000000005E-2</v>
      </c>
      <c r="Q8722" s="50" t="s">
        <v>9523</v>
      </c>
      <c r="R8722" s="303"/>
    </row>
    <row r="8723" spans="1:18" s="162" customFormat="1" ht="96" x14ac:dyDescent="0.25">
      <c r="A8723" s="184">
        <v>44336</v>
      </c>
      <c r="B8723" s="184">
        <v>44336</v>
      </c>
      <c r="C8723" s="138">
        <v>2021</v>
      </c>
      <c r="D8723" s="351" t="s">
        <v>23</v>
      </c>
      <c r="E8723" s="22" t="s">
        <v>86</v>
      </c>
      <c r="F8723" s="7" t="s">
        <v>91</v>
      </c>
      <c r="G8723" s="33" t="s">
        <v>11769</v>
      </c>
      <c r="H8723" s="311" t="s">
        <v>11770</v>
      </c>
      <c r="I8723" s="157">
        <v>0</v>
      </c>
      <c r="J8723" s="142">
        <v>13</v>
      </c>
      <c r="K8723" s="142">
        <v>0</v>
      </c>
      <c r="L8723" s="142">
        <v>0</v>
      </c>
      <c r="M8723" s="142">
        <v>0</v>
      </c>
      <c r="N8723" s="142">
        <v>0</v>
      </c>
      <c r="O8723" s="142">
        <v>0</v>
      </c>
      <c r="P8723" s="306">
        <v>1.3842400000000001</v>
      </c>
      <c r="Q8723" s="50" t="s">
        <v>9523</v>
      </c>
      <c r="R8723" s="303"/>
    </row>
    <row r="8724" spans="1:18" s="162" customFormat="1" ht="84" x14ac:dyDescent="0.25">
      <c r="A8724" s="184">
        <v>44337</v>
      </c>
      <c r="B8724" s="184">
        <v>44338</v>
      </c>
      <c r="C8724" s="138">
        <v>2021</v>
      </c>
      <c r="D8724" s="351" t="s">
        <v>23</v>
      </c>
      <c r="E8724" s="22" t="s">
        <v>86</v>
      </c>
      <c r="F8724" s="28" t="s">
        <v>210</v>
      </c>
      <c r="G8724" s="33" t="s">
        <v>11771</v>
      </c>
      <c r="H8724" s="311" t="s">
        <v>11772</v>
      </c>
      <c r="I8724" s="157">
        <v>1</v>
      </c>
      <c r="J8724" s="142">
        <v>211</v>
      </c>
      <c r="K8724" s="142">
        <v>72</v>
      </c>
      <c r="L8724" s="142">
        <v>0</v>
      </c>
      <c r="M8724" s="142">
        <v>0</v>
      </c>
      <c r="N8724" s="142">
        <v>0</v>
      </c>
      <c r="O8724" s="142">
        <v>0</v>
      </c>
      <c r="P8724" s="306">
        <v>3.3541200000000007E-2</v>
      </c>
      <c r="Q8724" s="50" t="s">
        <v>9523</v>
      </c>
      <c r="R8724" s="303"/>
    </row>
    <row r="8725" spans="1:18" s="162" customFormat="1" ht="84" x14ac:dyDescent="0.25">
      <c r="A8725" s="184">
        <v>44337</v>
      </c>
      <c r="B8725" s="184">
        <v>44337</v>
      </c>
      <c r="C8725" s="138">
        <v>2021</v>
      </c>
      <c r="D8725" s="24" t="s">
        <v>141</v>
      </c>
      <c r="E8725" s="30" t="s">
        <v>142</v>
      </c>
      <c r="F8725" s="7" t="s">
        <v>75</v>
      </c>
      <c r="G8725" s="33" t="s">
        <v>75</v>
      </c>
      <c r="H8725" s="311" t="s">
        <v>11773</v>
      </c>
      <c r="I8725" s="157">
        <v>0</v>
      </c>
      <c r="J8725" s="142">
        <v>17</v>
      </c>
      <c r="K8725" s="142">
        <v>0</v>
      </c>
      <c r="L8725" s="142">
        <v>0</v>
      </c>
      <c r="M8725" s="142">
        <v>0</v>
      </c>
      <c r="N8725" s="142">
        <v>0</v>
      </c>
      <c r="O8725" s="142">
        <v>0</v>
      </c>
      <c r="P8725" s="306">
        <v>1.0196165894302327</v>
      </c>
      <c r="Q8725" s="50" t="s">
        <v>9523</v>
      </c>
      <c r="R8725" s="303"/>
    </row>
    <row r="8726" spans="1:18" s="162" customFormat="1" ht="204" x14ac:dyDescent="0.25">
      <c r="A8726" s="184">
        <v>44338</v>
      </c>
      <c r="B8726" s="184">
        <v>44338</v>
      </c>
      <c r="C8726" s="138">
        <v>2021</v>
      </c>
      <c r="D8726" s="351" t="s">
        <v>23</v>
      </c>
      <c r="E8726" s="22" t="s">
        <v>86</v>
      </c>
      <c r="F8726" s="25" t="s">
        <v>781</v>
      </c>
      <c r="G8726" s="33" t="s">
        <v>5007</v>
      </c>
      <c r="H8726" s="311" t="s">
        <v>11774</v>
      </c>
      <c r="I8726" s="157">
        <v>0</v>
      </c>
      <c r="J8726" s="142">
        <v>1600</v>
      </c>
      <c r="K8726" s="142">
        <v>400</v>
      </c>
      <c r="L8726" s="142">
        <v>0</v>
      </c>
      <c r="M8726" s="142">
        <v>0</v>
      </c>
      <c r="N8726" s="142">
        <v>0</v>
      </c>
      <c r="O8726" s="142">
        <v>0</v>
      </c>
      <c r="P8726" s="306">
        <v>0.74656999999999996</v>
      </c>
      <c r="Q8726" s="50" t="s">
        <v>9523</v>
      </c>
      <c r="R8726" s="303"/>
    </row>
    <row r="8727" spans="1:18" s="162" customFormat="1" ht="96" x14ac:dyDescent="0.25">
      <c r="A8727" s="184">
        <v>44340</v>
      </c>
      <c r="B8727" s="184">
        <v>44340</v>
      </c>
      <c r="C8727" s="138">
        <v>2021</v>
      </c>
      <c r="D8727" s="24" t="s">
        <v>141</v>
      </c>
      <c r="E8727" s="49" t="s">
        <v>1600</v>
      </c>
      <c r="F8727" s="28" t="s">
        <v>163</v>
      </c>
      <c r="G8727" s="33" t="s">
        <v>4478</v>
      </c>
      <c r="H8727" s="311" t="s">
        <v>11775</v>
      </c>
      <c r="I8727" s="157">
        <v>0</v>
      </c>
      <c r="J8727" s="142">
        <v>42</v>
      </c>
      <c r="K8727" s="142">
        <v>0</v>
      </c>
      <c r="L8727" s="142">
        <v>0</v>
      </c>
      <c r="M8727" s="142">
        <v>0</v>
      </c>
      <c r="N8727" s="142">
        <v>1</v>
      </c>
      <c r="O8727" s="142">
        <v>0</v>
      </c>
      <c r="P8727" s="306">
        <v>0</v>
      </c>
      <c r="Q8727" s="50" t="s">
        <v>9523</v>
      </c>
      <c r="R8727" s="303"/>
    </row>
    <row r="8728" spans="1:18" s="162" customFormat="1" ht="60" x14ac:dyDescent="0.25">
      <c r="A8728" s="184">
        <v>44340</v>
      </c>
      <c r="B8728" s="184">
        <v>44340</v>
      </c>
      <c r="C8728" s="138">
        <v>2021</v>
      </c>
      <c r="D8728" s="35" t="s">
        <v>28</v>
      </c>
      <c r="E8728" s="6" t="s">
        <v>149</v>
      </c>
      <c r="F8728" s="7" t="s">
        <v>60</v>
      </c>
      <c r="G8728" s="33" t="s">
        <v>1605</v>
      </c>
      <c r="H8728" s="311" t="s">
        <v>11776</v>
      </c>
      <c r="I8728" s="157">
        <v>1</v>
      </c>
      <c r="J8728" s="142">
        <v>15</v>
      </c>
      <c r="K8728" s="142">
        <v>0</v>
      </c>
      <c r="L8728" s="142">
        <v>0</v>
      </c>
      <c r="M8728" s="142">
        <v>0</v>
      </c>
      <c r="N8728" s="142">
        <v>0</v>
      </c>
      <c r="O8728" s="142">
        <v>0</v>
      </c>
      <c r="P8728" s="306">
        <v>0</v>
      </c>
      <c r="Q8728" s="50" t="s">
        <v>9523</v>
      </c>
      <c r="R8728" s="303"/>
    </row>
    <row r="8729" spans="1:18" s="162" customFormat="1" ht="108" x14ac:dyDescent="0.25">
      <c r="A8729" s="184">
        <v>44341</v>
      </c>
      <c r="B8729" s="184">
        <v>44341</v>
      </c>
      <c r="C8729" s="138">
        <v>2021</v>
      </c>
      <c r="D8729" s="35" t="s">
        <v>28</v>
      </c>
      <c r="E8729" s="6" t="s">
        <v>149</v>
      </c>
      <c r="F8729" s="28" t="s">
        <v>157</v>
      </c>
      <c r="G8729" s="33" t="s">
        <v>1062</v>
      </c>
      <c r="H8729" s="311" t="s">
        <v>11777</v>
      </c>
      <c r="I8729" s="157">
        <v>0</v>
      </c>
      <c r="J8729" s="142">
        <v>20</v>
      </c>
      <c r="K8729" s="142">
        <v>0</v>
      </c>
      <c r="L8729" s="142">
        <v>0</v>
      </c>
      <c r="M8729" s="142">
        <v>0</v>
      </c>
      <c r="N8729" s="142">
        <v>1</v>
      </c>
      <c r="O8729" s="142">
        <v>0</v>
      </c>
      <c r="P8729" s="306">
        <v>0</v>
      </c>
      <c r="Q8729" s="50" t="s">
        <v>9523</v>
      </c>
      <c r="R8729" s="303"/>
    </row>
    <row r="8730" spans="1:18" s="162" customFormat="1" ht="72" x14ac:dyDescent="0.25">
      <c r="A8730" s="184">
        <v>44341</v>
      </c>
      <c r="B8730" s="184">
        <v>44341</v>
      </c>
      <c r="C8730" s="138">
        <v>2021</v>
      </c>
      <c r="D8730" s="35" t="s">
        <v>28</v>
      </c>
      <c r="E8730" s="30" t="s">
        <v>133</v>
      </c>
      <c r="F8730" s="7" t="s">
        <v>97</v>
      </c>
      <c r="G8730" s="33" t="s">
        <v>11778</v>
      </c>
      <c r="H8730" s="311" t="s">
        <v>11779</v>
      </c>
      <c r="I8730" s="157">
        <v>7</v>
      </c>
      <c r="J8730" s="142">
        <v>10</v>
      </c>
      <c r="K8730" s="142">
        <v>0</v>
      </c>
      <c r="L8730" s="142">
        <v>0</v>
      </c>
      <c r="M8730" s="142">
        <v>0</v>
      </c>
      <c r="N8730" s="142">
        <v>0</v>
      </c>
      <c r="O8730" s="142">
        <v>0</v>
      </c>
      <c r="P8730" s="306">
        <v>3.5937000000000009E-3</v>
      </c>
      <c r="Q8730" s="50" t="s">
        <v>9523</v>
      </c>
      <c r="R8730" s="303"/>
    </row>
    <row r="8731" spans="1:18" s="162" customFormat="1" ht="72" x14ac:dyDescent="0.25">
      <c r="A8731" s="184">
        <v>44342</v>
      </c>
      <c r="B8731" s="184">
        <v>44343</v>
      </c>
      <c r="C8731" s="138">
        <v>2021</v>
      </c>
      <c r="D8731" s="24" t="s">
        <v>141</v>
      </c>
      <c r="E8731" s="30" t="s">
        <v>142</v>
      </c>
      <c r="F8731" s="7" t="s">
        <v>68</v>
      </c>
      <c r="G8731" s="33" t="s">
        <v>2581</v>
      </c>
      <c r="H8731" s="311" t="s">
        <v>11780</v>
      </c>
      <c r="I8731" s="157">
        <v>1</v>
      </c>
      <c r="J8731" s="142">
        <v>7</v>
      </c>
      <c r="K8731" s="142">
        <v>0</v>
      </c>
      <c r="L8731" s="142">
        <v>0</v>
      </c>
      <c r="M8731" s="142">
        <v>0</v>
      </c>
      <c r="N8731" s="142">
        <v>0</v>
      </c>
      <c r="O8731" s="142">
        <v>0</v>
      </c>
      <c r="P8731" s="306">
        <v>1.0064396894302325</v>
      </c>
      <c r="Q8731" s="50" t="s">
        <v>9523</v>
      </c>
      <c r="R8731" s="303"/>
    </row>
    <row r="8732" spans="1:18" s="162" customFormat="1" ht="84" x14ac:dyDescent="0.25">
      <c r="A8732" s="184">
        <v>44343</v>
      </c>
      <c r="B8732" s="184">
        <v>44343</v>
      </c>
      <c r="C8732" s="138">
        <v>2021</v>
      </c>
      <c r="D8732" s="35" t="s">
        <v>28</v>
      </c>
      <c r="E8732" s="6" t="s">
        <v>149</v>
      </c>
      <c r="F8732" s="7" t="s">
        <v>80</v>
      </c>
      <c r="G8732" s="33" t="s">
        <v>5558</v>
      </c>
      <c r="H8732" s="311" t="s">
        <v>11781</v>
      </c>
      <c r="I8732" s="157">
        <v>1</v>
      </c>
      <c r="J8732" s="142">
        <v>10</v>
      </c>
      <c r="K8732" s="142">
        <v>0</v>
      </c>
      <c r="L8732" s="142">
        <v>0</v>
      </c>
      <c r="M8732" s="142">
        <v>0</v>
      </c>
      <c r="N8732" s="142">
        <v>1</v>
      </c>
      <c r="O8732" s="142">
        <v>0</v>
      </c>
      <c r="P8732" s="306">
        <v>0</v>
      </c>
      <c r="Q8732" s="50" t="s">
        <v>9523</v>
      </c>
      <c r="R8732" s="303"/>
    </row>
    <row r="8733" spans="1:18" s="162" customFormat="1" ht="144" x14ac:dyDescent="0.25">
      <c r="A8733" s="184">
        <v>44344</v>
      </c>
      <c r="B8733" s="184">
        <v>44344</v>
      </c>
      <c r="C8733" s="138">
        <v>2021</v>
      </c>
      <c r="D8733" s="351" t="s">
        <v>23</v>
      </c>
      <c r="E8733" s="49" t="s">
        <v>5893</v>
      </c>
      <c r="F8733" s="7" t="s">
        <v>45</v>
      </c>
      <c r="G8733" s="33" t="s">
        <v>1259</v>
      </c>
      <c r="H8733" s="311" t="s">
        <v>11782</v>
      </c>
      <c r="I8733" s="157">
        <v>0</v>
      </c>
      <c r="J8733" s="142">
        <v>40</v>
      </c>
      <c r="K8733" s="142">
        <v>10</v>
      </c>
      <c r="L8733" s="142">
        <v>0</v>
      </c>
      <c r="M8733" s="142">
        <v>0</v>
      </c>
      <c r="N8733" s="142">
        <v>0</v>
      </c>
      <c r="O8733" s="142">
        <v>0</v>
      </c>
      <c r="P8733" s="306">
        <v>1.334025E-2</v>
      </c>
      <c r="Q8733" s="50" t="s">
        <v>9523</v>
      </c>
      <c r="R8733" s="303"/>
    </row>
    <row r="8734" spans="1:18" s="162" customFormat="1" ht="96" x14ac:dyDescent="0.25">
      <c r="A8734" s="184">
        <v>44345</v>
      </c>
      <c r="B8734" s="184">
        <v>44345</v>
      </c>
      <c r="C8734" s="138">
        <v>2021</v>
      </c>
      <c r="D8734" s="35" t="s">
        <v>17</v>
      </c>
      <c r="E8734" s="6" t="s">
        <v>328</v>
      </c>
      <c r="F8734" s="28" t="s">
        <v>210</v>
      </c>
      <c r="G8734" s="33" t="s">
        <v>2261</v>
      </c>
      <c r="H8734" s="311" t="s">
        <v>11783</v>
      </c>
      <c r="I8734" s="157">
        <v>0</v>
      </c>
      <c r="J8734" s="142">
        <v>2</v>
      </c>
      <c r="K8734" s="142">
        <v>0</v>
      </c>
      <c r="L8734" s="142">
        <v>0</v>
      </c>
      <c r="M8734" s="142">
        <v>0</v>
      </c>
      <c r="N8734" s="142">
        <v>0</v>
      </c>
      <c r="O8734" s="142">
        <v>0</v>
      </c>
      <c r="P8734" s="306">
        <v>2.3958000000000004E-3</v>
      </c>
      <c r="Q8734" s="50" t="s">
        <v>9523</v>
      </c>
      <c r="R8734" s="303"/>
    </row>
    <row r="8735" spans="1:18" s="162" customFormat="1" ht="96" x14ac:dyDescent="0.25">
      <c r="A8735" s="184">
        <v>44345</v>
      </c>
      <c r="B8735" s="184">
        <v>44345</v>
      </c>
      <c r="C8735" s="138">
        <v>2021</v>
      </c>
      <c r="D8735" s="24" t="s">
        <v>141</v>
      </c>
      <c r="E8735" s="30" t="s">
        <v>142</v>
      </c>
      <c r="F8735" s="28" t="s">
        <v>157</v>
      </c>
      <c r="G8735" s="33" t="s">
        <v>857</v>
      </c>
      <c r="H8735" s="311" t="s">
        <v>11784</v>
      </c>
      <c r="I8735" s="157">
        <v>0</v>
      </c>
      <c r="J8735" s="142">
        <v>9</v>
      </c>
      <c r="K8735" s="142">
        <v>0</v>
      </c>
      <c r="L8735" s="142">
        <v>0</v>
      </c>
      <c r="M8735" s="142">
        <v>0</v>
      </c>
      <c r="N8735" s="142">
        <v>0</v>
      </c>
      <c r="O8735" s="142">
        <v>0</v>
      </c>
      <c r="P8735" s="306">
        <v>2.2493900000000001E-2</v>
      </c>
      <c r="Q8735" s="50" t="s">
        <v>9523</v>
      </c>
      <c r="R8735" s="303"/>
    </row>
    <row r="8736" spans="1:18" s="162" customFormat="1" ht="96" x14ac:dyDescent="0.25">
      <c r="A8736" s="184">
        <v>44348</v>
      </c>
      <c r="B8736" s="184">
        <v>44354</v>
      </c>
      <c r="C8736" s="138">
        <v>2021</v>
      </c>
      <c r="D8736" s="35" t="s">
        <v>28</v>
      </c>
      <c r="E8736" s="6" t="s">
        <v>369</v>
      </c>
      <c r="F8736" s="7" t="s">
        <v>87</v>
      </c>
      <c r="G8736" s="33" t="s">
        <v>11785</v>
      </c>
      <c r="H8736" s="311" t="s">
        <v>11786</v>
      </c>
      <c r="I8736" s="157">
        <v>0</v>
      </c>
      <c r="J8736" s="142">
        <v>1</v>
      </c>
      <c r="K8736" s="142">
        <v>0</v>
      </c>
      <c r="L8736" s="142">
        <v>0</v>
      </c>
      <c r="M8736" s="142">
        <v>0</v>
      </c>
      <c r="N8736" s="142">
        <v>0</v>
      </c>
      <c r="O8736" s="142">
        <v>0</v>
      </c>
      <c r="P8736" s="306">
        <v>0.66573674447058828</v>
      </c>
      <c r="Q8736" s="50" t="s">
        <v>9523</v>
      </c>
      <c r="R8736" s="303"/>
    </row>
    <row r="8737" spans="1:18" s="162" customFormat="1" ht="72" x14ac:dyDescent="0.25">
      <c r="A8737" s="184">
        <v>44349</v>
      </c>
      <c r="B8737" s="184">
        <v>44349</v>
      </c>
      <c r="C8737" s="138">
        <v>2021</v>
      </c>
      <c r="D8737" s="24" t="s">
        <v>141</v>
      </c>
      <c r="E8737" s="30" t="s">
        <v>142</v>
      </c>
      <c r="F8737" s="28" t="s">
        <v>151</v>
      </c>
      <c r="G8737" s="33" t="s">
        <v>11787</v>
      </c>
      <c r="H8737" s="311" t="s">
        <v>11788</v>
      </c>
      <c r="I8737" s="157">
        <v>0</v>
      </c>
      <c r="J8737" s="142">
        <v>5</v>
      </c>
      <c r="K8737" s="142">
        <v>0</v>
      </c>
      <c r="L8737" s="142">
        <v>0</v>
      </c>
      <c r="M8737" s="142">
        <v>0</v>
      </c>
      <c r="N8737" s="142">
        <v>0</v>
      </c>
      <c r="O8737" s="142">
        <v>0</v>
      </c>
      <c r="P8737" s="306">
        <v>1.0004501894302327</v>
      </c>
      <c r="Q8737" s="50" t="s">
        <v>9523</v>
      </c>
      <c r="R8737" s="303"/>
    </row>
    <row r="8738" spans="1:18" s="162" customFormat="1" ht="84" x14ac:dyDescent="0.25">
      <c r="A8738" s="184">
        <v>44351</v>
      </c>
      <c r="B8738" s="184">
        <v>44351</v>
      </c>
      <c r="C8738" s="138">
        <v>2021</v>
      </c>
      <c r="D8738" s="24" t="s">
        <v>141</v>
      </c>
      <c r="E8738" s="30" t="s">
        <v>142</v>
      </c>
      <c r="F8738" s="7" t="s">
        <v>53</v>
      </c>
      <c r="G8738" s="33" t="s">
        <v>1304</v>
      </c>
      <c r="H8738" s="311" t="s">
        <v>11789</v>
      </c>
      <c r="I8738" s="157">
        <v>1</v>
      </c>
      <c r="J8738" s="142">
        <v>9</v>
      </c>
      <c r="K8738" s="142">
        <v>0</v>
      </c>
      <c r="L8738" s="142">
        <v>0</v>
      </c>
      <c r="M8738" s="142">
        <v>0</v>
      </c>
      <c r="N8738" s="142">
        <v>0</v>
      </c>
      <c r="O8738" s="142">
        <v>0</v>
      </c>
      <c r="P8738" s="306">
        <v>1.5029652000000002</v>
      </c>
      <c r="Q8738" s="50" t="s">
        <v>9523</v>
      </c>
      <c r="R8738" s="303"/>
    </row>
    <row r="8739" spans="1:18" s="162" customFormat="1" ht="60" x14ac:dyDescent="0.25">
      <c r="A8739" s="184">
        <v>44351</v>
      </c>
      <c r="B8739" s="184">
        <v>44351</v>
      </c>
      <c r="C8739" s="138">
        <v>2021</v>
      </c>
      <c r="D8739" s="24" t="s">
        <v>141</v>
      </c>
      <c r="E8739" s="30" t="s">
        <v>142</v>
      </c>
      <c r="F8739" s="28" t="s">
        <v>210</v>
      </c>
      <c r="G8739" s="33" t="s">
        <v>924</v>
      </c>
      <c r="H8739" s="311" t="s">
        <v>11790</v>
      </c>
      <c r="I8739" s="157">
        <v>0</v>
      </c>
      <c r="J8739" s="142">
        <v>0</v>
      </c>
      <c r="K8739" s="142">
        <v>0</v>
      </c>
      <c r="L8739" s="142">
        <v>0</v>
      </c>
      <c r="M8739" s="142">
        <v>0</v>
      </c>
      <c r="N8739" s="142">
        <v>0</v>
      </c>
      <c r="O8739" s="142">
        <v>0</v>
      </c>
      <c r="P8739" s="306">
        <v>0.88564739999999997</v>
      </c>
      <c r="Q8739" s="50" t="s">
        <v>9523</v>
      </c>
      <c r="R8739" s="303"/>
    </row>
    <row r="8740" spans="1:18" s="162" customFormat="1" ht="252" x14ac:dyDescent="0.25">
      <c r="A8740" s="184">
        <v>44351</v>
      </c>
      <c r="B8740" s="184">
        <v>44351</v>
      </c>
      <c r="C8740" s="138">
        <v>2021</v>
      </c>
      <c r="D8740" s="351" t="s">
        <v>23</v>
      </c>
      <c r="E8740" s="22" t="s">
        <v>86</v>
      </c>
      <c r="F8740" s="7" t="s">
        <v>53</v>
      </c>
      <c r="G8740" s="33" t="s">
        <v>11791</v>
      </c>
      <c r="H8740" s="311" t="s">
        <v>11792</v>
      </c>
      <c r="I8740" s="157">
        <v>0</v>
      </c>
      <c r="J8740" s="142">
        <v>120</v>
      </c>
      <c r="K8740" s="142">
        <v>30</v>
      </c>
      <c r="L8740" s="142">
        <v>0</v>
      </c>
      <c r="M8740" s="142">
        <v>0</v>
      </c>
      <c r="N8740" s="142">
        <v>0</v>
      </c>
      <c r="O8740" s="142">
        <v>0</v>
      </c>
      <c r="P8740" s="306">
        <v>0.25298075000000003</v>
      </c>
      <c r="Q8740" s="50" t="s">
        <v>9523</v>
      </c>
      <c r="R8740" s="303"/>
    </row>
    <row r="8741" spans="1:18" s="162" customFormat="1" ht="120" x14ac:dyDescent="0.25">
      <c r="A8741" s="184">
        <v>44351</v>
      </c>
      <c r="B8741" s="184">
        <v>44352</v>
      </c>
      <c r="C8741" s="138">
        <v>2021</v>
      </c>
      <c r="D8741" s="35" t="s">
        <v>17</v>
      </c>
      <c r="E8741" s="6" t="s">
        <v>328</v>
      </c>
      <c r="F8741" s="28" t="s">
        <v>210</v>
      </c>
      <c r="G8741" s="33" t="s">
        <v>11793</v>
      </c>
      <c r="H8741" s="311" t="s">
        <v>11794</v>
      </c>
      <c r="I8741" s="157">
        <v>0</v>
      </c>
      <c r="J8741" s="142">
        <v>1</v>
      </c>
      <c r="K8741" s="142">
        <v>1</v>
      </c>
      <c r="L8741" s="142">
        <v>0</v>
      </c>
      <c r="M8741" s="142">
        <v>0</v>
      </c>
      <c r="N8741" s="142">
        <v>0</v>
      </c>
      <c r="O8741" s="142">
        <v>0</v>
      </c>
      <c r="P8741" s="306">
        <v>8.1856500000000026E-3</v>
      </c>
      <c r="Q8741" s="50" t="s">
        <v>9523</v>
      </c>
      <c r="R8741" s="303"/>
    </row>
    <row r="8742" spans="1:18" s="162" customFormat="1" ht="168" x14ac:dyDescent="0.25">
      <c r="A8742" s="184">
        <v>44352</v>
      </c>
      <c r="B8742" s="184">
        <v>44352</v>
      </c>
      <c r="C8742" s="138">
        <v>2021</v>
      </c>
      <c r="D8742" s="351" t="s">
        <v>23</v>
      </c>
      <c r="E8742" s="14" t="s">
        <v>52</v>
      </c>
      <c r="F8742" s="7" t="s">
        <v>45</v>
      </c>
      <c r="G8742" s="33" t="s">
        <v>2799</v>
      </c>
      <c r="H8742" s="311" t="s">
        <v>11795</v>
      </c>
      <c r="I8742" s="157">
        <v>7</v>
      </c>
      <c r="J8742" s="142">
        <v>7</v>
      </c>
      <c r="K8742" s="142">
        <v>0</v>
      </c>
      <c r="L8742" s="142">
        <v>0</v>
      </c>
      <c r="M8742" s="142">
        <v>0</v>
      </c>
      <c r="N8742" s="142">
        <v>1</v>
      </c>
      <c r="O8742" s="142">
        <v>0</v>
      </c>
      <c r="P8742" s="306">
        <v>0</v>
      </c>
      <c r="Q8742" s="50" t="s">
        <v>9523</v>
      </c>
      <c r="R8742" s="303"/>
    </row>
    <row r="8743" spans="1:18" s="162" customFormat="1" ht="120" x14ac:dyDescent="0.25">
      <c r="A8743" s="184">
        <v>44352</v>
      </c>
      <c r="B8743" s="184">
        <v>44352</v>
      </c>
      <c r="C8743" s="138">
        <v>2021</v>
      </c>
      <c r="D8743" s="24" t="s">
        <v>141</v>
      </c>
      <c r="E8743" s="30" t="s">
        <v>142</v>
      </c>
      <c r="F8743" s="28" t="s">
        <v>157</v>
      </c>
      <c r="G8743" s="33" t="s">
        <v>1609</v>
      </c>
      <c r="H8743" s="311" t="s">
        <v>11796</v>
      </c>
      <c r="I8743" s="157">
        <v>0</v>
      </c>
      <c r="J8743" s="142">
        <v>35</v>
      </c>
      <c r="K8743" s="142">
        <v>0</v>
      </c>
      <c r="L8743" s="142">
        <v>0</v>
      </c>
      <c r="M8743" s="142">
        <v>0</v>
      </c>
      <c r="N8743" s="142">
        <v>0</v>
      </c>
      <c r="O8743" s="142">
        <v>0</v>
      </c>
      <c r="P8743" s="306">
        <v>0.93468870000000004</v>
      </c>
      <c r="Q8743" s="50" t="s">
        <v>9523</v>
      </c>
      <c r="R8743" s="303"/>
    </row>
    <row r="8744" spans="1:18" s="162" customFormat="1" ht="360" x14ac:dyDescent="0.25">
      <c r="A8744" s="184">
        <v>44353</v>
      </c>
      <c r="B8744" s="184">
        <v>44353</v>
      </c>
      <c r="C8744" s="138">
        <v>2021</v>
      </c>
      <c r="D8744" s="351" t="s">
        <v>23</v>
      </c>
      <c r="E8744" s="22" t="s">
        <v>86</v>
      </c>
      <c r="F8744" s="7" t="s">
        <v>60</v>
      </c>
      <c r="G8744" s="33" t="s">
        <v>11797</v>
      </c>
      <c r="H8744" s="311" t="s">
        <v>11798</v>
      </c>
      <c r="I8744" s="157">
        <v>0</v>
      </c>
      <c r="J8744" s="142">
        <v>25</v>
      </c>
      <c r="K8744" s="142">
        <v>4</v>
      </c>
      <c r="L8744" s="142">
        <v>0</v>
      </c>
      <c r="M8744" s="142">
        <v>0</v>
      </c>
      <c r="N8744" s="142">
        <v>0</v>
      </c>
      <c r="O8744" s="142">
        <v>0</v>
      </c>
      <c r="P8744" s="306">
        <v>1.4064011500000002</v>
      </c>
      <c r="Q8744" s="50" t="s">
        <v>9523</v>
      </c>
      <c r="R8744" s="303"/>
    </row>
    <row r="8745" spans="1:18" s="162" customFormat="1" x14ac:dyDescent="0.25">
      <c r="A8745" s="184">
        <v>44353</v>
      </c>
      <c r="B8745" s="184">
        <v>44354</v>
      </c>
      <c r="C8745" s="138">
        <v>2021</v>
      </c>
      <c r="D8745" s="35" t="s">
        <v>17</v>
      </c>
      <c r="E8745" s="6" t="s">
        <v>328</v>
      </c>
      <c r="F8745" s="7" t="s">
        <v>72</v>
      </c>
      <c r="G8745" s="33" t="s">
        <v>11799</v>
      </c>
      <c r="H8745" s="311" t="s">
        <v>11800</v>
      </c>
      <c r="I8745" s="157">
        <v>0</v>
      </c>
      <c r="J8745" s="142">
        <v>0</v>
      </c>
      <c r="K8745" s="142">
        <v>0</v>
      </c>
      <c r="L8745" s="142">
        <v>0</v>
      </c>
      <c r="M8745" s="142">
        <v>0</v>
      </c>
      <c r="N8745" s="142">
        <v>0</v>
      </c>
      <c r="O8745" s="142">
        <v>0</v>
      </c>
      <c r="P8745" s="306">
        <v>37.388800000000003</v>
      </c>
      <c r="Q8745" s="50" t="s">
        <v>11801</v>
      </c>
      <c r="R8745" s="303"/>
    </row>
    <row r="8746" spans="1:18" s="162" customFormat="1" ht="180" x14ac:dyDescent="0.25">
      <c r="A8746" s="184">
        <v>44354</v>
      </c>
      <c r="B8746" s="184">
        <v>44355</v>
      </c>
      <c r="C8746" s="138">
        <v>2021</v>
      </c>
      <c r="D8746" s="351" t="s">
        <v>23</v>
      </c>
      <c r="E8746" s="22" t="s">
        <v>86</v>
      </c>
      <c r="F8746" s="7" t="s">
        <v>75</v>
      </c>
      <c r="G8746" s="33" t="s">
        <v>75</v>
      </c>
      <c r="H8746" s="311" t="s">
        <v>11802</v>
      </c>
      <c r="I8746" s="157">
        <v>0</v>
      </c>
      <c r="J8746" s="142">
        <v>0</v>
      </c>
      <c r="K8746" s="142">
        <v>8</v>
      </c>
      <c r="L8746" s="142">
        <v>0</v>
      </c>
      <c r="M8746" s="142">
        <v>0</v>
      </c>
      <c r="N8746" s="142">
        <v>0</v>
      </c>
      <c r="O8746" s="142">
        <v>0</v>
      </c>
      <c r="P8746" s="306">
        <v>1.0672200000000001E-2</v>
      </c>
      <c r="Q8746" s="50" t="s">
        <v>9523</v>
      </c>
      <c r="R8746" s="303"/>
    </row>
    <row r="8747" spans="1:18" s="162" customFormat="1" ht="132" x14ac:dyDescent="0.25">
      <c r="A8747" s="184">
        <v>44354</v>
      </c>
      <c r="B8747" s="184">
        <v>44355</v>
      </c>
      <c r="C8747" s="138">
        <v>2021</v>
      </c>
      <c r="D8747" s="35" t="s">
        <v>28</v>
      </c>
      <c r="E8747" s="30" t="s">
        <v>133</v>
      </c>
      <c r="F8747" s="7" t="s">
        <v>75</v>
      </c>
      <c r="G8747" s="33" t="s">
        <v>5585</v>
      </c>
      <c r="H8747" s="311" t="s">
        <v>11803</v>
      </c>
      <c r="I8747" s="157">
        <v>0</v>
      </c>
      <c r="J8747" s="142">
        <v>4</v>
      </c>
      <c r="K8747" s="142">
        <v>1</v>
      </c>
      <c r="L8747" s="142">
        <v>0</v>
      </c>
      <c r="M8747" s="142">
        <v>0</v>
      </c>
      <c r="N8747" s="142">
        <v>0</v>
      </c>
      <c r="O8747" s="142">
        <v>0</v>
      </c>
      <c r="P8747" s="306">
        <v>0.15246000000000001</v>
      </c>
      <c r="Q8747" s="50" t="s">
        <v>9523</v>
      </c>
      <c r="R8747" s="303"/>
    </row>
    <row r="8748" spans="1:18" s="162" customFormat="1" ht="84" x14ac:dyDescent="0.25">
      <c r="A8748" s="184">
        <v>44355</v>
      </c>
      <c r="B8748" s="184">
        <v>44355</v>
      </c>
      <c r="C8748" s="138">
        <v>2021</v>
      </c>
      <c r="D8748" s="35" t="s">
        <v>28</v>
      </c>
      <c r="E8748" s="30" t="s">
        <v>133</v>
      </c>
      <c r="F8748" s="7" t="s">
        <v>87</v>
      </c>
      <c r="G8748" s="33" t="s">
        <v>2608</v>
      </c>
      <c r="H8748" s="311" t="s">
        <v>11804</v>
      </c>
      <c r="I8748" s="157">
        <v>0</v>
      </c>
      <c r="J8748" s="142">
        <v>5</v>
      </c>
      <c r="K8748" s="142">
        <v>0</v>
      </c>
      <c r="L8748" s="142">
        <v>0</v>
      </c>
      <c r="M8748" s="142">
        <v>0</v>
      </c>
      <c r="N8748" s="142">
        <v>1</v>
      </c>
      <c r="O8748" s="142">
        <v>0</v>
      </c>
      <c r="P8748" s="306">
        <v>5.9895000000000018E-3</v>
      </c>
      <c r="Q8748" s="50" t="s">
        <v>9523</v>
      </c>
      <c r="R8748" s="303"/>
    </row>
    <row r="8749" spans="1:18" s="162" customFormat="1" ht="108" x14ac:dyDescent="0.25">
      <c r="A8749" s="184">
        <v>44355</v>
      </c>
      <c r="B8749" s="184">
        <v>44355</v>
      </c>
      <c r="C8749" s="138">
        <v>2021</v>
      </c>
      <c r="D8749" s="24" t="s">
        <v>141</v>
      </c>
      <c r="E8749" s="30" t="s">
        <v>142</v>
      </c>
      <c r="F8749" s="28" t="s">
        <v>157</v>
      </c>
      <c r="G8749" s="33" t="s">
        <v>526</v>
      </c>
      <c r="H8749" s="311" t="s">
        <v>11805</v>
      </c>
      <c r="I8749" s="157">
        <v>0</v>
      </c>
      <c r="J8749" s="142">
        <v>6</v>
      </c>
      <c r="K8749" s="142">
        <v>0</v>
      </c>
      <c r="L8749" s="142">
        <v>0</v>
      </c>
      <c r="M8749" s="142">
        <v>0</v>
      </c>
      <c r="N8749" s="142">
        <v>0</v>
      </c>
      <c r="O8749" s="142">
        <v>0</v>
      </c>
      <c r="P8749" s="306">
        <v>0.29499799999999998</v>
      </c>
      <c r="Q8749" s="50" t="s">
        <v>9523</v>
      </c>
      <c r="R8749" s="303"/>
    </row>
    <row r="8750" spans="1:18" s="162" customFormat="1" ht="180" x14ac:dyDescent="0.25">
      <c r="A8750" s="184">
        <v>44355</v>
      </c>
      <c r="B8750" s="184">
        <v>44355</v>
      </c>
      <c r="C8750" s="138">
        <v>2021</v>
      </c>
      <c r="D8750" s="24" t="s">
        <v>141</v>
      </c>
      <c r="E8750" s="30" t="s">
        <v>142</v>
      </c>
      <c r="F8750" s="7" t="s">
        <v>30</v>
      </c>
      <c r="G8750" s="33" t="s">
        <v>6764</v>
      </c>
      <c r="H8750" s="311" t="s">
        <v>11806</v>
      </c>
      <c r="I8750" s="157">
        <v>7</v>
      </c>
      <c r="J8750" s="142">
        <v>42</v>
      </c>
      <c r="K8750" s="142">
        <v>0</v>
      </c>
      <c r="L8750" s="142">
        <v>0</v>
      </c>
      <c r="M8750" s="142">
        <v>0</v>
      </c>
      <c r="N8750" s="142">
        <v>0</v>
      </c>
      <c r="O8750" s="142">
        <v>0</v>
      </c>
      <c r="P8750" s="306">
        <v>0.88804320000000003</v>
      </c>
      <c r="Q8750" s="50" t="s">
        <v>9523</v>
      </c>
      <c r="R8750" s="303"/>
    </row>
    <row r="8751" spans="1:18" s="162" customFormat="1" ht="96" x14ac:dyDescent="0.25">
      <c r="A8751" s="184">
        <v>44357</v>
      </c>
      <c r="B8751" s="184">
        <v>44357</v>
      </c>
      <c r="C8751" s="138">
        <v>2021</v>
      </c>
      <c r="D8751" s="24" t="s">
        <v>141</v>
      </c>
      <c r="E8751" s="30" t="s">
        <v>142</v>
      </c>
      <c r="F8751" s="7" t="s">
        <v>101</v>
      </c>
      <c r="G8751" s="33" t="s">
        <v>101</v>
      </c>
      <c r="H8751" s="311" t="s">
        <v>11807</v>
      </c>
      <c r="I8751" s="157">
        <v>0</v>
      </c>
      <c r="J8751" s="142">
        <v>1</v>
      </c>
      <c r="K8751" s="142">
        <v>0</v>
      </c>
      <c r="L8751" s="142">
        <v>0</v>
      </c>
      <c r="M8751" s="142">
        <v>0</v>
      </c>
      <c r="N8751" s="142">
        <v>0</v>
      </c>
      <c r="O8751" s="142">
        <v>0</v>
      </c>
      <c r="P8751" s="306">
        <v>0.13636498943023256</v>
      </c>
      <c r="Q8751" s="50" t="s">
        <v>9523</v>
      </c>
      <c r="R8751" s="303"/>
    </row>
    <row r="8752" spans="1:18" s="162" customFormat="1" ht="108" x14ac:dyDescent="0.25">
      <c r="A8752" s="184">
        <v>44358</v>
      </c>
      <c r="B8752" s="184">
        <v>44359</v>
      </c>
      <c r="C8752" s="138">
        <v>2021</v>
      </c>
      <c r="D8752" s="24" t="s">
        <v>141</v>
      </c>
      <c r="E8752" s="30" t="s">
        <v>142</v>
      </c>
      <c r="F8752" s="7" t="s">
        <v>36</v>
      </c>
      <c r="G8752" s="33" t="s">
        <v>854</v>
      </c>
      <c r="H8752" s="311" t="s">
        <v>11808</v>
      </c>
      <c r="I8752" s="157">
        <v>0</v>
      </c>
      <c r="J8752" s="142">
        <v>0</v>
      </c>
      <c r="K8752" s="142">
        <v>0</v>
      </c>
      <c r="L8752" s="142">
        <v>0</v>
      </c>
      <c r="M8752" s="142">
        <v>0</v>
      </c>
      <c r="N8752" s="142">
        <v>0</v>
      </c>
      <c r="O8752" s="142">
        <v>0</v>
      </c>
      <c r="P8752" s="306">
        <v>1.0052922</v>
      </c>
      <c r="Q8752" s="50" t="s">
        <v>9523</v>
      </c>
      <c r="R8752" s="303"/>
    </row>
    <row r="8753" spans="1:18" s="162" customFormat="1" ht="96" x14ac:dyDescent="0.25">
      <c r="A8753" s="184">
        <v>44358</v>
      </c>
      <c r="B8753" s="184">
        <v>44359</v>
      </c>
      <c r="C8753" s="138">
        <v>2021</v>
      </c>
      <c r="D8753" s="24" t="s">
        <v>141</v>
      </c>
      <c r="E8753" s="30" t="s">
        <v>142</v>
      </c>
      <c r="F8753" s="7" t="s">
        <v>36</v>
      </c>
      <c r="G8753" s="33" t="s">
        <v>10089</v>
      </c>
      <c r="H8753" s="311" t="s">
        <v>11809</v>
      </c>
      <c r="I8753" s="157">
        <v>1</v>
      </c>
      <c r="J8753" s="142">
        <v>23</v>
      </c>
      <c r="K8753" s="142">
        <v>0</v>
      </c>
      <c r="L8753" s="142">
        <v>0</v>
      </c>
      <c r="M8753" s="142">
        <v>0</v>
      </c>
      <c r="N8753" s="142">
        <v>0</v>
      </c>
      <c r="O8753" s="142">
        <v>0</v>
      </c>
      <c r="P8753" s="306">
        <v>0.89043900000000009</v>
      </c>
      <c r="Q8753" s="50" t="s">
        <v>9523</v>
      </c>
      <c r="R8753" s="303"/>
    </row>
    <row r="8754" spans="1:18" s="162" customFormat="1" ht="108" x14ac:dyDescent="0.25">
      <c r="A8754" s="184">
        <v>44358</v>
      </c>
      <c r="B8754" s="184">
        <v>44359</v>
      </c>
      <c r="C8754" s="138">
        <v>2021</v>
      </c>
      <c r="D8754" s="24" t="s">
        <v>141</v>
      </c>
      <c r="E8754" s="49" t="s">
        <v>1600</v>
      </c>
      <c r="F8754" s="7" t="s">
        <v>82</v>
      </c>
      <c r="G8754" s="33" t="s">
        <v>11810</v>
      </c>
      <c r="H8754" s="311" t="s">
        <v>11811</v>
      </c>
      <c r="I8754" s="157">
        <v>0</v>
      </c>
      <c r="J8754" s="142">
        <v>13</v>
      </c>
      <c r="K8754" s="142">
        <v>0</v>
      </c>
      <c r="L8754" s="142">
        <v>0</v>
      </c>
      <c r="M8754" s="142">
        <v>0</v>
      </c>
      <c r="N8754" s="142">
        <v>0</v>
      </c>
      <c r="O8754" s="142">
        <v>0</v>
      </c>
      <c r="P8754" s="306">
        <v>1.1979000000000004E-2</v>
      </c>
      <c r="Q8754" s="50" t="s">
        <v>9523</v>
      </c>
      <c r="R8754" s="303"/>
    </row>
    <row r="8755" spans="1:18" s="162" customFormat="1" ht="96" x14ac:dyDescent="0.25">
      <c r="A8755" s="184">
        <v>44358</v>
      </c>
      <c r="B8755" s="184">
        <v>44359</v>
      </c>
      <c r="C8755" s="138">
        <v>2021</v>
      </c>
      <c r="D8755" s="35" t="s">
        <v>28</v>
      </c>
      <c r="E8755" s="6" t="s">
        <v>149</v>
      </c>
      <c r="F8755" s="7" t="s">
        <v>30</v>
      </c>
      <c r="G8755" s="33" t="s">
        <v>901</v>
      </c>
      <c r="H8755" s="311" t="s">
        <v>11812</v>
      </c>
      <c r="I8755" s="157">
        <v>0</v>
      </c>
      <c r="J8755" s="142">
        <v>28</v>
      </c>
      <c r="K8755" s="142">
        <v>0</v>
      </c>
      <c r="L8755" s="142">
        <v>0</v>
      </c>
      <c r="M8755" s="142">
        <v>1</v>
      </c>
      <c r="N8755" s="142">
        <v>0</v>
      </c>
      <c r="O8755" s="142">
        <v>0</v>
      </c>
      <c r="P8755" s="306">
        <v>0</v>
      </c>
      <c r="Q8755" s="50" t="s">
        <v>9523</v>
      </c>
      <c r="R8755" s="303"/>
    </row>
    <row r="8756" spans="1:18" s="162" customFormat="1" ht="132" x14ac:dyDescent="0.25">
      <c r="A8756" s="184">
        <v>44359</v>
      </c>
      <c r="B8756" s="184">
        <v>44360</v>
      </c>
      <c r="C8756" s="138">
        <v>2021</v>
      </c>
      <c r="D8756" s="351" t="s">
        <v>23</v>
      </c>
      <c r="E8756" s="22" t="s">
        <v>86</v>
      </c>
      <c r="F8756" s="7" t="s">
        <v>62</v>
      </c>
      <c r="G8756" s="33" t="s">
        <v>1011</v>
      </c>
      <c r="H8756" s="311" t="s">
        <v>11813</v>
      </c>
      <c r="I8756" s="157">
        <v>0</v>
      </c>
      <c r="J8756" s="142">
        <v>12</v>
      </c>
      <c r="K8756" s="142">
        <v>3</v>
      </c>
      <c r="L8756" s="142">
        <v>0</v>
      </c>
      <c r="M8756" s="142">
        <v>0</v>
      </c>
      <c r="N8756" s="142">
        <v>0</v>
      </c>
      <c r="O8756" s="142">
        <v>0</v>
      </c>
      <c r="P8756" s="306">
        <v>3.1339000000000002E-3</v>
      </c>
      <c r="Q8756" s="50" t="s">
        <v>9523</v>
      </c>
      <c r="R8756" s="303"/>
    </row>
    <row r="8757" spans="1:18" s="162" customFormat="1" ht="132" x14ac:dyDescent="0.25">
      <c r="A8757" s="184">
        <v>44359</v>
      </c>
      <c r="B8757" s="184">
        <v>44360</v>
      </c>
      <c r="C8757" s="138">
        <v>2021</v>
      </c>
      <c r="D8757" s="351" t="s">
        <v>23</v>
      </c>
      <c r="E8757" s="22" t="s">
        <v>86</v>
      </c>
      <c r="F8757" s="7" t="s">
        <v>65</v>
      </c>
      <c r="G8757" s="33" t="s">
        <v>11814</v>
      </c>
      <c r="H8757" s="311" t="s">
        <v>11815</v>
      </c>
      <c r="I8757" s="157">
        <v>0</v>
      </c>
      <c r="J8757" s="142">
        <v>14</v>
      </c>
      <c r="K8757" s="142">
        <v>3</v>
      </c>
      <c r="L8757" s="142">
        <v>0</v>
      </c>
      <c r="M8757" s="142">
        <v>0</v>
      </c>
      <c r="N8757" s="142">
        <v>0</v>
      </c>
      <c r="O8757" s="142">
        <v>0</v>
      </c>
      <c r="P8757" s="306">
        <v>0.21496103750000004</v>
      </c>
      <c r="Q8757" s="50" t="s">
        <v>9523</v>
      </c>
      <c r="R8757" s="303"/>
    </row>
    <row r="8758" spans="1:18" s="162" customFormat="1" ht="84" x14ac:dyDescent="0.25">
      <c r="A8758" s="184">
        <v>44359</v>
      </c>
      <c r="B8758" s="184">
        <v>44360</v>
      </c>
      <c r="C8758" s="138">
        <v>2021</v>
      </c>
      <c r="D8758" s="351" t="s">
        <v>23</v>
      </c>
      <c r="E8758" s="22" t="s">
        <v>86</v>
      </c>
      <c r="F8758" s="7" t="s">
        <v>75</v>
      </c>
      <c r="G8758" s="33" t="s">
        <v>11816</v>
      </c>
      <c r="H8758" s="311" t="s">
        <v>11817</v>
      </c>
      <c r="I8758" s="157">
        <v>0</v>
      </c>
      <c r="J8758" s="142">
        <v>0</v>
      </c>
      <c r="K8758" s="142">
        <v>0</v>
      </c>
      <c r="L8758" s="142">
        <v>0</v>
      </c>
      <c r="M8758" s="142">
        <v>0</v>
      </c>
      <c r="N8758" s="142">
        <v>0</v>
      </c>
      <c r="O8758" s="142">
        <v>0</v>
      </c>
      <c r="P8758" s="306">
        <v>0</v>
      </c>
      <c r="Q8758" s="50" t="s">
        <v>9523</v>
      </c>
      <c r="R8758" s="303"/>
    </row>
    <row r="8759" spans="1:18" s="162" customFormat="1" ht="48" x14ac:dyDescent="0.25">
      <c r="A8759" s="184">
        <v>44359</v>
      </c>
      <c r="B8759" s="184">
        <v>44360</v>
      </c>
      <c r="C8759" s="138">
        <v>2021</v>
      </c>
      <c r="D8759" s="351" t="s">
        <v>23</v>
      </c>
      <c r="E8759" s="22" t="s">
        <v>86</v>
      </c>
      <c r="F8759" s="28" t="s">
        <v>210</v>
      </c>
      <c r="G8759" s="33" t="s">
        <v>5075</v>
      </c>
      <c r="H8759" s="311" t="s">
        <v>11818</v>
      </c>
      <c r="I8759" s="157">
        <v>0</v>
      </c>
      <c r="J8759" s="142">
        <v>40</v>
      </c>
      <c r="K8759" s="142">
        <v>10</v>
      </c>
      <c r="L8759" s="142">
        <v>0</v>
      </c>
      <c r="M8759" s="142">
        <v>0</v>
      </c>
      <c r="N8759" s="142">
        <v>0</v>
      </c>
      <c r="O8759" s="142">
        <v>0</v>
      </c>
      <c r="P8759" s="306">
        <v>1.334025E-2</v>
      </c>
      <c r="Q8759" s="50" t="s">
        <v>9523</v>
      </c>
      <c r="R8759" s="303"/>
    </row>
    <row r="8760" spans="1:18" s="162" customFormat="1" ht="252" x14ac:dyDescent="0.25">
      <c r="A8760" s="184">
        <v>44359</v>
      </c>
      <c r="B8760" s="184">
        <v>44360</v>
      </c>
      <c r="C8760" s="138">
        <v>2021</v>
      </c>
      <c r="D8760" s="351" t="s">
        <v>23</v>
      </c>
      <c r="E8760" s="22" t="s">
        <v>86</v>
      </c>
      <c r="F8760" s="28" t="s">
        <v>210</v>
      </c>
      <c r="G8760" s="33" t="s">
        <v>11819</v>
      </c>
      <c r="H8760" s="311" t="s">
        <v>11820</v>
      </c>
      <c r="I8760" s="157">
        <v>0</v>
      </c>
      <c r="J8760" s="142">
        <v>611</v>
      </c>
      <c r="K8760" s="142">
        <v>127</v>
      </c>
      <c r="L8760" s="142">
        <v>1</v>
      </c>
      <c r="M8760" s="142">
        <v>0</v>
      </c>
      <c r="N8760" s="142">
        <v>0</v>
      </c>
      <c r="O8760" s="142">
        <v>0</v>
      </c>
      <c r="P8760" s="306">
        <v>0.18382320000000002</v>
      </c>
      <c r="Q8760" s="50" t="s">
        <v>9523</v>
      </c>
      <c r="R8760" s="303"/>
    </row>
    <row r="8761" spans="1:18" s="162" customFormat="1" ht="60" x14ac:dyDescent="0.25">
      <c r="A8761" s="184">
        <v>44360</v>
      </c>
      <c r="B8761" s="184">
        <v>44360</v>
      </c>
      <c r="C8761" s="138">
        <v>2021</v>
      </c>
      <c r="D8761" s="35" t="s">
        <v>28</v>
      </c>
      <c r="E8761" s="6" t="s">
        <v>149</v>
      </c>
      <c r="F8761" s="7" t="s">
        <v>68</v>
      </c>
      <c r="G8761" s="33" t="s">
        <v>1121</v>
      </c>
      <c r="H8761" s="311" t="s">
        <v>11821</v>
      </c>
      <c r="I8761" s="157">
        <v>0</v>
      </c>
      <c r="J8761" s="142">
        <v>251</v>
      </c>
      <c r="K8761" s="142">
        <v>0</v>
      </c>
      <c r="L8761" s="142">
        <v>0</v>
      </c>
      <c r="M8761" s="142">
        <v>0</v>
      </c>
      <c r="N8761" s="142">
        <v>1</v>
      </c>
      <c r="O8761" s="142">
        <v>0</v>
      </c>
      <c r="P8761" s="306">
        <v>1.1979000000000002E-3</v>
      </c>
      <c r="Q8761" s="50" t="s">
        <v>9523</v>
      </c>
      <c r="R8761" s="303"/>
    </row>
    <row r="8762" spans="1:18" s="162" customFormat="1" ht="84" x14ac:dyDescent="0.25">
      <c r="A8762" s="184">
        <v>44361</v>
      </c>
      <c r="B8762" s="184">
        <v>44361</v>
      </c>
      <c r="C8762" s="138">
        <v>2021</v>
      </c>
      <c r="D8762" s="24" t="s">
        <v>141</v>
      </c>
      <c r="E8762" s="30" t="s">
        <v>142</v>
      </c>
      <c r="F8762" s="7" t="s">
        <v>60</v>
      </c>
      <c r="G8762" s="33" t="s">
        <v>10040</v>
      </c>
      <c r="H8762" s="311" t="s">
        <v>11822</v>
      </c>
      <c r="I8762" s="157">
        <v>0</v>
      </c>
      <c r="J8762" s="142">
        <v>28</v>
      </c>
      <c r="K8762" s="142">
        <v>0</v>
      </c>
      <c r="L8762" s="142">
        <v>0</v>
      </c>
      <c r="M8762" s="142">
        <v>0</v>
      </c>
      <c r="N8762" s="142">
        <v>0</v>
      </c>
      <c r="O8762" s="142">
        <v>0</v>
      </c>
      <c r="P8762" s="306">
        <v>1.7592559050000003</v>
      </c>
      <c r="Q8762" s="50" t="s">
        <v>9523</v>
      </c>
      <c r="R8762" s="303"/>
    </row>
    <row r="8763" spans="1:18" s="162" customFormat="1" ht="228" x14ac:dyDescent="0.25">
      <c r="A8763" s="184">
        <v>44362</v>
      </c>
      <c r="B8763" s="184">
        <v>44364</v>
      </c>
      <c r="C8763" s="138">
        <v>2021</v>
      </c>
      <c r="D8763" s="351" t="s">
        <v>23</v>
      </c>
      <c r="E8763" s="22" t="s">
        <v>86</v>
      </c>
      <c r="F8763" s="7" t="s">
        <v>72</v>
      </c>
      <c r="G8763" s="33" t="s">
        <v>11823</v>
      </c>
      <c r="H8763" s="311" t="s">
        <v>11824</v>
      </c>
      <c r="I8763" s="157">
        <v>0</v>
      </c>
      <c r="J8763" s="142">
        <v>73</v>
      </c>
      <c r="K8763" s="142">
        <v>32</v>
      </c>
      <c r="L8763" s="142">
        <v>0</v>
      </c>
      <c r="M8763" s="142">
        <v>0</v>
      </c>
      <c r="N8763" s="142">
        <v>0</v>
      </c>
      <c r="O8763" s="142">
        <v>0</v>
      </c>
      <c r="P8763" s="306">
        <v>80.560822999999999</v>
      </c>
      <c r="Q8763" s="50" t="s">
        <v>9523</v>
      </c>
      <c r="R8763" s="303"/>
    </row>
    <row r="8764" spans="1:18" s="162" customFormat="1" ht="108" x14ac:dyDescent="0.25">
      <c r="A8764" s="184">
        <v>44362</v>
      </c>
      <c r="B8764" s="184">
        <v>44362</v>
      </c>
      <c r="C8764" s="138">
        <v>2021</v>
      </c>
      <c r="D8764" s="24" t="s">
        <v>141</v>
      </c>
      <c r="E8764" s="30" t="s">
        <v>142</v>
      </c>
      <c r="F8764" s="7" t="s">
        <v>91</v>
      </c>
      <c r="G8764" s="33" t="s">
        <v>2315</v>
      </c>
      <c r="H8764" s="311" t="s">
        <v>11825</v>
      </c>
      <c r="I8764" s="157">
        <v>12</v>
      </c>
      <c r="J8764" s="142">
        <v>22</v>
      </c>
      <c r="K8764" s="142">
        <v>0</v>
      </c>
      <c r="L8764" s="142">
        <v>0</v>
      </c>
      <c r="M8764" s="142">
        <v>0</v>
      </c>
      <c r="N8764" s="142">
        <v>0</v>
      </c>
      <c r="O8764" s="142">
        <v>0</v>
      </c>
      <c r="P8764" s="306">
        <v>0.86767890000000003</v>
      </c>
      <c r="Q8764" s="50" t="s">
        <v>9523</v>
      </c>
      <c r="R8764" s="303"/>
    </row>
    <row r="8765" spans="1:18" s="162" customFormat="1" ht="120" x14ac:dyDescent="0.25">
      <c r="A8765" s="184">
        <v>44362</v>
      </c>
      <c r="B8765" s="184">
        <v>44362</v>
      </c>
      <c r="C8765" s="138">
        <v>2021</v>
      </c>
      <c r="D8765" s="24" t="s">
        <v>141</v>
      </c>
      <c r="E8765" s="30" t="s">
        <v>142</v>
      </c>
      <c r="F8765" s="28" t="s">
        <v>157</v>
      </c>
      <c r="G8765" s="33" t="s">
        <v>857</v>
      </c>
      <c r="H8765" s="311" t="s">
        <v>11826</v>
      </c>
      <c r="I8765" s="157">
        <v>0</v>
      </c>
      <c r="J8765" s="142">
        <v>7</v>
      </c>
      <c r="K8765" s="142">
        <v>0</v>
      </c>
      <c r="L8765" s="142">
        <v>0</v>
      </c>
      <c r="M8765" s="142">
        <v>0</v>
      </c>
      <c r="N8765" s="142">
        <v>0</v>
      </c>
      <c r="O8765" s="142">
        <v>0</v>
      </c>
      <c r="P8765" s="306">
        <v>0.86648100000000017</v>
      </c>
      <c r="Q8765" s="50" t="s">
        <v>9523</v>
      </c>
      <c r="R8765" s="303"/>
    </row>
    <row r="8766" spans="1:18" s="162" customFormat="1" ht="192" x14ac:dyDescent="0.25">
      <c r="A8766" s="184">
        <v>44362</v>
      </c>
      <c r="B8766" s="184">
        <v>44362</v>
      </c>
      <c r="C8766" s="138">
        <v>2021</v>
      </c>
      <c r="D8766" s="351" t="s">
        <v>23</v>
      </c>
      <c r="E8766" s="22" t="s">
        <v>86</v>
      </c>
      <c r="F8766" s="25" t="s">
        <v>781</v>
      </c>
      <c r="G8766" s="33" t="s">
        <v>11827</v>
      </c>
      <c r="H8766" s="311" t="s">
        <v>11828</v>
      </c>
      <c r="I8766" s="157">
        <v>0</v>
      </c>
      <c r="J8766" s="142">
        <v>836</v>
      </c>
      <c r="K8766" s="142">
        <v>209</v>
      </c>
      <c r="L8766" s="142">
        <v>0</v>
      </c>
      <c r="M8766" s="142">
        <v>0</v>
      </c>
      <c r="N8766" s="142">
        <v>0</v>
      </c>
      <c r="O8766" s="142">
        <v>0</v>
      </c>
      <c r="P8766" s="306">
        <v>0.27881122500000005</v>
      </c>
      <c r="Q8766" s="50" t="s">
        <v>9523</v>
      </c>
      <c r="R8766" s="303"/>
    </row>
    <row r="8767" spans="1:18" s="162" customFormat="1" ht="132" x14ac:dyDescent="0.25">
      <c r="A8767" s="184">
        <v>44363</v>
      </c>
      <c r="B8767" s="184">
        <v>44364</v>
      </c>
      <c r="C8767" s="138">
        <v>2021</v>
      </c>
      <c r="D8767" s="351" t="s">
        <v>23</v>
      </c>
      <c r="E8767" s="22" t="s">
        <v>86</v>
      </c>
      <c r="F8767" s="28" t="s">
        <v>163</v>
      </c>
      <c r="G8767" s="33" t="s">
        <v>1696</v>
      </c>
      <c r="H8767" s="311" t="s">
        <v>11829</v>
      </c>
      <c r="I8767" s="157">
        <v>0</v>
      </c>
      <c r="J8767" s="142">
        <v>1600</v>
      </c>
      <c r="K8767" s="142">
        <v>400</v>
      </c>
      <c r="L8767" s="142">
        <v>0</v>
      </c>
      <c r="M8767" s="142">
        <v>0</v>
      </c>
      <c r="N8767" s="142">
        <v>0</v>
      </c>
      <c r="O8767" s="142">
        <v>0</v>
      </c>
      <c r="P8767" s="306">
        <v>0.53361000000000003</v>
      </c>
      <c r="Q8767" s="50" t="s">
        <v>9523</v>
      </c>
      <c r="R8767" s="303"/>
    </row>
    <row r="8768" spans="1:18" s="162" customFormat="1" ht="84" x14ac:dyDescent="0.25">
      <c r="A8768" s="184">
        <v>44364</v>
      </c>
      <c r="B8768" s="184">
        <v>44365</v>
      </c>
      <c r="C8768" s="138">
        <v>2021</v>
      </c>
      <c r="D8768" s="24" t="s">
        <v>141</v>
      </c>
      <c r="E8768" s="30" t="s">
        <v>142</v>
      </c>
      <c r="F8768" s="7" t="s">
        <v>91</v>
      </c>
      <c r="G8768" s="33" t="s">
        <v>3386</v>
      </c>
      <c r="H8768" s="311" t="s">
        <v>11830</v>
      </c>
      <c r="I8768" s="157">
        <v>0</v>
      </c>
      <c r="J8768" s="142">
        <v>25</v>
      </c>
      <c r="K8768" s="142">
        <v>0</v>
      </c>
      <c r="L8768" s="142">
        <v>0</v>
      </c>
      <c r="M8768" s="142">
        <v>0</v>
      </c>
      <c r="N8768" s="142">
        <v>0</v>
      </c>
      <c r="O8768" s="142">
        <v>0</v>
      </c>
      <c r="P8768" s="306">
        <v>0.89403270000000012</v>
      </c>
      <c r="Q8768" s="50" t="s">
        <v>9523</v>
      </c>
      <c r="R8768" s="303"/>
    </row>
    <row r="8769" spans="1:18" s="162" customFormat="1" ht="120" x14ac:dyDescent="0.25">
      <c r="A8769" s="184">
        <v>44365</v>
      </c>
      <c r="B8769" s="184">
        <v>44365</v>
      </c>
      <c r="C8769" s="138">
        <v>2021</v>
      </c>
      <c r="D8769" s="24" t="s">
        <v>141</v>
      </c>
      <c r="E8769" s="30" t="s">
        <v>142</v>
      </c>
      <c r="F8769" s="7" t="s">
        <v>49</v>
      </c>
      <c r="G8769" s="33" t="s">
        <v>1445</v>
      </c>
      <c r="H8769" s="311" t="s">
        <v>11831</v>
      </c>
      <c r="I8769" s="157">
        <v>0</v>
      </c>
      <c r="J8769" s="142">
        <v>9</v>
      </c>
      <c r="K8769" s="142">
        <v>0</v>
      </c>
      <c r="L8769" s="142">
        <v>0</v>
      </c>
      <c r="M8769" s="142">
        <v>0</v>
      </c>
      <c r="N8769" s="142">
        <v>0</v>
      </c>
      <c r="O8769" s="142">
        <v>0</v>
      </c>
      <c r="P8769" s="306">
        <v>1.2649558264302327</v>
      </c>
      <c r="Q8769" s="50" t="s">
        <v>9523</v>
      </c>
      <c r="R8769" s="303"/>
    </row>
    <row r="8770" spans="1:18" s="162" customFormat="1" ht="240" x14ac:dyDescent="0.25">
      <c r="A8770" s="184">
        <v>44365</v>
      </c>
      <c r="B8770" s="184">
        <v>44365</v>
      </c>
      <c r="C8770" s="138">
        <v>2021</v>
      </c>
      <c r="D8770" s="351" t="s">
        <v>23</v>
      </c>
      <c r="E8770" s="14" t="s">
        <v>32</v>
      </c>
      <c r="F8770" s="7" t="s">
        <v>58</v>
      </c>
      <c r="G8770" s="33" t="s">
        <v>11832</v>
      </c>
      <c r="H8770" s="311" t="s">
        <v>11833</v>
      </c>
      <c r="I8770" s="157">
        <v>0</v>
      </c>
      <c r="J8770" s="142">
        <v>178</v>
      </c>
      <c r="K8770" s="142">
        <v>61</v>
      </c>
      <c r="L8770" s="142">
        <v>0</v>
      </c>
      <c r="M8770" s="142">
        <v>0</v>
      </c>
      <c r="N8770" s="142">
        <v>0</v>
      </c>
      <c r="O8770" s="142">
        <v>0</v>
      </c>
      <c r="P8770" s="306">
        <v>0.29346735000000002</v>
      </c>
      <c r="Q8770" s="50" t="s">
        <v>9523</v>
      </c>
      <c r="R8770" s="303"/>
    </row>
    <row r="8771" spans="1:18" s="162" customFormat="1" ht="84" x14ac:dyDescent="0.25">
      <c r="A8771" s="184">
        <v>44365</v>
      </c>
      <c r="B8771" s="184">
        <v>44365</v>
      </c>
      <c r="C8771" s="138">
        <v>2021</v>
      </c>
      <c r="D8771" s="351" t="s">
        <v>23</v>
      </c>
      <c r="E8771" s="14" t="s">
        <v>32</v>
      </c>
      <c r="F8771" s="7" t="s">
        <v>62</v>
      </c>
      <c r="G8771" s="33" t="s">
        <v>11834</v>
      </c>
      <c r="H8771" s="311" t="s">
        <v>11835</v>
      </c>
      <c r="I8771" s="157">
        <v>0</v>
      </c>
      <c r="J8771" s="142">
        <v>16</v>
      </c>
      <c r="K8771" s="142">
        <v>1</v>
      </c>
      <c r="L8771" s="142">
        <v>0</v>
      </c>
      <c r="M8771" s="142">
        <v>0</v>
      </c>
      <c r="N8771" s="142">
        <v>0</v>
      </c>
      <c r="O8771" s="142">
        <v>0</v>
      </c>
      <c r="P8771" s="306">
        <v>4.6585000000000007E-4</v>
      </c>
      <c r="Q8771" s="50" t="s">
        <v>9523</v>
      </c>
      <c r="R8771" s="303"/>
    </row>
    <row r="8772" spans="1:18" s="162" customFormat="1" ht="60" x14ac:dyDescent="0.25">
      <c r="A8772" s="184">
        <v>44365</v>
      </c>
      <c r="B8772" s="184">
        <v>44365</v>
      </c>
      <c r="C8772" s="138">
        <v>2021</v>
      </c>
      <c r="D8772" s="351" t="s">
        <v>23</v>
      </c>
      <c r="E8772" s="14" t="s">
        <v>32</v>
      </c>
      <c r="F8772" s="7" t="s">
        <v>47</v>
      </c>
      <c r="G8772" s="33" t="s">
        <v>11836</v>
      </c>
      <c r="H8772" s="311" t="s">
        <v>11837</v>
      </c>
      <c r="I8772" s="157">
        <v>0</v>
      </c>
      <c r="J8772" s="142">
        <v>178</v>
      </c>
      <c r="K8772" s="142">
        <v>0</v>
      </c>
      <c r="L8772" s="142">
        <v>0</v>
      </c>
      <c r="M8772" s="142">
        <v>0</v>
      </c>
      <c r="N8772" s="142">
        <v>0</v>
      </c>
      <c r="O8772" s="142">
        <v>0</v>
      </c>
      <c r="P8772" s="306">
        <v>0</v>
      </c>
      <c r="Q8772" s="50" t="s">
        <v>9523</v>
      </c>
      <c r="R8772" s="303"/>
    </row>
    <row r="8773" spans="1:18" s="162" customFormat="1" ht="132" x14ac:dyDescent="0.25">
      <c r="A8773" s="184">
        <v>44365</v>
      </c>
      <c r="B8773" s="184">
        <v>44365</v>
      </c>
      <c r="C8773" s="138">
        <v>2021</v>
      </c>
      <c r="D8773" s="351" t="s">
        <v>23</v>
      </c>
      <c r="E8773" s="22" t="s">
        <v>86</v>
      </c>
      <c r="F8773" s="28" t="s">
        <v>210</v>
      </c>
      <c r="G8773" s="33" t="s">
        <v>11838</v>
      </c>
      <c r="H8773" s="311" t="s">
        <v>11839</v>
      </c>
      <c r="I8773" s="157">
        <v>0</v>
      </c>
      <c r="J8773" s="142">
        <v>3</v>
      </c>
      <c r="K8773" s="142">
        <v>0</v>
      </c>
      <c r="L8773" s="142">
        <v>0</v>
      </c>
      <c r="M8773" s="142">
        <v>0</v>
      </c>
      <c r="N8773" s="142">
        <v>0</v>
      </c>
      <c r="O8773" s="142">
        <v>0</v>
      </c>
      <c r="P8773" s="306">
        <v>0.37681417886046514</v>
      </c>
      <c r="Q8773" s="50" t="s">
        <v>9523</v>
      </c>
      <c r="R8773" s="303"/>
    </row>
    <row r="8774" spans="1:18" s="162" customFormat="1" ht="84" x14ac:dyDescent="0.25">
      <c r="A8774" s="184">
        <v>44366</v>
      </c>
      <c r="B8774" s="184">
        <v>44366</v>
      </c>
      <c r="C8774" s="138">
        <v>2021</v>
      </c>
      <c r="D8774" s="24" t="s">
        <v>141</v>
      </c>
      <c r="E8774" s="30" t="s">
        <v>142</v>
      </c>
      <c r="F8774" s="7" t="s">
        <v>80</v>
      </c>
      <c r="G8774" s="33" t="s">
        <v>5558</v>
      </c>
      <c r="H8774" s="311" t="s">
        <v>11840</v>
      </c>
      <c r="I8774" s="157">
        <v>0</v>
      </c>
      <c r="J8774" s="142">
        <v>9</v>
      </c>
      <c r="K8774" s="142">
        <v>0</v>
      </c>
      <c r="L8774" s="142">
        <v>0</v>
      </c>
      <c r="M8774" s="142">
        <v>0</v>
      </c>
      <c r="N8774" s="142">
        <v>0</v>
      </c>
      <c r="O8774" s="142">
        <v>0</v>
      </c>
      <c r="P8774" s="306">
        <v>0.60992651500000017</v>
      </c>
      <c r="Q8774" s="50" t="s">
        <v>9523</v>
      </c>
      <c r="R8774" s="303"/>
    </row>
    <row r="8775" spans="1:18" s="162" customFormat="1" ht="72" x14ac:dyDescent="0.25">
      <c r="A8775" s="184">
        <v>44366</v>
      </c>
      <c r="B8775" s="184">
        <v>44367</v>
      </c>
      <c r="C8775" s="138">
        <v>2021</v>
      </c>
      <c r="D8775" s="351" t="s">
        <v>23</v>
      </c>
      <c r="E8775" s="22" t="s">
        <v>86</v>
      </c>
      <c r="F8775" s="28" t="s">
        <v>210</v>
      </c>
      <c r="G8775" s="33" t="s">
        <v>5937</v>
      </c>
      <c r="H8775" s="311" t="s">
        <v>11841</v>
      </c>
      <c r="I8775" s="157">
        <v>0</v>
      </c>
      <c r="J8775" s="142">
        <v>1000</v>
      </c>
      <c r="K8775" s="142">
        <v>0</v>
      </c>
      <c r="L8775" s="142">
        <v>0</v>
      </c>
      <c r="M8775" s="142">
        <v>0</v>
      </c>
      <c r="N8775" s="142">
        <v>0</v>
      </c>
      <c r="O8775" s="142">
        <v>0</v>
      </c>
      <c r="P8775" s="306">
        <v>0</v>
      </c>
      <c r="Q8775" s="50" t="s">
        <v>9523</v>
      </c>
      <c r="R8775" s="303"/>
    </row>
    <row r="8776" spans="1:18" s="162" customFormat="1" ht="96" x14ac:dyDescent="0.25">
      <c r="A8776" s="184">
        <v>44367</v>
      </c>
      <c r="B8776" s="184">
        <v>44367</v>
      </c>
      <c r="C8776" s="138">
        <v>2021</v>
      </c>
      <c r="D8776" s="24" t="s">
        <v>141</v>
      </c>
      <c r="E8776" s="30" t="s">
        <v>142</v>
      </c>
      <c r="F8776" s="28" t="s">
        <v>210</v>
      </c>
      <c r="G8776" s="33" t="s">
        <v>10918</v>
      </c>
      <c r="H8776" s="311" t="s">
        <v>11842</v>
      </c>
      <c r="I8776" s="157">
        <v>0</v>
      </c>
      <c r="J8776" s="142">
        <v>7</v>
      </c>
      <c r="K8776" s="142">
        <v>0</v>
      </c>
      <c r="L8776" s="142">
        <v>0</v>
      </c>
      <c r="M8776" s="142">
        <v>0</v>
      </c>
      <c r="N8776" s="142">
        <v>0</v>
      </c>
      <c r="O8776" s="142">
        <v>0</v>
      </c>
      <c r="P8776" s="306">
        <v>0.23723465700000007</v>
      </c>
      <c r="Q8776" s="50" t="s">
        <v>9523</v>
      </c>
      <c r="R8776" s="303"/>
    </row>
    <row r="8777" spans="1:18" s="162" customFormat="1" ht="120" x14ac:dyDescent="0.25">
      <c r="A8777" s="184">
        <v>44369</v>
      </c>
      <c r="B8777" s="184">
        <v>44369</v>
      </c>
      <c r="C8777" s="138">
        <v>2021</v>
      </c>
      <c r="D8777" s="351" t="s">
        <v>23</v>
      </c>
      <c r="E8777" s="22" t="s">
        <v>86</v>
      </c>
      <c r="F8777" s="7" t="s">
        <v>68</v>
      </c>
      <c r="G8777" s="33" t="s">
        <v>11843</v>
      </c>
      <c r="H8777" s="311" t="s">
        <v>11844</v>
      </c>
      <c r="I8777" s="157">
        <v>0</v>
      </c>
      <c r="J8777" s="142">
        <v>16</v>
      </c>
      <c r="K8777" s="142">
        <v>4</v>
      </c>
      <c r="L8777" s="142">
        <v>0</v>
      </c>
      <c r="M8777" s="142">
        <v>0</v>
      </c>
      <c r="N8777" s="142">
        <v>0</v>
      </c>
      <c r="O8777" s="142">
        <v>0</v>
      </c>
      <c r="P8777" s="306">
        <v>0.32477610000000001</v>
      </c>
      <c r="Q8777" s="50" t="s">
        <v>9523</v>
      </c>
      <c r="R8777" s="303"/>
    </row>
    <row r="8778" spans="1:18" s="162" customFormat="1" ht="132" x14ac:dyDescent="0.25">
      <c r="A8778" s="184">
        <v>44369</v>
      </c>
      <c r="B8778" s="184">
        <v>44369</v>
      </c>
      <c r="C8778" s="138">
        <v>2021</v>
      </c>
      <c r="D8778" s="351" t="s">
        <v>23</v>
      </c>
      <c r="E8778" s="22" t="s">
        <v>86</v>
      </c>
      <c r="F8778" s="28" t="s">
        <v>160</v>
      </c>
      <c r="G8778" s="33" t="s">
        <v>11845</v>
      </c>
      <c r="H8778" s="311" t="s">
        <v>11846</v>
      </c>
      <c r="I8778" s="157">
        <v>0</v>
      </c>
      <c r="J8778" s="142">
        <v>304</v>
      </c>
      <c r="K8778" s="142">
        <v>76</v>
      </c>
      <c r="L8778" s="142">
        <v>0</v>
      </c>
      <c r="M8778" s="142">
        <v>0</v>
      </c>
      <c r="N8778" s="142">
        <v>0</v>
      </c>
      <c r="O8778" s="142">
        <v>0</v>
      </c>
      <c r="P8778" s="306">
        <v>0.10138590000000001</v>
      </c>
      <c r="Q8778" s="50" t="s">
        <v>9523</v>
      </c>
      <c r="R8778" s="303"/>
    </row>
    <row r="8779" spans="1:18" s="162" customFormat="1" ht="120" x14ac:dyDescent="0.25">
      <c r="A8779" s="184">
        <v>44369</v>
      </c>
      <c r="B8779" s="184">
        <v>44370</v>
      </c>
      <c r="C8779" s="138">
        <v>2021</v>
      </c>
      <c r="D8779" s="351" t="s">
        <v>23</v>
      </c>
      <c r="E8779" s="22" t="s">
        <v>86</v>
      </c>
      <c r="F8779" s="28" t="s">
        <v>210</v>
      </c>
      <c r="G8779" s="33" t="s">
        <v>11847</v>
      </c>
      <c r="H8779" s="311" t="s">
        <v>11848</v>
      </c>
      <c r="I8779" s="157">
        <v>0</v>
      </c>
      <c r="J8779" s="142">
        <v>25</v>
      </c>
      <c r="K8779" s="142">
        <v>7</v>
      </c>
      <c r="L8779" s="142">
        <v>0</v>
      </c>
      <c r="M8779" s="142">
        <v>0</v>
      </c>
      <c r="N8779" s="142">
        <v>0</v>
      </c>
      <c r="O8779" s="142">
        <v>0</v>
      </c>
      <c r="P8779" s="306">
        <v>9.3381750000000006E-3</v>
      </c>
      <c r="Q8779" s="50" t="s">
        <v>9523</v>
      </c>
      <c r="R8779" s="303"/>
    </row>
    <row r="8780" spans="1:18" s="162" customFormat="1" ht="84" x14ac:dyDescent="0.25">
      <c r="A8780" s="184">
        <v>44371</v>
      </c>
      <c r="B8780" s="184">
        <v>44372</v>
      </c>
      <c r="C8780" s="138">
        <v>2021</v>
      </c>
      <c r="D8780" s="24" t="s">
        <v>141</v>
      </c>
      <c r="E8780" s="30" t="s">
        <v>142</v>
      </c>
      <c r="F8780" s="7" t="s">
        <v>80</v>
      </c>
      <c r="G8780" s="33" t="s">
        <v>8987</v>
      </c>
      <c r="H8780" s="311" t="s">
        <v>11849</v>
      </c>
      <c r="I8780" s="157">
        <v>1</v>
      </c>
      <c r="J8780" s="142">
        <v>3</v>
      </c>
      <c r="K8780" s="142">
        <v>0</v>
      </c>
      <c r="L8780" s="142">
        <v>0</v>
      </c>
      <c r="M8780" s="142">
        <v>0</v>
      </c>
      <c r="N8780" s="142">
        <v>0</v>
      </c>
      <c r="O8780" s="142">
        <v>0</v>
      </c>
      <c r="P8780" s="306">
        <v>0.22059715700000004</v>
      </c>
      <c r="Q8780" s="50" t="s">
        <v>9523</v>
      </c>
      <c r="R8780" s="303"/>
    </row>
    <row r="8781" spans="1:18" s="162" customFormat="1" x14ac:dyDescent="0.25">
      <c r="A8781" s="184">
        <v>44372</v>
      </c>
      <c r="B8781" s="184">
        <v>44372</v>
      </c>
      <c r="C8781" s="138">
        <v>2021</v>
      </c>
      <c r="D8781" s="351" t="s">
        <v>23</v>
      </c>
      <c r="E8781" s="22" t="s">
        <v>86</v>
      </c>
      <c r="F8781" s="7" t="s">
        <v>36</v>
      </c>
      <c r="G8781" s="312" t="s">
        <v>11850</v>
      </c>
      <c r="H8781" s="311" t="s">
        <v>11851</v>
      </c>
      <c r="I8781" s="157">
        <v>0</v>
      </c>
      <c r="J8781" s="142">
        <v>500</v>
      </c>
      <c r="K8781" s="142">
        <v>0</v>
      </c>
      <c r="L8781" s="142">
        <v>0</v>
      </c>
      <c r="M8781" s="142">
        <v>0</v>
      </c>
      <c r="N8781" s="142">
        <v>0</v>
      </c>
      <c r="O8781" s="142">
        <v>0</v>
      </c>
      <c r="P8781" s="306">
        <v>129.01353434000001</v>
      </c>
      <c r="Q8781" s="50" t="s">
        <v>11852</v>
      </c>
      <c r="R8781" s="303"/>
    </row>
    <row r="8782" spans="1:18" s="162" customFormat="1" ht="108" x14ac:dyDescent="0.25">
      <c r="A8782" s="184">
        <v>44372</v>
      </c>
      <c r="B8782" s="184">
        <v>44372</v>
      </c>
      <c r="C8782" s="138">
        <v>2021</v>
      </c>
      <c r="D8782" s="24" t="s">
        <v>141</v>
      </c>
      <c r="E8782" s="30" t="s">
        <v>142</v>
      </c>
      <c r="F8782" s="7" t="s">
        <v>30</v>
      </c>
      <c r="G8782" s="33" t="s">
        <v>1078</v>
      </c>
      <c r="H8782" s="311" t="s">
        <v>11853</v>
      </c>
      <c r="I8782" s="157">
        <v>0</v>
      </c>
      <c r="J8782" s="142">
        <v>150</v>
      </c>
      <c r="K8782" s="142">
        <v>0</v>
      </c>
      <c r="L8782" s="142">
        <v>0</v>
      </c>
      <c r="M8782" s="142">
        <v>0</v>
      </c>
      <c r="N8782" s="142">
        <v>0</v>
      </c>
      <c r="O8782" s="142">
        <v>0</v>
      </c>
      <c r="P8782" s="306">
        <v>1.1887028444705883</v>
      </c>
      <c r="Q8782" s="50" t="s">
        <v>9523</v>
      </c>
      <c r="R8782" s="303"/>
    </row>
    <row r="8783" spans="1:18" s="162" customFormat="1" ht="204" x14ac:dyDescent="0.25">
      <c r="A8783" s="184">
        <v>44372</v>
      </c>
      <c r="B8783" s="184">
        <v>44372</v>
      </c>
      <c r="C8783" s="138">
        <v>2021</v>
      </c>
      <c r="D8783" s="351" t="s">
        <v>23</v>
      </c>
      <c r="E8783" s="22" t="s">
        <v>86</v>
      </c>
      <c r="F8783" s="7" t="s">
        <v>72</v>
      </c>
      <c r="G8783" s="33" t="s">
        <v>11854</v>
      </c>
      <c r="H8783" s="311" t="s">
        <v>11855</v>
      </c>
      <c r="I8783" s="157">
        <v>0</v>
      </c>
      <c r="J8783" s="142">
        <v>2000</v>
      </c>
      <c r="K8783" s="142">
        <v>195</v>
      </c>
      <c r="L8783" s="142">
        <v>0</v>
      </c>
      <c r="M8783" s="142">
        <v>0</v>
      </c>
      <c r="N8783" s="142">
        <v>0</v>
      </c>
      <c r="O8783" s="142">
        <v>0</v>
      </c>
      <c r="P8783" s="306">
        <v>0.26013487500000004</v>
      </c>
      <c r="Q8783" s="50" t="s">
        <v>9523</v>
      </c>
      <c r="R8783" s="303"/>
    </row>
    <row r="8784" spans="1:18" s="162" customFormat="1" ht="84" x14ac:dyDescent="0.25">
      <c r="A8784" s="184">
        <v>44372</v>
      </c>
      <c r="B8784" s="184">
        <v>44372</v>
      </c>
      <c r="C8784" s="138">
        <v>2021</v>
      </c>
      <c r="D8784" s="35" t="s">
        <v>28</v>
      </c>
      <c r="E8784" s="30" t="s">
        <v>133</v>
      </c>
      <c r="F8784" s="7" t="s">
        <v>53</v>
      </c>
      <c r="G8784" s="33" t="s">
        <v>451</v>
      </c>
      <c r="H8784" s="311" t="s">
        <v>11856</v>
      </c>
      <c r="I8784" s="157">
        <v>1</v>
      </c>
      <c r="J8784" s="142">
        <v>5</v>
      </c>
      <c r="K8784" s="142">
        <v>1</v>
      </c>
      <c r="L8784" s="142">
        <v>0</v>
      </c>
      <c r="M8784" s="142">
        <v>0</v>
      </c>
      <c r="N8784" s="142">
        <v>0</v>
      </c>
      <c r="O8784" s="142">
        <v>0</v>
      </c>
      <c r="P8784" s="306">
        <v>6.1256250000000017E-3</v>
      </c>
      <c r="Q8784" s="50" t="s">
        <v>9523</v>
      </c>
      <c r="R8784" s="303"/>
    </row>
    <row r="8785" spans="1:18" s="162" customFormat="1" ht="216" x14ac:dyDescent="0.25">
      <c r="A8785" s="48">
        <v>44374</v>
      </c>
      <c r="B8785" s="48">
        <v>44375</v>
      </c>
      <c r="C8785" s="138">
        <v>2021</v>
      </c>
      <c r="D8785" s="351" t="s">
        <v>23</v>
      </c>
      <c r="E8785" s="22" t="s">
        <v>86</v>
      </c>
      <c r="F8785" s="7" t="s">
        <v>40</v>
      </c>
      <c r="G8785" s="33" t="s">
        <v>11857</v>
      </c>
      <c r="H8785" s="311" t="s">
        <v>11858</v>
      </c>
      <c r="I8785" s="50">
        <v>0</v>
      </c>
      <c r="J8785" s="31">
        <v>582</v>
      </c>
      <c r="K8785" s="31">
        <v>0</v>
      </c>
      <c r="L8785" s="31">
        <v>0</v>
      </c>
      <c r="M8785" s="31">
        <v>0</v>
      </c>
      <c r="N8785" s="31">
        <v>0</v>
      </c>
      <c r="O8785" s="31">
        <v>0</v>
      </c>
      <c r="P8785" s="306">
        <v>0.93628500000000003</v>
      </c>
      <c r="Q8785" s="50" t="s">
        <v>11859</v>
      </c>
      <c r="R8785" s="303"/>
    </row>
    <row r="8786" spans="1:18" s="162" customFormat="1" ht="72" x14ac:dyDescent="0.25">
      <c r="A8786" s="184">
        <v>44374</v>
      </c>
      <c r="B8786" s="184">
        <v>44374</v>
      </c>
      <c r="C8786" s="138">
        <v>2021</v>
      </c>
      <c r="D8786" s="24" t="s">
        <v>141</v>
      </c>
      <c r="E8786" s="30" t="s">
        <v>142</v>
      </c>
      <c r="F8786" s="7" t="s">
        <v>65</v>
      </c>
      <c r="G8786" s="33" t="s">
        <v>2627</v>
      </c>
      <c r="H8786" s="311" t="s">
        <v>11860</v>
      </c>
      <c r="I8786" s="157">
        <v>2</v>
      </c>
      <c r="J8786" s="142">
        <v>6</v>
      </c>
      <c r="K8786" s="142">
        <v>0</v>
      </c>
      <c r="L8786" s="142">
        <v>0</v>
      </c>
      <c r="M8786" s="142">
        <v>0</v>
      </c>
      <c r="N8786" s="142">
        <v>0</v>
      </c>
      <c r="O8786" s="142">
        <v>0</v>
      </c>
      <c r="P8786" s="306">
        <v>0.97535680000000002</v>
      </c>
      <c r="Q8786" s="50" t="s">
        <v>9523</v>
      </c>
      <c r="R8786" s="303"/>
    </row>
    <row r="8787" spans="1:18" s="162" customFormat="1" ht="24" x14ac:dyDescent="0.25">
      <c r="A8787" s="184">
        <v>44374</v>
      </c>
      <c r="B8787" s="184">
        <v>44377</v>
      </c>
      <c r="C8787" s="138">
        <v>2021</v>
      </c>
      <c r="D8787" s="351" t="s">
        <v>23</v>
      </c>
      <c r="E8787" s="22" t="s">
        <v>86</v>
      </c>
      <c r="F8787" s="7" t="s">
        <v>40</v>
      </c>
      <c r="G8787" s="33" t="s">
        <v>11861</v>
      </c>
      <c r="H8787" s="311" t="s">
        <v>11862</v>
      </c>
      <c r="I8787" s="157">
        <v>0</v>
      </c>
      <c r="J8787" s="142">
        <v>0</v>
      </c>
      <c r="K8787" s="142">
        <v>0</v>
      </c>
      <c r="L8787" s="142">
        <v>0</v>
      </c>
      <c r="M8787" s="142">
        <v>0</v>
      </c>
      <c r="N8787" s="142">
        <v>0</v>
      </c>
      <c r="O8787" s="142">
        <v>0</v>
      </c>
      <c r="P8787" s="306">
        <v>0.82980500000000001</v>
      </c>
      <c r="Q8787" s="50" t="s">
        <v>11670</v>
      </c>
      <c r="R8787" s="303"/>
    </row>
    <row r="8788" spans="1:18" s="162" customFormat="1" ht="108" x14ac:dyDescent="0.25">
      <c r="A8788" s="184">
        <v>44375</v>
      </c>
      <c r="B8788" s="184">
        <v>44376</v>
      </c>
      <c r="C8788" s="138">
        <v>2021</v>
      </c>
      <c r="D8788" s="24" t="s">
        <v>141</v>
      </c>
      <c r="E8788" s="30" t="s">
        <v>142</v>
      </c>
      <c r="F8788" s="7" t="s">
        <v>62</v>
      </c>
      <c r="G8788" s="33" t="s">
        <v>165</v>
      </c>
      <c r="H8788" s="311" t="s">
        <v>11863</v>
      </c>
      <c r="I8788" s="157">
        <v>0</v>
      </c>
      <c r="J8788" s="142">
        <v>15</v>
      </c>
      <c r="K8788" s="142">
        <v>0</v>
      </c>
      <c r="L8788" s="142">
        <v>0</v>
      </c>
      <c r="M8788" s="142">
        <v>0</v>
      </c>
      <c r="N8788" s="142">
        <v>0</v>
      </c>
      <c r="O8788" s="142">
        <v>0</v>
      </c>
      <c r="P8788" s="306">
        <v>0.33905615700000008</v>
      </c>
      <c r="Q8788" s="50" t="s">
        <v>9523</v>
      </c>
      <c r="R8788" s="303"/>
    </row>
    <row r="8789" spans="1:18" s="162" customFormat="1" ht="120" x14ac:dyDescent="0.25">
      <c r="A8789" s="184">
        <v>44376</v>
      </c>
      <c r="B8789" s="184">
        <v>44376</v>
      </c>
      <c r="C8789" s="138">
        <v>2021</v>
      </c>
      <c r="D8789" s="24" t="s">
        <v>141</v>
      </c>
      <c r="E8789" s="30" t="s">
        <v>142</v>
      </c>
      <c r="F8789" s="7" t="s">
        <v>56</v>
      </c>
      <c r="G8789" s="33" t="s">
        <v>711</v>
      </c>
      <c r="H8789" s="311" t="s">
        <v>11864</v>
      </c>
      <c r="I8789" s="157">
        <v>1</v>
      </c>
      <c r="J8789" s="142">
        <v>21</v>
      </c>
      <c r="K8789" s="142">
        <v>0</v>
      </c>
      <c r="L8789" s="142">
        <v>0</v>
      </c>
      <c r="M8789" s="142">
        <v>0</v>
      </c>
      <c r="N8789" s="142">
        <v>0</v>
      </c>
      <c r="O8789" s="142">
        <v>0</v>
      </c>
      <c r="P8789" s="306">
        <v>0.39801740000000002</v>
      </c>
      <c r="Q8789" s="50" t="s">
        <v>9523</v>
      </c>
      <c r="R8789" s="303"/>
    </row>
    <row r="8790" spans="1:18" s="162" customFormat="1" ht="96" x14ac:dyDescent="0.25">
      <c r="A8790" s="184">
        <v>44377</v>
      </c>
      <c r="B8790" s="184">
        <v>44377</v>
      </c>
      <c r="C8790" s="138">
        <v>2021</v>
      </c>
      <c r="D8790" s="24" t="s">
        <v>141</v>
      </c>
      <c r="E8790" s="30" t="s">
        <v>142</v>
      </c>
      <c r="F8790" s="7" t="s">
        <v>60</v>
      </c>
      <c r="G8790" s="33" t="s">
        <v>11865</v>
      </c>
      <c r="H8790" s="311" t="s">
        <v>11866</v>
      </c>
      <c r="I8790" s="157">
        <v>0</v>
      </c>
      <c r="J8790" s="142">
        <v>10</v>
      </c>
      <c r="K8790" s="142">
        <v>0</v>
      </c>
      <c r="L8790" s="142">
        <v>0</v>
      </c>
      <c r="M8790" s="142">
        <v>0</v>
      </c>
      <c r="N8790" s="142">
        <v>0</v>
      </c>
      <c r="O8790" s="142">
        <v>0</v>
      </c>
      <c r="P8790" s="306">
        <v>0.87606420000000007</v>
      </c>
      <c r="Q8790" s="50" t="s">
        <v>9523</v>
      </c>
      <c r="R8790" s="303"/>
    </row>
    <row r="8791" spans="1:18" s="162" customFormat="1" ht="72" x14ac:dyDescent="0.25">
      <c r="A8791" s="184">
        <v>44378</v>
      </c>
      <c r="B8791" s="184">
        <v>44380</v>
      </c>
      <c r="C8791" s="138">
        <v>2021</v>
      </c>
      <c r="D8791" s="351" t="s">
        <v>23</v>
      </c>
      <c r="E8791" s="22" t="s">
        <v>86</v>
      </c>
      <c r="F8791" s="28" t="s">
        <v>210</v>
      </c>
      <c r="G8791" s="33" t="s">
        <v>11867</v>
      </c>
      <c r="H8791" s="311" t="s">
        <v>11868</v>
      </c>
      <c r="I8791" s="157">
        <v>0</v>
      </c>
      <c r="J8791" s="142">
        <v>717</v>
      </c>
      <c r="K8791" s="142">
        <v>179</v>
      </c>
      <c r="L8791" s="142">
        <v>0</v>
      </c>
      <c r="M8791" s="142">
        <v>0</v>
      </c>
      <c r="N8791" s="142">
        <v>0</v>
      </c>
      <c r="O8791" s="142">
        <v>0</v>
      </c>
      <c r="P8791" s="306">
        <v>0.238790475</v>
      </c>
      <c r="Q8791" s="50" t="s">
        <v>9523</v>
      </c>
      <c r="R8791" s="303"/>
    </row>
    <row r="8792" spans="1:18" s="162" customFormat="1" ht="72" x14ac:dyDescent="0.25">
      <c r="A8792" s="184">
        <v>44379</v>
      </c>
      <c r="B8792" s="184">
        <v>44380</v>
      </c>
      <c r="C8792" s="138">
        <v>2021</v>
      </c>
      <c r="D8792" s="351" t="s">
        <v>23</v>
      </c>
      <c r="E8792" s="49" t="s">
        <v>5893</v>
      </c>
      <c r="F8792" s="7" t="s">
        <v>97</v>
      </c>
      <c r="G8792" s="33" t="s">
        <v>489</v>
      </c>
      <c r="H8792" s="311" t="s">
        <v>11869</v>
      </c>
      <c r="I8792" s="157">
        <v>0</v>
      </c>
      <c r="J8792" s="142">
        <v>28</v>
      </c>
      <c r="K8792" s="142">
        <v>7</v>
      </c>
      <c r="L8792" s="142">
        <v>0</v>
      </c>
      <c r="M8792" s="142">
        <v>0</v>
      </c>
      <c r="N8792" s="142">
        <v>0</v>
      </c>
      <c r="O8792" s="142">
        <v>0</v>
      </c>
      <c r="P8792" s="306">
        <v>4.6690875000000003E-3</v>
      </c>
      <c r="Q8792" s="50" t="s">
        <v>9523</v>
      </c>
      <c r="R8792" s="303"/>
    </row>
    <row r="8793" spans="1:18" s="162" customFormat="1" ht="132" x14ac:dyDescent="0.25">
      <c r="A8793" s="184">
        <v>44380</v>
      </c>
      <c r="B8793" s="184">
        <v>44380</v>
      </c>
      <c r="C8793" s="138">
        <v>2021</v>
      </c>
      <c r="D8793" s="24" t="s">
        <v>141</v>
      </c>
      <c r="E8793" s="30" t="s">
        <v>142</v>
      </c>
      <c r="F8793" s="7" t="s">
        <v>58</v>
      </c>
      <c r="G8793" s="33" t="s">
        <v>6775</v>
      </c>
      <c r="H8793" s="311" t="s">
        <v>11870</v>
      </c>
      <c r="I8793" s="157">
        <v>1</v>
      </c>
      <c r="J8793" s="142">
        <v>12</v>
      </c>
      <c r="K8793" s="142">
        <v>0</v>
      </c>
      <c r="L8793" s="142">
        <v>0</v>
      </c>
      <c r="M8793" s="142">
        <v>0</v>
      </c>
      <c r="N8793" s="142">
        <v>0</v>
      </c>
      <c r="O8793" s="142">
        <v>0</v>
      </c>
      <c r="P8793" s="306">
        <v>0.86767890000000003</v>
      </c>
      <c r="Q8793" s="50" t="s">
        <v>9523</v>
      </c>
      <c r="R8793" s="303"/>
    </row>
    <row r="8794" spans="1:18" s="162" customFormat="1" ht="192" x14ac:dyDescent="0.25">
      <c r="A8794" s="184">
        <v>44380</v>
      </c>
      <c r="B8794" s="184">
        <v>44381</v>
      </c>
      <c r="C8794" s="138">
        <v>2021</v>
      </c>
      <c r="D8794" s="351" t="s">
        <v>23</v>
      </c>
      <c r="E8794" s="22" t="s">
        <v>86</v>
      </c>
      <c r="F8794" s="7" t="s">
        <v>67</v>
      </c>
      <c r="G8794" s="33" t="s">
        <v>11871</v>
      </c>
      <c r="H8794" s="311" t="s">
        <v>11872</v>
      </c>
      <c r="I8794" s="157">
        <v>0</v>
      </c>
      <c r="J8794" s="142">
        <v>32</v>
      </c>
      <c r="K8794" s="142">
        <v>8</v>
      </c>
      <c r="L8794" s="142">
        <v>0</v>
      </c>
      <c r="M8794" s="142">
        <v>0</v>
      </c>
      <c r="N8794" s="142">
        <v>0</v>
      </c>
      <c r="O8794" s="142">
        <v>0</v>
      </c>
      <c r="P8794" s="306">
        <v>0.11715220000000001</v>
      </c>
      <c r="Q8794" s="50" t="s">
        <v>9523</v>
      </c>
      <c r="R8794" s="303"/>
    </row>
    <row r="8795" spans="1:18" s="162" customFormat="1" ht="120" x14ac:dyDescent="0.25">
      <c r="A8795" s="184">
        <v>44380</v>
      </c>
      <c r="B8795" s="184">
        <v>44381</v>
      </c>
      <c r="C8795" s="138">
        <v>2021</v>
      </c>
      <c r="D8795" s="24" t="s">
        <v>141</v>
      </c>
      <c r="E8795" s="30" t="s">
        <v>142</v>
      </c>
      <c r="F8795" s="7" t="s">
        <v>56</v>
      </c>
      <c r="G8795" s="33" t="s">
        <v>1426</v>
      </c>
      <c r="H8795" s="311" t="s">
        <v>11873</v>
      </c>
      <c r="I8795" s="157">
        <v>2</v>
      </c>
      <c r="J8795" s="142">
        <v>2</v>
      </c>
      <c r="K8795" s="142">
        <v>0</v>
      </c>
      <c r="L8795" s="142">
        <v>0</v>
      </c>
      <c r="M8795" s="142">
        <v>0</v>
      </c>
      <c r="N8795" s="142">
        <v>0</v>
      </c>
      <c r="O8795" s="142">
        <v>0</v>
      </c>
      <c r="P8795" s="306">
        <v>0.10648000000000002</v>
      </c>
      <c r="Q8795" s="50" t="s">
        <v>9523</v>
      </c>
      <c r="R8795" s="303"/>
    </row>
    <row r="8796" spans="1:18" s="162" customFormat="1" ht="396" x14ac:dyDescent="0.25">
      <c r="A8796" s="184">
        <v>44380</v>
      </c>
      <c r="B8796" s="184">
        <v>44381</v>
      </c>
      <c r="C8796" s="138">
        <v>2021</v>
      </c>
      <c r="D8796" s="351" t="s">
        <v>23</v>
      </c>
      <c r="E8796" s="22" t="s">
        <v>86</v>
      </c>
      <c r="F8796" s="7" t="s">
        <v>87</v>
      </c>
      <c r="G8796" s="33" t="s">
        <v>2608</v>
      </c>
      <c r="H8796" s="311" t="s">
        <v>11874</v>
      </c>
      <c r="I8796" s="157">
        <v>2</v>
      </c>
      <c r="J8796" s="142">
        <v>62</v>
      </c>
      <c r="K8796" s="142">
        <v>12</v>
      </c>
      <c r="L8796" s="142">
        <v>0</v>
      </c>
      <c r="M8796" s="142">
        <v>0</v>
      </c>
      <c r="N8796" s="142">
        <v>0</v>
      </c>
      <c r="O8796" s="142">
        <v>0</v>
      </c>
      <c r="P8796" s="306">
        <v>1.3060135000000002</v>
      </c>
      <c r="Q8796" s="50" t="s">
        <v>9523</v>
      </c>
      <c r="R8796" s="303"/>
    </row>
    <row r="8797" spans="1:18" s="162" customFormat="1" ht="108" x14ac:dyDescent="0.25">
      <c r="A8797" s="184">
        <v>44381</v>
      </c>
      <c r="B8797" s="184">
        <v>44382</v>
      </c>
      <c r="C8797" s="138">
        <v>2021</v>
      </c>
      <c r="D8797" s="24" t="s">
        <v>141</v>
      </c>
      <c r="E8797" s="30" t="s">
        <v>142</v>
      </c>
      <c r="F8797" s="7" t="s">
        <v>40</v>
      </c>
      <c r="G8797" s="33" t="s">
        <v>6987</v>
      </c>
      <c r="H8797" s="311" t="s">
        <v>11875</v>
      </c>
      <c r="I8797" s="157">
        <v>0</v>
      </c>
      <c r="J8797" s="142">
        <v>25</v>
      </c>
      <c r="K8797" s="142">
        <v>0</v>
      </c>
      <c r="L8797" s="142">
        <v>0</v>
      </c>
      <c r="M8797" s="142">
        <v>0</v>
      </c>
      <c r="N8797" s="142">
        <v>0</v>
      </c>
      <c r="O8797" s="142">
        <v>0</v>
      </c>
      <c r="P8797" s="306">
        <v>1.0894739569999998</v>
      </c>
      <c r="Q8797" s="50" t="s">
        <v>9523</v>
      </c>
      <c r="R8797" s="303"/>
    </row>
    <row r="8798" spans="1:18" s="162" customFormat="1" ht="60" x14ac:dyDescent="0.25">
      <c r="A8798" s="184">
        <v>44381</v>
      </c>
      <c r="B8798" s="184">
        <v>44382</v>
      </c>
      <c r="C8798" s="138">
        <v>2021</v>
      </c>
      <c r="D8798" s="351" t="s">
        <v>23</v>
      </c>
      <c r="E8798" s="6" t="s">
        <v>333</v>
      </c>
      <c r="F8798" s="7" t="s">
        <v>40</v>
      </c>
      <c r="G8798" s="33" t="s">
        <v>11245</v>
      </c>
      <c r="H8798" s="311" t="s">
        <v>11876</v>
      </c>
      <c r="I8798" s="157">
        <v>1</v>
      </c>
      <c r="J8798" s="142">
        <v>1</v>
      </c>
      <c r="K8798" s="142">
        <v>0</v>
      </c>
      <c r="L8798" s="142">
        <v>0</v>
      </c>
      <c r="M8798" s="142">
        <v>0</v>
      </c>
      <c r="N8798" s="142">
        <v>0</v>
      </c>
      <c r="O8798" s="142">
        <v>0</v>
      </c>
      <c r="P8798" s="306">
        <v>0</v>
      </c>
      <c r="Q8798" s="50" t="s">
        <v>9523</v>
      </c>
      <c r="R8798" s="303"/>
    </row>
    <row r="8799" spans="1:18" s="162" customFormat="1" ht="409.5" x14ac:dyDescent="0.25">
      <c r="A8799" s="184">
        <v>44382</v>
      </c>
      <c r="B8799" s="184">
        <v>44382</v>
      </c>
      <c r="C8799" s="138">
        <v>2021</v>
      </c>
      <c r="D8799" s="351" t="s">
        <v>23</v>
      </c>
      <c r="E8799" s="49" t="s">
        <v>5893</v>
      </c>
      <c r="F8799" s="7" t="s">
        <v>53</v>
      </c>
      <c r="G8799" s="33" t="s">
        <v>11877</v>
      </c>
      <c r="H8799" s="311" t="s">
        <v>11878</v>
      </c>
      <c r="I8799" s="157">
        <v>1</v>
      </c>
      <c r="J8799" s="142">
        <v>1427</v>
      </c>
      <c r="K8799" s="142">
        <v>331</v>
      </c>
      <c r="L8799" s="142">
        <v>1</v>
      </c>
      <c r="M8799" s="142">
        <v>1</v>
      </c>
      <c r="N8799" s="142">
        <v>15</v>
      </c>
      <c r="O8799" s="142">
        <v>0</v>
      </c>
      <c r="P8799" s="306">
        <v>2.5097508425000004</v>
      </c>
      <c r="Q8799" s="50" t="s">
        <v>9523</v>
      </c>
      <c r="R8799" s="303"/>
    </row>
    <row r="8800" spans="1:18" s="162" customFormat="1" ht="180" x14ac:dyDescent="0.25">
      <c r="A8800" s="184">
        <v>44382</v>
      </c>
      <c r="B8800" s="184">
        <v>44382</v>
      </c>
      <c r="C8800" s="138">
        <v>2021</v>
      </c>
      <c r="D8800" s="35" t="s">
        <v>17</v>
      </c>
      <c r="E8800" s="6" t="s">
        <v>328</v>
      </c>
      <c r="F8800" s="7" t="s">
        <v>36</v>
      </c>
      <c r="G8800" s="33" t="s">
        <v>1220</v>
      </c>
      <c r="H8800" s="311" t="s">
        <v>11879</v>
      </c>
      <c r="I8800" s="157">
        <v>4</v>
      </c>
      <c r="J8800" s="142">
        <v>7</v>
      </c>
      <c r="K8800" s="142">
        <v>1</v>
      </c>
      <c r="L8800" s="142">
        <v>0</v>
      </c>
      <c r="M8800" s="142">
        <v>0</v>
      </c>
      <c r="N8800" s="142">
        <v>0</v>
      </c>
      <c r="O8800" s="142">
        <v>0</v>
      </c>
      <c r="P8800" s="306">
        <v>0.67782300300000009</v>
      </c>
      <c r="Q8800" s="50" t="s">
        <v>9523</v>
      </c>
      <c r="R8800" s="303"/>
    </row>
    <row r="8801" spans="1:18" s="162" customFormat="1" ht="108" x14ac:dyDescent="0.25">
      <c r="A8801" s="184">
        <v>44382</v>
      </c>
      <c r="B8801" s="184">
        <v>44382</v>
      </c>
      <c r="C8801" s="138">
        <v>2021</v>
      </c>
      <c r="D8801" s="35" t="s">
        <v>17</v>
      </c>
      <c r="E8801" s="49" t="s">
        <v>11880</v>
      </c>
      <c r="F8801" s="7" t="s">
        <v>72</v>
      </c>
      <c r="G8801" s="33" t="s">
        <v>202</v>
      </c>
      <c r="H8801" s="311" t="s">
        <v>11881</v>
      </c>
      <c r="I8801" s="157">
        <v>2</v>
      </c>
      <c r="J8801" s="142">
        <v>8</v>
      </c>
      <c r="K8801" s="142">
        <v>0</v>
      </c>
      <c r="L8801" s="142">
        <v>0</v>
      </c>
      <c r="M8801" s="142">
        <v>0</v>
      </c>
      <c r="N8801" s="142">
        <v>0</v>
      </c>
      <c r="O8801" s="142">
        <v>0</v>
      </c>
      <c r="P8801" s="306">
        <v>2.3958000000000004E-3</v>
      </c>
      <c r="Q8801" s="50" t="s">
        <v>9523</v>
      </c>
      <c r="R8801" s="303"/>
    </row>
    <row r="8802" spans="1:18" s="162" customFormat="1" ht="108" x14ac:dyDescent="0.25">
      <c r="A8802" s="184">
        <v>44383</v>
      </c>
      <c r="B8802" s="184">
        <v>44383</v>
      </c>
      <c r="C8802" s="138">
        <v>2021</v>
      </c>
      <c r="D8802" s="35" t="s">
        <v>28</v>
      </c>
      <c r="E8802" s="6" t="s">
        <v>149</v>
      </c>
      <c r="F8802" s="7" t="s">
        <v>77</v>
      </c>
      <c r="G8802" s="33" t="s">
        <v>2537</v>
      </c>
      <c r="H8802" s="311" t="s">
        <v>11882</v>
      </c>
      <c r="I8802" s="157">
        <v>0</v>
      </c>
      <c r="J8802" s="142">
        <v>33</v>
      </c>
      <c r="K8802" s="142">
        <v>0</v>
      </c>
      <c r="L8802" s="142">
        <v>0</v>
      </c>
      <c r="M8802" s="142">
        <v>0</v>
      </c>
      <c r="N8802" s="142">
        <v>1</v>
      </c>
      <c r="O8802" s="142">
        <v>0</v>
      </c>
      <c r="P8802" s="306">
        <v>0</v>
      </c>
      <c r="Q8802" s="50" t="s">
        <v>9523</v>
      </c>
      <c r="R8802" s="303"/>
    </row>
    <row r="8803" spans="1:18" s="162" customFormat="1" ht="72" x14ac:dyDescent="0.25">
      <c r="A8803" s="184">
        <v>44383</v>
      </c>
      <c r="B8803" s="184">
        <v>44383</v>
      </c>
      <c r="C8803" s="138">
        <v>2021</v>
      </c>
      <c r="D8803" s="24" t="s">
        <v>141</v>
      </c>
      <c r="E8803" s="30" t="s">
        <v>142</v>
      </c>
      <c r="F8803" s="7" t="s">
        <v>53</v>
      </c>
      <c r="G8803" s="33" t="s">
        <v>6092</v>
      </c>
      <c r="H8803" s="311" t="s">
        <v>11883</v>
      </c>
      <c r="I8803" s="157">
        <v>0</v>
      </c>
      <c r="J8803" s="142">
        <v>43</v>
      </c>
      <c r="K8803" s="142">
        <v>0</v>
      </c>
      <c r="L8803" s="142">
        <v>0</v>
      </c>
      <c r="M8803" s="142">
        <v>0</v>
      </c>
      <c r="N8803" s="142">
        <v>0</v>
      </c>
      <c r="O8803" s="142">
        <v>0</v>
      </c>
      <c r="P8803" s="306">
        <v>0.86408520000000011</v>
      </c>
      <c r="Q8803" s="50" t="s">
        <v>9523</v>
      </c>
      <c r="R8803" s="303"/>
    </row>
    <row r="8804" spans="1:18" s="162" customFormat="1" ht="84" x14ac:dyDescent="0.25">
      <c r="A8804" s="184">
        <v>44383</v>
      </c>
      <c r="B8804" s="184">
        <v>44383</v>
      </c>
      <c r="C8804" s="138">
        <v>2021</v>
      </c>
      <c r="D8804" s="24" t="s">
        <v>141</v>
      </c>
      <c r="E8804" s="30" t="s">
        <v>142</v>
      </c>
      <c r="F8804" s="7" t="s">
        <v>60</v>
      </c>
      <c r="G8804" s="33" t="s">
        <v>11884</v>
      </c>
      <c r="H8804" s="311" t="s">
        <v>11885</v>
      </c>
      <c r="I8804" s="157">
        <v>0</v>
      </c>
      <c r="J8804" s="142">
        <v>5</v>
      </c>
      <c r="K8804" s="142">
        <v>0</v>
      </c>
      <c r="L8804" s="142">
        <v>0</v>
      </c>
      <c r="M8804" s="142">
        <v>0</v>
      </c>
      <c r="N8804" s="142">
        <v>0</v>
      </c>
      <c r="O8804" s="142">
        <v>0</v>
      </c>
      <c r="P8804" s="306">
        <v>0.86408520000000011</v>
      </c>
      <c r="Q8804" s="50" t="s">
        <v>9523</v>
      </c>
      <c r="R8804" s="303"/>
    </row>
    <row r="8805" spans="1:18" s="162" customFormat="1" ht="84" x14ac:dyDescent="0.25">
      <c r="A8805" s="184">
        <v>44383</v>
      </c>
      <c r="B8805" s="184">
        <v>44383</v>
      </c>
      <c r="C8805" s="138">
        <v>2021</v>
      </c>
      <c r="D8805" s="35" t="s">
        <v>28</v>
      </c>
      <c r="E8805" s="6" t="s">
        <v>149</v>
      </c>
      <c r="F8805" s="7" t="s">
        <v>45</v>
      </c>
      <c r="G8805" s="33" t="s">
        <v>259</v>
      </c>
      <c r="H8805" s="311" t="s">
        <v>11886</v>
      </c>
      <c r="I8805" s="157">
        <v>0</v>
      </c>
      <c r="J8805" s="142">
        <v>0</v>
      </c>
      <c r="K8805" s="142">
        <v>0</v>
      </c>
      <c r="L8805" s="142">
        <v>0</v>
      </c>
      <c r="M8805" s="142">
        <v>0</v>
      </c>
      <c r="N8805" s="142">
        <v>0</v>
      </c>
      <c r="O8805" s="142">
        <v>0</v>
      </c>
      <c r="P8805" s="306">
        <v>6.02</v>
      </c>
      <c r="Q8805" s="50" t="s">
        <v>9523</v>
      </c>
      <c r="R8805" s="303"/>
    </row>
    <row r="8806" spans="1:18" s="162" customFormat="1" ht="144" x14ac:dyDescent="0.25">
      <c r="A8806" s="184">
        <v>44384</v>
      </c>
      <c r="B8806" s="184">
        <v>44384</v>
      </c>
      <c r="C8806" s="138">
        <v>2021</v>
      </c>
      <c r="D8806" s="24" t="s">
        <v>141</v>
      </c>
      <c r="E8806" s="30" t="s">
        <v>142</v>
      </c>
      <c r="F8806" s="7" t="s">
        <v>72</v>
      </c>
      <c r="G8806" s="33" t="s">
        <v>11887</v>
      </c>
      <c r="H8806" s="311" t="s">
        <v>11888</v>
      </c>
      <c r="I8806" s="157">
        <v>0</v>
      </c>
      <c r="J8806" s="142">
        <v>11</v>
      </c>
      <c r="K8806" s="142">
        <v>0</v>
      </c>
      <c r="L8806" s="142">
        <v>0</v>
      </c>
      <c r="M8806" s="142">
        <v>0</v>
      </c>
      <c r="N8806" s="142">
        <v>0</v>
      </c>
      <c r="O8806" s="142">
        <v>0</v>
      </c>
      <c r="P8806" s="306">
        <v>0.44957961400000013</v>
      </c>
      <c r="Q8806" s="50" t="s">
        <v>9523</v>
      </c>
      <c r="R8806" s="303"/>
    </row>
    <row r="8807" spans="1:18" s="162" customFormat="1" ht="156" x14ac:dyDescent="0.25">
      <c r="A8807" s="184">
        <v>44384</v>
      </c>
      <c r="B8807" s="184">
        <v>44384</v>
      </c>
      <c r="C8807" s="138">
        <v>2021</v>
      </c>
      <c r="D8807" s="35" t="s">
        <v>28</v>
      </c>
      <c r="E8807" s="6" t="s">
        <v>149</v>
      </c>
      <c r="F8807" s="28" t="s">
        <v>157</v>
      </c>
      <c r="G8807" s="33" t="s">
        <v>1089</v>
      </c>
      <c r="H8807" s="311" t="s">
        <v>11889</v>
      </c>
      <c r="I8807" s="157">
        <v>0</v>
      </c>
      <c r="J8807" s="142">
        <v>258</v>
      </c>
      <c r="K8807" s="142">
        <v>0</v>
      </c>
      <c r="L8807" s="142">
        <v>0</v>
      </c>
      <c r="M8807" s="142">
        <v>0</v>
      </c>
      <c r="N8807" s="142">
        <v>1</v>
      </c>
      <c r="O8807" s="142">
        <v>0</v>
      </c>
      <c r="P8807" s="306">
        <v>0</v>
      </c>
      <c r="Q8807" s="50" t="s">
        <v>9523</v>
      </c>
      <c r="R8807" s="303"/>
    </row>
    <row r="8808" spans="1:18" s="162" customFormat="1" ht="324" x14ac:dyDescent="0.25">
      <c r="A8808" s="184">
        <v>44384</v>
      </c>
      <c r="B8808" s="184">
        <v>44384</v>
      </c>
      <c r="C8808" s="138">
        <v>2021</v>
      </c>
      <c r="D8808" s="351" t="s">
        <v>23</v>
      </c>
      <c r="E8808" s="22" t="s">
        <v>86</v>
      </c>
      <c r="F8808" s="7" t="s">
        <v>53</v>
      </c>
      <c r="G8808" s="33" t="s">
        <v>11890</v>
      </c>
      <c r="H8808" s="311" t="s">
        <v>11891</v>
      </c>
      <c r="I8808" s="157">
        <v>0</v>
      </c>
      <c r="J8808" s="142">
        <v>102</v>
      </c>
      <c r="K8808" s="142">
        <v>25</v>
      </c>
      <c r="L8808" s="142">
        <v>0</v>
      </c>
      <c r="M8808" s="142">
        <v>0</v>
      </c>
      <c r="N8808" s="142">
        <v>0</v>
      </c>
      <c r="O8808" s="142">
        <v>0</v>
      </c>
      <c r="P8808" s="306">
        <v>0.13983062499999999</v>
      </c>
      <c r="Q8808" s="50" t="s">
        <v>9523</v>
      </c>
      <c r="R8808" s="303"/>
    </row>
    <row r="8809" spans="1:18" s="162" customFormat="1" ht="192" x14ac:dyDescent="0.25">
      <c r="A8809" s="184">
        <v>44384</v>
      </c>
      <c r="B8809" s="184">
        <v>44384</v>
      </c>
      <c r="C8809" s="138">
        <v>2021</v>
      </c>
      <c r="D8809" s="351" t="s">
        <v>23</v>
      </c>
      <c r="E8809" s="22" t="s">
        <v>86</v>
      </c>
      <c r="F8809" s="28" t="s">
        <v>210</v>
      </c>
      <c r="G8809" s="33" t="s">
        <v>11892</v>
      </c>
      <c r="H8809" s="311" t="s">
        <v>11893</v>
      </c>
      <c r="I8809" s="157">
        <v>0</v>
      </c>
      <c r="J8809" s="142">
        <v>44</v>
      </c>
      <c r="K8809" s="142">
        <v>11</v>
      </c>
      <c r="L8809" s="142">
        <v>0</v>
      </c>
      <c r="M8809" s="142">
        <v>0</v>
      </c>
      <c r="N8809" s="142">
        <v>0</v>
      </c>
      <c r="O8809" s="142">
        <v>0</v>
      </c>
      <c r="P8809" s="306">
        <v>0.12115427500000002</v>
      </c>
      <c r="Q8809" s="50" t="s">
        <v>9523</v>
      </c>
      <c r="R8809" s="303"/>
    </row>
    <row r="8810" spans="1:18" s="162" customFormat="1" ht="108" x14ac:dyDescent="0.25">
      <c r="A8810" s="184">
        <v>44384</v>
      </c>
      <c r="B8810" s="184">
        <v>44385</v>
      </c>
      <c r="C8810" s="138">
        <v>2021</v>
      </c>
      <c r="D8810" s="24" t="s">
        <v>141</v>
      </c>
      <c r="E8810" s="30" t="s">
        <v>142</v>
      </c>
      <c r="F8810" s="7" t="s">
        <v>53</v>
      </c>
      <c r="G8810" s="33" t="s">
        <v>9630</v>
      </c>
      <c r="H8810" s="311" t="s">
        <v>11894</v>
      </c>
      <c r="I8810" s="157">
        <v>0</v>
      </c>
      <c r="J8810" s="142">
        <v>18</v>
      </c>
      <c r="K8810" s="142">
        <v>0</v>
      </c>
      <c r="L8810" s="142">
        <v>0</v>
      </c>
      <c r="M8810" s="142">
        <v>0</v>
      </c>
      <c r="N8810" s="142">
        <v>0</v>
      </c>
      <c r="O8810" s="142">
        <v>0</v>
      </c>
      <c r="P8810" s="306">
        <v>0.30591220000000002</v>
      </c>
      <c r="Q8810" s="50" t="s">
        <v>9523</v>
      </c>
      <c r="R8810" s="303"/>
    </row>
    <row r="8811" spans="1:18" s="162" customFormat="1" ht="120" x14ac:dyDescent="0.25">
      <c r="A8811" s="184">
        <v>44384</v>
      </c>
      <c r="B8811" s="184">
        <v>44384</v>
      </c>
      <c r="C8811" s="138">
        <v>2021</v>
      </c>
      <c r="D8811" s="351" t="s">
        <v>23</v>
      </c>
      <c r="E8811" s="22" t="s">
        <v>86</v>
      </c>
      <c r="F8811" s="28" t="s">
        <v>160</v>
      </c>
      <c r="G8811" s="33" t="s">
        <v>897</v>
      </c>
      <c r="H8811" s="311" t="s">
        <v>11895</v>
      </c>
      <c r="I8811" s="157">
        <v>0</v>
      </c>
      <c r="J8811" s="142">
        <v>16</v>
      </c>
      <c r="K8811" s="142">
        <v>8</v>
      </c>
      <c r="L8811" s="142">
        <v>0</v>
      </c>
      <c r="M8811" s="142">
        <v>0</v>
      </c>
      <c r="N8811" s="142">
        <v>0</v>
      </c>
      <c r="O8811" s="142">
        <v>0</v>
      </c>
      <c r="P8811" s="306">
        <v>1.0672200000000001E-2</v>
      </c>
      <c r="Q8811" s="50" t="s">
        <v>9523</v>
      </c>
      <c r="R8811" s="303"/>
    </row>
    <row r="8812" spans="1:18" s="162" customFormat="1" ht="408" x14ac:dyDescent="0.25">
      <c r="A8812" s="184">
        <v>44385</v>
      </c>
      <c r="B8812" s="184">
        <v>44385</v>
      </c>
      <c r="C8812" s="138">
        <v>2021</v>
      </c>
      <c r="D8812" s="351" t="s">
        <v>23</v>
      </c>
      <c r="E8812" s="22" t="s">
        <v>86</v>
      </c>
      <c r="F8812" s="7" t="s">
        <v>65</v>
      </c>
      <c r="G8812" s="33" t="s">
        <v>11896</v>
      </c>
      <c r="H8812" s="311" t="s">
        <v>11897</v>
      </c>
      <c r="I8812" s="157">
        <v>0</v>
      </c>
      <c r="J8812" s="142">
        <v>285</v>
      </c>
      <c r="K8812" s="142">
        <v>69</v>
      </c>
      <c r="L8812" s="142">
        <v>0</v>
      </c>
      <c r="M8812" s="142">
        <v>0</v>
      </c>
      <c r="N8812" s="142">
        <v>0</v>
      </c>
      <c r="O8812" s="142">
        <v>0</v>
      </c>
      <c r="P8812" s="306">
        <v>0.40974260250000005</v>
      </c>
      <c r="Q8812" s="50" t="s">
        <v>9523</v>
      </c>
      <c r="R8812" s="303"/>
    </row>
    <row r="8813" spans="1:18" s="162" customFormat="1" ht="192" x14ac:dyDescent="0.25">
      <c r="A8813" s="184">
        <v>44385</v>
      </c>
      <c r="B8813" s="184">
        <v>44385</v>
      </c>
      <c r="C8813" s="138">
        <v>2021</v>
      </c>
      <c r="D8813" s="351" t="s">
        <v>23</v>
      </c>
      <c r="E8813" s="22" t="s">
        <v>86</v>
      </c>
      <c r="F8813" s="7" t="s">
        <v>60</v>
      </c>
      <c r="G8813" s="33" t="s">
        <v>11898</v>
      </c>
      <c r="H8813" s="311" t="s">
        <v>11899</v>
      </c>
      <c r="I8813" s="157">
        <v>0</v>
      </c>
      <c r="J8813" s="142">
        <v>460</v>
      </c>
      <c r="K8813" s="142">
        <v>115</v>
      </c>
      <c r="L8813" s="142">
        <v>0</v>
      </c>
      <c r="M8813" s="142">
        <v>0</v>
      </c>
      <c r="N8813" s="142">
        <v>0</v>
      </c>
      <c r="O8813" s="142">
        <v>0</v>
      </c>
      <c r="P8813" s="306">
        <v>1.4311728750000001</v>
      </c>
      <c r="Q8813" s="50" t="s">
        <v>9523</v>
      </c>
      <c r="R8813" s="303"/>
    </row>
    <row r="8814" spans="1:18" s="162" customFormat="1" ht="84" x14ac:dyDescent="0.25">
      <c r="A8814" s="184">
        <v>44385</v>
      </c>
      <c r="B8814" s="184">
        <v>44385</v>
      </c>
      <c r="C8814" s="138">
        <v>2021</v>
      </c>
      <c r="D8814" s="24" t="s">
        <v>141</v>
      </c>
      <c r="E8814" s="30" t="s">
        <v>142</v>
      </c>
      <c r="F8814" s="7" t="s">
        <v>45</v>
      </c>
      <c r="G8814" s="33" t="s">
        <v>259</v>
      </c>
      <c r="H8814" s="311" t="s">
        <v>11900</v>
      </c>
      <c r="I8814" s="157">
        <v>0</v>
      </c>
      <c r="J8814" s="142">
        <v>41</v>
      </c>
      <c r="K8814" s="142">
        <v>0</v>
      </c>
      <c r="L8814" s="142">
        <v>0</v>
      </c>
      <c r="M8814" s="142">
        <v>0</v>
      </c>
      <c r="N8814" s="142">
        <v>0</v>
      </c>
      <c r="O8814" s="142">
        <v>0</v>
      </c>
      <c r="P8814" s="306">
        <v>0.87846000000000013</v>
      </c>
      <c r="Q8814" s="50" t="s">
        <v>9523</v>
      </c>
      <c r="R8814" s="303"/>
    </row>
    <row r="8815" spans="1:18" s="162" customFormat="1" ht="120" x14ac:dyDescent="0.25">
      <c r="A8815" s="184">
        <v>44386</v>
      </c>
      <c r="B8815" s="184">
        <v>44386</v>
      </c>
      <c r="C8815" s="138">
        <v>2021</v>
      </c>
      <c r="D8815" s="351" t="s">
        <v>23</v>
      </c>
      <c r="E8815" s="22" t="s">
        <v>86</v>
      </c>
      <c r="F8815" s="7" t="s">
        <v>91</v>
      </c>
      <c r="G8815" s="33" t="s">
        <v>1874</v>
      </c>
      <c r="H8815" s="311" t="s">
        <v>11901</v>
      </c>
      <c r="I8815" s="157">
        <v>0</v>
      </c>
      <c r="J8815" s="142">
        <v>907</v>
      </c>
      <c r="K8815" s="142">
        <v>21</v>
      </c>
      <c r="L8815" s="142">
        <v>0</v>
      </c>
      <c r="M8815" s="142">
        <v>0</v>
      </c>
      <c r="N8815" s="142">
        <v>0</v>
      </c>
      <c r="O8815" s="142">
        <v>0</v>
      </c>
      <c r="P8815" s="306">
        <v>162.21520200000001</v>
      </c>
      <c r="Q8815" s="50" t="s">
        <v>11902</v>
      </c>
      <c r="R8815" s="303"/>
    </row>
    <row r="8816" spans="1:18" s="162" customFormat="1" ht="180" x14ac:dyDescent="0.25">
      <c r="A8816" s="184">
        <v>44386</v>
      </c>
      <c r="B8816" s="184">
        <v>44386</v>
      </c>
      <c r="C8816" s="138">
        <v>2021</v>
      </c>
      <c r="D8816" s="351" t="s">
        <v>23</v>
      </c>
      <c r="E8816" s="22" t="s">
        <v>86</v>
      </c>
      <c r="F8816" s="7" t="s">
        <v>58</v>
      </c>
      <c r="G8816" s="33" t="s">
        <v>8132</v>
      </c>
      <c r="H8816" s="311" t="s">
        <v>11903</v>
      </c>
      <c r="I8816" s="157">
        <v>0</v>
      </c>
      <c r="J8816" s="142">
        <v>19</v>
      </c>
      <c r="K8816" s="142">
        <v>4</v>
      </c>
      <c r="L8816" s="142">
        <v>0</v>
      </c>
      <c r="M8816" s="142">
        <v>0</v>
      </c>
      <c r="N8816" s="142">
        <v>0</v>
      </c>
      <c r="O8816" s="142">
        <v>0</v>
      </c>
      <c r="P8816" s="306">
        <v>2.13081E-2</v>
      </c>
      <c r="Q8816" s="50" t="s">
        <v>9523</v>
      </c>
      <c r="R8816" s="303"/>
    </row>
    <row r="8817" spans="1:18" s="162" customFormat="1" ht="120" x14ac:dyDescent="0.25">
      <c r="A8817" s="184">
        <v>44386</v>
      </c>
      <c r="B8817" s="184">
        <v>44387</v>
      </c>
      <c r="C8817" s="138">
        <v>2021</v>
      </c>
      <c r="D8817" s="24" t="s">
        <v>141</v>
      </c>
      <c r="E8817" s="30" t="s">
        <v>142</v>
      </c>
      <c r="F8817" s="28" t="s">
        <v>160</v>
      </c>
      <c r="G8817" s="33" t="s">
        <v>9239</v>
      </c>
      <c r="H8817" s="311" t="s">
        <v>11904</v>
      </c>
      <c r="I8817" s="157">
        <v>1</v>
      </c>
      <c r="J8817" s="142">
        <v>27</v>
      </c>
      <c r="K8817" s="142">
        <v>0</v>
      </c>
      <c r="L8817" s="142">
        <v>0</v>
      </c>
      <c r="M8817" s="142">
        <v>0</v>
      </c>
      <c r="N8817" s="142">
        <v>0</v>
      </c>
      <c r="O8817" s="142">
        <v>0</v>
      </c>
      <c r="P8817" s="306">
        <v>1.0303976894302327</v>
      </c>
      <c r="Q8817" s="50" t="s">
        <v>9523</v>
      </c>
      <c r="R8817" s="303"/>
    </row>
    <row r="8818" spans="1:18" s="162" customFormat="1" ht="84" x14ac:dyDescent="0.25">
      <c r="A8818" s="184">
        <v>44386</v>
      </c>
      <c r="B8818" s="184">
        <v>44387</v>
      </c>
      <c r="C8818" s="138">
        <v>2021</v>
      </c>
      <c r="D8818" s="351" t="s">
        <v>23</v>
      </c>
      <c r="E8818" s="22" t="s">
        <v>86</v>
      </c>
      <c r="F8818" s="7" t="s">
        <v>45</v>
      </c>
      <c r="G8818" s="33" t="s">
        <v>2799</v>
      </c>
      <c r="H8818" s="311" t="s">
        <v>11905</v>
      </c>
      <c r="I8818" s="157">
        <v>0</v>
      </c>
      <c r="J8818" s="142">
        <v>96</v>
      </c>
      <c r="K8818" s="142">
        <v>24</v>
      </c>
      <c r="L8818" s="142">
        <v>0</v>
      </c>
      <c r="M8818" s="142">
        <v>0</v>
      </c>
      <c r="N8818" s="142">
        <v>0</v>
      </c>
      <c r="O8818" s="142">
        <v>0</v>
      </c>
      <c r="P8818" s="306">
        <v>3.2016599999999999E-2</v>
      </c>
      <c r="Q8818" s="50" t="s">
        <v>9523</v>
      </c>
      <c r="R8818" s="303"/>
    </row>
    <row r="8819" spans="1:18" s="162" customFormat="1" ht="84" x14ac:dyDescent="0.25">
      <c r="A8819" s="184">
        <v>44386</v>
      </c>
      <c r="B8819" s="184">
        <v>44386</v>
      </c>
      <c r="C8819" s="138">
        <v>2021</v>
      </c>
      <c r="D8819" s="35" t="s">
        <v>28</v>
      </c>
      <c r="E8819" s="6" t="s">
        <v>369</v>
      </c>
      <c r="F8819" s="7" t="s">
        <v>87</v>
      </c>
      <c r="G8819" s="33" t="s">
        <v>2259</v>
      </c>
      <c r="H8819" s="311" t="s">
        <v>11906</v>
      </c>
      <c r="I8819" s="157">
        <v>0</v>
      </c>
      <c r="J8819" s="142">
        <v>2</v>
      </c>
      <c r="K8819" s="142">
        <v>0</v>
      </c>
      <c r="L8819" s="142">
        <v>0</v>
      </c>
      <c r="M8819" s="142">
        <v>0</v>
      </c>
      <c r="N8819" s="142">
        <v>0</v>
      </c>
      <c r="O8819" s="142">
        <v>0</v>
      </c>
      <c r="P8819" s="306">
        <v>2.3958000000000004E-3</v>
      </c>
      <c r="Q8819" s="50" t="s">
        <v>9523</v>
      </c>
      <c r="R8819" s="303"/>
    </row>
    <row r="8820" spans="1:18" s="162" customFormat="1" ht="204" x14ac:dyDescent="0.25">
      <c r="A8820" s="184">
        <v>44387</v>
      </c>
      <c r="B8820" s="184">
        <v>44388</v>
      </c>
      <c r="C8820" s="138">
        <v>2021</v>
      </c>
      <c r="D8820" s="351" t="s">
        <v>23</v>
      </c>
      <c r="E8820" s="22" t="s">
        <v>86</v>
      </c>
      <c r="F8820" s="7" t="s">
        <v>82</v>
      </c>
      <c r="G8820" s="33" t="s">
        <v>82</v>
      </c>
      <c r="H8820" s="311" t="s">
        <v>11907</v>
      </c>
      <c r="I8820" s="157">
        <v>0</v>
      </c>
      <c r="J8820" s="142">
        <v>2</v>
      </c>
      <c r="K8820" s="142">
        <v>0</v>
      </c>
      <c r="L8820" s="142">
        <v>0</v>
      </c>
      <c r="M8820" s="142">
        <v>0</v>
      </c>
      <c r="N8820" s="142">
        <v>0</v>
      </c>
      <c r="O8820" s="142">
        <v>0</v>
      </c>
      <c r="P8820" s="306">
        <v>0.63787570000000005</v>
      </c>
      <c r="Q8820" s="50" t="s">
        <v>9523</v>
      </c>
      <c r="R8820" s="303"/>
    </row>
    <row r="8821" spans="1:18" s="162" customFormat="1" ht="156" x14ac:dyDescent="0.25">
      <c r="A8821" s="184">
        <v>44387</v>
      </c>
      <c r="B8821" s="184">
        <v>44389</v>
      </c>
      <c r="C8821" s="138">
        <v>2021</v>
      </c>
      <c r="D8821" s="351" t="s">
        <v>23</v>
      </c>
      <c r="E8821" s="22" t="s">
        <v>86</v>
      </c>
      <c r="F8821" s="7" t="s">
        <v>62</v>
      </c>
      <c r="G8821" s="33" t="s">
        <v>6016</v>
      </c>
      <c r="H8821" s="311" t="s">
        <v>11908</v>
      </c>
      <c r="I8821" s="157">
        <v>0</v>
      </c>
      <c r="J8821" s="142">
        <v>34</v>
      </c>
      <c r="K8821" s="142">
        <v>6</v>
      </c>
      <c r="L8821" s="142">
        <v>0</v>
      </c>
      <c r="M8821" s="142">
        <v>0</v>
      </c>
      <c r="N8821" s="142">
        <v>0</v>
      </c>
      <c r="O8821" s="142">
        <v>0</v>
      </c>
      <c r="P8821" s="306">
        <v>8.0041499999999998E-3</v>
      </c>
      <c r="Q8821" s="50" t="s">
        <v>9523</v>
      </c>
      <c r="R8821" s="303"/>
    </row>
    <row r="8822" spans="1:18" s="162" customFormat="1" ht="84" x14ac:dyDescent="0.25">
      <c r="A8822" s="184">
        <v>44388</v>
      </c>
      <c r="B8822" s="184">
        <v>44389</v>
      </c>
      <c r="C8822" s="138">
        <v>2021</v>
      </c>
      <c r="D8822" s="24" t="s">
        <v>141</v>
      </c>
      <c r="E8822" s="30" t="s">
        <v>142</v>
      </c>
      <c r="F8822" s="7" t="s">
        <v>60</v>
      </c>
      <c r="G8822" s="33" t="s">
        <v>425</v>
      </c>
      <c r="H8822" s="311" t="s">
        <v>11909</v>
      </c>
      <c r="I8822" s="157">
        <v>6</v>
      </c>
      <c r="J8822" s="142">
        <v>41</v>
      </c>
      <c r="K8822" s="142">
        <v>0</v>
      </c>
      <c r="L8822" s="142">
        <v>0</v>
      </c>
      <c r="M8822" s="142">
        <v>0</v>
      </c>
      <c r="N8822" s="142">
        <v>0</v>
      </c>
      <c r="O8822" s="142">
        <v>0</v>
      </c>
      <c r="P8822" s="306">
        <v>1.0112312894302327</v>
      </c>
      <c r="Q8822" s="50" t="s">
        <v>9523</v>
      </c>
      <c r="R8822" s="303"/>
    </row>
    <row r="8823" spans="1:18" s="162" customFormat="1" ht="300" x14ac:dyDescent="0.25">
      <c r="A8823" s="184">
        <v>44388</v>
      </c>
      <c r="B8823" s="184">
        <v>44389</v>
      </c>
      <c r="C8823" s="138">
        <v>2021</v>
      </c>
      <c r="D8823" s="351" t="s">
        <v>23</v>
      </c>
      <c r="E8823" s="22" t="s">
        <v>86</v>
      </c>
      <c r="F8823" s="7" t="s">
        <v>60</v>
      </c>
      <c r="G8823" s="33" t="s">
        <v>11910</v>
      </c>
      <c r="H8823" s="311" t="s">
        <v>11911</v>
      </c>
      <c r="I8823" s="157">
        <v>0</v>
      </c>
      <c r="J8823" s="142">
        <v>200</v>
      </c>
      <c r="K8823" s="142">
        <v>50</v>
      </c>
      <c r="L8823" s="142">
        <v>0</v>
      </c>
      <c r="M8823" s="142">
        <v>0</v>
      </c>
      <c r="N8823" s="142">
        <v>0</v>
      </c>
      <c r="O8823" s="142">
        <v>0</v>
      </c>
      <c r="P8823" s="306">
        <v>0.56575062500000006</v>
      </c>
      <c r="Q8823" s="50" t="s">
        <v>9523</v>
      </c>
      <c r="R8823" s="303"/>
    </row>
    <row r="8824" spans="1:18" s="162" customFormat="1" ht="264" x14ac:dyDescent="0.25">
      <c r="A8824" s="184">
        <v>44390</v>
      </c>
      <c r="B8824" s="184">
        <v>44390</v>
      </c>
      <c r="C8824" s="138">
        <v>2021</v>
      </c>
      <c r="D8824" s="351" t="s">
        <v>23</v>
      </c>
      <c r="E8824" s="22" t="s">
        <v>86</v>
      </c>
      <c r="F8824" s="7" t="s">
        <v>60</v>
      </c>
      <c r="G8824" s="33" t="s">
        <v>11912</v>
      </c>
      <c r="H8824" s="311" t="s">
        <v>11913</v>
      </c>
      <c r="I8824" s="157">
        <v>0</v>
      </c>
      <c r="J8824" s="142">
        <v>860</v>
      </c>
      <c r="K8824" s="142">
        <v>215</v>
      </c>
      <c r="L8824" s="142">
        <v>0</v>
      </c>
      <c r="M8824" s="142">
        <v>0</v>
      </c>
      <c r="N8824" s="142">
        <v>0</v>
      </c>
      <c r="O8824" s="142">
        <v>0</v>
      </c>
      <c r="P8824" s="306">
        <v>0.28681537499999998</v>
      </c>
      <c r="Q8824" s="50" t="s">
        <v>9523</v>
      </c>
      <c r="R8824" s="303"/>
    </row>
    <row r="8825" spans="1:18" s="162" customFormat="1" ht="84" x14ac:dyDescent="0.25">
      <c r="A8825" s="184">
        <v>44390</v>
      </c>
      <c r="B8825" s="184">
        <v>44391</v>
      </c>
      <c r="C8825" s="138">
        <v>2021</v>
      </c>
      <c r="D8825" s="24" t="s">
        <v>141</v>
      </c>
      <c r="E8825" s="30" t="s">
        <v>142</v>
      </c>
      <c r="F8825" s="7" t="s">
        <v>80</v>
      </c>
      <c r="G8825" s="33" t="s">
        <v>9851</v>
      </c>
      <c r="H8825" s="311" t="s">
        <v>11914</v>
      </c>
      <c r="I8825" s="157">
        <v>3</v>
      </c>
      <c r="J8825" s="142">
        <v>15</v>
      </c>
      <c r="K8825" s="142">
        <v>0</v>
      </c>
      <c r="L8825" s="142">
        <v>0</v>
      </c>
      <c r="M8825" s="142">
        <v>0</v>
      </c>
      <c r="N8825" s="142">
        <v>0</v>
      </c>
      <c r="O8825" s="142">
        <v>0</v>
      </c>
      <c r="P8825" s="306">
        <v>0</v>
      </c>
      <c r="Q8825" s="50" t="s">
        <v>9523</v>
      </c>
      <c r="R8825" s="303"/>
    </row>
    <row r="8826" spans="1:18" s="162" customFormat="1" ht="96" x14ac:dyDescent="0.25">
      <c r="A8826" s="184">
        <v>44391</v>
      </c>
      <c r="B8826" s="184">
        <v>44391</v>
      </c>
      <c r="C8826" s="138">
        <v>2021</v>
      </c>
      <c r="D8826" s="24" t="s">
        <v>141</v>
      </c>
      <c r="E8826" s="30" t="s">
        <v>142</v>
      </c>
      <c r="F8826" s="7" t="s">
        <v>87</v>
      </c>
      <c r="G8826" s="33" t="s">
        <v>2259</v>
      </c>
      <c r="H8826" s="311" t="s">
        <v>11915</v>
      </c>
      <c r="I8826" s="157">
        <v>0</v>
      </c>
      <c r="J8826" s="142">
        <v>1</v>
      </c>
      <c r="K8826" s="142">
        <v>0</v>
      </c>
      <c r="L8826" s="142">
        <v>0</v>
      </c>
      <c r="M8826" s="142">
        <v>0</v>
      </c>
      <c r="N8826" s="142">
        <v>0</v>
      </c>
      <c r="O8826" s="142">
        <v>0</v>
      </c>
      <c r="P8826" s="306">
        <v>6.2690284447058833E-2</v>
      </c>
      <c r="Q8826" s="50" t="s">
        <v>9523</v>
      </c>
      <c r="R8826" s="303"/>
    </row>
    <row r="8827" spans="1:18" s="162" customFormat="1" ht="72" x14ac:dyDescent="0.25">
      <c r="A8827" s="184">
        <v>44391</v>
      </c>
      <c r="B8827" s="184">
        <v>44391</v>
      </c>
      <c r="C8827" s="138">
        <v>2021</v>
      </c>
      <c r="D8827" s="351" t="s">
        <v>23</v>
      </c>
      <c r="E8827" s="22" t="s">
        <v>86</v>
      </c>
      <c r="F8827" s="7" t="s">
        <v>62</v>
      </c>
      <c r="G8827" s="33" t="s">
        <v>165</v>
      </c>
      <c r="H8827" s="311" t="s">
        <v>11916</v>
      </c>
      <c r="I8827" s="157">
        <v>0</v>
      </c>
      <c r="J8827" s="142">
        <v>40</v>
      </c>
      <c r="K8827" s="142">
        <v>10</v>
      </c>
      <c r="L8827" s="142">
        <v>0</v>
      </c>
      <c r="M8827" s="142">
        <v>0</v>
      </c>
      <c r="N8827" s="142">
        <v>0</v>
      </c>
      <c r="O8827" s="142">
        <v>0</v>
      </c>
      <c r="P8827" s="306">
        <v>1.334025E-2</v>
      </c>
      <c r="Q8827" s="50" t="s">
        <v>9523</v>
      </c>
      <c r="R8827" s="303"/>
    </row>
    <row r="8828" spans="1:18" s="162" customFormat="1" ht="84" x14ac:dyDescent="0.25">
      <c r="A8828" s="184">
        <v>44393</v>
      </c>
      <c r="B8828" s="184">
        <v>44393</v>
      </c>
      <c r="C8828" s="138">
        <v>2021</v>
      </c>
      <c r="D8828" s="24" t="s">
        <v>141</v>
      </c>
      <c r="E8828" s="30" t="s">
        <v>142</v>
      </c>
      <c r="F8828" s="7" t="s">
        <v>53</v>
      </c>
      <c r="G8828" s="33" t="s">
        <v>1826</v>
      </c>
      <c r="H8828" s="311" t="s">
        <v>11917</v>
      </c>
      <c r="I8828" s="157">
        <v>6</v>
      </c>
      <c r="J8828" s="142">
        <v>15</v>
      </c>
      <c r="K8828" s="142">
        <v>0</v>
      </c>
      <c r="L8828" s="142">
        <v>0</v>
      </c>
      <c r="M8828" s="142">
        <v>0</v>
      </c>
      <c r="N8828" s="142">
        <v>0</v>
      </c>
      <c r="O8828" s="142">
        <v>0</v>
      </c>
      <c r="P8828" s="306">
        <v>1.1452004788604653</v>
      </c>
      <c r="Q8828" s="50" t="s">
        <v>9523</v>
      </c>
      <c r="R8828" s="303"/>
    </row>
    <row r="8829" spans="1:18" s="162" customFormat="1" ht="108" x14ac:dyDescent="0.25">
      <c r="A8829" s="184">
        <v>44393</v>
      </c>
      <c r="B8829" s="184">
        <v>44393</v>
      </c>
      <c r="C8829" s="138">
        <v>2021</v>
      </c>
      <c r="D8829" s="351" t="s">
        <v>23</v>
      </c>
      <c r="E8829" s="22" t="s">
        <v>86</v>
      </c>
      <c r="F8829" s="7" t="s">
        <v>60</v>
      </c>
      <c r="G8829" s="33" t="s">
        <v>11918</v>
      </c>
      <c r="H8829" s="311" t="s">
        <v>11919</v>
      </c>
      <c r="I8829" s="157">
        <v>0</v>
      </c>
      <c r="J8829" s="142">
        <v>368</v>
      </c>
      <c r="K8829" s="142">
        <v>90</v>
      </c>
      <c r="L8829" s="142">
        <v>0</v>
      </c>
      <c r="M8829" s="142">
        <v>0</v>
      </c>
      <c r="N8829" s="142">
        <v>0</v>
      </c>
      <c r="O8829" s="142">
        <v>0</v>
      </c>
      <c r="P8829" s="306">
        <v>0.54004668749999996</v>
      </c>
      <c r="Q8829" s="50" t="s">
        <v>9523</v>
      </c>
      <c r="R8829" s="303"/>
    </row>
    <row r="8830" spans="1:18" s="162" customFormat="1" ht="288" x14ac:dyDescent="0.25">
      <c r="A8830" s="184">
        <v>44393</v>
      </c>
      <c r="B8830" s="184">
        <v>44393</v>
      </c>
      <c r="C8830" s="138">
        <v>2021</v>
      </c>
      <c r="D8830" s="351" t="s">
        <v>23</v>
      </c>
      <c r="E8830" s="22" t="s">
        <v>86</v>
      </c>
      <c r="F8830" s="7" t="s">
        <v>60</v>
      </c>
      <c r="G8830" s="33" t="s">
        <v>908</v>
      </c>
      <c r="H8830" s="311" t="s">
        <v>11920</v>
      </c>
      <c r="I8830" s="157">
        <v>0</v>
      </c>
      <c r="J8830" s="142">
        <v>3</v>
      </c>
      <c r="K8830" s="142">
        <v>0</v>
      </c>
      <c r="L8830" s="142">
        <v>0</v>
      </c>
      <c r="M8830" s="142">
        <v>0</v>
      </c>
      <c r="N8830" s="142">
        <v>2</v>
      </c>
      <c r="O8830" s="142">
        <v>0</v>
      </c>
      <c r="P8830" s="306">
        <v>1.3421032020000003</v>
      </c>
      <c r="Q8830" s="50" t="s">
        <v>9523</v>
      </c>
      <c r="R8830" s="303"/>
    </row>
    <row r="8831" spans="1:18" s="162" customFormat="1" ht="144" x14ac:dyDescent="0.25">
      <c r="A8831" s="184">
        <v>44393</v>
      </c>
      <c r="B8831" s="184">
        <v>44393</v>
      </c>
      <c r="C8831" s="138">
        <v>2021</v>
      </c>
      <c r="D8831" s="351" t="s">
        <v>23</v>
      </c>
      <c r="E8831" s="22" t="s">
        <v>86</v>
      </c>
      <c r="F8831" s="7" t="s">
        <v>87</v>
      </c>
      <c r="G8831" s="33" t="s">
        <v>2259</v>
      </c>
      <c r="H8831" s="311" t="s">
        <v>11921</v>
      </c>
      <c r="I8831" s="157">
        <v>0</v>
      </c>
      <c r="J8831" s="142">
        <v>205</v>
      </c>
      <c r="K8831" s="142">
        <v>48</v>
      </c>
      <c r="L8831" s="142">
        <v>0</v>
      </c>
      <c r="M8831" s="142">
        <v>0</v>
      </c>
      <c r="N8831" s="142">
        <v>0</v>
      </c>
      <c r="O8831" s="142">
        <v>0</v>
      </c>
      <c r="P8831" s="306">
        <v>1.4482732000000003</v>
      </c>
      <c r="Q8831" s="50" t="s">
        <v>9523</v>
      </c>
      <c r="R8831" s="303"/>
    </row>
    <row r="8832" spans="1:18" s="162" customFormat="1" ht="108" x14ac:dyDescent="0.25">
      <c r="A8832" s="184">
        <v>44393</v>
      </c>
      <c r="B8832" s="184">
        <v>44393</v>
      </c>
      <c r="C8832" s="138">
        <v>2021</v>
      </c>
      <c r="D8832" s="351" t="s">
        <v>23</v>
      </c>
      <c r="E8832" s="22" t="s">
        <v>86</v>
      </c>
      <c r="F8832" s="7" t="s">
        <v>25</v>
      </c>
      <c r="G8832" s="33" t="s">
        <v>11922</v>
      </c>
      <c r="H8832" s="311" t="s">
        <v>11923</v>
      </c>
      <c r="I8832" s="157">
        <v>0</v>
      </c>
      <c r="J8832" s="142">
        <v>35</v>
      </c>
      <c r="K8832" s="142">
        <v>5</v>
      </c>
      <c r="L8832" s="142">
        <v>0</v>
      </c>
      <c r="M8832" s="142">
        <v>0</v>
      </c>
      <c r="N8832" s="142">
        <v>0</v>
      </c>
      <c r="O8832" s="142">
        <v>0</v>
      </c>
      <c r="P8832" s="306">
        <v>1.6675312500000001E-2</v>
      </c>
      <c r="Q8832" s="50" t="s">
        <v>9523</v>
      </c>
      <c r="R8832" s="303"/>
    </row>
    <row r="8833" spans="1:18" s="162" customFormat="1" ht="84" x14ac:dyDescent="0.25">
      <c r="A8833" s="184">
        <v>44394</v>
      </c>
      <c r="B8833" s="184">
        <v>44394</v>
      </c>
      <c r="C8833" s="138">
        <v>2021</v>
      </c>
      <c r="D8833" s="24" t="s">
        <v>141</v>
      </c>
      <c r="E8833" s="30" t="s">
        <v>142</v>
      </c>
      <c r="F8833" s="7" t="s">
        <v>62</v>
      </c>
      <c r="G8833" s="33" t="s">
        <v>165</v>
      </c>
      <c r="H8833" s="311" t="s">
        <v>11924</v>
      </c>
      <c r="I8833" s="157">
        <v>0</v>
      </c>
      <c r="J8833" s="142">
        <v>5</v>
      </c>
      <c r="K8833" s="142">
        <v>0</v>
      </c>
      <c r="L8833" s="142">
        <v>0</v>
      </c>
      <c r="M8833" s="142">
        <v>0</v>
      </c>
      <c r="N8833" s="142">
        <v>0</v>
      </c>
      <c r="O8833" s="142">
        <v>0</v>
      </c>
      <c r="P8833" s="306">
        <v>0.11246950000000001</v>
      </c>
      <c r="Q8833" s="50" t="s">
        <v>9523</v>
      </c>
      <c r="R8833" s="303"/>
    </row>
    <row r="8834" spans="1:18" s="162" customFormat="1" ht="132" x14ac:dyDescent="0.25">
      <c r="A8834" s="184">
        <v>44396</v>
      </c>
      <c r="B8834" s="184">
        <v>44397</v>
      </c>
      <c r="C8834" s="138">
        <v>2021</v>
      </c>
      <c r="D8834" s="24" t="s">
        <v>141</v>
      </c>
      <c r="E8834" s="30" t="s">
        <v>142</v>
      </c>
      <c r="F8834" s="28" t="s">
        <v>157</v>
      </c>
      <c r="G8834" s="33" t="s">
        <v>1062</v>
      </c>
      <c r="H8834" s="311" t="s">
        <v>11925</v>
      </c>
      <c r="I8834" s="157">
        <v>0</v>
      </c>
      <c r="J8834" s="142">
        <v>4</v>
      </c>
      <c r="K8834" s="142">
        <v>0</v>
      </c>
      <c r="L8834" s="142">
        <v>0</v>
      </c>
      <c r="M8834" s="142">
        <v>0</v>
      </c>
      <c r="N8834" s="142">
        <v>0</v>
      </c>
      <c r="O8834" s="142">
        <v>0</v>
      </c>
      <c r="P8834" s="306">
        <v>0.21775160000000005</v>
      </c>
      <c r="Q8834" s="50" t="s">
        <v>9523</v>
      </c>
      <c r="R8834" s="303"/>
    </row>
    <row r="8835" spans="1:18" s="162" customFormat="1" ht="24" x14ac:dyDescent="0.25">
      <c r="A8835" s="184">
        <v>44396</v>
      </c>
      <c r="B8835" s="184">
        <v>44397</v>
      </c>
      <c r="C8835" s="138">
        <v>2021</v>
      </c>
      <c r="D8835" s="351" t="s">
        <v>23</v>
      </c>
      <c r="E8835" s="22" t="s">
        <v>86</v>
      </c>
      <c r="F8835" s="28" t="s">
        <v>163</v>
      </c>
      <c r="G8835" s="33" t="s">
        <v>7369</v>
      </c>
      <c r="H8835" s="311" t="s">
        <v>11926</v>
      </c>
      <c r="I8835" s="157">
        <v>0</v>
      </c>
      <c r="J8835" s="142">
        <v>60</v>
      </c>
      <c r="K8835" s="142">
        <v>15</v>
      </c>
      <c r="L8835" s="142">
        <v>0</v>
      </c>
      <c r="M8835" s="142">
        <v>0</v>
      </c>
      <c r="N8835" s="142">
        <v>0</v>
      </c>
      <c r="O8835" s="142">
        <v>0</v>
      </c>
      <c r="P8835" s="306">
        <v>2.0010375E-2</v>
      </c>
      <c r="Q8835" s="50" t="s">
        <v>9523</v>
      </c>
      <c r="R8835" s="303"/>
    </row>
    <row r="8836" spans="1:18" s="162" customFormat="1" ht="60" x14ac:dyDescent="0.25">
      <c r="A8836" s="184">
        <v>44397</v>
      </c>
      <c r="B8836" s="184">
        <v>44398</v>
      </c>
      <c r="C8836" s="138">
        <v>2021</v>
      </c>
      <c r="D8836" s="24" t="s">
        <v>141</v>
      </c>
      <c r="E8836" s="30" t="s">
        <v>142</v>
      </c>
      <c r="F8836" s="7" t="s">
        <v>30</v>
      </c>
      <c r="G8836" s="33" t="s">
        <v>395</v>
      </c>
      <c r="H8836" s="311" t="s">
        <v>11927</v>
      </c>
      <c r="I8836" s="157">
        <v>2</v>
      </c>
      <c r="J8836" s="142">
        <v>2</v>
      </c>
      <c r="K8836" s="142">
        <v>0</v>
      </c>
      <c r="L8836" s="142">
        <v>0</v>
      </c>
      <c r="M8836" s="142">
        <v>0</v>
      </c>
      <c r="N8836" s="142">
        <v>0</v>
      </c>
      <c r="O8836" s="142">
        <v>0</v>
      </c>
      <c r="P8836" s="306">
        <v>0</v>
      </c>
      <c r="Q8836" s="50" t="s">
        <v>9523</v>
      </c>
      <c r="R8836" s="303"/>
    </row>
    <row r="8837" spans="1:18" s="162" customFormat="1" ht="72" x14ac:dyDescent="0.25">
      <c r="A8837" s="184">
        <v>44398</v>
      </c>
      <c r="B8837" s="184">
        <v>44398</v>
      </c>
      <c r="C8837" s="138">
        <v>2021</v>
      </c>
      <c r="D8837" s="24" t="s">
        <v>141</v>
      </c>
      <c r="E8837" s="30" t="s">
        <v>142</v>
      </c>
      <c r="F8837" s="7" t="s">
        <v>30</v>
      </c>
      <c r="G8837" s="33" t="s">
        <v>395</v>
      </c>
      <c r="H8837" s="311" t="s">
        <v>11928</v>
      </c>
      <c r="I8837" s="157">
        <v>0</v>
      </c>
      <c r="J8837" s="142">
        <v>15</v>
      </c>
      <c r="K8837" s="142">
        <v>0</v>
      </c>
      <c r="L8837" s="142">
        <v>0</v>
      </c>
      <c r="M8837" s="142">
        <v>0</v>
      </c>
      <c r="N8837" s="142">
        <v>0</v>
      </c>
      <c r="O8837" s="142">
        <v>0</v>
      </c>
      <c r="P8837" s="306">
        <v>1.571357304</v>
      </c>
      <c r="Q8837" s="50" t="s">
        <v>9523</v>
      </c>
      <c r="R8837" s="303"/>
    </row>
    <row r="8838" spans="1:18" s="162" customFormat="1" ht="144" x14ac:dyDescent="0.25">
      <c r="A8838" s="184">
        <v>44399</v>
      </c>
      <c r="B8838" s="184">
        <v>44401</v>
      </c>
      <c r="C8838" s="138">
        <v>2021</v>
      </c>
      <c r="D8838" s="351" t="s">
        <v>23</v>
      </c>
      <c r="E8838" s="22" t="s">
        <v>86</v>
      </c>
      <c r="F8838" s="7" t="s">
        <v>87</v>
      </c>
      <c r="G8838" s="33" t="s">
        <v>2259</v>
      </c>
      <c r="H8838" s="311" t="s">
        <v>11929</v>
      </c>
      <c r="I8838" s="157">
        <v>0</v>
      </c>
      <c r="J8838" s="142">
        <v>600</v>
      </c>
      <c r="K8838" s="142">
        <v>4854</v>
      </c>
      <c r="L8838" s="142">
        <v>0</v>
      </c>
      <c r="M8838" s="142">
        <v>0</v>
      </c>
      <c r="N8838" s="142">
        <v>0</v>
      </c>
      <c r="O8838" s="142">
        <v>0</v>
      </c>
      <c r="P8838" s="306">
        <v>7.5121934400000008</v>
      </c>
      <c r="Q8838" s="50" t="s">
        <v>11859</v>
      </c>
      <c r="R8838" s="303"/>
    </row>
    <row r="8839" spans="1:18" s="162" customFormat="1" ht="108" x14ac:dyDescent="0.25">
      <c r="A8839" s="184">
        <v>44399</v>
      </c>
      <c r="B8839" s="184">
        <v>44400</v>
      </c>
      <c r="C8839" s="138">
        <v>2021</v>
      </c>
      <c r="D8839" s="351" t="s">
        <v>23</v>
      </c>
      <c r="E8839" s="22" t="s">
        <v>86</v>
      </c>
      <c r="F8839" s="7" t="s">
        <v>60</v>
      </c>
      <c r="G8839" s="33" t="s">
        <v>11930</v>
      </c>
      <c r="H8839" s="311" t="s">
        <v>11931</v>
      </c>
      <c r="I8839" s="157">
        <v>0</v>
      </c>
      <c r="J8839" s="142">
        <v>2</v>
      </c>
      <c r="K8839" s="142">
        <v>0</v>
      </c>
      <c r="L8839" s="142">
        <v>0</v>
      </c>
      <c r="M8839" s="142">
        <v>0</v>
      </c>
      <c r="N8839" s="142">
        <v>0</v>
      </c>
      <c r="O8839" s="142">
        <v>0</v>
      </c>
      <c r="P8839" s="306">
        <v>0.10648000000000002</v>
      </c>
      <c r="Q8839" s="50" t="s">
        <v>9523</v>
      </c>
      <c r="R8839" s="303"/>
    </row>
    <row r="8840" spans="1:18" s="162" customFormat="1" ht="132" x14ac:dyDescent="0.25">
      <c r="A8840" s="184">
        <v>44401</v>
      </c>
      <c r="B8840" s="184">
        <v>44403</v>
      </c>
      <c r="C8840" s="138">
        <v>2021</v>
      </c>
      <c r="D8840" s="351" t="s">
        <v>23</v>
      </c>
      <c r="E8840" s="22" t="s">
        <v>86</v>
      </c>
      <c r="F8840" s="7" t="s">
        <v>60</v>
      </c>
      <c r="G8840" s="33" t="s">
        <v>1605</v>
      </c>
      <c r="H8840" s="311" t="s">
        <v>11932</v>
      </c>
      <c r="I8840" s="157">
        <v>0</v>
      </c>
      <c r="J8840" s="142">
        <v>1242</v>
      </c>
      <c r="K8840" s="142">
        <v>310</v>
      </c>
      <c r="L8840" s="142">
        <v>0</v>
      </c>
      <c r="M8840" s="142">
        <v>0</v>
      </c>
      <c r="N8840" s="142">
        <v>0</v>
      </c>
      <c r="O8840" s="142">
        <v>0</v>
      </c>
      <c r="P8840" s="306">
        <v>1.7619112500000003</v>
      </c>
      <c r="Q8840" s="50" t="s">
        <v>9523</v>
      </c>
      <c r="R8840" s="303"/>
    </row>
    <row r="8841" spans="1:18" s="162" customFormat="1" ht="96" x14ac:dyDescent="0.25">
      <c r="A8841" s="184">
        <v>44401</v>
      </c>
      <c r="B8841" s="184">
        <v>44401</v>
      </c>
      <c r="C8841" s="138">
        <v>2021</v>
      </c>
      <c r="D8841" s="35" t="s">
        <v>17</v>
      </c>
      <c r="E8841" s="6" t="s">
        <v>328</v>
      </c>
      <c r="F8841" s="28" t="s">
        <v>210</v>
      </c>
      <c r="G8841" s="33" t="s">
        <v>3046</v>
      </c>
      <c r="H8841" s="311" t="s">
        <v>11933</v>
      </c>
      <c r="I8841" s="157">
        <v>1</v>
      </c>
      <c r="J8841" s="142">
        <v>1</v>
      </c>
      <c r="K8841" s="142">
        <v>0</v>
      </c>
      <c r="L8841" s="142">
        <v>0</v>
      </c>
      <c r="M8841" s="142">
        <v>0</v>
      </c>
      <c r="N8841" s="142">
        <v>0</v>
      </c>
      <c r="O8841" s="142">
        <v>0</v>
      </c>
      <c r="P8841" s="306">
        <v>0</v>
      </c>
      <c r="Q8841" s="50" t="s">
        <v>9523</v>
      </c>
      <c r="R8841" s="303"/>
    </row>
    <row r="8842" spans="1:18" s="162" customFormat="1" ht="264" x14ac:dyDescent="0.25">
      <c r="A8842" s="184">
        <v>44402</v>
      </c>
      <c r="B8842" s="184">
        <v>44403</v>
      </c>
      <c r="C8842" s="138">
        <v>2021</v>
      </c>
      <c r="D8842" s="351" t="s">
        <v>23</v>
      </c>
      <c r="E8842" s="22" t="s">
        <v>86</v>
      </c>
      <c r="F8842" s="7" t="s">
        <v>60</v>
      </c>
      <c r="G8842" s="33" t="s">
        <v>1605</v>
      </c>
      <c r="H8842" s="311" t="s">
        <v>11934</v>
      </c>
      <c r="I8842" s="157">
        <v>0</v>
      </c>
      <c r="J8842" s="142">
        <v>768</v>
      </c>
      <c r="K8842" s="142">
        <v>192</v>
      </c>
      <c r="L8842" s="142">
        <v>0</v>
      </c>
      <c r="M8842" s="142">
        <v>0</v>
      </c>
      <c r="N8842" s="142">
        <v>0</v>
      </c>
      <c r="O8842" s="142">
        <v>0</v>
      </c>
      <c r="P8842" s="306">
        <v>0.25613279999999999</v>
      </c>
      <c r="Q8842" s="50" t="s">
        <v>9523</v>
      </c>
      <c r="R8842" s="303"/>
    </row>
    <row r="8843" spans="1:18" s="162" customFormat="1" ht="216" x14ac:dyDescent="0.25">
      <c r="A8843" s="184">
        <v>44404</v>
      </c>
      <c r="B8843" s="184">
        <v>44404</v>
      </c>
      <c r="C8843" s="138">
        <v>2021</v>
      </c>
      <c r="D8843" s="351" t="s">
        <v>23</v>
      </c>
      <c r="E8843" s="22" t="s">
        <v>86</v>
      </c>
      <c r="F8843" s="7" t="s">
        <v>87</v>
      </c>
      <c r="G8843" s="33" t="s">
        <v>11935</v>
      </c>
      <c r="H8843" s="311" t="s">
        <v>11936</v>
      </c>
      <c r="I8843" s="157">
        <v>1</v>
      </c>
      <c r="J8843" s="142">
        <v>3600</v>
      </c>
      <c r="K8843" s="142">
        <v>0</v>
      </c>
      <c r="L8843" s="142">
        <v>0</v>
      </c>
      <c r="M8843" s="142">
        <v>0</v>
      </c>
      <c r="N8843" s="142">
        <v>8</v>
      </c>
      <c r="O8843" s="142">
        <v>0</v>
      </c>
      <c r="P8843" s="306">
        <v>5.6828096000000006</v>
      </c>
      <c r="Q8843" s="50" t="s">
        <v>11859</v>
      </c>
      <c r="R8843" s="303"/>
    </row>
    <row r="8844" spans="1:18" s="162" customFormat="1" ht="96" x14ac:dyDescent="0.25">
      <c r="A8844" s="184">
        <v>44404</v>
      </c>
      <c r="B8844" s="184">
        <v>44405</v>
      </c>
      <c r="C8844" s="138">
        <v>2021</v>
      </c>
      <c r="D8844" s="24" t="s">
        <v>141</v>
      </c>
      <c r="E8844" s="30" t="s">
        <v>142</v>
      </c>
      <c r="F8844" s="7" t="s">
        <v>67</v>
      </c>
      <c r="G8844" s="33" t="s">
        <v>2973</v>
      </c>
      <c r="H8844" s="311" t="s">
        <v>11937</v>
      </c>
      <c r="I8844" s="157">
        <v>0</v>
      </c>
      <c r="J8844" s="142">
        <v>19</v>
      </c>
      <c r="K8844" s="142">
        <v>0</v>
      </c>
      <c r="L8844" s="142">
        <v>0</v>
      </c>
      <c r="M8844" s="142">
        <v>0</v>
      </c>
      <c r="N8844" s="142">
        <v>0</v>
      </c>
      <c r="O8844" s="142">
        <v>0</v>
      </c>
      <c r="P8844" s="306">
        <v>1.384656603</v>
      </c>
      <c r="Q8844" s="50" t="s">
        <v>9523</v>
      </c>
      <c r="R8844" s="303"/>
    </row>
    <row r="8845" spans="1:18" s="162" customFormat="1" ht="72" x14ac:dyDescent="0.25">
      <c r="A8845" s="184">
        <v>44405</v>
      </c>
      <c r="B8845" s="184">
        <v>44405</v>
      </c>
      <c r="C8845" s="138">
        <v>2021</v>
      </c>
      <c r="D8845" s="35" t="s">
        <v>17</v>
      </c>
      <c r="E8845" s="6" t="s">
        <v>328</v>
      </c>
      <c r="F8845" s="7" t="s">
        <v>75</v>
      </c>
      <c r="G8845" s="33" t="s">
        <v>6972</v>
      </c>
      <c r="H8845" s="311" t="s">
        <v>11938</v>
      </c>
      <c r="I8845" s="157">
        <v>1</v>
      </c>
      <c r="J8845" s="142">
        <v>1</v>
      </c>
      <c r="K8845" s="142">
        <v>0</v>
      </c>
      <c r="L8845" s="142">
        <v>0</v>
      </c>
      <c r="M8845" s="142">
        <v>0</v>
      </c>
      <c r="N8845" s="142">
        <v>0</v>
      </c>
      <c r="O8845" s="142">
        <v>0</v>
      </c>
      <c r="P8845" s="306">
        <v>0</v>
      </c>
      <c r="Q8845" s="50" t="s">
        <v>9523</v>
      </c>
      <c r="R8845" s="303"/>
    </row>
    <row r="8846" spans="1:18" s="162" customFormat="1" ht="132" x14ac:dyDescent="0.25">
      <c r="A8846" s="184">
        <v>44408</v>
      </c>
      <c r="B8846" s="184">
        <v>44408</v>
      </c>
      <c r="C8846" s="138">
        <v>2021</v>
      </c>
      <c r="D8846" s="351" t="s">
        <v>23</v>
      </c>
      <c r="E8846" s="22" t="s">
        <v>86</v>
      </c>
      <c r="F8846" s="7" t="s">
        <v>67</v>
      </c>
      <c r="G8846" s="33" t="s">
        <v>2973</v>
      </c>
      <c r="H8846" s="311" t="s">
        <v>11939</v>
      </c>
      <c r="I8846" s="157">
        <v>0</v>
      </c>
      <c r="J8846" s="142">
        <v>120</v>
      </c>
      <c r="K8846" s="142">
        <v>30</v>
      </c>
      <c r="L8846" s="142">
        <v>0</v>
      </c>
      <c r="M8846" s="142">
        <v>0</v>
      </c>
      <c r="N8846" s="142">
        <v>0</v>
      </c>
      <c r="O8846" s="142">
        <v>0</v>
      </c>
      <c r="P8846" s="306">
        <v>4.0020750000000001E-2</v>
      </c>
      <c r="Q8846" s="50" t="s">
        <v>9523</v>
      </c>
      <c r="R8846" s="303"/>
    </row>
    <row r="8847" spans="1:18" s="162" customFormat="1" ht="132" x14ac:dyDescent="0.25">
      <c r="A8847" s="184">
        <v>44409</v>
      </c>
      <c r="B8847" s="184">
        <v>44409</v>
      </c>
      <c r="C8847" s="138">
        <v>2021</v>
      </c>
      <c r="D8847" s="35" t="s">
        <v>28</v>
      </c>
      <c r="E8847" s="30" t="s">
        <v>133</v>
      </c>
      <c r="F8847" s="28" t="s">
        <v>157</v>
      </c>
      <c r="G8847" s="33" t="s">
        <v>206</v>
      </c>
      <c r="H8847" s="311" t="s">
        <v>11940</v>
      </c>
      <c r="I8847" s="157">
        <v>0</v>
      </c>
      <c r="J8847" s="142">
        <v>2</v>
      </c>
      <c r="K8847" s="142">
        <v>1</v>
      </c>
      <c r="L8847" s="142">
        <v>0</v>
      </c>
      <c r="M8847" s="142">
        <v>0</v>
      </c>
      <c r="N8847" s="142">
        <v>0</v>
      </c>
      <c r="O8847" s="142">
        <v>0</v>
      </c>
      <c r="P8847" s="306">
        <v>0.31067500199999998</v>
      </c>
      <c r="Q8847" s="50" t="s">
        <v>9523</v>
      </c>
      <c r="R8847" s="303"/>
    </row>
    <row r="8848" spans="1:18" s="162" customFormat="1" ht="132" x14ac:dyDescent="0.25">
      <c r="A8848" s="184">
        <v>44409</v>
      </c>
      <c r="B8848" s="184">
        <v>44410</v>
      </c>
      <c r="C8848" s="138">
        <v>2021</v>
      </c>
      <c r="D8848" s="351" t="s">
        <v>23</v>
      </c>
      <c r="E8848" s="22" t="s">
        <v>86</v>
      </c>
      <c r="F8848" s="7" t="s">
        <v>47</v>
      </c>
      <c r="G8848" s="33" t="s">
        <v>10357</v>
      </c>
      <c r="H8848" s="311" t="s">
        <v>11941</v>
      </c>
      <c r="I8848" s="157">
        <v>0</v>
      </c>
      <c r="J8848" s="142">
        <v>4</v>
      </c>
      <c r="K8848" s="142">
        <v>1</v>
      </c>
      <c r="L8848" s="142">
        <v>0</v>
      </c>
      <c r="M8848" s="142">
        <v>1</v>
      </c>
      <c r="N8848" s="142">
        <v>0</v>
      </c>
      <c r="O8848" s="142">
        <v>0</v>
      </c>
      <c r="P8848" s="306">
        <v>1.3340250000000002E-3</v>
      </c>
      <c r="Q8848" s="50" t="s">
        <v>9523</v>
      </c>
      <c r="R8848" s="303"/>
    </row>
    <row r="8849" spans="1:18" s="162" customFormat="1" ht="72" x14ac:dyDescent="0.25">
      <c r="A8849" s="184">
        <v>44410</v>
      </c>
      <c r="B8849" s="184">
        <v>44410</v>
      </c>
      <c r="C8849" s="138">
        <v>2021</v>
      </c>
      <c r="D8849" s="24" t="s">
        <v>141</v>
      </c>
      <c r="E8849" s="30" t="s">
        <v>142</v>
      </c>
      <c r="F8849" s="25" t="s">
        <v>781</v>
      </c>
      <c r="G8849" s="33" t="s">
        <v>1555</v>
      </c>
      <c r="H8849" s="311" t="s">
        <v>11942</v>
      </c>
      <c r="I8849" s="157">
        <v>1</v>
      </c>
      <c r="J8849" s="142">
        <v>1</v>
      </c>
      <c r="K8849" s="142">
        <v>0</v>
      </c>
      <c r="L8849" s="142">
        <v>0</v>
      </c>
      <c r="M8849" s="142">
        <v>0</v>
      </c>
      <c r="N8849" s="142">
        <v>0</v>
      </c>
      <c r="O8849" s="142">
        <v>0</v>
      </c>
      <c r="P8849" s="306">
        <v>0</v>
      </c>
      <c r="Q8849" s="50" t="s">
        <v>9523</v>
      </c>
      <c r="R8849" s="303"/>
    </row>
    <row r="8850" spans="1:18" s="162" customFormat="1" ht="96" x14ac:dyDescent="0.25">
      <c r="A8850" s="184">
        <v>44410</v>
      </c>
      <c r="B8850" s="184">
        <v>44410</v>
      </c>
      <c r="C8850" s="138">
        <v>2021</v>
      </c>
      <c r="D8850" s="35" t="s">
        <v>28</v>
      </c>
      <c r="E8850" s="30" t="s">
        <v>133</v>
      </c>
      <c r="F8850" s="7" t="s">
        <v>53</v>
      </c>
      <c r="G8850" s="33" t="s">
        <v>451</v>
      </c>
      <c r="H8850" s="311" t="s">
        <v>11943</v>
      </c>
      <c r="I8850" s="157">
        <v>0</v>
      </c>
      <c r="J8850" s="142">
        <v>2</v>
      </c>
      <c r="K8850" s="142">
        <v>0</v>
      </c>
      <c r="L8850" s="142">
        <v>0</v>
      </c>
      <c r="M8850" s="142">
        <v>0</v>
      </c>
      <c r="N8850" s="142">
        <v>1</v>
      </c>
      <c r="O8850" s="142">
        <v>0</v>
      </c>
      <c r="P8850" s="306">
        <v>2.3958000000000004E-3</v>
      </c>
      <c r="Q8850" s="50" t="s">
        <v>9523</v>
      </c>
      <c r="R8850" s="303"/>
    </row>
    <row r="8851" spans="1:18" s="162" customFormat="1" ht="96" x14ac:dyDescent="0.25">
      <c r="A8851" s="184">
        <v>44410</v>
      </c>
      <c r="B8851" s="184">
        <v>44411</v>
      </c>
      <c r="C8851" s="138">
        <v>2021</v>
      </c>
      <c r="D8851" s="351" t="s">
        <v>23</v>
      </c>
      <c r="E8851" s="22" t="s">
        <v>86</v>
      </c>
      <c r="F8851" s="7" t="s">
        <v>87</v>
      </c>
      <c r="G8851" s="33" t="s">
        <v>828</v>
      </c>
      <c r="H8851" s="311" t="s">
        <v>11944</v>
      </c>
      <c r="I8851" s="157">
        <v>0</v>
      </c>
      <c r="J8851" s="142">
        <v>92</v>
      </c>
      <c r="K8851" s="142">
        <v>23</v>
      </c>
      <c r="L8851" s="142">
        <v>0</v>
      </c>
      <c r="M8851" s="142">
        <v>0</v>
      </c>
      <c r="N8851" s="142">
        <v>0</v>
      </c>
      <c r="O8851" s="142">
        <v>0</v>
      </c>
      <c r="P8851" s="306">
        <v>3.0682575E-2</v>
      </c>
      <c r="Q8851" s="50" t="s">
        <v>9523</v>
      </c>
      <c r="R8851" s="303"/>
    </row>
    <row r="8852" spans="1:18" s="162" customFormat="1" ht="168" x14ac:dyDescent="0.25">
      <c r="A8852" s="184">
        <v>44412</v>
      </c>
      <c r="B8852" s="184">
        <v>44413</v>
      </c>
      <c r="C8852" s="138">
        <v>2021</v>
      </c>
      <c r="D8852" s="351" t="s">
        <v>23</v>
      </c>
      <c r="E8852" s="22" t="s">
        <v>86</v>
      </c>
      <c r="F8852" s="7" t="s">
        <v>45</v>
      </c>
      <c r="G8852" s="33" t="s">
        <v>2866</v>
      </c>
      <c r="H8852" s="311" t="s">
        <v>11945</v>
      </c>
      <c r="I8852" s="157">
        <v>0</v>
      </c>
      <c r="J8852" s="142">
        <v>500</v>
      </c>
      <c r="K8852" s="142">
        <v>4</v>
      </c>
      <c r="L8852" s="142">
        <v>0</v>
      </c>
      <c r="M8852" s="142">
        <v>0</v>
      </c>
      <c r="N8852" s="142">
        <v>0</v>
      </c>
      <c r="O8852" s="142">
        <v>0</v>
      </c>
      <c r="P8852" s="306">
        <v>0.23784655400000004</v>
      </c>
      <c r="Q8852" s="50" t="s">
        <v>9523</v>
      </c>
      <c r="R8852" s="303"/>
    </row>
    <row r="8853" spans="1:18" s="162" customFormat="1" ht="204" x14ac:dyDescent="0.25">
      <c r="A8853" s="184">
        <v>44412</v>
      </c>
      <c r="B8853" s="184">
        <v>44413</v>
      </c>
      <c r="C8853" s="138">
        <v>2021</v>
      </c>
      <c r="D8853" s="351" t="s">
        <v>23</v>
      </c>
      <c r="E8853" s="22" t="s">
        <v>86</v>
      </c>
      <c r="F8853" s="7" t="s">
        <v>49</v>
      </c>
      <c r="G8853" s="33" t="s">
        <v>11946</v>
      </c>
      <c r="H8853" s="311" t="s">
        <v>11947</v>
      </c>
      <c r="I8853" s="157">
        <v>0</v>
      </c>
      <c r="J8853" s="142">
        <v>1014</v>
      </c>
      <c r="K8853" s="142">
        <v>253</v>
      </c>
      <c r="L8853" s="142">
        <v>0</v>
      </c>
      <c r="M8853" s="142">
        <v>0</v>
      </c>
      <c r="N8853" s="142">
        <v>0</v>
      </c>
      <c r="O8853" s="142">
        <v>0</v>
      </c>
      <c r="P8853" s="306">
        <v>0.61400730049999996</v>
      </c>
      <c r="Q8853" s="50" t="s">
        <v>9523</v>
      </c>
      <c r="R8853" s="303"/>
    </row>
    <row r="8854" spans="1:18" s="162" customFormat="1" ht="120" x14ac:dyDescent="0.25">
      <c r="A8854" s="184">
        <v>44413</v>
      </c>
      <c r="B8854" s="184">
        <v>44413</v>
      </c>
      <c r="C8854" s="138">
        <v>2021</v>
      </c>
      <c r="D8854" s="351" t="s">
        <v>23</v>
      </c>
      <c r="E8854" s="22" t="s">
        <v>86</v>
      </c>
      <c r="F8854" s="7" t="s">
        <v>62</v>
      </c>
      <c r="G8854" s="33" t="s">
        <v>11948</v>
      </c>
      <c r="H8854" s="311" t="s">
        <v>11949</v>
      </c>
      <c r="I8854" s="157">
        <v>0</v>
      </c>
      <c r="J8854" s="142">
        <v>60</v>
      </c>
      <c r="K8854" s="142">
        <v>15</v>
      </c>
      <c r="L8854" s="142">
        <v>0</v>
      </c>
      <c r="M8854" s="142">
        <v>0</v>
      </c>
      <c r="N8854" s="142">
        <v>0</v>
      </c>
      <c r="O8854" s="142">
        <v>0</v>
      </c>
      <c r="P8854" s="306">
        <v>2.0010375E-2</v>
      </c>
      <c r="Q8854" s="50" t="s">
        <v>9523</v>
      </c>
      <c r="R8854" s="303"/>
    </row>
    <row r="8855" spans="1:18" s="162" customFormat="1" ht="120" x14ac:dyDescent="0.25">
      <c r="A8855" s="184">
        <v>44414</v>
      </c>
      <c r="B8855" s="184">
        <v>44414</v>
      </c>
      <c r="C8855" s="138">
        <v>2021</v>
      </c>
      <c r="D8855" s="351" t="s">
        <v>23</v>
      </c>
      <c r="E8855" s="22" t="s">
        <v>86</v>
      </c>
      <c r="F8855" s="7" t="s">
        <v>49</v>
      </c>
      <c r="G8855" s="33" t="s">
        <v>228</v>
      </c>
      <c r="H8855" s="311" t="s">
        <v>11950</v>
      </c>
      <c r="I8855" s="157">
        <v>0</v>
      </c>
      <c r="J8855" s="142">
        <v>51</v>
      </c>
      <c r="K8855" s="142">
        <v>12</v>
      </c>
      <c r="L8855" s="142">
        <v>0</v>
      </c>
      <c r="M8855" s="142">
        <v>0</v>
      </c>
      <c r="N8855" s="142">
        <v>0</v>
      </c>
      <c r="O8855" s="142">
        <v>0</v>
      </c>
      <c r="P8855" s="306">
        <v>0.33544830000000003</v>
      </c>
      <c r="Q8855" s="50" t="s">
        <v>9523</v>
      </c>
      <c r="R8855" s="303"/>
    </row>
    <row r="8856" spans="1:18" s="162" customFormat="1" ht="240" x14ac:dyDescent="0.25">
      <c r="A8856" s="184">
        <v>44415</v>
      </c>
      <c r="B8856" s="184">
        <v>44416</v>
      </c>
      <c r="C8856" s="138">
        <v>2021</v>
      </c>
      <c r="D8856" s="351" t="s">
        <v>23</v>
      </c>
      <c r="E8856" s="22" t="s">
        <v>86</v>
      </c>
      <c r="F8856" s="7" t="s">
        <v>40</v>
      </c>
      <c r="G8856" s="33" t="s">
        <v>1187</v>
      </c>
      <c r="H8856" s="311" t="s">
        <v>11951</v>
      </c>
      <c r="I8856" s="157">
        <v>0</v>
      </c>
      <c r="J8856" s="142">
        <v>1265</v>
      </c>
      <c r="K8856" s="142">
        <v>315</v>
      </c>
      <c r="L8856" s="142">
        <v>0</v>
      </c>
      <c r="M8856" s="142">
        <v>0</v>
      </c>
      <c r="N8856" s="142">
        <v>0</v>
      </c>
      <c r="O8856" s="142">
        <v>0</v>
      </c>
      <c r="P8856" s="306">
        <v>4.0385792250000003</v>
      </c>
      <c r="Q8856" s="50" t="s">
        <v>9523</v>
      </c>
      <c r="R8856" s="303"/>
    </row>
    <row r="8857" spans="1:18" s="162" customFormat="1" ht="156" x14ac:dyDescent="0.25">
      <c r="A8857" s="184">
        <v>44416</v>
      </c>
      <c r="B8857" s="184">
        <v>44417</v>
      </c>
      <c r="C8857" s="138">
        <v>2021</v>
      </c>
      <c r="D8857" s="351" t="s">
        <v>23</v>
      </c>
      <c r="E8857" s="22" t="s">
        <v>86</v>
      </c>
      <c r="F8857" s="7" t="s">
        <v>84</v>
      </c>
      <c r="G8857" s="33" t="s">
        <v>4988</v>
      </c>
      <c r="H8857" s="311" t="s">
        <v>11952</v>
      </c>
      <c r="I8857" s="157">
        <v>0</v>
      </c>
      <c r="J8857" s="142">
        <v>160</v>
      </c>
      <c r="K8857" s="142">
        <v>40</v>
      </c>
      <c r="L8857" s="142">
        <v>0</v>
      </c>
      <c r="M8857" s="142">
        <v>0</v>
      </c>
      <c r="N8857" s="142">
        <v>0</v>
      </c>
      <c r="O8857" s="142">
        <v>0</v>
      </c>
      <c r="P8857" s="306">
        <v>5.3360999999999999E-2</v>
      </c>
      <c r="Q8857" s="50" t="s">
        <v>9523</v>
      </c>
      <c r="R8857" s="303"/>
    </row>
    <row r="8858" spans="1:18" s="162" customFormat="1" ht="96" x14ac:dyDescent="0.25">
      <c r="A8858" s="184">
        <v>44418</v>
      </c>
      <c r="B8858" s="184">
        <v>44419</v>
      </c>
      <c r="C8858" s="138">
        <v>2021</v>
      </c>
      <c r="D8858" s="351" t="s">
        <v>23</v>
      </c>
      <c r="E8858" s="22" t="s">
        <v>86</v>
      </c>
      <c r="F8858" s="7" t="s">
        <v>84</v>
      </c>
      <c r="G8858" s="33" t="s">
        <v>2844</v>
      </c>
      <c r="H8858" s="311" t="s">
        <v>11953</v>
      </c>
      <c r="I8858" s="157">
        <v>0</v>
      </c>
      <c r="J8858" s="142">
        <v>296</v>
      </c>
      <c r="K8858" s="142">
        <v>74</v>
      </c>
      <c r="L8858" s="142">
        <v>0</v>
      </c>
      <c r="M8858" s="142">
        <v>0</v>
      </c>
      <c r="N8858" s="142">
        <v>0</v>
      </c>
      <c r="O8858" s="142">
        <v>0</v>
      </c>
      <c r="P8858" s="306">
        <v>9.871785000000001E-2</v>
      </c>
      <c r="Q8858" s="50" t="s">
        <v>9523</v>
      </c>
      <c r="R8858" s="303"/>
    </row>
    <row r="8859" spans="1:18" s="162" customFormat="1" ht="84" x14ac:dyDescent="0.25">
      <c r="A8859" s="184">
        <v>44418</v>
      </c>
      <c r="B8859" s="184">
        <v>44418</v>
      </c>
      <c r="C8859" s="138">
        <v>2021</v>
      </c>
      <c r="D8859" s="351" t="s">
        <v>23</v>
      </c>
      <c r="E8859" s="22" t="s">
        <v>86</v>
      </c>
      <c r="F8859" s="28" t="s">
        <v>157</v>
      </c>
      <c r="G8859" s="33" t="s">
        <v>11954</v>
      </c>
      <c r="H8859" s="311" t="s">
        <v>11955</v>
      </c>
      <c r="I8859" s="157">
        <v>0</v>
      </c>
      <c r="J8859" s="142">
        <v>11</v>
      </c>
      <c r="K8859" s="142">
        <v>2</v>
      </c>
      <c r="L8859" s="142">
        <v>0</v>
      </c>
      <c r="M8859" s="142">
        <v>0</v>
      </c>
      <c r="N8859" s="142">
        <v>0</v>
      </c>
      <c r="O8859" s="142">
        <v>0</v>
      </c>
      <c r="P8859" s="306">
        <v>0.53506805000000013</v>
      </c>
      <c r="Q8859" s="50" t="s">
        <v>9523</v>
      </c>
      <c r="R8859" s="303"/>
    </row>
    <row r="8860" spans="1:18" s="162" customFormat="1" ht="108" x14ac:dyDescent="0.25">
      <c r="A8860" s="184">
        <v>44418</v>
      </c>
      <c r="B8860" s="184">
        <v>44418</v>
      </c>
      <c r="C8860" s="138">
        <v>2021</v>
      </c>
      <c r="D8860" s="24" t="s">
        <v>141</v>
      </c>
      <c r="E8860" s="30" t="s">
        <v>142</v>
      </c>
      <c r="F8860" s="7" t="s">
        <v>58</v>
      </c>
      <c r="G8860" s="33" t="s">
        <v>2769</v>
      </c>
      <c r="H8860" s="311" t="s">
        <v>11956</v>
      </c>
      <c r="I8860" s="157">
        <v>0</v>
      </c>
      <c r="J8860" s="142">
        <v>7</v>
      </c>
      <c r="K8860" s="142">
        <v>0</v>
      </c>
      <c r="L8860" s="142">
        <v>0</v>
      </c>
      <c r="M8860" s="142">
        <v>0</v>
      </c>
      <c r="N8860" s="142">
        <v>0</v>
      </c>
      <c r="O8860" s="142">
        <v>0</v>
      </c>
      <c r="P8860" s="306">
        <v>0.87247050000000015</v>
      </c>
      <c r="Q8860" s="50" t="s">
        <v>9523</v>
      </c>
      <c r="R8860" s="303"/>
    </row>
    <row r="8861" spans="1:18" s="162" customFormat="1" ht="84" x14ac:dyDescent="0.25">
      <c r="A8861" s="184">
        <v>44418</v>
      </c>
      <c r="B8861" s="184">
        <v>44418</v>
      </c>
      <c r="C8861" s="138">
        <v>2021</v>
      </c>
      <c r="D8861" s="24" t="s">
        <v>141</v>
      </c>
      <c r="E8861" s="30" t="s">
        <v>142</v>
      </c>
      <c r="F8861" s="28" t="s">
        <v>210</v>
      </c>
      <c r="G8861" s="33" t="s">
        <v>5025</v>
      </c>
      <c r="H8861" s="311" t="s">
        <v>11957</v>
      </c>
      <c r="I8861" s="157">
        <v>0</v>
      </c>
      <c r="J8861" s="142">
        <v>15</v>
      </c>
      <c r="K8861" s="142">
        <v>0</v>
      </c>
      <c r="L8861" s="142">
        <v>0</v>
      </c>
      <c r="M8861" s="142">
        <v>0</v>
      </c>
      <c r="N8861" s="142">
        <v>0</v>
      </c>
      <c r="O8861" s="142">
        <v>0</v>
      </c>
      <c r="P8861" s="306">
        <v>1.0172207894302325</v>
      </c>
      <c r="Q8861" s="50" t="s">
        <v>9523</v>
      </c>
      <c r="R8861" s="303"/>
    </row>
    <row r="8862" spans="1:18" s="162" customFormat="1" ht="144" x14ac:dyDescent="0.25">
      <c r="A8862" s="184">
        <v>44419</v>
      </c>
      <c r="B8862" s="184">
        <v>44420</v>
      </c>
      <c r="C8862" s="138">
        <v>2021</v>
      </c>
      <c r="D8862" s="35" t="s">
        <v>28</v>
      </c>
      <c r="E8862" s="30" t="s">
        <v>133</v>
      </c>
      <c r="F8862" s="7" t="s">
        <v>68</v>
      </c>
      <c r="G8862" s="33" t="s">
        <v>2512</v>
      </c>
      <c r="H8862" s="311" t="s">
        <v>11958</v>
      </c>
      <c r="I8862" s="157">
        <v>2</v>
      </c>
      <c r="J8862" s="142">
        <v>313</v>
      </c>
      <c r="K8862" s="142">
        <v>0</v>
      </c>
      <c r="L8862" s="142">
        <v>0</v>
      </c>
      <c r="M8862" s="142">
        <v>0</v>
      </c>
      <c r="N8862" s="142">
        <v>1</v>
      </c>
      <c r="O8862" s="142">
        <v>0</v>
      </c>
      <c r="P8862" s="306">
        <v>4.7916000000000009E-3</v>
      </c>
      <c r="Q8862" s="50" t="s">
        <v>9523</v>
      </c>
      <c r="R8862" s="303"/>
    </row>
    <row r="8863" spans="1:18" s="162" customFormat="1" ht="192" x14ac:dyDescent="0.25">
      <c r="A8863" s="184">
        <v>44419</v>
      </c>
      <c r="B8863" s="184">
        <v>44420</v>
      </c>
      <c r="C8863" s="138">
        <v>2021</v>
      </c>
      <c r="D8863" s="351" t="s">
        <v>23</v>
      </c>
      <c r="E8863" s="22" t="s">
        <v>86</v>
      </c>
      <c r="F8863" s="7" t="s">
        <v>67</v>
      </c>
      <c r="G8863" s="33" t="s">
        <v>11959</v>
      </c>
      <c r="H8863" s="311" t="s">
        <v>11960</v>
      </c>
      <c r="I8863" s="157">
        <v>0</v>
      </c>
      <c r="J8863" s="142">
        <v>0</v>
      </c>
      <c r="K8863" s="142">
        <v>0</v>
      </c>
      <c r="L8863" s="142">
        <v>0</v>
      </c>
      <c r="M8863" s="142">
        <v>0</v>
      </c>
      <c r="N8863" s="142">
        <v>0</v>
      </c>
      <c r="O8863" s="142">
        <v>0</v>
      </c>
      <c r="P8863" s="306">
        <v>1.0648000000000002</v>
      </c>
      <c r="Q8863" s="50" t="s">
        <v>9523</v>
      </c>
      <c r="R8863" s="303"/>
    </row>
    <row r="8864" spans="1:18" s="162" customFormat="1" ht="84" x14ac:dyDescent="0.25">
      <c r="A8864" s="184">
        <v>44420</v>
      </c>
      <c r="B8864" s="184">
        <v>44420</v>
      </c>
      <c r="C8864" s="138">
        <v>2021</v>
      </c>
      <c r="D8864" s="24" t="s">
        <v>141</v>
      </c>
      <c r="E8864" s="30" t="s">
        <v>142</v>
      </c>
      <c r="F8864" s="7" t="s">
        <v>62</v>
      </c>
      <c r="G8864" s="33" t="s">
        <v>11961</v>
      </c>
      <c r="H8864" s="311" t="s">
        <v>11962</v>
      </c>
      <c r="I8864" s="157">
        <v>1</v>
      </c>
      <c r="J8864" s="142">
        <v>11</v>
      </c>
      <c r="K8864" s="142">
        <v>0</v>
      </c>
      <c r="L8864" s="142">
        <v>0</v>
      </c>
      <c r="M8864" s="142">
        <v>0</v>
      </c>
      <c r="N8864" s="142">
        <v>0</v>
      </c>
      <c r="O8864" s="142">
        <v>0</v>
      </c>
      <c r="P8864" s="306">
        <v>0.94142840000000017</v>
      </c>
      <c r="Q8864" s="50" t="s">
        <v>9523</v>
      </c>
      <c r="R8864" s="303"/>
    </row>
    <row r="8865" spans="1:18" s="162" customFormat="1" ht="168" x14ac:dyDescent="0.25">
      <c r="A8865" s="184">
        <v>44420</v>
      </c>
      <c r="B8865" s="184">
        <v>44420</v>
      </c>
      <c r="C8865" s="138">
        <v>2021</v>
      </c>
      <c r="D8865" s="24" t="s">
        <v>141</v>
      </c>
      <c r="E8865" s="30" t="s">
        <v>142</v>
      </c>
      <c r="F8865" s="28" t="s">
        <v>210</v>
      </c>
      <c r="G8865" s="33" t="s">
        <v>865</v>
      </c>
      <c r="H8865" s="311" t="s">
        <v>11963</v>
      </c>
      <c r="I8865" s="157">
        <v>2</v>
      </c>
      <c r="J8865" s="142">
        <v>21</v>
      </c>
      <c r="K8865" s="142">
        <v>0</v>
      </c>
      <c r="L8865" s="142">
        <v>0</v>
      </c>
      <c r="M8865" s="142">
        <v>0</v>
      </c>
      <c r="N8865" s="142">
        <v>0</v>
      </c>
      <c r="O8865" s="142">
        <v>0</v>
      </c>
      <c r="P8865" s="306">
        <v>1.6766164604302327</v>
      </c>
      <c r="Q8865" s="50" t="s">
        <v>9523</v>
      </c>
      <c r="R8865" s="303"/>
    </row>
    <row r="8866" spans="1:18" s="162" customFormat="1" ht="96" x14ac:dyDescent="0.25">
      <c r="A8866" s="184">
        <v>44420</v>
      </c>
      <c r="B8866" s="184">
        <v>44420</v>
      </c>
      <c r="C8866" s="138">
        <v>2021</v>
      </c>
      <c r="D8866" s="35" t="s">
        <v>28</v>
      </c>
      <c r="E8866" s="30" t="s">
        <v>133</v>
      </c>
      <c r="F8866" s="7" t="s">
        <v>75</v>
      </c>
      <c r="G8866" s="33" t="s">
        <v>11964</v>
      </c>
      <c r="H8866" s="311" t="s">
        <v>11965</v>
      </c>
      <c r="I8866" s="157">
        <v>2</v>
      </c>
      <c r="J8866" s="142">
        <v>5</v>
      </c>
      <c r="K8866" s="142">
        <v>0</v>
      </c>
      <c r="L8866" s="142">
        <v>0</v>
      </c>
      <c r="M8866" s="142">
        <v>0</v>
      </c>
      <c r="N8866" s="142">
        <v>0</v>
      </c>
      <c r="O8866" s="142">
        <v>0</v>
      </c>
      <c r="P8866" s="306">
        <v>2.3958000000000004E-3</v>
      </c>
      <c r="Q8866" s="50" t="s">
        <v>9523</v>
      </c>
      <c r="R8866" s="303"/>
    </row>
    <row r="8867" spans="1:18" s="162" customFormat="1" ht="72" x14ac:dyDescent="0.25">
      <c r="A8867" s="184">
        <v>44420</v>
      </c>
      <c r="B8867" s="184">
        <v>44420</v>
      </c>
      <c r="C8867" s="138">
        <v>2021</v>
      </c>
      <c r="D8867" s="351" t="s">
        <v>23</v>
      </c>
      <c r="E8867" s="22" t="s">
        <v>86</v>
      </c>
      <c r="F8867" s="7" t="s">
        <v>60</v>
      </c>
      <c r="G8867" s="33" t="s">
        <v>1605</v>
      </c>
      <c r="H8867" s="311" t="s">
        <v>11966</v>
      </c>
      <c r="I8867" s="157">
        <v>0</v>
      </c>
      <c r="J8867" s="142">
        <v>50</v>
      </c>
      <c r="K8867" s="142">
        <v>12</v>
      </c>
      <c r="L8867" s="142">
        <v>0</v>
      </c>
      <c r="M8867" s="142">
        <v>0</v>
      </c>
      <c r="N8867" s="142">
        <v>0</v>
      </c>
      <c r="O8867" s="142">
        <v>0</v>
      </c>
      <c r="P8867" s="306">
        <v>8.0041499999999998E-3</v>
      </c>
      <c r="Q8867" s="50" t="s">
        <v>9523</v>
      </c>
      <c r="R8867" s="303"/>
    </row>
    <row r="8868" spans="1:18" s="162" customFormat="1" ht="108" x14ac:dyDescent="0.25">
      <c r="A8868" s="184">
        <v>44422</v>
      </c>
      <c r="B8868" s="184">
        <v>44422</v>
      </c>
      <c r="C8868" s="138">
        <v>2021</v>
      </c>
      <c r="D8868" s="35" t="s">
        <v>17</v>
      </c>
      <c r="E8868" s="6" t="s">
        <v>328</v>
      </c>
      <c r="F8868" s="28" t="s">
        <v>210</v>
      </c>
      <c r="G8868" s="33" t="s">
        <v>8290</v>
      </c>
      <c r="H8868" s="311" t="s">
        <v>11967</v>
      </c>
      <c r="I8868" s="157">
        <v>1</v>
      </c>
      <c r="J8868" s="142">
        <v>2</v>
      </c>
      <c r="K8868" s="142">
        <v>0</v>
      </c>
      <c r="L8868" s="142">
        <v>0</v>
      </c>
      <c r="M8868" s="142">
        <v>0</v>
      </c>
      <c r="N8868" s="142">
        <v>0</v>
      </c>
      <c r="O8868" s="142">
        <v>0</v>
      </c>
      <c r="P8868" s="306">
        <v>1.1979000000000002E-3</v>
      </c>
      <c r="Q8868" s="50" t="s">
        <v>9523</v>
      </c>
      <c r="R8868" s="303"/>
    </row>
    <row r="8869" spans="1:18" s="162" customFormat="1" ht="108" x14ac:dyDescent="0.25">
      <c r="A8869" s="184">
        <v>44423</v>
      </c>
      <c r="B8869" s="184">
        <v>44424</v>
      </c>
      <c r="C8869" s="138">
        <v>2021</v>
      </c>
      <c r="D8869" s="24" t="s">
        <v>141</v>
      </c>
      <c r="E8869" s="30" t="s">
        <v>142</v>
      </c>
      <c r="F8869" s="7" t="s">
        <v>91</v>
      </c>
      <c r="G8869" s="33" t="s">
        <v>2315</v>
      </c>
      <c r="H8869" s="311" t="s">
        <v>11968</v>
      </c>
      <c r="I8869" s="157">
        <v>0</v>
      </c>
      <c r="J8869" s="142">
        <v>1</v>
      </c>
      <c r="K8869" s="142">
        <v>0</v>
      </c>
      <c r="L8869" s="142">
        <v>0</v>
      </c>
      <c r="M8869" s="142">
        <v>0</v>
      </c>
      <c r="N8869" s="142">
        <v>0</v>
      </c>
      <c r="O8869" s="142">
        <v>0</v>
      </c>
      <c r="P8869" s="306">
        <v>0.87701284447058825</v>
      </c>
      <c r="Q8869" s="50" t="s">
        <v>9523</v>
      </c>
      <c r="R8869" s="303"/>
    </row>
    <row r="8870" spans="1:18" s="162" customFormat="1" ht="252" x14ac:dyDescent="0.25">
      <c r="A8870" s="184">
        <v>44424</v>
      </c>
      <c r="B8870" s="184">
        <v>44424</v>
      </c>
      <c r="C8870" s="138">
        <v>2021</v>
      </c>
      <c r="D8870" s="35" t="s">
        <v>28</v>
      </c>
      <c r="E8870" s="30" t="s">
        <v>133</v>
      </c>
      <c r="F8870" s="28" t="s">
        <v>157</v>
      </c>
      <c r="G8870" s="33" t="s">
        <v>1089</v>
      </c>
      <c r="H8870" s="311" t="s">
        <v>11969</v>
      </c>
      <c r="I8870" s="157">
        <v>1</v>
      </c>
      <c r="J8870" s="142">
        <v>326</v>
      </c>
      <c r="K8870" s="142">
        <v>3</v>
      </c>
      <c r="L8870" s="142">
        <v>0</v>
      </c>
      <c r="M8870" s="142">
        <v>0</v>
      </c>
      <c r="N8870" s="142">
        <v>0</v>
      </c>
      <c r="O8870" s="142">
        <v>0</v>
      </c>
      <c r="P8870" s="306">
        <v>0.46935900000000003</v>
      </c>
      <c r="Q8870" s="50" t="s">
        <v>9523</v>
      </c>
      <c r="R8870" s="303"/>
    </row>
    <row r="8871" spans="1:18" s="162" customFormat="1" ht="144" x14ac:dyDescent="0.25">
      <c r="A8871" s="184">
        <v>44425</v>
      </c>
      <c r="B8871" s="184">
        <v>44425</v>
      </c>
      <c r="C8871" s="138">
        <v>2021</v>
      </c>
      <c r="D8871" s="35" t="s">
        <v>17</v>
      </c>
      <c r="E8871" s="6" t="s">
        <v>328</v>
      </c>
      <c r="F8871" s="7" t="s">
        <v>58</v>
      </c>
      <c r="G8871" s="33" t="s">
        <v>8132</v>
      </c>
      <c r="H8871" s="311" t="s">
        <v>11970</v>
      </c>
      <c r="I8871" s="157">
        <v>0</v>
      </c>
      <c r="J8871" s="142">
        <v>12</v>
      </c>
      <c r="K8871" s="142">
        <v>3</v>
      </c>
      <c r="L8871" s="142">
        <v>0</v>
      </c>
      <c r="M8871" s="142">
        <v>0</v>
      </c>
      <c r="N8871" s="142">
        <v>0</v>
      </c>
      <c r="O8871" s="142">
        <v>0</v>
      </c>
      <c r="P8871" s="306">
        <v>4.0020749999999999E-3</v>
      </c>
      <c r="Q8871" s="50" t="s">
        <v>9523</v>
      </c>
      <c r="R8871" s="303"/>
    </row>
    <row r="8872" spans="1:18" s="162" customFormat="1" ht="120" x14ac:dyDescent="0.25">
      <c r="A8872" s="184">
        <v>44425</v>
      </c>
      <c r="B8872" s="184">
        <v>44426</v>
      </c>
      <c r="C8872" s="138">
        <v>2021</v>
      </c>
      <c r="D8872" s="351" t="s">
        <v>23</v>
      </c>
      <c r="E8872" s="22" t="s">
        <v>86</v>
      </c>
      <c r="F8872" s="7" t="s">
        <v>101</v>
      </c>
      <c r="G8872" s="33" t="s">
        <v>752</v>
      </c>
      <c r="H8872" s="311" t="s">
        <v>11971</v>
      </c>
      <c r="I8872" s="157">
        <v>0</v>
      </c>
      <c r="J8872" s="142">
        <v>30</v>
      </c>
      <c r="K8872" s="142">
        <v>7</v>
      </c>
      <c r="L8872" s="142">
        <v>0</v>
      </c>
      <c r="M8872" s="142">
        <v>0</v>
      </c>
      <c r="N8872" s="142">
        <v>0</v>
      </c>
      <c r="O8872" s="142">
        <v>0</v>
      </c>
      <c r="P8872" s="306">
        <v>0.21622095000000005</v>
      </c>
      <c r="Q8872" s="50" t="s">
        <v>9523</v>
      </c>
      <c r="R8872" s="303"/>
    </row>
    <row r="8873" spans="1:18" s="162" customFormat="1" ht="312" x14ac:dyDescent="0.25">
      <c r="A8873" s="184">
        <v>44428</v>
      </c>
      <c r="B8873" s="184">
        <v>44432</v>
      </c>
      <c r="C8873" s="138">
        <v>2021</v>
      </c>
      <c r="D8873" s="351" t="s">
        <v>23</v>
      </c>
      <c r="E8873" s="14" t="s">
        <v>32</v>
      </c>
      <c r="F8873" s="28" t="s">
        <v>210</v>
      </c>
      <c r="G8873" s="33" t="s">
        <v>11972</v>
      </c>
      <c r="H8873" s="311" t="s">
        <v>11973</v>
      </c>
      <c r="I8873" s="157">
        <v>8</v>
      </c>
      <c r="J8873" s="142">
        <v>54928</v>
      </c>
      <c r="K8873" s="142">
        <f>45318+38</f>
        <v>45356</v>
      </c>
      <c r="L8873" s="142">
        <v>116</v>
      </c>
      <c r="M8873" s="142">
        <v>0</v>
      </c>
      <c r="N8873" s="142">
        <v>0</v>
      </c>
      <c r="O8873" s="142">
        <v>158662</v>
      </c>
      <c r="P8873" s="306">
        <v>3557.2480387236001</v>
      </c>
      <c r="Q8873" s="50" t="s">
        <v>209</v>
      </c>
      <c r="R8873" s="303"/>
    </row>
    <row r="8874" spans="1:18" s="162" customFormat="1" ht="48" x14ac:dyDescent="0.25">
      <c r="A8874" s="184">
        <v>44428</v>
      </c>
      <c r="B8874" s="184">
        <v>44432</v>
      </c>
      <c r="C8874" s="138">
        <v>2021</v>
      </c>
      <c r="D8874" s="35" t="s">
        <v>17</v>
      </c>
      <c r="E8874" s="6" t="s">
        <v>328</v>
      </c>
      <c r="F8874" s="28" t="s">
        <v>210</v>
      </c>
      <c r="G8874" s="33" t="s">
        <v>11974</v>
      </c>
      <c r="H8874" s="311" t="s">
        <v>11975</v>
      </c>
      <c r="I8874" s="157">
        <v>0</v>
      </c>
      <c r="J8874" s="142">
        <v>0</v>
      </c>
      <c r="K8874" s="142">
        <v>0</v>
      </c>
      <c r="L8874" s="142">
        <v>0</v>
      </c>
      <c r="M8874" s="142">
        <v>0</v>
      </c>
      <c r="N8874" s="142">
        <v>0</v>
      </c>
      <c r="O8874" s="142">
        <v>0</v>
      </c>
      <c r="P8874" s="306">
        <v>27.051419199999998</v>
      </c>
      <c r="Q8874" s="50" t="s">
        <v>11801</v>
      </c>
      <c r="R8874" s="303"/>
    </row>
    <row r="8875" spans="1:18" s="162" customFormat="1" ht="144" x14ac:dyDescent="0.25">
      <c r="A8875" s="184">
        <v>44428</v>
      </c>
      <c r="B8875" s="184">
        <v>44431</v>
      </c>
      <c r="C8875" s="138">
        <v>2021</v>
      </c>
      <c r="D8875" s="351" t="s">
        <v>23</v>
      </c>
      <c r="E8875" s="22" t="s">
        <v>86</v>
      </c>
      <c r="F8875" s="28" t="s">
        <v>210</v>
      </c>
      <c r="G8875" s="312" t="s">
        <v>11976</v>
      </c>
      <c r="H8875" s="311" t="s">
        <v>11977</v>
      </c>
      <c r="I8875" s="157">
        <v>0</v>
      </c>
      <c r="J8875" s="142">
        <v>0</v>
      </c>
      <c r="K8875" s="142">
        <v>0</v>
      </c>
      <c r="L8875" s="142">
        <v>0</v>
      </c>
      <c r="M8875" s="142">
        <v>0</v>
      </c>
      <c r="N8875" s="142">
        <v>0</v>
      </c>
      <c r="O8875" s="142">
        <v>0</v>
      </c>
      <c r="P8875" s="306">
        <v>16.872951</v>
      </c>
      <c r="Q8875" s="50" t="s">
        <v>11670</v>
      </c>
      <c r="R8875" s="303"/>
    </row>
    <row r="8876" spans="1:18" s="162" customFormat="1" ht="288" x14ac:dyDescent="0.25">
      <c r="A8876" s="184">
        <v>44429</v>
      </c>
      <c r="B8876" s="184">
        <v>44430</v>
      </c>
      <c r="C8876" s="138">
        <v>2021</v>
      </c>
      <c r="D8876" s="351" t="s">
        <v>23</v>
      </c>
      <c r="E8876" s="14" t="s">
        <v>32</v>
      </c>
      <c r="F8876" s="7" t="s">
        <v>75</v>
      </c>
      <c r="G8876" s="312" t="s">
        <v>11978</v>
      </c>
      <c r="H8876" s="311" t="s">
        <v>11979</v>
      </c>
      <c r="I8876" s="157">
        <v>0</v>
      </c>
      <c r="J8876" s="142">
        <v>34729</v>
      </c>
      <c r="K8876" s="142">
        <v>17916</v>
      </c>
      <c r="L8876" s="142">
        <v>0</v>
      </c>
      <c r="M8876" s="142">
        <v>0</v>
      </c>
      <c r="N8876" s="142">
        <v>0</v>
      </c>
      <c r="O8876" s="142">
        <v>0</v>
      </c>
      <c r="P8876" s="306">
        <v>880.89538800000003</v>
      </c>
      <c r="Q8876" s="50" t="s">
        <v>11980</v>
      </c>
      <c r="R8876" s="303"/>
    </row>
    <row r="8877" spans="1:18" s="162" customFormat="1" ht="192" x14ac:dyDescent="0.25">
      <c r="A8877" s="184">
        <v>44429</v>
      </c>
      <c r="B8877" s="184">
        <v>44431</v>
      </c>
      <c r="C8877" s="138">
        <v>2021</v>
      </c>
      <c r="D8877" s="351" t="s">
        <v>23</v>
      </c>
      <c r="E8877" s="14" t="s">
        <v>32</v>
      </c>
      <c r="F8877" s="28" t="s">
        <v>160</v>
      </c>
      <c r="G8877" s="33" t="s">
        <v>11981</v>
      </c>
      <c r="H8877" s="33" t="s">
        <v>11982</v>
      </c>
      <c r="I8877" s="157">
        <v>0</v>
      </c>
      <c r="J8877" s="142">
        <v>0</v>
      </c>
      <c r="K8877" s="142">
        <v>1279</v>
      </c>
      <c r="L8877" s="142">
        <v>0</v>
      </c>
      <c r="M8877" s="142">
        <v>0</v>
      </c>
      <c r="N8877" s="142">
        <v>0</v>
      </c>
      <c r="O8877" s="142">
        <v>0</v>
      </c>
      <c r="P8877" s="306">
        <v>1073.297098</v>
      </c>
      <c r="Q8877" s="50" t="s">
        <v>11983</v>
      </c>
      <c r="R8877" s="303"/>
    </row>
    <row r="8878" spans="1:18" s="162" customFormat="1" ht="72" x14ac:dyDescent="0.25">
      <c r="A8878" s="184">
        <v>44429</v>
      </c>
      <c r="B8878" s="184">
        <v>44429</v>
      </c>
      <c r="C8878" s="138">
        <v>2021</v>
      </c>
      <c r="D8878" s="24" t="s">
        <v>141</v>
      </c>
      <c r="E8878" s="30" t="s">
        <v>142</v>
      </c>
      <c r="F8878" s="7" t="s">
        <v>77</v>
      </c>
      <c r="G8878" s="33" t="s">
        <v>11984</v>
      </c>
      <c r="H8878" s="311" t="s">
        <v>11985</v>
      </c>
      <c r="I8878" s="157">
        <v>0</v>
      </c>
      <c r="J8878" s="142">
        <v>11</v>
      </c>
      <c r="K8878" s="142">
        <v>0</v>
      </c>
      <c r="L8878" s="142">
        <v>0</v>
      </c>
      <c r="M8878" s="142">
        <v>0</v>
      </c>
      <c r="N8878" s="142">
        <v>0</v>
      </c>
      <c r="O8878" s="142">
        <v>0</v>
      </c>
      <c r="P8878" s="306">
        <v>1.2219139020000003</v>
      </c>
      <c r="Q8878" s="50" t="s">
        <v>9523</v>
      </c>
      <c r="R8878" s="303"/>
    </row>
    <row r="8879" spans="1:18" s="162" customFormat="1" ht="84" x14ac:dyDescent="0.25">
      <c r="A8879" s="184">
        <v>44429</v>
      </c>
      <c r="B8879" s="184">
        <v>44429</v>
      </c>
      <c r="C8879" s="138">
        <v>2021</v>
      </c>
      <c r="D8879" s="24" t="s">
        <v>141</v>
      </c>
      <c r="E8879" s="30" t="s">
        <v>142</v>
      </c>
      <c r="F8879" s="7" t="s">
        <v>67</v>
      </c>
      <c r="G8879" s="33" t="s">
        <v>4462</v>
      </c>
      <c r="H8879" s="311" t="s">
        <v>11986</v>
      </c>
      <c r="I8879" s="157">
        <v>0</v>
      </c>
      <c r="J8879" s="142">
        <v>9</v>
      </c>
      <c r="K8879" s="142">
        <v>0</v>
      </c>
      <c r="L8879" s="142">
        <v>0</v>
      </c>
      <c r="M8879" s="142">
        <v>0</v>
      </c>
      <c r="N8879" s="142">
        <v>0</v>
      </c>
      <c r="O8879" s="142">
        <v>0</v>
      </c>
      <c r="P8879" s="306">
        <v>0.14594818943023258</v>
      </c>
      <c r="Q8879" s="50" t="s">
        <v>9523</v>
      </c>
      <c r="R8879" s="303"/>
    </row>
    <row r="8880" spans="1:18" s="162" customFormat="1" ht="192" x14ac:dyDescent="0.25">
      <c r="A8880" s="184">
        <v>44430</v>
      </c>
      <c r="B8880" s="184">
        <v>44431</v>
      </c>
      <c r="C8880" s="138">
        <v>2021</v>
      </c>
      <c r="D8880" s="35" t="s">
        <v>28</v>
      </c>
      <c r="E8880" s="30" t="s">
        <v>133</v>
      </c>
      <c r="F8880" s="28" t="s">
        <v>151</v>
      </c>
      <c r="G8880" s="33" t="s">
        <v>2635</v>
      </c>
      <c r="H8880" s="311" t="s">
        <v>11987</v>
      </c>
      <c r="I8880" s="157">
        <v>1</v>
      </c>
      <c r="J8880" s="142">
        <v>12</v>
      </c>
      <c r="K8880" s="142">
        <v>0</v>
      </c>
      <c r="L8880" s="142">
        <v>0</v>
      </c>
      <c r="M8880" s="142">
        <v>0</v>
      </c>
      <c r="N8880" s="142">
        <v>1</v>
      </c>
      <c r="O8880" s="142">
        <v>0</v>
      </c>
      <c r="P8880" s="306">
        <v>7.1874000000000018E-3</v>
      </c>
      <c r="Q8880" s="50" t="s">
        <v>9523</v>
      </c>
      <c r="R8880" s="303"/>
    </row>
    <row r="8881" spans="1:18" s="162" customFormat="1" ht="84" x14ac:dyDescent="0.25">
      <c r="A8881" s="184">
        <v>44431</v>
      </c>
      <c r="B8881" s="184">
        <v>44432</v>
      </c>
      <c r="C8881" s="138">
        <v>2021</v>
      </c>
      <c r="D8881" s="24" t="s">
        <v>141</v>
      </c>
      <c r="E8881" s="30" t="s">
        <v>142</v>
      </c>
      <c r="F8881" s="7" t="s">
        <v>58</v>
      </c>
      <c r="G8881" s="33" t="s">
        <v>11988</v>
      </c>
      <c r="H8881" s="311" t="s">
        <v>11989</v>
      </c>
      <c r="I8881" s="157">
        <v>1</v>
      </c>
      <c r="J8881" s="142">
        <v>9</v>
      </c>
      <c r="K8881" s="142">
        <v>0</v>
      </c>
      <c r="L8881" s="142">
        <v>0</v>
      </c>
      <c r="M8881" s="142">
        <v>0</v>
      </c>
      <c r="N8881" s="142">
        <v>0</v>
      </c>
      <c r="O8881" s="142">
        <v>0</v>
      </c>
      <c r="P8881" s="306">
        <v>0.22778455700000005</v>
      </c>
      <c r="Q8881" s="50" t="s">
        <v>9523</v>
      </c>
      <c r="R8881" s="303"/>
    </row>
    <row r="8882" spans="1:18" s="162" customFormat="1" ht="84" x14ac:dyDescent="0.25">
      <c r="A8882" s="184">
        <v>44431</v>
      </c>
      <c r="B8882" s="184">
        <v>44432</v>
      </c>
      <c r="C8882" s="138">
        <v>2021</v>
      </c>
      <c r="D8882" s="351" t="s">
        <v>23</v>
      </c>
      <c r="E8882" s="22" t="s">
        <v>86</v>
      </c>
      <c r="F8882" s="28" t="s">
        <v>210</v>
      </c>
      <c r="G8882" s="33" t="s">
        <v>11990</v>
      </c>
      <c r="H8882" s="311" t="s">
        <v>11991</v>
      </c>
      <c r="I8882" s="157">
        <v>0</v>
      </c>
      <c r="J8882" s="142">
        <v>24</v>
      </c>
      <c r="K8882" s="142">
        <v>6</v>
      </c>
      <c r="L8882" s="142">
        <v>0</v>
      </c>
      <c r="M8882" s="142">
        <v>0</v>
      </c>
      <c r="N8882" s="142">
        <v>0</v>
      </c>
      <c r="O8882" s="142">
        <v>0</v>
      </c>
      <c r="P8882" s="306">
        <v>2.7951000000000004E-3</v>
      </c>
      <c r="Q8882" s="50" t="s">
        <v>9523</v>
      </c>
      <c r="R8882" s="303"/>
    </row>
    <row r="8883" spans="1:18" s="162" customFormat="1" ht="132" x14ac:dyDescent="0.25">
      <c r="A8883" s="184">
        <v>44432</v>
      </c>
      <c r="B8883" s="184">
        <v>44432</v>
      </c>
      <c r="C8883" s="138">
        <v>2021</v>
      </c>
      <c r="D8883" s="35" t="s">
        <v>28</v>
      </c>
      <c r="E8883" s="30" t="s">
        <v>133</v>
      </c>
      <c r="F8883" s="7" t="s">
        <v>53</v>
      </c>
      <c r="G8883" s="33" t="s">
        <v>2776</v>
      </c>
      <c r="H8883" s="311" t="s">
        <v>11992</v>
      </c>
      <c r="I8883" s="157">
        <v>1</v>
      </c>
      <c r="J8883" s="142">
        <v>5</v>
      </c>
      <c r="K8883" s="142">
        <v>0</v>
      </c>
      <c r="L8883" s="142">
        <v>0</v>
      </c>
      <c r="M8883" s="142">
        <v>0</v>
      </c>
      <c r="N8883" s="142">
        <v>0</v>
      </c>
      <c r="O8883" s="142">
        <v>0</v>
      </c>
      <c r="P8883" s="306">
        <v>0.22179505700000005</v>
      </c>
      <c r="Q8883" s="50" t="s">
        <v>9523</v>
      </c>
      <c r="R8883" s="303"/>
    </row>
    <row r="8884" spans="1:18" s="162" customFormat="1" ht="72" x14ac:dyDescent="0.25">
      <c r="A8884" s="184">
        <v>44433</v>
      </c>
      <c r="B8884" s="184">
        <v>44433</v>
      </c>
      <c r="C8884" s="138">
        <v>2021</v>
      </c>
      <c r="D8884" s="24" t="s">
        <v>141</v>
      </c>
      <c r="E8884" s="30" t="s">
        <v>142</v>
      </c>
      <c r="F8884" s="7" t="s">
        <v>49</v>
      </c>
      <c r="G8884" s="33" t="s">
        <v>11464</v>
      </c>
      <c r="H8884" s="311" t="s">
        <v>11993</v>
      </c>
      <c r="I8884" s="157">
        <v>0</v>
      </c>
      <c r="J8884" s="142">
        <v>2</v>
      </c>
      <c r="K8884" s="142">
        <v>0</v>
      </c>
      <c r="L8884" s="142">
        <v>0</v>
      </c>
      <c r="M8884" s="142">
        <v>0</v>
      </c>
      <c r="N8884" s="142">
        <v>0</v>
      </c>
      <c r="O8884" s="142">
        <v>0</v>
      </c>
      <c r="P8884" s="306">
        <v>0</v>
      </c>
      <c r="Q8884" s="50" t="s">
        <v>9523</v>
      </c>
      <c r="R8884" s="303"/>
    </row>
    <row r="8885" spans="1:18" s="162" customFormat="1" ht="180" x14ac:dyDescent="0.25">
      <c r="A8885" s="184">
        <v>44433</v>
      </c>
      <c r="B8885" s="184">
        <v>44446</v>
      </c>
      <c r="C8885" s="138">
        <v>2021</v>
      </c>
      <c r="D8885" s="351" t="s">
        <v>23</v>
      </c>
      <c r="E8885" s="22" t="s">
        <v>86</v>
      </c>
      <c r="F8885" s="28" t="s">
        <v>210</v>
      </c>
      <c r="G8885" s="33" t="s">
        <v>11994</v>
      </c>
      <c r="H8885" s="311" t="s">
        <v>11995</v>
      </c>
      <c r="I8885" s="157">
        <v>0</v>
      </c>
      <c r="J8885" s="142">
        <v>19528</v>
      </c>
      <c r="K8885" s="142">
        <v>4865</v>
      </c>
      <c r="L8885" s="142">
        <v>6</v>
      </c>
      <c r="M8885" s="142">
        <v>0</v>
      </c>
      <c r="N8885" s="142">
        <v>0</v>
      </c>
      <c r="O8885" s="142">
        <v>0</v>
      </c>
      <c r="P8885" s="306">
        <v>3.2450158125000002</v>
      </c>
      <c r="Q8885" s="50" t="s">
        <v>11859</v>
      </c>
      <c r="R8885" s="303"/>
    </row>
    <row r="8886" spans="1:18" s="162" customFormat="1" ht="96" x14ac:dyDescent="0.25">
      <c r="A8886" s="184">
        <v>44435</v>
      </c>
      <c r="B8886" s="184">
        <v>44435</v>
      </c>
      <c r="C8886" s="138">
        <v>2021</v>
      </c>
      <c r="D8886" s="24" t="s">
        <v>141</v>
      </c>
      <c r="E8886" s="30" t="s">
        <v>142</v>
      </c>
      <c r="F8886" s="7" t="s">
        <v>60</v>
      </c>
      <c r="G8886" s="33" t="s">
        <v>705</v>
      </c>
      <c r="H8886" s="311" t="s">
        <v>11996</v>
      </c>
      <c r="I8886" s="157">
        <v>0</v>
      </c>
      <c r="J8886" s="142">
        <v>1</v>
      </c>
      <c r="K8886" s="142">
        <v>0</v>
      </c>
      <c r="L8886" s="142">
        <v>0</v>
      </c>
      <c r="M8886" s="142">
        <v>0</v>
      </c>
      <c r="N8886" s="142">
        <v>0</v>
      </c>
      <c r="O8886" s="142">
        <v>0</v>
      </c>
      <c r="P8886" s="306">
        <v>3.2171601000000008E-2</v>
      </c>
      <c r="Q8886" s="50" t="s">
        <v>9523</v>
      </c>
      <c r="R8886" s="303"/>
    </row>
    <row r="8887" spans="1:18" s="162" customFormat="1" ht="36" x14ac:dyDescent="0.25">
      <c r="A8887" s="184">
        <v>44435</v>
      </c>
      <c r="B8887" s="184">
        <v>44437</v>
      </c>
      <c r="C8887" s="138">
        <v>2021</v>
      </c>
      <c r="D8887" s="351" t="s">
        <v>23</v>
      </c>
      <c r="E8887" s="14" t="s">
        <v>32</v>
      </c>
      <c r="F8887" s="7" t="s">
        <v>62</v>
      </c>
      <c r="G8887" s="33" t="s">
        <v>11997</v>
      </c>
      <c r="H8887" s="311" t="s">
        <v>11998</v>
      </c>
      <c r="I8887" s="157">
        <v>0</v>
      </c>
      <c r="J8887" s="142">
        <v>2413</v>
      </c>
      <c r="K8887" s="142">
        <v>0</v>
      </c>
      <c r="L8887" s="142">
        <v>0</v>
      </c>
      <c r="M8887" s="142">
        <v>0</v>
      </c>
      <c r="N8887" s="142">
        <v>0</v>
      </c>
      <c r="O8887" s="142">
        <v>0</v>
      </c>
      <c r="P8887" s="306">
        <v>641.99188300000003</v>
      </c>
      <c r="Q8887" s="50" t="s">
        <v>11852</v>
      </c>
      <c r="R8887" s="303"/>
    </row>
    <row r="8888" spans="1:18" s="162" customFormat="1" ht="36" x14ac:dyDescent="0.25">
      <c r="A8888" s="184">
        <v>44436</v>
      </c>
      <c r="B8888" s="184">
        <v>44437</v>
      </c>
      <c r="C8888" s="138">
        <v>2021</v>
      </c>
      <c r="D8888" s="351" t="s">
        <v>23</v>
      </c>
      <c r="E8888" s="14" t="s">
        <v>32</v>
      </c>
      <c r="F8888" s="7" t="s">
        <v>47</v>
      </c>
      <c r="G8888" s="33" t="s">
        <v>11999</v>
      </c>
      <c r="H8888" s="311" t="s">
        <v>12000</v>
      </c>
      <c r="I8888" s="157">
        <v>0</v>
      </c>
      <c r="J8888" s="142">
        <v>0</v>
      </c>
      <c r="K8888" s="142">
        <v>0</v>
      </c>
      <c r="L8888" s="142">
        <v>0</v>
      </c>
      <c r="M8888" s="142">
        <v>0</v>
      </c>
      <c r="N8888" s="142">
        <v>0</v>
      </c>
      <c r="O8888" s="142">
        <v>0</v>
      </c>
      <c r="P8888" s="306">
        <v>302.47181358</v>
      </c>
      <c r="Q8888" s="50" t="s">
        <v>11801</v>
      </c>
      <c r="R8888" s="303"/>
    </row>
    <row r="8889" spans="1:18" s="162" customFormat="1" ht="48" x14ac:dyDescent="0.25">
      <c r="A8889" s="184">
        <v>44436</v>
      </c>
      <c r="B8889" s="184">
        <v>44438</v>
      </c>
      <c r="C8889" s="138">
        <v>2021</v>
      </c>
      <c r="D8889" s="351" t="s">
        <v>23</v>
      </c>
      <c r="E8889" s="14" t="s">
        <v>32</v>
      </c>
      <c r="F8889" s="7" t="s">
        <v>67</v>
      </c>
      <c r="G8889" s="33" t="s">
        <v>12001</v>
      </c>
      <c r="H8889" s="311" t="s">
        <v>12002</v>
      </c>
      <c r="I8889" s="157">
        <v>0</v>
      </c>
      <c r="J8889" s="142">
        <v>0</v>
      </c>
      <c r="K8889" s="142">
        <v>0</v>
      </c>
      <c r="L8889" s="142">
        <v>0</v>
      </c>
      <c r="M8889" s="142">
        <v>0</v>
      </c>
      <c r="N8889" s="142">
        <v>0</v>
      </c>
      <c r="O8889" s="142">
        <v>0</v>
      </c>
      <c r="P8889" s="306">
        <v>725.36366760999999</v>
      </c>
      <c r="Q8889" s="50" t="s">
        <v>11801</v>
      </c>
      <c r="R8889" s="303"/>
    </row>
    <row r="8890" spans="1:18" s="162" customFormat="1" ht="72" x14ac:dyDescent="0.25">
      <c r="A8890" s="184">
        <v>44436</v>
      </c>
      <c r="B8890" s="184">
        <v>44436</v>
      </c>
      <c r="C8890" s="138">
        <v>2021</v>
      </c>
      <c r="D8890" s="24" t="s">
        <v>141</v>
      </c>
      <c r="E8890" s="30" t="s">
        <v>142</v>
      </c>
      <c r="F8890" s="7" t="s">
        <v>84</v>
      </c>
      <c r="G8890" s="33" t="s">
        <v>12003</v>
      </c>
      <c r="H8890" s="311" t="s">
        <v>12004</v>
      </c>
      <c r="I8890" s="157">
        <v>0</v>
      </c>
      <c r="J8890" s="142">
        <v>4</v>
      </c>
      <c r="K8890" s="142">
        <v>0</v>
      </c>
      <c r="L8890" s="142">
        <v>0</v>
      </c>
      <c r="M8890" s="142">
        <v>0</v>
      </c>
      <c r="N8890" s="142">
        <v>0</v>
      </c>
      <c r="O8890" s="142">
        <v>0</v>
      </c>
      <c r="P8890" s="306">
        <v>4.7916000000000009E-3</v>
      </c>
      <c r="Q8890" s="50" t="s">
        <v>9523</v>
      </c>
      <c r="R8890" s="303"/>
    </row>
    <row r="8891" spans="1:18" s="162" customFormat="1" ht="36" x14ac:dyDescent="0.25">
      <c r="A8891" s="184">
        <v>44436</v>
      </c>
      <c r="B8891" s="184">
        <v>44438</v>
      </c>
      <c r="C8891" s="138">
        <v>2021</v>
      </c>
      <c r="D8891" s="351" t="s">
        <v>23</v>
      </c>
      <c r="E8891" s="14" t="s">
        <v>32</v>
      </c>
      <c r="F8891" s="7" t="s">
        <v>84</v>
      </c>
      <c r="G8891" s="312" t="s">
        <v>12005</v>
      </c>
      <c r="H8891" s="33" t="s">
        <v>12006</v>
      </c>
      <c r="I8891" s="157">
        <v>0</v>
      </c>
      <c r="J8891" s="142">
        <v>31984</v>
      </c>
      <c r="K8891" s="142">
        <v>1450</v>
      </c>
      <c r="L8891" s="142">
        <v>11</v>
      </c>
      <c r="M8891" s="142">
        <v>0</v>
      </c>
      <c r="N8891" s="142">
        <v>167</v>
      </c>
      <c r="O8891" s="20">
        <v>0</v>
      </c>
      <c r="P8891" s="306">
        <v>1311.5744999999999</v>
      </c>
      <c r="Q8891" s="50" t="s">
        <v>209</v>
      </c>
      <c r="R8891" s="303"/>
    </row>
    <row r="8892" spans="1:18" s="162" customFormat="1" ht="48" x14ac:dyDescent="0.25">
      <c r="A8892" s="184">
        <v>44436</v>
      </c>
      <c r="B8892" s="184">
        <v>44437</v>
      </c>
      <c r="C8892" s="138">
        <v>2021</v>
      </c>
      <c r="D8892" s="351" t="s">
        <v>23</v>
      </c>
      <c r="E8892" s="14" t="s">
        <v>32</v>
      </c>
      <c r="F8892" s="7" t="s">
        <v>60</v>
      </c>
      <c r="G8892" s="33" t="s">
        <v>12007</v>
      </c>
      <c r="H8892" s="311" t="s">
        <v>12008</v>
      </c>
      <c r="I8892" s="157">
        <v>0</v>
      </c>
      <c r="J8892" s="142">
        <v>6451</v>
      </c>
      <c r="K8892" s="142">
        <v>0</v>
      </c>
      <c r="L8892" s="142">
        <v>0</v>
      </c>
      <c r="M8892" s="142">
        <v>0</v>
      </c>
      <c r="N8892" s="142">
        <v>0</v>
      </c>
      <c r="O8892" s="142">
        <v>0</v>
      </c>
      <c r="P8892" s="306">
        <v>874.90278350999995</v>
      </c>
      <c r="Q8892" s="50" t="s">
        <v>11852</v>
      </c>
      <c r="R8892" s="303"/>
    </row>
    <row r="8893" spans="1:18" s="162" customFormat="1" ht="48" x14ac:dyDescent="0.25">
      <c r="A8893" s="184">
        <v>44440</v>
      </c>
      <c r="B8893" s="184">
        <v>44440</v>
      </c>
      <c r="C8893" s="138">
        <v>2021</v>
      </c>
      <c r="D8893" s="24" t="s">
        <v>141</v>
      </c>
      <c r="E8893" s="30" t="s">
        <v>142</v>
      </c>
      <c r="F8893" s="25" t="s">
        <v>781</v>
      </c>
      <c r="G8893" s="33" t="s">
        <v>2840</v>
      </c>
      <c r="H8893" s="311" t="s">
        <v>12009</v>
      </c>
      <c r="I8893" s="157">
        <v>1</v>
      </c>
      <c r="J8893" s="142">
        <v>1</v>
      </c>
      <c r="K8893" s="142">
        <v>0</v>
      </c>
      <c r="L8893" s="142">
        <v>0</v>
      </c>
      <c r="M8893" s="142">
        <v>0</v>
      </c>
      <c r="N8893" s="142">
        <v>0</v>
      </c>
      <c r="O8893" s="142">
        <v>0</v>
      </c>
      <c r="P8893" s="306">
        <v>0</v>
      </c>
      <c r="Q8893" s="50" t="s">
        <v>9523</v>
      </c>
      <c r="R8893" s="303"/>
    </row>
    <row r="8894" spans="1:18" s="162" customFormat="1" ht="144" x14ac:dyDescent="0.25">
      <c r="A8894" s="184">
        <v>44440</v>
      </c>
      <c r="B8894" s="184">
        <v>44440</v>
      </c>
      <c r="C8894" s="138">
        <v>2021</v>
      </c>
      <c r="D8894" s="24" t="s">
        <v>141</v>
      </c>
      <c r="E8894" s="30" t="s">
        <v>142</v>
      </c>
      <c r="F8894" s="7" t="s">
        <v>72</v>
      </c>
      <c r="G8894" s="33" t="s">
        <v>12010</v>
      </c>
      <c r="H8894" s="311" t="s">
        <v>12011</v>
      </c>
      <c r="I8894" s="157">
        <v>1</v>
      </c>
      <c r="J8894" s="142">
        <v>25</v>
      </c>
      <c r="K8894" s="142">
        <v>0</v>
      </c>
      <c r="L8894" s="142">
        <v>0</v>
      </c>
      <c r="M8894" s="142">
        <v>0</v>
      </c>
      <c r="N8894" s="142">
        <v>0</v>
      </c>
      <c r="O8894" s="142">
        <v>0</v>
      </c>
      <c r="P8894" s="306">
        <v>0.88444950000000011</v>
      </c>
      <c r="Q8894" s="50" t="s">
        <v>9523</v>
      </c>
      <c r="R8894" s="303"/>
    </row>
    <row r="8895" spans="1:18" s="162" customFormat="1" ht="96" x14ac:dyDescent="0.25">
      <c r="A8895" s="184">
        <v>44440</v>
      </c>
      <c r="B8895" s="184">
        <v>44440</v>
      </c>
      <c r="C8895" s="138">
        <v>2021</v>
      </c>
      <c r="D8895" s="351" t="s">
        <v>23</v>
      </c>
      <c r="E8895" s="22" t="s">
        <v>86</v>
      </c>
      <c r="F8895" s="28" t="s">
        <v>210</v>
      </c>
      <c r="G8895" s="33" t="s">
        <v>12012</v>
      </c>
      <c r="H8895" s="311" t="s">
        <v>12013</v>
      </c>
      <c r="I8895" s="157">
        <v>0</v>
      </c>
      <c r="J8895" s="142">
        <v>40</v>
      </c>
      <c r="K8895" s="142">
        <v>10</v>
      </c>
      <c r="L8895" s="142">
        <v>0</v>
      </c>
      <c r="M8895" s="142">
        <v>0</v>
      </c>
      <c r="N8895" s="142">
        <v>0</v>
      </c>
      <c r="O8895" s="142">
        <v>0</v>
      </c>
      <c r="P8895" s="306">
        <v>6.6701249999999998E-3</v>
      </c>
      <c r="Q8895" s="50" t="s">
        <v>9523</v>
      </c>
      <c r="R8895" s="303"/>
    </row>
    <row r="8896" spans="1:18" s="162" customFormat="1" ht="156" x14ac:dyDescent="0.25">
      <c r="A8896" s="184">
        <v>44440</v>
      </c>
      <c r="B8896" s="184">
        <v>44440</v>
      </c>
      <c r="C8896" s="138">
        <v>2021</v>
      </c>
      <c r="D8896" s="351" t="s">
        <v>23</v>
      </c>
      <c r="E8896" s="22" t="s">
        <v>86</v>
      </c>
      <c r="F8896" s="25" t="s">
        <v>781</v>
      </c>
      <c r="G8896" s="33" t="s">
        <v>8012</v>
      </c>
      <c r="H8896" s="311" t="s">
        <v>12014</v>
      </c>
      <c r="I8896" s="157">
        <v>0</v>
      </c>
      <c r="J8896" s="142">
        <v>19</v>
      </c>
      <c r="K8896" s="142">
        <v>3</v>
      </c>
      <c r="L8896" s="142">
        <v>0</v>
      </c>
      <c r="M8896" s="142">
        <v>0</v>
      </c>
      <c r="N8896" s="142">
        <v>0</v>
      </c>
      <c r="O8896" s="142">
        <v>0</v>
      </c>
      <c r="P8896" s="306">
        <v>0.53879787500000009</v>
      </c>
      <c r="Q8896" s="50" t="s">
        <v>9523</v>
      </c>
      <c r="R8896" s="303"/>
    </row>
    <row r="8897" spans="1:18" s="162" customFormat="1" ht="84" x14ac:dyDescent="0.25">
      <c r="A8897" s="184">
        <v>44440</v>
      </c>
      <c r="B8897" s="184">
        <v>44441</v>
      </c>
      <c r="C8897" s="138">
        <v>2021</v>
      </c>
      <c r="D8897" s="351" t="s">
        <v>23</v>
      </c>
      <c r="E8897" s="22" t="s">
        <v>86</v>
      </c>
      <c r="F8897" s="28" t="s">
        <v>210</v>
      </c>
      <c r="G8897" s="33" t="s">
        <v>12015</v>
      </c>
      <c r="H8897" s="311" t="s">
        <v>12016</v>
      </c>
      <c r="I8897" s="157">
        <v>0</v>
      </c>
      <c r="J8897" s="142">
        <v>48</v>
      </c>
      <c r="K8897" s="142">
        <v>12</v>
      </c>
      <c r="L8897" s="142">
        <v>0</v>
      </c>
      <c r="M8897" s="142">
        <v>0</v>
      </c>
      <c r="N8897" s="142">
        <v>0</v>
      </c>
      <c r="O8897" s="142">
        <v>0</v>
      </c>
      <c r="P8897" s="306">
        <v>1.60083E-2</v>
      </c>
      <c r="Q8897" s="50" t="s">
        <v>9523</v>
      </c>
      <c r="R8897" s="303"/>
    </row>
    <row r="8898" spans="1:18" s="162" customFormat="1" ht="180" x14ac:dyDescent="0.25">
      <c r="A8898" s="184">
        <v>44440</v>
      </c>
      <c r="B8898" s="184">
        <v>44467</v>
      </c>
      <c r="C8898" s="138">
        <v>2021</v>
      </c>
      <c r="D8898" s="351" t="s">
        <v>23</v>
      </c>
      <c r="E8898" s="14" t="s">
        <v>52</v>
      </c>
      <c r="F8898" s="7" t="s">
        <v>75</v>
      </c>
      <c r="G8898" s="33" t="s">
        <v>10717</v>
      </c>
      <c r="H8898" s="311" t="s">
        <v>12017</v>
      </c>
      <c r="I8898" s="157">
        <v>2</v>
      </c>
      <c r="J8898" s="142">
        <v>3</v>
      </c>
      <c r="K8898" s="142">
        <v>0</v>
      </c>
      <c r="L8898" s="142">
        <v>0</v>
      </c>
      <c r="M8898" s="142">
        <v>0</v>
      </c>
      <c r="N8898" s="142">
        <v>0</v>
      </c>
      <c r="O8898" s="142">
        <v>0</v>
      </c>
      <c r="P8898" s="306">
        <v>0</v>
      </c>
      <c r="Q8898" s="50" t="s">
        <v>9523</v>
      </c>
      <c r="R8898" s="303"/>
    </row>
    <row r="8899" spans="1:18" s="162" customFormat="1" ht="144" x14ac:dyDescent="0.25">
      <c r="A8899" s="184">
        <v>44441</v>
      </c>
      <c r="B8899" s="184">
        <v>44441</v>
      </c>
      <c r="C8899" s="138">
        <v>2021</v>
      </c>
      <c r="D8899" s="351" t="s">
        <v>23</v>
      </c>
      <c r="E8899" s="22" t="s">
        <v>86</v>
      </c>
      <c r="F8899" s="7" t="s">
        <v>53</v>
      </c>
      <c r="G8899" s="33" t="s">
        <v>1502</v>
      </c>
      <c r="H8899" s="311" t="s">
        <v>12018</v>
      </c>
      <c r="I8899" s="157">
        <v>0</v>
      </c>
      <c r="J8899" s="142">
        <v>564</v>
      </c>
      <c r="K8899" s="142">
        <v>141</v>
      </c>
      <c r="L8899" s="142">
        <v>0</v>
      </c>
      <c r="M8899" s="142">
        <v>0</v>
      </c>
      <c r="N8899" s="142">
        <v>0</v>
      </c>
      <c r="O8899" s="142">
        <v>0</v>
      </c>
      <c r="P8899" s="306">
        <v>0.13473652500000002</v>
      </c>
      <c r="Q8899" s="50" t="s">
        <v>9523</v>
      </c>
      <c r="R8899" s="303"/>
    </row>
    <row r="8900" spans="1:18" s="162" customFormat="1" ht="72" x14ac:dyDescent="0.25">
      <c r="A8900" s="184">
        <v>44441</v>
      </c>
      <c r="B8900" s="184">
        <v>44441</v>
      </c>
      <c r="C8900" s="138">
        <v>2021</v>
      </c>
      <c r="D8900" s="24" t="s">
        <v>141</v>
      </c>
      <c r="E8900" s="30" t="s">
        <v>142</v>
      </c>
      <c r="F8900" s="7" t="s">
        <v>87</v>
      </c>
      <c r="G8900" s="33" t="s">
        <v>12019</v>
      </c>
      <c r="H8900" s="311" t="s">
        <v>12020</v>
      </c>
      <c r="I8900" s="157">
        <v>16</v>
      </c>
      <c r="J8900" s="142">
        <v>38</v>
      </c>
      <c r="K8900" s="142">
        <v>0</v>
      </c>
      <c r="L8900" s="142">
        <v>0</v>
      </c>
      <c r="M8900" s="142">
        <v>0</v>
      </c>
      <c r="N8900" s="142">
        <v>0</v>
      </c>
      <c r="O8900" s="142">
        <v>0</v>
      </c>
      <c r="P8900" s="306">
        <v>2.1947285848604654</v>
      </c>
      <c r="Q8900" s="50" t="s">
        <v>9523</v>
      </c>
      <c r="R8900" s="303"/>
    </row>
    <row r="8901" spans="1:18" s="162" customFormat="1" ht="216" x14ac:dyDescent="0.25">
      <c r="A8901" s="184">
        <v>44441</v>
      </c>
      <c r="B8901" s="184">
        <v>44441</v>
      </c>
      <c r="C8901" s="138">
        <v>2021</v>
      </c>
      <c r="D8901" s="351" t="s">
        <v>23</v>
      </c>
      <c r="E8901" s="22" t="s">
        <v>86</v>
      </c>
      <c r="F8901" s="7" t="s">
        <v>65</v>
      </c>
      <c r="G8901" s="33" t="s">
        <v>12021</v>
      </c>
      <c r="H8901" s="311" t="s">
        <v>12022</v>
      </c>
      <c r="I8901" s="157">
        <v>0</v>
      </c>
      <c r="J8901" s="142">
        <v>74</v>
      </c>
      <c r="K8901" s="142">
        <v>18</v>
      </c>
      <c r="L8901" s="142">
        <v>0</v>
      </c>
      <c r="M8901" s="142">
        <v>0</v>
      </c>
      <c r="N8901" s="142">
        <v>0</v>
      </c>
      <c r="O8901" s="142">
        <v>0</v>
      </c>
      <c r="P8901" s="306">
        <v>0.23697245000000003</v>
      </c>
      <c r="Q8901" s="50" t="s">
        <v>9523</v>
      </c>
      <c r="R8901" s="303"/>
    </row>
    <row r="8902" spans="1:18" s="162" customFormat="1" ht="228" x14ac:dyDescent="0.25">
      <c r="A8902" s="184">
        <v>44441</v>
      </c>
      <c r="B8902" s="184">
        <v>44441</v>
      </c>
      <c r="C8902" s="138">
        <v>2021</v>
      </c>
      <c r="D8902" s="351" t="s">
        <v>23</v>
      </c>
      <c r="E8902" s="22" t="s">
        <v>86</v>
      </c>
      <c r="F8902" s="7" t="s">
        <v>62</v>
      </c>
      <c r="G8902" s="33" t="s">
        <v>12023</v>
      </c>
      <c r="H8902" s="311" t="s">
        <v>12024</v>
      </c>
      <c r="I8902" s="157">
        <v>0</v>
      </c>
      <c r="J8902" s="142">
        <v>400</v>
      </c>
      <c r="K8902" s="142">
        <v>100</v>
      </c>
      <c r="L8902" s="142">
        <v>0</v>
      </c>
      <c r="M8902" s="142">
        <v>0</v>
      </c>
      <c r="N8902" s="142">
        <v>0</v>
      </c>
      <c r="O8902" s="142">
        <v>0</v>
      </c>
      <c r="P8902" s="306">
        <v>0.13340250000000001</v>
      </c>
      <c r="Q8902" s="50" t="s">
        <v>9523</v>
      </c>
      <c r="R8902" s="303"/>
    </row>
    <row r="8903" spans="1:18" s="162" customFormat="1" ht="372" x14ac:dyDescent="0.25">
      <c r="A8903" s="184">
        <v>44441</v>
      </c>
      <c r="B8903" s="184">
        <v>44441</v>
      </c>
      <c r="C8903" s="138">
        <v>2021</v>
      </c>
      <c r="D8903" s="351" t="s">
        <v>23</v>
      </c>
      <c r="E8903" s="22" t="s">
        <v>86</v>
      </c>
      <c r="F8903" s="7" t="s">
        <v>53</v>
      </c>
      <c r="G8903" s="33" t="s">
        <v>12025</v>
      </c>
      <c r="H8903" s="311" t="s">
        <v>12026</v>
      </c>
      <c r="I8903" s="157">
        <v>0</v>
      </c>
      <c r="J8903" s="142">
        <v>683</v>
      </c>
      <c r="K8903" s="142">
        <v>166</v>
      </c>
      <c r="L8903" s="142">
        <v>0</v>
      </c>
      <c r="M8903" s="142">
        <v>0</v>
      </c>
      <c r="N8903" s="142">
        <v>0</v>
      </c>
      <c r="O8903" s="142">
        <v>0</v>
      </c>
      <c r="P8903" s="306">
        <v>0.38104715</v>
      </c>
      <c r="Q8903" s="50" t="s">
        <v>9523</v>
      </c>
      <c r="R8903" s="303"/>
    </row>
    <row r="8904" spans="1:18" s="162" customFormat="1" ht="60" x14ac:dyDescent="0.25">
      <c r="A8904" s="184">
        <v>44441</v>
      </c>
      <c r="B8904" s="184">
        <v>44442</v>
      </c>
      <c r="C8904" s="138">
        <v>2021</v>
      </c>
      <c r="D8904" s="35" t="s">
        <v>17</v>
      </c>
      <c r="E8904" s="6" t="s">
        <v>328</v>
      </c>
      <c r="F8904" s="7" t="s">
        <v>75</v>
      </c>
      <c r="G8904" s="33" t="s">
        <v>6019</v>
      </c>
      <c r="H8904" s="311" t="s">
        <v>12027</v>
      </c>
      <c r="I8904" s="157">
        <v>0</v>
      </c>
      <c r="J8904" s="142">
        <v>39</v>
      </c>
      <c r="K8904" s="142">
        <v>3</v>
      </c>
      <c r="L8904" s="142">
        <v>0</v>
      </c>
      <c r="M8904" s="142">
        <v>0</v>
      </c>
      <c r="N8904" s="142">
        <v>0</v>
      </c>
      <c r="O8904" s="142">
        <v>0</v>
      </c>
      <c r="P8904" s="306">
        <v>0.10672200000000003</v>
      </c>
      <c r="Q8904" s="50" t="s">
        <v>9523</v>
      </c>
      <c r="R8904" s="303"/>
    </row>
    <row r="8905" spans="1:18" s="162" customFormat="1" ht="132" x14ac:dyDescent="0.25">
      <c r="A8905" s="184">
        <v>44441</v>
      </c>
      <c r="B8905" s="184">
        <v>44442</v>
      </c>
      <c r="C8905" s="138">
        <v>2021</v>
      </c>
      <c r="D8905" s="35" t="s">
        <v>28</v>
      </c>
      <c r="E8905" s="30" t="s">
        <v>133</v>
      </c>
      <c r="F8905" s="7" t="s">
        <v>56</v>
      </c>
      <c r="G8905" s="33" t="s">
        <v>10469</v>
      </c>
      <c r="H8905" s="311" t="s">
        <v>12028</v>
      </c>
      <c r="I8905" s="157">
        <v>0</v>
      </c>
      <c r="J8905" s="142">
        <v>7</v>
      </c>
      <c r="K8905" s="142">
        <v>0</v>
      </c>
      <c r="L8905" s="142">
        <v>0</v>
      </c>
      <c r="M8905" s="142">
        <v>0</v>
      </c>
      <c r="N8905" s="142">
        <v>1</v>
      </c>
      <c r="O8905" s="142">
        <v>0</v>
      </c>
      <c r="P8905" s="306">
        <v>8.3853000000000035E-3</v>
      </c>
      <c r="Q8905" s="50" t="s">
        <v>9523</v>
      </c>
      <c r="R8905" s="303"/>
    </row>
    <row r="8906" spans="1:18" s="162" customFormat="1" ht="409.5" x14ac:dyDescent="0.25">
      <c r="A8906" s="184">
        <v>44441</v>
      </c>
      <c r="B8906" s="184">
        <v>44441</v>
      </c>
      <c r="C8906" s="138">
        <v>2021</v>
      </c>
      <c r="D8906" s="351" t="s">
        <v>23</v>
      </c>
      <c r="E8906" s="22" t="s">
        <v>86</v>
      </c>
      <c r="F8906" s="7" t="s">
        <v>65</v>
      </c>
      <c r="G8906" s="33" t="s">
        <v>12029</v>
      </c>
      <c r="H8906" s="311" t="s">
        <v>12030</v>
      </c>
      <c r="I8906" s="157">
        <v>3</v>
      </c>
      <c r="J8906" s="142">
        <v>1388</v>
      </c>
      <c r="K8906" s="142">
        <v>347</v>
      </c>
      <c r="L8906" s="142">
        <v>0</v>
      </c>
      <c r="M8906" s="142">
        <v>0</v>
      </c>
      <c r="N8906" s="142">
        <v>0</v>
      </c>
      <c r="O8906" s="142">
        <v>0</v>
      </c>
      <c r="P8906" s="306">
        <v>6.8517066750000009</v>
      </c>
      <c r="Q8906" s="50" t="s">
        <v>9523</v>
      </c>
      <c r="R8906" s="303"/>
    </row>
    <row r="8907" spans="1:18" s="162" customFormat="1" ht="396" x14ac:dyDescent="0.25">
      <c r="A8907" s="184">
        <v>44443</v>
      </c>
      <c r="B8907" s="184">
        <v>44445</v>
      </c>
      <c r="C8907" s="138">
        <v>2021</v>
      </c>
      <c r="D8907" s="351" t="s">
        <v>23</v>
      </c>
      <c r="E8907" s="22" t="s">
        <v>86</v>
      </c>
      <c r="F8907" s="7" t="s">
        <v>60</v>
      </c>
      <c r="G8907" s="33" t="s">
        <v>12031</v>
      </c>
      <c r="H8907" s="311" t="s">
        <v>12032</v>
      </c>
      <c r="I8907" s="157">
        <v>0</v>
      </c>
      <c r="J8907" s="142">
        <v>389</v>
      </c>
      <c r="K8907" s="142">
        <v>90</v>
      </c>
      <c r="L8907" s="142">
        <v>1</v>
      </c>
      <c r="M8907" s="142">
        <v>0</v>
      </c>
      <c r="N8907" s="142">
        <v>0</v>
      </c>
      <c r="O8907" s="142">
        <v>0</v>
      </c>
      <c r="P8907" s="306">
        <v>0.43950225000000004</v>
      </c>
      <c r="Q8907" s="50" t="s">
        <v>9523</v>
      </c>
      <c r="R8907" s="303"/>
    </row>
    <row r="8908" spans="1:18" s="162" customFormat="1" ht="108" x14ac:dyDescent="0.25">
      <c r="A8908" s="184">
        <v>44444</v>
      </c>
      <c r="B8908" s="184">
        <v>44445</v>
      </c>
      <c r="C8908" s="138">
        <v>2021</v>
      </c>
      <c r="D8908" s="351" t="s">
        <v>23</v>
      </c>
      <c r="E8908" s="22" t="s">
        <v>86</v>
      </c>
      <c r="F8908" s="7" t="s">
        <v>58</v>
      </c>
      <c r="G8908" s="33" t="s">
        <v>12033</v>
      </c>
      <c r="H8908" s="311" t="s">
        <v>12034</v>
      </c>
      <c r="I8908" s="157">
        <v>0</v>
      </c>
      <c r="J8908" s="142">
        <v>120</v>
      </c>
      <c r="K8908" s="142">
        <v>30</v>
      </c>
      <c r="L8908" s="142">
        <v>0</v>
      </c>
      <c r="M8908" s="142">
        <v>0</v>
      </c>
      <c r="N8908" s="142">
        <v>0</v>
      </c>
      <c r="O8908" s="142">
        <v>0</v>
      </c>
      <c r="P8908" s="306">
        <v>4.0020750000000001E-2</v>
      </c>
      <c r="Q8908" s="50" t="s">
        <v>9523</v>
      </c>
      <c r="R8908" s="303"/>
    </row>
    <row r="8909" spans="1:18" s="162" customFormat="1" ht="108" x14ac:dyDescent="0.25">
      <c r="A8909" s="184">
        <v>44444</v>
      </c>
      <c r="B8909" s="184">
        <v>44445</v>
      </c>
      <c r="C8909" s="138">
        <v>2021</v>
      </c>
      <c r="D8909" s="351" t="s">
        <v>23</v>
      </c>
      <c r="E8909" s="22" t="s">
        <v>86</v>
      </c>
      <c r="F8909" s="7" t="s">
        <v>36</v>
      </c>
      <c r="G8909" s="33" t="s">
        <v>12035</v>
      </c>
      <c r="H8909" s="311" t="s">
        <v>12036</v>
      </c>
      <c r="I8909" s="157">
        <v>0</v>
      </c>
      <c r="J8909" s="142">
        <v>0</v>
      </c>
      <c r="K8909" s="142">
        <v>0</v>
      </c>
      <c r="L8909" s="142">
        <v>0</v>
      </c>
      <c r="M8909" s="142">
        <v>0</v>
      </c>
      <c r="N8909" s="142">
        <v>0</v>
      </c>
      <c r="O8909" s="142">
        <v>0</v>
      </c>
      <c r="P8909" s="306">
        <v>0</v>
      </c>
      <c r="Q8909" s="50" t="s">
        <v>9523</v>
      </c>
      <c r="R8909" s="303"/>
    </row>
    <row r="8910" spans="1:18" s="162" customFormat="1" ht="409.5" x14ac:dyDescent="0.25">
      <c r="A8910" s="184">
        <v>44444</v>
      </c>
      <c r="B8910" s="184">
        <v>44466</v>
      </c>
      <c r="C8910" s="138">
        <v>2021</v>
      </c>
      <c r="D8910" s="351" t="s">
        <v>23</v>
      </c>
      <c r="E8910" s="22" t="s">
        <v>86</v>
      </c>
      <c r="F8910" s="7" t="s">
        <v>56</v>
      </c>
      <c r="G8910" s="33" t="s">
        <v>12037</v>
      </c>
      <c r="H8910" s="311" t="s">
        <v>12038</v>
      </c>
      <c r="I8910" s="157">
        <v>0</v>
      </c>
      <c r="J8910" s="142">
        <v>1763</v>
      </c>
      <c r="K8910" s="142">
        <v>432</v>
      </c>
      <c r="L8910" s="142">
        <v>1</v>
      </c>
      <c r="M8910" s="142">
        <v>0</v>
      </c>
      <c r="N8910" s="142">
        <v>0</v>
      </c>
      <c r="O8910" s="142">
        <v>0</v>
      </c>
      <c r="P8910" s="306">
        <v>30.060895590000001</v>
      </c>
      <c r="Q8910" s="50" t="s">
        <v>11801</v>
      </c>
      <c r="R8910" s="303"/>
    </row>
    <row r="8911" spans="1:18" s="162" customFormat="1" ht="409.5" x14ac:dyDescent="0.25">
      <c r="A8911" s="184">
        <v>44445</v>
      </c>
      <c r="B8911" s="184">
        <v>44445</v>
      </c>
      <c r="C8911" s="138">
        <v>2021</v>
      </c>
      <c r="D8911" s="351" t="s">
        <v>23</v>
      </c>
      <c r="E8911" s="22" t="s">
        <v>86</v>
      </c>
      <c r="F8911" s="7" t="s">
        <v>53</v>
      </c>
      <c r="G8911" s="33" t="s">
        <v>12039</v>
      </c>
      <c r="H8911" s="311" t="s">
        <v>12040</v>
      </c>
      <c r="I8911" s="157">
        <v>2</v>
      </c>
      <c r="J8911" s="142">
        <v>4941</v>
      </c>
      <c r="K8911" s="305">
        <v>1205</v>
      </c>
      <c r="L8911" s="142">
        <v>1</v>
      </c>
      <c r="M8911" s="142">
        <v>2</v>
      </c>
      <c r="N8911" s="142">
        <v>1</v>
      </c>
      <c r="O8911" s="142">
        <v>0</v>
      </c>
      <c r="P8911" s="306">
        <v>0.80375006250000003</v>
      </c>
      <c r="Q8911" s="50" t="s">
        <v>9523</v>
      </c>
      <c r="R8911" s="303"/>
    </row>
    <row r="8912" spans="1:18" s="162" customFormat="1" ht="409.5" x14ac:dyDescent="0.25">
      <c r="A8912" s="184">
        <v>44445</v>
      </c>
      <c r="B8912" s="184">
        <v>44447</v>
      </c>
      <c r="C8912" s="138">
        <v>2021</v>
      </c>
      <c r="D8912" s="351" t="s">
        <v>23</v>
      </c>
      <c r="E8912" s="22" t="s">
        <v>86</v>
      </c>
      <c r="F8912" s="28" t="s">
        <v>160</v>
      </c>
      <c r="G8912" s="33" t="s">
        <v>12041</v>
      </c>
      <c r="H8912" s="311" t="s">
        <v>12042</v>
      </c>
      <c r="I8912" s="157">
        <v>0</v>
      </c>
      <c r="J8912" s="142">
        <v>14722</v>
      </c>
      <c r="K8912" s="305">
        <f>2000+950+2899</f>
        <v>5849</v>
      </c>
      <c r="L8912" s="142">
        <v>0</v>
      </c>
      <c r="M8912" s="142">
        <v>0</v>
      </c>
      <c r="N8912" s="142">
        <v>0</v>
      </c>
      <c r="O8912" s="142">
        <v>0</v>
      </c>
      <c r="P8912" s="306">
        <v>954.90820829999996</v>
      </c>
      <c r="Q8912" s="50" t="s">
        <v>12043</v>
      </c>
      <c r="R8912" s="303"/>
    </row>
    <row r="8913" spans="1:18" s="162" customFormat="1" ht="409.5" x14ac:dyDescent="0.25">
      <c r="A8913" s="184">
        <v>44445</v>
      </c>
      <c r="B8913" s="184">
        <v>44445</v>
      </c>
      <c r="C8913" s="138">
        <v>2021</v>
      </c>
      <c r="D8913" s="24" t="s">
        <v>141</v>
      </c>
      <c r="E8913" s="22" t="s">
        <v>420</v>
      </c>
      <c r="F8913" s="28" t="s">
        <v>160</v>
      </c>
      <c r="G8913" s="33" t="s">
        <v>12044</v>
      </c>
      <c r="H8913" s="311" t="s">
        <v>12045</v>
      </c>
      <c r="I8913" s="157">
        <v>14</v>
      </c>
      <c r="J8913" s="142">
        <v>0</v>
      </c>
      <c r="K8913" s="142">
        <v>0</v>
      </c>
      <c r="L8913" s="142">
        <v>0</v>
      </c>
      <c r="M8913" s="142">
        <v>0</v>
      </c>
      <c r="N8913" s="142">
        <v>0</v>
      </c>
      <c r="O8913" s="142">
        <v>0</v>
      </c>
      <c r="P8913" s="306">
        <v>0</v>
      </c>
      <c r="Q8913" s="50" t="s">
        <v>9523</v>
      </c>
      <c r="R8913" s="303"/>
    </row>
    <row r="8914" spans="1:18" s="162" customFormat="1" ht="409.5" x14ac:dyDescent="0.25">
      <c r="A8914" s="184">
        <v>44446</v>
      </c>
      <c r="B8914" s="184">
        <v>44446</v>
      </c>
      <c r="C8914" s="138">
        <v>2021</v>
      </c>
      <c r="D8914" s="35" t="s">
        <v>17</v>
      </c>
      <c r="E8914" s="30" t="s">
        <v>122</v>
      </c>
      <c r="F8914" s="7" t="s">
        <v>58</v>
      </c>
      <c r="G8914" s="33" t="s">
        <v>12046</v>
      </c>
      <c r="H8914" s="311" t="s">
        <v>12047</v>
      </c>
      <c r="I8914" s="157">
        <v>3</v>
      </c>
      <c r="J8914" s="142">
        <v>32108</v>
      </c>
      <c r="K8914" s="142">
        <v>7727</v>
      </c>
      <c r="L8914" s="142">
        <v>47</v>
      </c>
      <c r="M8914" s="142">
        <v>27</v>
      </c>
      <c r="N8914" s="142">
        <v>13</v>
      </c>
      <c r="O8914" s="142">
        <v>0</v>
      </c>
      <c r="P8914" s="306">
        <v>209.55961078999999</v>
      </c>
      <c r="Q8914" s="50" t="s">
        <v>12048</v>
      </c>
      <c r="R8914" s="303"/>
    </row>
    <row r="8915" spans="1:18" s="162" customFormat="1" ht="24" x14ac:dyDescent="0.25">
      <c r="A8915" s="184">
        <v>44446</v>
      </c>
      <c r="B8915" s="184">
        <v>44446</v>
      </c>
      <c r="C8915" s="138">
        <v>2021</v>
      </c>
      <c r="D8915" s="35" t="s">
        <v>17</v>
      </c>
      <c r="E8915" s="30" t="s">
        <v>122</v>
      </c>
      <c r="F8915" s="28" t="s">
        <v>157</v>
      </c>
      <c r="G8915" s="33"/>
      <c r="H8915" s="311" t="s">
        <v>12049</v>
      </c>
      <c r="I8915" s="157">
        <v>0</v>
      </c>
      <c r="J8915" s="142">
        <v>0</v>
      </c>
      <c r="K8915" s="142">
        <v>0</v>
      </c>
      <c r="L8915" s="142">
        <v>0</v>
      </c>
      <c r="M8915" s="142">
        <v>0</v>
      </c>
      <c r="N8915" s="142">
        <v>0</v>
      </c>
      <c r="O8915" s="142">
        <v>0</v>
      </c>
      <c r="P8915" s="306">
        <v>0.21181050000000001</v>
      </c>
      <c r="Q8915" s="50" t="s">
        <v>9523</v>
      </c>
      <c r="R8915" s="303"/>
    </row>
    <row r="8916" spans="1:18" s="162" customFormat="1" ht="132" x14ac:dyDescent="0.25">
      <c r="A8916" s="184">
        <v>44446</v>
      </c>
      <c r="B8916" s="184">
        <v>44446</v>
      </c>
      <c r="C8916" s="138">
        <v>2021</v>
      </c>
      <c r="D8916" s="35" t="s">
        <v>17</v>
      </c>
      <c r="E8916" s="30" t="s">
        <v>122</v>
      </c>
      <c r="F8916" s="7" t="s">
        <v>53</v>
      </c>
      <c r="G8916" s="33" t="s">
        <v>12050</v>
      </c>
      <c r="H8916" s="311" t="s">
        <v>12051</v>
      </c>
      <c r="I8916" s="157">
        <v>0</v>
      </c>
      <c r="J8916" s="142">
        <v>13</v>
      </c>
      <c r="K8916" s="142">
        <v>3</v>
      </c>
      <c r="L8916" s="142">
        <v>0</v>
      </c>
      <c r="M8916" s="142">
        <v>0</v>
      </c>
      <c r="N8916" s="142">
        <v>0</v>
      </c>
      <c r="O8916" s="142">
        <v>0</v>
      </c>
      <c r="P8916" s="306">
        <v>0.12983905000000001</v>
      </c>
      <c r="Q8916" s="50" t="s">
        <v>9523</v>
      </c>
      <c r="R8916" s="303"/>
    </row>
    <row r="8917" spans="1:18" s="162" customFormat="1" ht="84" x14ac:dyDescent="0.25">
      <c r="A8917" s="184">
        <v>44446</v>
      </c>
      <c r="B8917" s="184">
        <v>44446</v>
      </c>
      <c r="C8917" s="138">
        <v>2021</v>
      </c>
      <c r="D8917" s="35" t="s">
        <v>17</v>
      </c>
      <c r="E8917" s="30" t="s">
        <v>122</v>
      </c>
      <c r="F8917" s="7" t="s">
        <v>62</v>
      </c>
      <c r="G8917" s="33" t="s">
        <v>12052</v>
      </c>
      <c r="H8917" s="311" t="s">
        <v>12053</v>
      </c>
      <c r="I8917" s="157">
        <v>0</v>
      </c>
      <c r="J8917" s="142">
        <v>4</v>
      </c>
      <c r="K8917" s="142">
        <v>1</v>
      </c>
      <c r="L8917" s="142">
        <v>0</v>
      </c>
      <c r="M8917" s="142">
        <v>0</v>
      </c>
      <c r="N8917" s="142">
        <v>0</v>
      </c>
      <c r="O8917" s="142">
        <v>0</v>
      </c>
      <c r="P8917" s="306">
        <v>3.5574000000000008E-2</v>
      </c>
      <c r="Q8917" s="50" t="s">
        <v>9523</v>
      </c>
      <c r="R8917" s="303"/>
    </row>
    <row r="8918" spans="1:18" s="162" customFormat="1" ht="132" x14ac:dyDescent="0.25">
      <c r="A8918" s="184">
        <v>44446</v>
      </c>
      <c r="B8918" s="184">
        <v>44446</v>
      </c>
      <c r="C8918" s="138">
        <v>2021</v>
      </c>
      <c r="D8918" s="35" t="s">
        <v>17</v>
      </c>
      <c r="E8918" s="30" t="s">
        <v>122</v>
      </c>
      <c r="F8918" s="7" t="s">
        <v>75</v>
      </c>
      <c r="G8918" s="33" t="s">
        <v>12054</v>
      </c>
      <c r="H8918" s="311" t="s">
        <v>12055</v>
      </c>
      <c r="I8918" s="157">
        <v>0</v>
      </c>
      <c r="J8918" s="142">
        <v>0</v>
      </c>
      <c r="K8918" s="142">
        <v>0</v>
      </c>
      <c r="L8918" s="142">
        <v>0</v>
      </c>
      <c r="M8918" s="142">
        <v>2</v>
      </c>
      <c r="N8918" s="142">
        <v>0</v>
      </c>
      <c r="O8918" s="142">
        <v>0</v>
      </c>
      <c r="P8918" s="306">
        <v>0</v>
      </c>
      <c r="Q8918" s="50" t="s">
        <v>9523</v>
      </c>
      <c r="R8918" s="303"/>
    </row>
    <row r="8919" spans="1:18" s="162" customFormat="1" ht="168" x14ac:dyDescent="0.25">
      <c r="A8919" s="184">
        <v>44446</v>
      </c>
      <c r="B8919" s="184">
        <v>44447</v>
      </c>
      <c r="C8919" s="138">
        <v>2021</v>
      </c>
      <c r="D8919" s="351" t="s">
        <v>23</v>
      </c>
      <c r="E8919" s="22" t="s">
        <v>86</v>
      </c>
      <c r="F8919" s="7" t="s">
        <v>77</v>
      </c>
      <c r="G8919" s="33" t="s">
        <v>12056</v>
      </c>
      <c r="H8919" s="311" t="s">
        <v>12057</v>
      </c>
      <c r="I8919" s="157">
        <v>1</v>
      </c>
      <c r="J8919" s="142">
        <v>30</v>
      </c>
      <c r="K8919" s="142">
        <v>7</v>
      </c>
      <c r="L8919" s="142">
        <v>0</v>
      </c>
      <c r="M8919" s="142">
        <v>0</v>
      </c>
      <c r="N8919" s="142">
        <v>0</v>
      </c>
      <c r="O8919" s="142">
        <v>0</v>
      </c>
      <c r="P8919" s="306">
        <v>0.11581817500000002</v>
      </c>
      <c r="Q8919" s="50" t="s">
        <v>9523</v>
      </c>
      <c r="R8919" s="303"/>
    </row>
    <row r="8920" spans="1:18" s="162" customFormat="1" ht="108" x14ac:dyDescent="0.25">
      <c r="A8920" s="184">
        <v>44447</v>
      </c>
      <c r="B8920" s="184">
        <v>44447</v>
      </c>
      <c r="C8920" s="138">
        <v>2021</v>
      </c>
      <c r="D8920" s="24" t="s">
        <v>141</v>
      </c>
      <c r="E8920" s="30" t="s">
        <v>142</v>
      </c>
      <c r="F8920" s="7" t="s">
        <v>53</v>
      </c>
      <c r="G8920" s="33" t="s">
        <v>12058</v>
      </c>
      <c r="H8920" s="311" t="s">
        <v>12059</v>
      </c>
      <c r="I8920" s="157">
        <v>2</v>
      </c>
      <c r="J8920" s="142">
        <v>8</v>
      </c>
      <c r="K8920" s="142">
        <v>0</v>
      </c>
      <c r="L8920" s="142">
        <v>0</v>
      </c>
      <c r="M8920" s="142">
        <v>0</v>
      </c>
      <c r="N8920" s="142">
        <v>0</v>
      </c>
      <c r="O8920" s="142">
        <v>0</v>
      </c>
      <c r="P8920" s="306">
        <v>0.13756288943023254</v>
      </c>
      <c r="Q8920" s="50" t="s">
        <v>9523</v>
      </c>
      <c r="R8920" s="303"/>
    </row>
    <row r="8921" spans="1:18" s="162" customFormat="1" ht="48" x14ac:dyDescent="0.25">
      <c r="A8921" s="184">
        <v>44448</v>
      </c>
      <c r="B8921" s="184">
        <v>44448</v>
      </c>
      <c r="C8921" s="138">
        <v>2021</v>
      </c>
      <c r="D8921" s="351" t="s">
        <v>23</v>
      </c>
      <c r="E8921" s="22" t="s">
        <v>86</v>
      </c>
      <c r="F8921" s="7" t="s">
        <v>75</v>
      </c>
      <c r="G8921" s="33" t="s">
        <v>75</v>
      </c>
      <c r="H8921" s="311" t="s">
        <v>12060</v>
      </c>
      <c r="I8921" s="157">
        <v>0</v>
      </c>
      <c r="J8921" s="142">
        <v>160</v>
      </c>
      <c r="K8921" s="142">
        <v>40</v>
      </c>
      <c r="L8921" s="142">
        <v>0</v>
      </c>
      <c r="M8921" s="142">
        <v>0</v>
      </c>
      <c r="N8921" s="142">
        <v>0</v>
      </c>
      <c r="O8921" s="142">
        <v>0</v>
      </c>
      <c r="P8921" s="306">
        <v>5.3360999999999999E-2</v>
      </c>
      <c r="Q8921" s="50" t="s">
        <v>9523</v>
      </c>
      <c r="R8921" s="303"/>
    </row>
    <row r="8922" spans="1:18" s="162" customFormat="1" ht="132" x14ac:dyDescent="0.25">
      <c r="A8922" s="184">
        <v>44448</v>
      </c>
      <c r="B8922" s="184">
        <v>44448</v>
      </c>
      <c r="C8922" s="138">
        <v>2021</v>
      </c>
      <c r="D8922" s="24" t="s">
        <v>141</v>
      </c>
      <c r="E8922" s="30" t="s">
        <v>142</v>
      </c>
      <c r="F8922" s="7" t="s">
        <v>56</v>
      </c>
      <c r="G8922" s="33" t="s">
        <v>1426</v>
      </c>
      <c r="H8922" s="311" t="s">
        <v>12061</v>
      </c>
      <c r="I8922" s="157">
        <v>2</v>
      </c>
      <c r="J8922" s="142">
        <v>10</v>
      </c>
      <c r="K8922" s="142">
        <v>0</v>
      </c>
      <c r="L8922" s="142">
        <v>0</v>
      </c>
      <c r="M8922" s="142">
        <v>0</v>
      </c>
      <c r="N8922" s="142">
        <v>0</v>
      </c>
      <c r="O8922" s="142">
        <v>0</v>
      </c>
      <c r="P8922" s="306">
        <v>1.1153154894302326</v>
      </c>
      <c r="Q8922" s="50" t="s">
        <v>9523</v>
      </c>
      <c r="R8922" s="303"/>
    </row>
    <row r="8923" spans="1:18" s="162" customFormat="1" ht="156" x14ac:dyDescent="0.25">
      <c r="A8923" s="184">
        <v>44448</v>
      </c>
      <c r="B8923" s="184">
        <v>44448</v>
      </c>
      <c r="C8923" s="138">
        <v>2021</v>
      </c>
      <c r="D8923" s="35" t="s">
        <v>17</v>
      </c>
      <c r="E8923" s="6" t="s">
        <v>328</v>
      </c>
      <c r="F8923" s="7" t="s">
        <v>72</v>
      </c>
      <c r="G8923" s="33" t="s">
        <v>72</v>
      </c>
      <c r="H8923" s="311" t="s">
        <v>12062</v>
      </c>
      <c r="I8923" s="157">
        <v>0</v>
      </c>
      <c r="J8923" s="142">
        <v>4</v>
      </c>
      <c r="K8923" s="142">
        <v>1</v>
      </c>
      <c r="L8923" s="142">
        <v>0</v>
      </c>
      <c r="M8923" s="142">
        <v>0</v>
      </c>
      <c r="N8923" s="142">
        <v>0</v>
      </c>
      <c r="O8923" s="142">
        <v>0</v>
      </c>
      <c r="P8923" s="306">
        <v>6.9877500000000018E-3</v>
      </c>
      <c r="Q8923" s="50" t="s">
        <v>9523</v>
      </c>
      <c r="R8923" s="303"/>
    </row>
    <row r="8924" spans="1:18" s="162" customFormat="1" ht="36" x14ac:dyDescent="0.25">
      <c r="A8924" s="184">
        <v>44448</v>
      </c>
      <c r="B8924" s="184">
        <v>44449</v>
      </c>
      <c r="C8924" s="138">
        <v>2021</v>
      </c>
      <c r="D8924" s="351" t="s">
        <v>23</v>
      </c>
      <c r="E8924" s="14" t="s">
        <v>32</v>
      </c>
      <c r="F8924" s="7" t="s">
        <v>33</v>
      </c>
      <c r="G8924" s="33" t="s">
        <v>12063</v>
      </c>
      <c r="H8924" s="311" t="s">
        <v>12064</v>
      </c>
      <c r="I8924" s="157">
        <v>0</v>
      </c>
      <c r="J8924" s="142">
        <v>8037</v>
      </c>
      <c r="K8924" s="142">
        <v>0</v>
      </c>
      <c r="L8924" s="142">
        <v>0</v>
      </c>
      <c r="M8924" s="142">
        <v>0</v>
      </c>
      <c r="N8924" s="142">
        <v>0</v>
      </c>
      <c r="O8924" s="142">
        <v>0</v>
      </c>
      <c r="P8924" s="306">
        <v>380.60352683999997</v>
      </c>
      <c r="Q8924" s="50" t="s">
        <v>11852</v>
      </c>
      <c r="R8924" s="303"/>
    </row>
    <row r="8925" spans="1:18" s="162" customFormat="1" ht="240" x14ac:dyDescent="0.25">
      <c r="A8925" s="184">
        <v>44449</v>
      </c>
      <c r="B8925" s="184">
        <v>44449</v>
      </c>
      <c r="C8925" s="138">
        <v>2021</v>
      </c>
      <c r="D8925" s="35" t="s">
        <v>17</v>
      </c>
      <c r="E8925" s="6" t="s">
        <v>328</v>
      </c>
      <c r="F8925" s="7" t="s">
        <v>53</v>
      </c>
      <c r="G8925" s="33" t="s">
        <v>6691</v>
      </c>
      <c r="H8925" s="311" t="s">
        <v>12065</v>
      </c>
      <c r="I8925" s="157">
        <v>4</v>
      </c>
      <c r="J8925" s="142">
        <v>564</v>
      </c>
      <c r="K8925" s="142">
        <v>3</v>
      </c>
      <c r="L8925" s="142">
        <v>0</v>
      </c>
      <c r="M8925" s="142">
        <v>0</v>
      </c>
      <c r="N8925" s="142">
        <v>0</v>
      </c>
      <c r="O8925" s="142">
        <v>0</v>
      </c>
      <c r="P8925" s="306">
        <v>0.57075390000000004</v>
      </c>
      <c r="Q8925" s="50" t="s">
        <v>9523</v>
      </c>
      <c r="R8925" s="303"/>
    </row>
    <row r="8926" spans="1:18" s="162" customFormat="1" ht="108" x14ac:dyDescent="0.25">
      <c r="A8926" s="184">
        <v>44449</v>
      </c>
      <c r="B8926" s="184">
        <v>44449</v>
      </c>
      <c r="C8926" s="138">
        <v>2021</v>
      </c>
      <c r="D8926" s="24" t="s">
        <v>141</v>
      </c>
      <c r="E8926" s="49" t="s">
        <v>1600</v>
      </c>
      <c r="F8926" s="7" t="s">
        <v>53</v>
      </c>
      <c r="G8926" s="33" t="s">
        <v>10433</v>
      </c>
      <c r="H8926" s="311" t="s">
        <v>12066</v>
      </c>
      <c r="I8926" s="157">
        <v>0</v>
      </c>
      <c r="J8926" s="142">
        <v>3</v>
      </c>
      <c r="K8926" s="142">
        <v>1</v>
      </c>
      <c r="L8926" s="142">
        <v>0</v>
      </c>
      <c r="M8926" s="142">
        <v>0</v>
      </c>
      <c r="N8926" s="142">
        <v>0</v>
      </c>
      <c r="O8926" s="142">
        <v>0</v>
      </c>
      <c r="P8926" s="306">
        <v>3.677190000000001E-2</v>
      </c>
      <c r="Q8926" s="50" t="s">
        <v>9523</v>
      </c>
      <c r="R8926" s="303"/>
    </row>
    <row r="8927" spans="1:18" s="162" customFormat="1" ht="408" x14ac:dyDescent="0.25">
      <c r="A8927" s="184">
        <v>44450</v>
      </c>
      <c r="B8927" s="184">
        <v>44452</v>
      </c>
      <c r="C8927" s="138">
        <v>2021</v>
      </c>
      <c r="D8927" s="351" t="s">
        <v>23</v>
      </c>
      <c r="E8927" s="22" t="s">
        <v>86</v>
      </c>
      <c r="F8927" s="7" t="s">
        <v>72</v>
      </c>
      <c r="G8927" s="33" t="s">
        <v>12067</v>
      </c>
      <c r="H8927" s="311" t="s">
        <v>12068</v>
      </c>
      <c r="I8927" s="157">
        <v>0</v>
      </c>
      <c r="J8927" s="142">
        <v>299</v>
      </c>
      <c r="K8927" s="142">
        <v>9</v>
      </c>
      <c r="L8927" s="142">
        <v>0</v>
      </c>
      <c r="M8927" s="142">
        <v>0</v>
      </c>
      <c r="N8927" s="142">
        <v>0</v>
      </c>
      <c r="O8927" s="142">
        <v>0</v>
      </c>
      <c r="P8927" s="306">
        <v>9.1764810000000008</v>
      </c>
      <c r="Q8927" s="50" t="s">
        <v>11859</v>
      </c>
      <c r="R8927" s="303"/>
    </row>
    <row r="8928" spans="1:18" s="162" customFormat="1" ht="409.5" x14ac:dyDescent="0.25">
      <c r="A8928" s="184">
        <v>44450</v>
      </c>
      <c r="B8928" s="184">
        <v>44454</v>
      </c>
      <c r="C8928" s="138">
        <v>2021</v>
      </c>
      <c r="D8928" s="351" t="s">
        <v>23</v>
      </c>
      <c r="E8928" s="14" t="s">
        <v>32</v>
      </c>
      <c r="F8928" s="28" t="s">
        <v>210</v>
      </c>
      <c r="G8928" s="33" t="s">
        <v>12069</v>
      </c>
      <c r="H8928" s="311" t="s">
        <v>12070</v>
      </c>
      <c r="I8928" s="157">
        <v>0</v>
      </c>
      <c r="J8928" s="142">
        <v>4086</v>
      </c>
      <c r="K8928" s="142">
        <v>1021</v>
      </c>
      <c r="L8928" s="142">
        <v>1</v>
      </c>
      <c r="M8928" s="142">
        <v>0</v>
      </c>
      <c r="N8928" s="142">
        <v>0</v>
      </c>
      <c r="O8928" s="142">
        <v>0</v>
      </c>
      <c r="P8928" s="306">
        <v>2.4267744874999999</v>
      </c>
      <c r="Q8928" s="50" t="s">
        <v>9523</v>
      </c>
      <c r="R8928" s="303"/>
    </row>
    <row r="8929" spans="1:18" s="162" customFormat="1" ht="72" x14ac:dyDescent="0.25">
      <c r="A8929" s="184">
        <v>44451</v>
      </c>
      <c r="B8929" s="184">
        <v>44451</v>
      </c>
      <c r="C8929" s="138">
        <v>2021</v>
      </c>
      <c r="D8929" s="351" t="s">
        <v>23</v>
      </c>
      <c r="E8929" s="22" t="s">
        <v>86</v>
      </c>
      <c r="F8929" s="28" t="s">
        <v>210</v>
      </c>
      <c r="G8929" s="33" t="s">
        <v>1675</v>
      </c>
      <c r="H8929" s="311" t="s">
        <v>12071</v>
      </c>
      <c r="I8929" s="157">
        <v>0</v>
      </c>
      <c r="J8929" s="142">
        <v>80</v>
      </c>
      <c r="K8929" s="142">
        <v>20</v>
      </c>
      <c r="L8929" s="142">
        <v>0</v>
      </c>
      <c r="M8929" s="142">
        <v>0</v>
      </c>
      <c r="N8929" s="142">
        <v>0</v>
      </c>
      <c r="O8929" s="142">
        <v>0</v>
      </c>
      <c r="P8929" s="306">
        <v>2.6680499999999999E-2</v>
      </c>
      <c r="Q8929" s="50" t="s">
        <v>9523</v>
      </c>
      <c r="R8929" s="303"/>
    </row>
    <row r="8930" spans="1:18" s="162" customFormat="1" ht="192" x14ac:dyDescent="0.25">
      <c r="A8930" s="184">
        <v>44451</v>
      </c>
      <c r="B8930" s="184">
        <v>44452</v>
      </c>
      <c r="C8930" s="138">
        <v>2021</v>
      </c>
      <c r="D8930" s="351" t="s">
        <v>23</v>
      </c>
      <c r="E8930" s="22" t="s">
        <v>86</v>
      </c>
      <c r="F8930" s="7" t="s">
        <v>65</v>
      </c>
      <c r="G8930" s="33" t="s">
        <v>12072</v>
      </c>
      <c r="H8930" s="311" t="s">
        <v>12073</v>
      </c>
      <c r="I8930" s="157">
        <v>0</v>
      </c>
      <c r="J8930" s="142">
        <v>21</v>
      </c>
      <c r="K8930" s="142">
        <v>5</v>
      </c>
      <c r="L8930" s="142">
        <v>0</v>
      </c>
      <c r="M8930" s="142">
        <v>0</v>
      </c>
      <c r="N8930" s="142">
        <v>0</v>
      </c>
      <c r="O8930" s="142">
        <v>0</v>
      </c>
      <c r="P8930" s="306">
        <v>0.11315012500000002</v>
      </c>
      <c r="Q8930" s="50" t="s">
        <v>9523</v>
      </c>
      <c r="R8930" s="303"/>
    </row>
    <row r="8931" spans="1:18" s="162" customFormat="1" ht="144" x14ac:dyDescent="0.25">
      <c r="A8931" s="184">
        <v>44451</v>
      </c>
      <c r="B8931" s="184">
        <v>44452</v>
      </c>
      <c r="C8931" s="138">
        <v>2021</v>
      </c>
      <c r="D8931" s="351" t="s">
        <v>23</v>
      </c>
      <c r="E8931" s="22" t="s">
        <v>86</v>
      </c>
      <c r="F8931" s="7" t="s">
        <v>65</v>
      </c>
      <c r="G8931" s="33" t="s">
        <v>12074</v>
      </c>
      <c r="H8931" s="311" t="s">
        <v>12075</v>
      </c>
      <c r="I8931" s="157">
        <v>0</v>
      </c>
      <c r="J8931" s="142">
        <v>243</v>
      </c>
      <c r="K8931" s="142">
        <v>58</v>
      </c>
      <c r="L8931" s="142">
        <v>0</v>
      </c>
      <c r="M8931" s="142">
        <v>0</v>
      </c>
      <c r="N8931" s="142">
        <v>0</v>
      </c>
      <c r="O8931" s="142">
        <v>0</v>
      </c>
      <c r="P8931" s="306">
        <v>0.93160925000000017</v>
      </c>
      <c r="Q8931" s="50" t="s">
        <v>9523</v>
      </c>
      <c r="R8931" s="303"/>
    </row>
    <row r="8932" spans="1:18" s="162" customFormat="1" ht="108" x14ac:dyDescent="0.25">
      <c r="A8932" s="184">
        <v>44451</v>
      </c>
      <c r="B8932" s="184">
        <v>44452</v>
      </c>
      <c r="C8932" s="138">
        <v>2021</v>
      </c>
      <c r="D8932" s="35" t="s">
        <v>17</v>
      </c>
      <c r="E8932" s="6" t="s">
        <v>328</v>
      </c>
      <c r="F8932" s="7" t="s">
        <v>36</v>
      </c>
      <c r="G8932" s="33" t="s">
        <v>12076</v>
      </c>
      <c r="H8932" s="311" t="s">
        <v>12077</v>
      </c>
      <c r="I8932" s="157">
        <v>1</v>
      </c>
      <c r="J8932" s="142">
        <v>2</v>
      </c>
      <c r="K8932" s="142">
        <v>2</v>
      </c>
      <c r="L8932" s="142">
        <v>0</v>
      </c>
      <c r="M8932" s="142">
        <v>0</v>
      </c>
      <c r="N8932" s="142">
        <v>0</v>
      </c>
      <c r="O8932" s="142">
        <v>0</v>
      </c>
      <c r="P8932" s="306">
        <v>0.3061179</v>
      </c>
      <c r="Q8932" s="50" t="s">
        <v>9523</v>
      </c>
      <c r="R8932" s="303"/>
    </row>
    <row r="8933" spans="1:18" s="162" customFormat="1" ht="96" x14ac:dyDescent="0.25">
      <c r="A8933" s="184">
        <v>44451</v>
      </c>
      <c r="B8933" s="184">
        <v>44453</v>
      </c>
      <c r="C8933" s="138">
        <v>2021</v>
      </c>
      <c r="D8933" s="351" t="s">
        <v>23</v>
      </c>
      <c r="E8933" s="22" t="s">
        <v>86</v>
      </c>
      <c r="F8933" s="7" t="s">
        <v>58</v>
      </c>
      <c r="G8933" s="33" t="s">
        <v>12078</v>
      </c>
      <c r="H8933" s="311" t="s">
        <v>12079</v>
      </c>
      <c r="I8933" s="157">
        <v>0</v>
      </c>
      <c r="J8933" s="142">
        <v>44</v>
      </c>
      <c r="K8933" s="142">
        <v>11</v>
      </c>
      <c r="L8933" s="142">
        <v>0</v>
      </c>
      <c r="M8933" s="142">
        <v>0</v>
      </c>
      <c r="N8933" s="142">
        <v>0</v>
      </c>
      <c r="O8933" s="142">
        <v>0</v>
      </c>
      <c r="P8933" s="306">
        <v>1.4674275000000002E-2</v>
      </c>
      <c r="Q8933" s="50" t="s">
        <v>9523</v>
      </c>
      <c r="R8933" s="303"/>
    </row>
    <row r="8934" spans="1:18" s="162" customFormat="1" ht="132" x14ac:dyDescent="0.25">
      <c r="A8934" s="184">
        <v>44452</v>
      </c>
      <c r="B8934" s="184">
        <v>44452</v>
      </c>
      <c r="C8934" s="138">
        <v>2021</v>
      </c>
      <c r="D8934" s="35" t="s">
        <v>28</v>
      </c>
      <c r="E8934" s="30" t="s">
        <v>133</v>
      </c>
      <c r="F8934" s="7" t="s">
        <v>53</v>
      </c>
      <c r="G8934" s="33" t="s">
        <v>4843</v>
      </c>
      <c r="H8934" s="311" t="s">
        <v>12080</v>
      </c>
      <c r="I8934" s="157">
        <v>0</v>
      </c>
      <c r="J8934" s="142">
        <v>5</v>
      </c>
      <c r="K8934" s="142">
        <v>0</v>
      </c>
      <c r="L8934" s="142">
        <v>0</v>
      </c>
      <c r="M8934" s="142">
        <v>0</v>
      </c>
      <c r="N8934" s="142">
        <v>1</v>
      </c>
      <c r="O8934" s="142">
        <v>0</v>
      </c>
      <c r="P8934" s="306">
        <v>5.9895000000000018E-3</v>
      </c>
      <c r="Q8934" s="50" t="s">
        <v>9523</v>
      </c>
      <c r="R8934" s="303"/>
    </row>
    <row r="8935" spans="1:18" s="162" customFormat="1" ht="60" x14ac:dyDescent="0.25">
      <c r="A8935" s="184">
        <v>44452</v>
      </c>
      <c r="B8935" s="184">
        <v>44452</v>
      </c>
      <c r="C8935" s="138">
        <v>2021</v>
      </c>
      <c r="D8935" s="24" t="s">
        <v>141</v>
      </c>
      <c r="E8935" s="49" t="s">
        <v>1600</v>
      </c>
      <c r="F8935" s="7" t="s">
        <v>68</v>
      </c>
      <c r="G8935" s="33" t="s">
        <v>1121</v>
      </c>
      <c r="H8935" s="311" t="s">
        <v>12081</v>
      </c>
      <c r="I8935" s="157">
        <v>1</v>
      </c>
      <c r="J8935" s="142">
        <v>2</v>
      </c>
      <c r="K8935" s="142">
        <v>0</v>
      </c>
      <c r="L8935" s="142">
        <v>0</v>
      </c>
      <c r="M8935" s="142">
        <v>0</v>
      </c>
      <c r="N8935" s="142">
        <v>0</v>
      </c>
      <c r="O8935" s="142">
        <v>0</v>
      </c>
      <c r="P8935" s="306">
        <v>1.1979000000000002E-3</v>
      </c>
      <c r="Q8935" s="50" t="s">
        <v>9523</v>
      </c>
      <c r="R8935" s="303"/>
    </row>
    <row r="8936" spans="1:18" s="162" customFormat="1" ht="84" x14ac:dyDescent="0.25">
      <c r="A8936" s="184">
        <v>44452</v>
      </c>
      <c r="B8936" s="184">
        <v>44452</v>
      </c>
      <c r="C8936" s="138">
        <v>2021</v>
      </c>
      <c r="D8936" s="35" t="s">
        <v>17</v>
      </c>
      <c r="E8936" s="49" t="s">
        <v>11880</v>
      </c>
      <c r="F8936" s="7" t="s">
        <v>30</v>
      </c>
      <c r="G8936" s="33" t="s">
        <v>901</v>
      </c>
      <c r="H8936" s="311" t="s">
        <v>12082</v>
      </c>
      <c r="I8936" s="157">
        <v>1</v>
      </c>
      <c r="J8936" s="142">
        <v>2</v>
      </c>
      <c r="K8936" s="142">
        <v>0</v>
      </c>
      <c r="L8936" s="142">
        <v>0</v>
      </c>
      <c r="M8936" s="142">
        <v>0</v>
      </c>
      <c r="N8936" s="142">
        <v>0</v>
      </c>
      <c r="O8936" s="142">
        <v>0</v>
      </c>
      <c r="P8936" s="306">
        <v>1.1979000000000002E-3</v>
      </c>
      <c r="Q8936" s="50" t="s">
        <v>9523</v>
      </c>
      <c r="R8936" s="303"/>
    </row>
    <row r="8937" spans="1:18" s="162" customFormat="1" ht="96" x14ac:dyDescent="0.25">
      <c r="A8937" s="184">
        <v>44453</v>
      </c>
      <c r="B8937" s="184">
        <v>44453</v>
      </c>
      <c r="C8937" s="138">
        <v>2021</v>
      </c>
      <c r="D8937" s="35" t="s">
        <v>28</v>
      </c>
      <c r="E8937" s="30" t="s">
        <v>133</v>
      </c>
      <c r="F8937" s="7" t="s">
        <v>56</v>
      </c>
      <c r="G8937" s="33" t="s">
        <v>1160</v>
      </c>
      <c r="H8937" s="311" t="s">
        <v>12083</v>
      </c>
      <c r="I8937" s="157">
        <v>1</v>
      </c>
      <c r="J8937" s="142">
        <v>5</v>
      </c>
      <c r="K8937" s="142">
        <v>0</v>
      </c>
      <c r="L8937" s="142">
        <v>0</v>
      </c>
      <c r="M8937" s="142">
        <v>0</v>
      </c>
      <c r="N8937" s="142">
        <v>1</v>
      </c>
      <c r="O8937" s="142">
        <v>0</v>
      </c>
      <c r="P8937" s="306">
        <v>4.7916000000000009E-3</v>
      </c>
      <c r="Q8937" s="50" t="s">
        <v>9523</v>
      </c>
      <c r="R8937" s="303"/>
    </row>
    <row r="8938" spans="1:18" s="162" customFormat="1" ht="84" x14ac:dyDescent="0.25">
      <c r="A8938" s="184">
        <v>44454</v>
      </c>
      <c r="B8938" s="184">
        <v>44454</v>
      </c>
      <c r="C8938" s="138">
        <v>2021</v>
      </c>
      <c r="D8938" s="351" t="s">
        <v>23</v>
      </c>
      <c r="E8938" s="14" t="s">
        <v>52</v>
      </c>
      <c r="F8938" s="7" t="s">
        <v>36</v>
      </c>
      <c r="G8938" s="33" t="s">
        <v>1949</v>
      </c>
      <c r="H8938" s="311" t="s">
        <v>12084</v>
      </c>
      <c r="I8938" s="157">
        <v>0</v>
      </c>
      <c r="J8938" s="142">
        <v>48</v>
      </c>
      <c r="K8938" s="142">
        <v>12</v>
      </c>
      <c r="L8938" s="142">
        <v>0</v>
      </c>
      <c r="M8938" s="142">
        <v>0</v>
      </c>
      <c r="N8938" s="142">
        <v>0</v>
      </c>
      <c r="O8938" s="142">
        <v>0</v>
      </c>
      <c r="P8938" s="306">
        <v>1.60083E-2</v>
      </c>
      <c r="Q8938" s="50" t="s">
        <v>9523</v>
      </c>
      <c r="R8938" s="303"/>
    </row>
    <row r="8939" spans="1:18" s="162" customFormat="1" x14ac:dyDescent="0.25">
      <c r="A8939" s="184">
        <v>44455</v>
      </c>
      <c r="B8939" s="184">
        <v>44456</v>
      </c>
      <c r="C8939" s="138">
        <v>2021</v>
      </c>
      <c r="D8939" s="351" t="s">
        <v>23</v>
      </c>
      <c r="E8939" s="22" t="s">
        <v>86</v>
      </c>
      <c r="F8939" s="7" t="s">
        <v>101</v>
      </c>
      <c r="G8939" s="312" t="s">
        <v>12085</v>
      </c>
      <c r="H8939" s="311" t="s">
        <v>12086</v>
      </c>
      <c r="I8939" s="157">
        <v>0</v>
      </c>
      <c r="J8939" s="142">
        <v>1271</v>
      </c>
      <c r="K8939" s="142">
        <v>0</v>
      </c>
      <c r="L8939" s="142">
        <v>0</v>
      </c>
      <c r="M8939" s="142">
        <v>0</v>
      </c>
      <c r="N8939" s="142">
        <v>0</v>
      </c>
      <c r="O8939" s="142">
        <v>0</v>
      </c>
      <c r="P8939" s="306">
        <v>127.67250279000001</v>
      </c>
      <c r="Q8939" s="50" t="s">
        <v>11852</v>
      </c>
      <c r="R8939" s="303"/>
    </row>
    <row r="8940" spans="1:18" s="162" customFormat="1" ht="108" x14ac:dyDescent="0.25">
      <c r="A8940" s="184">
        <v>44455</v>
      </c>
      <c r="B8940" s="184">
        <v>44457</v>
      </c>
      <c r="C8940" s="138">
        <v>2021</v>
      </c>
      <c r="D8940" s="35" t="s">
        <v>17</v>
      </c>
      <c r="E8940" s="6" t="s">
        <v>328</v>
      </c>
      <c r="F8940" s="7" t="s">
        <v>47</v>
      </c>
      <c r="G8940" s="33" t="s">
        <v>5694</v>
      </c>
      <c r="H8940" s="311" t="s">
        <v>12087</v>
      </c>
      <c r="I8940" s="157">
        <v>3</v>
      </c>
      <c r="J8940" s="142">
        <v>4</v>
      </c>
      <c r="K8940" s="142">
        <v>0</v>
      </c>
      <c r="L8940" s="142">
        <v>0</v>
      </c>
      <c r="M8940" s="142">
        <v>0</v>
      </c>
      <c r="N8940" s="142">
        <v>0</v>
      </c>
      <c r="O8940" s="142">
        <v>0</v>
      </c>
      <c r="P8940" s="306">
        <v>1.1979000000000002E-3</v>
      </c>
      <c r="Q8940" s="50" t="s">
        <v>9523</v>
      </c>
      <c r="R8940" s="303"/>
    </row>
    <row r="8941" spans="1:18" s="162" customFormat="1" ht="96" x14ac:dyDescent="0.25">
      <c r="A8941" s="184">
        <v>44456</v>
      </c>
      <c r="B8941" s="184">
        <v>44456</v>
      </c>
      <c r="C8941" s="138">
        <v>2021</v>
      </c>
      <c r="D8941" s="351" t="s">
        <v>23</v>
      </c>
      <c r="E8941" s="22" t="s">
        <v>86</v>
      </c>
      <c r="F8941" s="7" t="s">
        <v>56</v>
      </c>
      <c r="G8941" s="33" t="s">
        <v>56</v>
      </c>
      <c r="H8941" s="311" t="s">
        <v>12088</v>
      </c>
      <c r="I8941" s="157">
        <v>0</v>
      </c>
      <c r="J8941" s="142">
        <v>14</v>
      </c>
      <c r="K8941" s="142">
        <v>3</v>
      </c>
      <c r="L8941" s="142">
        <v>1</v>
      </c>
      <c r="M8941" s="142">
        <v>0</v>
      </c>
      <c r="N8941" s="142">
        <v>0</v>
      </c>
      <c r="O8941" s="142">
        <v>0</v>
      </c>
      <c r="P8941" s="306">
        <v>0.22220343200000006</v>
      </c>
      <c r="Q8941" s="50" t="s">
        <v>9523</v>
      </c>
      <c r="R8941" s="303"/>
    </row>
    <row r="8942" spans="1:18" s="162" customFormat="1" ht="144" x14ac:dyDescent="0.25">
      <c r="A8942" s="184">
        <v>44456</v>
      </c>
      <c r="B8942" s="184">
        <v>44456</v>
      </c>
      <c r="C8942" s="138">
        <v>2021</v>
      </c>
      <c r="D8942" s="351" t="s">
        <v>23</v>
      </c>
      <c r="E8942" s="22" t="s">
        <v>86</v>
      </c>
      <c r="F8942" s="7" t="s">
        <v>62</v>
      </c>
      <c r="G8942" s="33" t="s">
        <v>12089</v>
      </c>
      <c r="H8942" s="311" t="s">
        <v>12090</v>
      </c>
      <c r="I8942" s="157">
        <v>0</v>
      </c>
      <c r="J8942" s="142">
        <v>45</v>
      </c>
      <c r="K8942" s="142">
        <v>10</v>
      </c>
      <c r="L8942" s="142">
        <v>0</v>
      </c>
      <c r="M8942" s="142">
        <v>0</v>
      </c>
      <c r="N8942" s="142">
        <v>0</v>
      </c>
      <c r="O8942" s="142">
        <v>0</v>
      </c>
      <c r="P8942" s="306">
        <v>0.16446622499999999</v>
      </c>
      <c r="Q8942" s="50" t="s">
        <v>9523</v>
      </c>
      <c r="R8942" s="303"/>
    </row>
    <row r="8943" spans="1:18" s="162" customFormat="1" ht="84" x14ac:dyDescent="0.25">
      <c r="A8943" s="184">
        <v>44457</v>
      </c>
      <c r="B8943" s="184">
        <v>44457</v>
      </c>
      <c r="C8943" s="138">
        <v>2021</v>
      </c>
      <c r="D8943" s="24" t="s">
        <v>141</v>
      </c>
      <c r="E8943" s="30" t="s">
        <v>142</v>
      </c>
      <c r="F8943" s="7" t="s">
        <v>60</v>
      </c>
      <c r="G8943" s="33" t="s">
        <v>1993</v>
      </c>
      <c r="H8943" s="311" t="s">
        <v>12091</v>
      </c>
      <c r="I8943" s="157">
        <v>3</v>
      </c>
      <c r="J8943" s="142">
        <v>0</v>
      </c>
      <c r="K8943" s="142">
        <v>0</v>
      </c>
      <c r="L8943" s="142">
        <v>0</v>
      </c>
      <c r="M8943" s="142">
        <v>0</v>
      </c>
      <c r="N8943" s="142">
        <v>0</v>
      </c>
      <c r="O8943" s="142">
        <v>0</v>
      </c>
      <c r="P8943" s="306">
        <v>0.23137825700000003</v>
      </c>
      <c r="Q8943" s="50" t="s">
        <v>9523</v>
      </c>
      <c r="R8943" s="303"/>
    </row>
    <row r="8944" spans="1:18" s="162" customFormat="1" ht="96" x14ac:dyDescent="0.25">
      <c r="A8944" s="184">
        <v>44457</v>
      </c>
      <c r="B8944" s="184">
        <v>44457</v>
      </c>
      <c r="C8944" s="138">
        <v>2021</v>
      </c>
      <c r="D8944" s="351" t="s">
        <v>23</v>
      </c>
      <c r="E8944" s="22" t="s">
        <v>86</v>
      </c>
      <c r="F8944" s="7" t="s">
        <v>65</v>
      </c>
      <c r="G8944" s="33" t="s">
        <v>12092</v>
      </c>
      <c r="H8944" s="311" t="s">
        <v>12093</v>
      </c>
      <c r="I8944" s="157">
        <v>0</v>
      </c>
      <c r="J8944" s="142">
        <v>0</v>
      </c>
      <c r="K8944" s="142">
        <v>180</v>
      </c>
      <c r="L8944" s="142">
        <v>0</v>
      </c>
      <c r="M8944" s="142">
        <v>0</v>
      </c>
      <c r="N8944" s="142">
        <v>0</v>
      </c>
      <c r="O8944" s="142">
        <v>0</v>
      </c>
      <c r="P8944" s="306">
        <v>1.0881832500000002</v>
      </c>
      <c r="Q8944" s="50" t="s">
        <v>9523</v>
      </c>
      <c r="R8944" s="303"/>
    </row>
    <row r="8945" spans="1:18" s="162" customFormat="1" ht="132" x14ac:dyDescent="0.25">
      <c r="A8945" s="184">
        <v>44457</v>
      </c>
      <c r="B8945" s="184">
        <v>44458</v>
      </c>
      <c r="C8945" s="138">
        <v>2021</v>
      </c>
      <c r="D8945" s="351" t="s">
        <v>23</v>
      </c>
      <c r="E8945" s="22" t="s">
        <v>86</v>
      </c>
      <c r="F8945" s="28" t="s">
        <v>210</v>
      </c>
      <c r="G8945" s="33" t="s">
        <v>5123</v>
      </c>
      <c r="H8945" s="311" t="s">
        <v>12094</v>
      </c>
      <c r="I8945" s="157">
        <v>0</v>
      </c>
      <c r="J8945" s="142">
        <v>241</v>
      </c>
      <c r="K8945" s="142">
        <v>60</v>
      </c>
      <c r="L8945" s="142">
        <v>1</v>
      </c>
      <c r="M8945" s="142">
        <v>0</v>
      </c>
      <c r="N8945" s="142">
        <v>0</v>
      </c>
      <c r="O8945" s="142">
        <v>0</v>
      </c>
      <c r="P8945" s="306">
        <v>7.737345000000001E-2</v>
      </c>
      <c r="Q8945" s="50" t="s">
        <v>9523</v>
      </c>
      <c r="R8945" s="303"/>
    </row>
    <row r="8946" spans="1:18" s="162" customFormat="1" ht="156" x14ac:dyDescent="0.25">
      <c r="A8946" s="184">
        <v>44457</v>
      </c>
      <c r="B8946" s="184">
        <v>44457</v>
      </c>
      <c r="C8946" s="138">
        <v>2021</v>
      </c>
      <c r="D8946" s="351" t="s">
        <v>23</v>
      </c>
      <c r="E8946" s="22" t="s">
        <v>86</v>
      </c>
      <c r="F8946" s="7" t="s">
        <v>82</v>
      </c>
      <c r="G8946" s="33" t="s">
        <v>12095</v>
      </c>
      <c r="H8946" s="311" t="s">
        <v>12096</v>
      </c>
      <c r="I8946" s="157">
        <v>1</v>
      </c>
      <c r="J8946" s="142">
        <v>3</v>
      </c>
      <c r="K8946" s="142">
        <v>0</v>
      </c>
      <c r="L8946" s="142">
        <v>0</v>
      </c>
      <c r="M8946" s="142">
        <v>0</v>
      </c>
      <c r="N8946" s="142">
        <v>0</v>
      </c>
      <c r="O8946" s="142">
        <v>0</v>
      </c>
      <c r="P8946" s="306">
        <v>0.22352535700000004</v>
      </c>
      <c r="Q8946" s="50" t="s">
        <v>9523</v>
      </c>
      <c r="R8946" s="303"/>
    </row>
    <row r="8947" spans="1:18" s="162" customFormat="1" ht="72" x14ac:dyDescent="0.25">
      <c r="A8947" s="184">
        <v>44458</v>
      </c>
      <c r="B8947" s="184">
        <v>44458</v>
      </c>
      <c r="C8947" s="138">
        <v>2021</v>
      </c>
      <c r="D8947" s="24" t="s">
        <v>141</v>
      </c>
      <c r="E8947" s="30" t="s">
        <v>142</v>
      </c>
      <c r="F8947" s="7" t="s">
        <v>36</v>
      </c>
      <c r="G8947" s="33" t="s">
        <v>854</v>
      </c>
      <c r="H8947" s="311" t="s">
        <v>12097</v>
      </c>
      <c r="I8947" s="157">
        <v>0</v>
      </c>
      <c r="J8947" s="142">
        <v>0</v>
      </c>
      <c r="K8947" s="142">
        <v>0</v>
      </c>
      <c r="L8947" s="142">
        <v>0</v>
      </c>
      <c r="M8947" s="142">
        <v>0</v>
      </c>
      <c r="N8947" s="142">
        <v>0</v>
      </c>
      <c r="O8947" s="142">
        <v>0</v>
      </c>
      <c r="P8947" s="306">
        <v>2.6087600000000002E-2</v>
      </c>
      <c r="Q8947" s="50" t="s">
        <v>9523</v>
      </c>
      <c r="R8947" s="303"/>
    </row>
    <row r="8948" spans="1:18" s="162" customFormat="1" ht="108" x14ac:dyDescent="0.25">
      <c r="A8948" s="184">
        <v>44458</v>
      </c>
      <c r="B8948" s="184">
        <v>44458</v>
      </c>
      <c r="C8948" s="138">
        <v>2021</v>
      </c>
      <c r="D8948" s="35" t="s">
        <v>28</v>
      </c>
      <c r="E8948" s="30" t="s">
        <v>133</v>
      </c>
      <c r="F8948" s="28" t="s">
        <v>157</v>
      </c>
      <c r="G8948" s="33" t="s">
        <v>1062</v>
      </c>
      <c r="H8948" s="311" t="s">
        <v>12098</v>
      </c>
      <c r="I8948" s="157">
        <v>0</v>
      </c>
      <c r="J8948" s="142">
        <v>12</v>
      </c>
      <c r="K8948" s="142">
        <v>3</v>
      </c>
      <c r="L8948" s="142">
        <v>0</v>
      </c>
      <c r="M8948" s="142">
        <v>0</v>
      </c>
      <c r="N8948" s="142">
        <v>0</v>
      </c>
      <c r="O8948" s="142">
        <v>0</v>
      </c>
      <c r="P8948" s="306">
        <v>4.9549500000000017E-2</v>
      </c>
      <c r="Q8948" s="50" t="s">
        <v>9523</v>
      </c>
      <c r="R8948" s="303"/>
    </row>
    <row r="8949" spans="1:18" s="162" customFormat="1" ht="84" x14ac:dyDescent="0.25">
      <c r="A8949" s="184">
        <v>44458</v>
      </c>
      <c r="B8949" s="184">
        <v>44458</v>
      </c>
      <c r="C8949" s="138">
        <v>2021</v>
      </c>
      <c r="D8949" s="24" t="s">
        <v>141</v>
      </c>
      <c r="E8949" s="30" t="s">
        <v>142</v>
      </c>
      <c r="F8949" s="7" t="s">
        <v>77</v>
      </c>
      <c r="G8949" s="33" t="s">
        <v>4341</v>
      </c>
      <c r="H8949" s="311" t="s">
        <v>12099</v>
      </c>
      <c r="I8949" s="157">
        <v>1</v>
      </c>
      <c r="J8949" s="142">
        <v>9</v>
      </c>
      <c r="K8949" s="142">
        <v>0</v>
      </c>
      <c r="L8949" s="142">
        <v>0</v>
      </c>
      <c r="M8949" s="142">
        <v>0</v>
      </c>
      <c r="N8949" s="142">
        <v>0</v>
      </c>
      <c r="O8949" s="142">
        <v>0</v>
      </c>
      <c r="P8949" s="306">
        <v>0.22778455700000005</v>
      </c>
      <c r="Q8949" s="50" t="s">
        <v>9523</v>
      </c>
      <c r="R8949" s="303"/>
    </row>
    <row r="8950" spans="1:18" s="162" customFormat="1" ht="132" x14ac:dyDescent="0.25">
      <c r="A8950" s="184">
        <v>44460</v>
      </c>
      <c r="B8950" s="184">
        <v>44460</v>
      </c>
      <c r="C8950" s="138">
        <v>2021</v>
      </c>
      <c r="D8950" s="24" t="s">
        <v>141</v>
      </c>
      <c r="E8950" s="30" t="s">
        <v>142</v>
      </c>
      <c r="F8950" s="28" t="s">
        <v>210</v>
      </c>
      <c r="G8950" s="33" t="s">
        <v>893</v>
      </c>
      <c r="H8950" s="311" t="s">
        <v>12100</v>
      </c>
      <c r="I8950" s="157">
        <v>2</v>
      </c>
      <c r="J8950" s="142">
        <v>16</v>
      </c>
      <c r="K8950" s="142">
        <v>0</v>
      </c>
      <c r="L8950" s="142">
        <v>0</v>
      </c>
      <c r="M8950" s="142">
        <v>0</v>
      </c>
      <c r="N8950" s="142">
        <v>0</v>
      </c>
      <c r="O8950" s="142">
        <v>0</v>
      </c>
      <c r="P8950" s="306">
        <v>1.5177897570000001</v>
      </c>
      <c r="Q8950" s="50" t="s">
        <v>9523</v>
      </c>
      <c r="R8950" s="303"/>
    </row>
    <row r="8951" spans="1:18" s="162" customFormat="1" ht="144" x14ac:dyDescent="0.25">
      <c r="A8951" s="184">
        <v>44461</v>
      </c>
      <c r="B8951" s="184">
        <v>44461</v>
      </c>
      <c r="C8951" s="138">
        <v>2021</v>
      </c>
      <c r="D8951" s="351" t="s">
        <v>23</v>
      </c>
      <c r="E8951" s="14" t="s">
        <v>52</v>
      </c>
      <c r="F8951" s="7" t="s">
        <v>25</v>
      </c>
      <c r="G8951" s="33" t="s">
        <v>12101</v>
      </c>
      <c r="H8951" s="311" t="s">
        <v>12102</v>
      </c>
      <c r="I8951" s="157">
        <v>0</v>
      </c>
      <c r="J8951" s="142">
        <v>15</v>
      </c>
      <c r="K8951" s="142">
        <v>2</v>
      </c>
      <c r="L8951" s="142">
        <v>0</v>
      </c>
      <c r="M8951" s="142">
        <v>0</v>
      </c>
      <c r="N8951" s="142">
        <v>0</v>
      </c>
      <c r="O8951" s="142">
        <v>0</v>
      </c>
      <c r="P8951" s="306">
        <v>1.2443277000000003E-2</v>
      </c>
      <c r="Q8951" s="50" t="s">
        <v>9523</v>
      </c>
      <c r="R8951" s="303"/>
    </row>
    <row r="8952" spans="1:18" s="162" customFormat="1" ht="72" x14ac:dyDescent="0.25">
      <c r="A8952" s="184">
        <v>44463</v>
      </c>
      <c r="B8952" s="184">
        <v>44463</v>
      </c>
      <c r="C8952" s="138">
        <v>2021</v>
      </c>
      <c r="D8952" s="351" t="s">
        <v>23</v>
      </c>
      <c r="E8952" s="49" t="s">
        <v>5893</v>
      </c>
      <c r="F8952" s="7" t="s">
        <v>87</v>
      </c>
      <c r="G8952" s="33" t="s">
        <v>8544</v>
      </c>
      <c r="H8952" s="311" t="s">
        <v>12103</v>
      </c>
      <c r="I8952" s="157">
        <v>1</v>
      </c>
      <c r="J8952" s="142">
        <v>1</v>
      </c>
      <c r="K8952" s="142">
        <v>0</v>
      </c>
      <c r="L8952" s="142">
        <v>0</v>
      </c>
      <c r="M8952" s="142">
        <v>0</v>
      </c>
      <c r="N8952" s="142">
        <v>0</v>
      </c>
      <c r="O8952" s="142">
        <v>0</v>
      </c>
      <c r="P8952" s="306">
        <v>0</v>
      </c>
      <c r="Q8952" s="50" t="s">
        <v>9523</v>
      </c>
      <c r="R8952" s="303"/>
    </row>
    <row r="8953" spans="1:18" s="162" customFormat="1" ht="144" x14ac:dyDescent="0.25">
      <c r="A8953" s="184">
        <v>44464</v>
      </c>
      <c r="B8953" s="184">
        <v>44464</v>
      </c>
      <c r="C8953" s="138">
        <v>2021</v>
      </c>
      <c r="D8953" s="351" t="s">
        <v>23</v>
      </c>
      <c r="E8953" s="22" t="s">
        <v>86</v>
      </c>
      <c r="F8953" s="7" t="s">
        <v>62</v>
      </c>
      <c r="G8953" s="33" t="s">
        <v>12104</v>
      </c>
      <c r="H8953" s="311" t="s">
        <v>12105</v>
      </c>
      <c r="I8953" s="157">
        <v>1</v>
      </c>
      <c r="J8953" s="142">
        <v>61</v>
      </c>
      <c r="K8953" s="142">
        <v>15</v>
      </c>
      <c r="L8953" s="142">
        <v>0</v>
      </c>
      <c r="M8953" s="142">
        <v>0</v>
      </c>
      <c r="N8953" s="142">
        <v>0</v>
      </c>
      <c r="O8953" s="142">
        <v>0</v>
      </c>
      <c r="P8953" s="306">
        <v>2.0010375E-2</v>
      </c>
      <c r="Q8953" s="50" t="s">
        <v>9523</v>
      </c>
      <c r="R8953" s="303"/>
    </row>
    <row r="8954" spans="1:18" s="162" customFormat="1" ht="144" x14ac:dyDescent="0.25">
      <c r="A8954" s="184">
        <v>44464</v>
      </c>
      <c r="B8954" s="184">
        <v>44464</v>
      </c>
      <c r="C8954" s="138">
        <v>2021</v>
      </c>
      <c r="D8954" s="351" t="s">
        <v>23</v>
      </c>
      <c r="E8954" s="14" t="s">
        <v>52</v>
      </c>
      <c r="F8954" s="28" t="s">
        <v>210</v>
      </c>
      <c r="G8954" s="33" t="s">
        <v>2331</v>
      </c>
      <c r="H8954" s="311" t="s">
        <v>12106</v>
      </c>
      <c r="I8954" s="157">
        <v>0</v>
      </c>
      <c r="J8954" s="142">
        <v>24</v>
      </c>
      <c r="K8954" s="142">
        <v>6</v>
      </c>
      <c r="L8954" s="142">
        <v>0</v>
      </c>
      <c r="M8954" s="142">
        <v>0</v>
      </c>
      <c r="N8954" s="142">
        <v>0</v>
      </c>
      <c r="O8954" s="142">
        <v>0</v>
      </c>
      <c r="P8954" s="306">
        <v>1.4991900000000001E-2</v>
      </c>
      <c r="Q8954" s="50" t="s">
        <v>9523</v>
      </c>
      <c r="R8954" s="303"/>
    </row>
    <row r="8955" spans="1:18" s="162" customFormat="1" ht="120" x14ac:dyDescent="0.25">
      <c r="A8955" s="184">
        <v>44465</v>
      </c>
      <c r="B8955" s="184">
        <v>44465</v>
      </c>
      <c r="C8955" s="138">
        <v>2021</v>
      </c>
      <c r="D8955" s="24" t="s">
        <v>141</v>
      </c>
      <c r="E8955" s="30" t="s">
        <v>142</v>
      </c>
      <c r="F8955" s="28" t="s">
        <v>210</v>
      </c>
      <c r="G8955" s="33" t="s">
        <v>7518</v>
      </c>
      <c r="H8955" s="311" t="s">
        <v>12107</v>
      </c>
      <c r="I8955" s="157">
        <v>0</v>
      </c>
      <c r="J8955" s="142">
        <v>10</v>
      </c>
      <c r="K8955" s="142">
        <v>0</v>
      </c>
      <c r="L8955" s="142">
        <v>0</v>
      </c>
      <c r="M8955" s="142">
        <v>0</v>
      </c>
      <c r="N8955" s="142">
        <v>0</v>
      </c>
      <c r="O8955" s="142">
        <v>0</v>
      </c>
      <c r="P8955" s="306">
        <v>0.87606420000000007</v>
      </c>
      <c r="Q8955" s="50" t="s">
        <v>9523</v>
      </c>
      <c r="R8955" s="303"/>
    </row>
    <row r="8956" spans="1:18" s="162" customFormat="1" ht="84" x14ac:dyDescent="0.25">
      <c r="A8956" s="184">
        <v>44466</v>
      </c>
      <c r="B8956" s="184">
        <v>44466</v>
      </c>
      <c r="C8956" s="138">
        <v>2021</v>
      </c>
      <c r="D8956" s="351" t="s">
        <v>23</v>
      </c>
      <c r="E8956" s="22" t="s">
        <v>86</v>
      </c>
      <c r="F8956" s="7" t="s">
        <v>72</v>
      </c>
      <c r="G8956" s="33" t="s">
        <v>12108</v>
      </c>
      <c r="H8956" s="311" t="s">
        <v>12109</v>
      </c>
      <c r="I8956" s="157">
        <v>0</v>
      </c>
      <c r="J8956" s="142">
        <v>40</v>
      </c>
      <c r="K8956" s="142">
        <v>10</v>
      </c>
      <c r="L8956" s="142">
        <v>0</v>
      </c>
      <c r="M8956" s="142">
        <v>0</v>
      </c>
      <c r="N8956" s="142">
        <v>0</v>
      </c>
      <c r="O8956" s="142">
        <v>0</v>
      </c>
      <c r="P8956" s="306">
        <v>6.6701249999999998E-3</v>
      </c>
      <c r="Q8956" s="50" t="s">
        <v>9523</v>
      </c>
      <c r="R8956" s="303"/>
    </row>
    <row r="8957" spans="1:18" s="162" customFormat="1" ht="108" x14ac:dyDescent="0.25">
      <c r="A8957" s="184">
        <v>44466</v>
      </c>
      <c r="B8957" s="184">
        <v>44466</v>
      </c>
      <c r="C8957" s="138">
        <v>2021</v>
      </c>
      <c r="D8957" s="35" t="s">
        <v>17</v>
      </c>
      <c r="E8957" s="6" t="s">
        <v>328</v>
      </c>
      <c r="F8957" s="7" t="s">
        <v>60</v>
      </c>
      <c r="G8957" s="33" t="s">
        <v>1906</v>
      </c>
      <c r="H8957" s="311" t="s">
        <v>12110</v>
      </c>
      <c r="I8957" s="157">
        <v>1</v>
      </c>
      <c r="J8957" s="142">
        <v>2</v>
      </c>
      <c r="K8957" s="142">
        <v>0</v>
      </c>
      <c r="L8957" s="142">
        <v>0</v>
      </c>
      <c r="M8957" s="142">
        <v>0</v>
      </c>
      <c r="N8957" s="142">
        <v>0</v>
      </c>
      <c r="O8957" s="142">
        <v>0</v>
      </c>
      <c r="P8957" s="306">
        <v>0.43235925700000011</v>
      </c>
      <c r="Q8957" s="50" t="s">
        <v>9523</v>
      </c>
      <c r="R8957" s="303"/>
    </row>
    <row r="8958" spans="1:18" s="162" customFormat="1" ht="132" x14ac:dyDescent="0.25">
      <c r="A8958" s="184">
        <v>44468</v>
      </c>
      <c r="B8958" s="184">
        <v>44468</v>
      </c>
      <c r="C8958" s="138">
        <v>2021</v>
      </c>
      <c r="D8958" s="35" t="s">
        <v>28</v>
      </c>
      <c r="E8958" s="6" t="s">
        <v>149</v>
      </c>
      <c r="F8958" s="7" t="s">
        <v>45</v>
      </c>
      <c r="G8958" s="33" t="s">
        <v>2866</v>
      </c>
      <c r="H8958" s="311" t="s">
        <v>12111</v>
      </c>
      <c r="I8958" s="157">
        <v>0</v>
      </c>
      <c r="J8958" s="142">
        <v>25</v>
      </c>
      <c r="K8958" s="142">
        <v>0</v>
      </c>
      <c r="L8958" s="142">
        <v>0</v>
      </c>
      <c r="M8958" s="142">
        <v>0</v>
      </c>
      <c r="N8958" s="142">
        <v>1</v>
      </c>
      <c r="O8958" s="142">
        <v>0</v>
      </c>
      <c r="P8958" s="306">
        <v>0</v>
      </c>
      <c r="Q8958" s="50" t="s">
        <v>9523</v>
      </c>
      <c r="R8958" s="303"/>
    </row>
    <row r="8959" spans="1:18" s="162" customFormat="1" ht="84" x14ac:dyDescent="0.25">
      <c r="A8959" s="184">
        <v>44468</v>
      </c>
      <c r="B8959" s="184">
        <v>44468</v>
      </c>
      <c r="C8959" s="138">
        <v>2021</v>
      </c>
      <c r="D8959" s="351" t="s">
        <v>23</v>
      </c>
      <c r="E8959" s="22" t="s">
        <v>86</v>
      </c>
      <c r="F8959" s="7" t="s">
        <v>77</v>
      </c>
      <c r="G8959" s="33" t="s">
        <v>961</v>
      </c>
      <c r="H8959" s="311" t="s">
        <v>12112</v>
      </c>
      <c r="I8959" s="157">
        <v>0</v>
      </c>
      <c r="J8959" s="142">
        <v>40</v>
      </c>
      <c r="K8959" s="142">
        <v>10</v>
      </c>
      <c r="L8959" s="142">
        <v>0</v>
      </c>
      <c r="M8959" s="142">
        <v>0</v>
      </c>
      <c r="N8959" s="142">
        <v>0</v>
      </c>
      <c r="O8959" s="142">
        <v>0</v>
      </c>
      <c r="P8959" s="306">
        <v>1.334025E-2</v>
      </c>
      <c r="Q8959" s="50" t="s">
        <v>9523</v>
      </c>
      <c r="R8959" s="303"/>
    </row>
    <row r="8960" spans="1:18" s="162" customFormat="1" ht="72" x14ac:dyDescent="0.25">
      <c r="A8960" s="184">
        <v>44468</v>
      </c>
      <c r="B8960" s="184">
        <v>44468</v>
      </c>
      <c r="C8960" s="138">
        <v>2021</v>
      </c>
      <c r="D8960" s="351" t="s">
        <v>23</v>
      </c>
      <c r="E8960" s="22" t="s">
        <v>86</v>
      </c>
      <c r="F8960" s="28" t="s">
        <v>210</v>
      </c>
      <c r="G8960" s="33" t="s">
        <v>4313</v>
      </c>
      <c r="H8960" s="311" t="s">
        <v>12113</v>
      </c>
      <c r="I8960" s="157">
        <v>0</v>
      </c>
      <c r="J8960" s="142">
        <v>68</v>
      </c>
      <c r="K8960" s="142">
        <v>17</v>
      </c>
      <c r="L8960" s="142">
        <v>0</v>
      </c>
      <c r="M8960" s="142">
        <v>0</v>
      </c>
      <c r="N8960" s="142">
        <v>0</v>
      </c>
      <c r="O8960" s="142">
        <v>0</v>
      </c>
      <c r="P8960" s="306">
        <v>2.2678425000000002E-2</v>
      </c>
      <c r="Q8960" s="50" t="s">
        <v>9523</v>
      </c>
      <c r="R8960" s="303"/>
    </row>
    <row r="8961" spans="1:18" s="162" customFormat="1" ht="204" x14ac:dyDescent="0.25">
      <c r="A8961" s="184">
        <v>44468</v>
      </c>
      <c r="B8961" s="184">
        <v>44468</v>
      </c>
      <c r="C8961" s="138">
        <v>2021</v>
      </c>
      <c r="D8961" s="35" t="s">
        <v>17</v>
      </c>
      <c r="E8961" s="6" t="s">
        <v>328</v>
      </c>
      <c r="F8961" s="7" t="s">
        <v>53</v>
      </c>
      <c r="G8961" s="33" t="s">
        <v>1304</v>
      </c>
      <c r="H8961" s="311" t="s">
        <v>12114</v>
      </c>
      <c r="I8961" s="157">
        <v>4</v>
      </c>
      <c r="J8961" s="142">
        <v>8</v>
      </c>
      <c r="K8961" s="142">
        <v>7</v>
      </c>
      <c r="L8961" s="142">
        <v>0</v>
      </c>
      <c r="M8961" s="142">
        <v>0</v>
      </c>
      <c r="N8961" s="142">
        <v>0</v>
      </c>
      <c r="O8961" s="142">
        <v>0</v>
      </c>
      <c r="P8961" s="306">
        <v>1.0684178999999998</v>
      </c>
      <c r="Q8961" s="50" t="s">
        <v>9523</v>
      </c>
      <c r="R8961" s="303"/>
    </row>
    <row r="8962" spans="1:18" s="162" customFormat="1" ht="96" x14ac:dyDescent="0.25">
      <c r="A8962" s="184">
        <v>44470</v>
      </c>
      <c r="B8962" s="184">
        <v>44470</v>
      </c>
      <c r="C8962" s="138">
        <v>2021</v>
      </c>
      <c r="D8962" s="351" t="s">
        <v>23</v>
      </c>
      <c r="E8962" s="22" t="s">
        <v>86</v>
      </c>
      <c r="F8962" s="7" t="s">
        <v>77</v>
      </c>
      <c r="G8962" s="33" t="s">
        <v>77</v>
      </c>
      <c r="H8962" s="311" t="s">
        <v>12115</v>
      </c>
      <c r="I8962" s="157">
        <v>0</v>
      </c>
      <c r="J8962" s="142">
        <v>80</v>
      </c>
      <c r="K8962" s="142">
        <v>20</v>
      </c>
      <c r="L8962" s="142">
        <v>0</v>
      </c>
      <c r="M8962" s="142">
        <v>0</v>
      </c>
      <c r="N8962" s="142">
        <v>0</v>
      </c>
      <c r="O8962" s="142">
        <v>0</v>
      </c>
      <c r="P8962" s="306">
        <v>2.6680499999999999E-2</v>
      </c>
      <c r="Q8962" s="50" t="s">
        <v>9523</v>
      </c>
      <c r="R8962" s="303"/>
    </row>
    <row r="8963" spans="1:18" s="162" customFormat="1" ht="108" x14ac:dyDescent="0.25">
      <c r="A8963" s="184">
        <v>44470</v>
      </c>
      <c r="B8963" s="184">
        <v>44473</v>
      </c>
      <c r="C8963" s="138">
        <v>2021</v>
      </c>
      <c r="D8963" s="351" t="s">
        <v>23</v>
      </c>
      <c r="E8963" s="14" t="s">
        <v>52</v>
      </c>
      <c r="F8963" s="7" t="s">
        <v>72</v>
      </c>
      <c r="G8963" s="33" t="s">
        <v>12116</v>
      </c>
      <c r="H8963" s="311" t="s">
        <v>12117</v>
      </c>
      <c r="I8963" s="157">
        <v>3</v>
      </c>
      <c r="J8963" s="142">
        <v>3</v>
      </c>
      <c r="K8963" s="142">
        <v>0</v>
      </c>
      <c r="L8963" s="142">
        <v>0</v>
      </c>
      <c r="M8963" s="142">
        <v>0</v>
      </c>
      <c r="N8963" s="142">
        <v>0</v>
      </c>
      <c r="O8963" s="142">
        <v>0</v>
      </c>
      <c r="P8963" s="306">
        <v>0.10648000000000002</v>
      </c>
      <c r="Q8963" s="50" t="s">
        <v>9523</v>
      </c>
      <c r="R8963" s="303"/>
    </row>
    <row r="8964" spans="1:18" s="162" customFormat="1" ht="84" x14ac:dyDescent="0.25">
      <c r="A8964" s="184">
        <v>44470</v>
      </c>
      <c r="B8964" s="184">
        <v>44473</v>
      </c>
      <c r="C8964" s="138">
        <v>2021</v>
      </c>
      <c r="D8964" s="24" t="s">
        <v>141</v>
      </c>
      <c r="E8964" s="30" t="s">
        <v>142</v>
      </c>
      <c r="F8964" s="7" t="s">
        <v>68</v>
      </c>
      <c r="G8964" s="33" t="s">
        <v>12118</v>
      </c>
      <c r="H8964" s="311" t="s">
        <v>12119</v>
      </c>
      <c r="I8964" s="157">
        <v>0</v>
      </c>
      <c r="J8964" s="142">
        <v>2</v>
      </c>
      <c r="K8964" s="142">
        <v>0</v>
      </c>
      <c r="L8964" s="142">
        <v>0</v>
      </c>
      <c r="M8964" s="142">
        <v>0</v>
      </c>
      <c r="N8964" s="142">
        <v>0</v>
      </c>
      <c r="O8964" s="142">
        <v>0</v>
      </c>
      <c r="P8964" s="306">
        <v>0</v>
      </c>
      <c r="Q8964" s="50" t="s">
        <v>9523</v>
      </c>
      <c r="R8964" s="303"/>
    </row>
    <row r="8965" spans="1:18" s="162" customFormat="1" ht="84" x14ac:dyDescent="0.25">
      <c r="A8965" s="184">
        <v>44471</v>
      </c>
      <c r="B8965" s="184">
        <v>44471</v>
      </c>
      <c r="C8965" s="138">
        <v>2021</v>
      </c>
      <c r="D8965" s="24" t="s">
        <v>141</v>
      </c>
      <c r="E8965" s="30" t="s">
        <v>142</v>
      </c>
      <c r="F8965" s="28" t="s">
        <v>157</v>
      </c>
      <c r="G8965" s="33" t="s">
        <v>158</v>
      </c>
      <c r="H8965" s="311" t="s">
        <v>12120</v>
      </c>
      <c r="I8965" s="157">
        <v>1</v>
      </c>
      <c r="J8965" s="142">
        <v>4</v>
      </c>
      <c r="K8965" s="142">
        <v>0</v>
      </c>
      <c r="L8965" s="142">
        <v>0</v>
      </c>
      <c r="M8965" s="142">
        <v>0</v>
      </c>
      <c r="N8965" s="142">
        <v>0</v>
      </c>
      <c r="O8965" s="142">
        <v>0</v>
      </c>
      <c r="P8965" s="306">
        <v>0.22179505700000005</v>
      </c>
      <c r="Q8965" s="50" t="s">
        <v>9523</v>
      </c>
      <c r="R8965" s="303"/>
    </row>
    <row r="8966" spans="1:18" s="162" customFormat="1" ht="84" x14ac:dyDescent="0.25">
      <c r="A8966" s="184">
        <v>44471</v>
      </c>
      <c r="B8966" s="184">
        <v>44471</v>
      </c>
      <c r="C8966" s="138">
        <v>2021</v>
      </c>
      <c r="D8966" s="351" t="s">
        <v>23</v>
      </c>
      <c r="E8966" s="22" t="s">
        <v>86</v>
      </c>
      <c r="F8966" s="7" t="s">
        <v>25</v>
      </c>
      <c r="G8966" s="33" t="s">
        <v>12121</v>
      </c>
      <c r="H8966" s="311" t="s">
        <v>12122</v>
      </c>
      <c r="I8966" s="157">
        <v>0</v>
      </c>
      <c r="J8966" s="142">
        <v>61</v>
      </c>
      <c r="K8966" s="142">
        <v>19</v>
      </c>
      <c r="L8966" s="142">
        <v>0</v>
      </c>
      <c r="M8966" s="142">
        <v>0</v>
      </c>
      <c r="N8966" s="142">
        <v>0</v>
      </c>
      <c r="O8966" s="142">
        <v>0</v>
      </c>
      <c r="P8966" s="306">
        <v>2.5346475000000004E-2</v>
      </c>
      <c r="Q8966" s="50" t="s">
        <v>9523</v>
      </c>
      <c r="R8966" s="303"/>
    </row>
    <row r="8967" spans="1:18" s="162" customFormat="1" ht="132" x14ac:dyDescent="0.25">
      <c r="A8967" s="184">
        <v>44471</v>
      </c>
      <c r="B8967" s="184">
        <v>44471</v>
      </c>
      <c r="C8967" s="138">
        <v>2021</v>
      </c>
      <c r="D8967" s="35" t="s">
        <v>28</v>
      </c>
      <c r="E8967" s="30" t="s">
        <v>133</v>
      </c>
      <c r="F8967" s="7" t="s">
        <v>77</v>
      </c>
      <c r="G8967" s="33" t="s">
        <v>77</v>
      </c>
      <c r="H8967" s="311" t="s">
        <v>12123</v>
      </c>
      <c r="I8967" s="157">
        <v>0</v>
      </c>
      <c r="J8967" s="142">
        <v>3</v>
      </c>
      <c r="K8967" s="142">
        <v>1</v>
      </c>
      <c r="L8967" s="142">
        <v>0</v>
      </c>
      <c r="M8967" s="142">
        <v>0</v>
      </c>
      <c r="N8967" s="142">
        <v>0</v>
      </c>
      <c r="O8967" s="142">
        <v>0</v>
      </c>
      <c r="P8967" s="306">
        <v>0.67303140300000019</v>
      </c>
      <c r="Q8967" s="50" t="s">
        <v>9523</v>
      </c>
      <c r="R8967" s="303"/>
    </row>
    <row r="8968" spans="1:18" s="162" customFormat="1" ht="144" x14ac:dyDescent="0.25">
      <c r="A8968" s="184">
        <v>44471</v>
      </c>
      <c r="B8968" s="184">
        <v>44471</v>
      </c>
      <c r="C8968" s="138">
        <v>2021</v>
      </c>
      <c r="D8968" s="35" t="s">
        <v>17</v>
      </c>
      <c r="E8968" s="6" t="s">
        <v>328</v>
      </c>
      <c r="F8968" s="28" t="s">
        <v>157</v>
      </c>
      <c r="G8968" s="33" t="s">
        <v>857</v>
      </c>
      <c r="H8968" s="311" t="s">
        <v>12124</v>
      </c>
      <c r="I8968" s="157">
        <v>0</v>
      </c>
      <c r="J8968" s="142">
        <v>5</v>
      </c>
      <c r="K8968" s="142">
        <v>1</v>
      </c>
      <c r="L8968" s="142">
        <v>0</v>
      </c>
      <c r="M8968" s="142">
        <v>0</v>
      </c>
      <c r="N8968" s="142">
        <v>0</v>
      </c>
      <c r="O8968" s="142">
        <v>0</v>
      </c>
      <c r="P8968" s="306">
        <v>0.15246000000000001</v>
      </c>
      <c r="Q8968" s="50" t="s">
        <v>9523</v>
      </c>
      <c r="R8968" s="303"/>
    </row>
    <row r="8969" spans="1:18" s="162" customFormat="1" ht="72" x14ac:dyDescent="0.25">
      <c r="A8969" s="184">
        <v>44471</v>
      </c>
      <c r="B8969" s="184">
        <v>44471</v>
      </c>
      <c r="C8969" s="138">
        <v>2021</v>
      </c>
      <c r="D8969" s="35" t="s">
        <v>28</v>
      </c>
      <c r="E8969" s="6" t="s">
        <v>149</v>
      </c>
      <c r="F8969" s="7" t="s">
        <v>53</v>
      </c>
      <c r="G8969" s="33" t="s">
        <v>2516</v>
      </c>
      <c r="H8969" s="311" t="s">
        <v>12125</v>
      </c>
      <c r="I8969" s="157">
        <v>0</v>
      </c>
      <c r="J8969" s="142">
        <v>0</v>
      </c>
      <c r="K8969" s="142">
        <v>0</v>
      </c>
      <c r="L8969" s="142">
        <v>0</v>
      </c>
      <c r="M8969" s="142">
        <v>0</v>
      </c>
      <c r="N8969" s="142">
        <v>1</v>
      </c>
      <c r="O8969" s="142">
        <v>0</v>
      </c>
      <c r="P8969" s="306">
        <v>0</v>
      </c>
      <c r="Q8969" s="50" t="s">
        <v>9523</v>
      </c>
      <c r="R8969" s="303"/>
    </row>
    <row r="8970" spans="1:18" s="162" customFormat="1" ht="72" x14ac:dyDescent="0.25">
      <c r="A8970" s="184">
        <v>44471</v>
      </c>
      <c r="B8970" s="184">
        <v>44471</v>
      </c>
      <c r="C8970" s="138">
        <v>2021</v>
      </c>
      <c r="D8970" s="35" t="s">
        <v>28</v>
      </c>
      <c r="E8970" s="30" t="s">
        <v>133</v>
      </c>
      <c r="F8970" s="7" t="s">
        <v>60</v>
      </c>
      <c r="G8970" s="33" t="s">
        <v>1605</v>
      </c>
      <c r="H8970" s="311" t="s">
        <v>12126</v>
      </c>
      <c r="I8970" s="157">
        <v>0</v>
      </c>
      <c r="J8970" s="142">
        <v>2</v>
      </c>
      <c r="K8970" s="142">
        <v>0</v>
      </c>
      <c r="L8970" s="142">
        <v>0</v>
      </c>
      <c r="M8970" s="142">
        <v>0</v>
      </c>
      <c r="N8970" s="142">
        <v>0</v>
      </c>
      <c r="O8970" s="142">
        <v>0</v>
      </c>
      <c r="P8970" s="306">
        <v>2.3958000000000004E-3</v>
      </c>
      <c r="Q8970" s="50" t="s">
        <v>9523</v>
      </c>
      <c r="R8970" s="303"/>
    </row>
    <row r="8971" spans="1:18" s="162" customFormat="1" ht="409.5" x14ac:dyDescent="0.25">
      <c r="A8971" s="184">
        <v>44471</v>
      </c>
      <c r="B8971" s="184">
        <v>44471</v>
      </c>
      <c r="C8971" s="138">
        <v>2021</v>
      </c>
      <c r="D8971" s="351" t="s">
        <v>23</v>
      </c>
      <c r="E8971" s="22" t="s">
        <v>86</v>
      </c>
      <c r="F8971" s="7" t="s">
        <v>77</v>
      </c>
      <c r="G8971" s="33" t="s">
        <v>12127</v>
      </c>
      <c r="H8971" s="311" t="s">
        <v>12128</v>
      </c>
      <c r="I8971" s="157">
        <v>5</v>
      </c>
      <c r="J8971" s="142">
        <v>14440</v>
      </c>
      <c r="K8971" s="142">
        <v>3610</v>
      </c>
      <c r="L8971" s="142">
        <v>3</v>
      </c>
      <c r="M8971" s="142">
        <v>1</v>
      </c>
      <c r="N8971" s="142">
        <v>54</v>
      </c>
      <c r="O8971" s="142">
        <v>0</v>
      </c>
      <c r="P8971" s="306">
        <v>5.1770076875000006</v>
      </c>
      <c r="Q8971" s="50" t="s">
        <v>9523</v>
      </c>
      <c r="R8971" s="303"/>
    </row>
    <row r="8972" spans="1:18" s="162" customFormat="1" ht="156" x14ac:dyDescent="0.25">
      <c r="A8972" s="184">
        <v>44472</v>
      </c>
      <c r="B8972" s="184">
        <v>44473</v>
      </c>
      <c r="C8972" s="138">
        <v>2021</v>
      </c>
      <c r="D8972" s="351" t="s">
        <v>23</v>
      </c>
      <c r="E8972" s="22" t="s">
        <v>86</v>
      </c>
      <c r="F8972" s="7" t="s">
        <v>82</v>
      </c>
      <c r="G8972" s="33" t="s">
        <v>191</v>
      </c>
      <c r="H8972" s="311" t="s">
        <v>12129</v>
      </c>
      <c r="I8972" s="157">
        <v>0</v>
      </c>
      <c r="J8972" s="142">
        <v>71</v>
      </c>
      <c r="K8972" s="142">
        <v>0</v>
      </c>
      <c r="L8972" s="142">
        <v>0</v>
      </c>
      <c r="M8972" s="142">
        <v>0</v>
      </c>
      <c r="N8972" s="142">
        <v>0</v>
      </c>
      <c r="O8972" s="142">
        <v>0</v>
      </c>
      <c r="P8972" s="306">
        <v>0</v>
      </c>
      <c r="Q8972" s="50" t="s">
        <v>9523</v>
      </c>
      <c r="R8972" s="303"/>
    </row>
    <row r="8973" spans="1:18" s="162" customFormat="1" ht="96" x14ac:dyDescent="0.25">
      <c r="A8973" s="184">
        <v>44473</v>
      </c>
      <c r="B8973" s="184">
        <v>44473</v>
      </c>
      <c r="C8973" s="138">
        <v>2021</v>
      </c>
      <c r="D8973" s="24" t="s">
        <v>141</v>
      </c>
      <c r="E8973" s="30" t="s">
        <v>142</v>
      </c>
      <c r="F8973" s="7" t="s">
        <v>49</v>
      </c>
      <c r="G8973" s="33" t="s">
        <v>228</v>
      </c>
      <c r="H8973" s="311" t="s">
        <v>12130</v>
      </c>
      <c r="I8973" s="157">
        <v>0</v>
      </c>
      <c r="J8973" s="142">
        <v>11</v>
      </c>
      <c r="K8973" s="142">
        <v>0</v>
      </c>
      <c r="L8973" s="142">
        <v>0</v>
      </c>
      <c r="M8973" s="142">
        <v>0</v>
      </c>
      <c r="N8973" s="142">
        <v>0</v>
      </c>
      <c r="O8973" s="142">
        <v>0</v>
      </c>
      <c r="P8973" s="306">
        <v>0.29273529999999998</v>
      </c>
      <c r="Q8973" s="50" t="s">
        <v>9523</v>
      </c>
      <c r="R8973" s="303"/>
    </row>
    <row r="8974" spans="1:18" s="162" customFormat="1" ht="180" x14ac:dyDescent="0.25">
      <c r="A8974" s="184">
        <v>44474</v>
      </c>
      <c r="B8974" s="184">
        <v>44474</v>
      </c>
      <c r="C8974" s="138">
        <v>2021</v>
      </c>
      <c r="D8974" s="351" t="s">
        <v>23</v>
      </c>
      <c r="E8974" s="22" t="s">
        <v>86</v>
      </c>
      <c r="F8974" s="7" t="s">
        <v>60</v>
      </c>
      <c r="G8974" s="33" t="s">
        <v>12131</v>
      </c>
      <c r="H8974" s="311" t="s">
        <v>12132</v>
      </c>
      <c r="I8974" s="157">
        <v>0</v>
      </c>
      <c r="J8974" s="142">
        <v>21</v>
      </c>
      <c r="K8974" s="142">
        <v>5</v>
      </c>
      <c r="L8974" s="142">
        <v>0</v>
      </c>
      <c r="M8974" s="142">
        <v>0</v>
      </c>
      <c r="N8974" s="142">
        <v>0</v>
      </c>
      <c r="O8974" s="142">
        <v>0</v>
      </c>
      <c r="P8974" s="306">
        <v>1.1557738500000001E-2</v>
      </c>
      <c r="Q8974" s="50" t="s">
        <v>9523</v>
      </c>
      <c r="R8974" s="303"/>
    </row>
    <row r="8975" spans="1:18" s="162" customFormat="1" ht="120" x14ac:dyDescent="0.25">
      <c r="A8975" s="184">
        <v>44474</v>
      </c>
      <c r="B8975" s="184">
        <v>44475</v>
      </c>
      <c r="C8975" s="138">
        <v>2021</v>
      </c>
      <c r="D8975" s="351" t="s">
        <v>23</v>
      </c>
      <c r="E8975" s="22" t="s">
        <v>86</v>
      </c>
      <c r="F8975" s="28" t="s">
        <v>210</v>
      </c>
      <c r="G8975" s="33" t="s">
        <v>12133</v>
      </c>
      <c r="H8975" s="311" t="s">
        <v>12134</v>
      </c>
      <c r="I8975" s="157">
        <v>0</v>
      </c>
      <c r="J8975" s="142">
        <v>332</v>
      </c>
      <c r="K8975" s="142">
        <v>83</v>
      </c>
      <c r="L8975" s="142">
        <v>0</v>
      </c>
      <c r="M8975" s="142">
        <v>0</v>
      </c>
      <c r="N8975" s="142">
        <v>0</v>
      </c>
      <c r="O8975" s="142">
        <v>0</v>
      </c>
      <c r="P8975" s="306">
        <v>0.11072407500000001</v>
      </c>
      <c r="Q8975" s="50" t="s">
        <v>9523</v>
      </c>
      <c r="R8975" s="303"/>
    </row>
    <row r="8976" spans="1:18" s="162" customFormat="1" ht="396" x14ac:dyDescent="0.25">
      <c r="A8976" s="184">
        <v>44474</v>
      </c>
      <c r="B8976" s="184">
        <v>44474</v>
      </c>
      <c r="C8976" s="138">
        <v>2021</v>
      </c>
      <c r="D8976" s="351" t="s">
        <v>23</v>
      </c>
      <c r="E8976" s="22" t="s">
        <v>86</v>
      </c>
      <c r="F8976" s="7" t="s">
        <v>60</v>
      </c>
      <c r="G8976" s="33" t="s">
        <v>12135</v>
      </c>
      <c r="H8976" s="311" t="s">
        <v>12136</v>
      </c>
      <c r="I8976" s="157">
        <v>0</v>
      </c>
      <c r="J8976" s="142">
        <v>1088</v>
      </c>
      <c r="K8976" s="142">
        <v>272</v>
      </c>
      <c r="L8976" s="142">
        <v>0</v>
      </c>
      <c r="M8976" s="142">
        <v>0</v>
      </c>
      <c r="N8976" s="142">
        <v>0</v>
      </c>
      <c r="O8976" s="142">
        <v>0</v>
      </c>
      <c r="P8976" s="306">
        <v>1.0017348000000001</v>
      </c>
      <c r="Q8976" s="50" t="s">
        <v>9523</v>
      </c>
      <c r="R8976" s="303"/>
    </row>
    <row r="8977" spans="1:18" s="162" customFormat="1" ht="108" x14ac:dyDescent="0.25">
      <c r="A8977" s="184">
        <v>44474</v>
      </c>
      <c r="B8977" s="184">
        <v>44474</v>
      </c>
      <c r="C8977" s="138">
        <v>2021</v>
      </c>
      <c r="D8977" s="351" t="s">
        <v>23</v>
      </c>
      <c r="E8977" s="14" t="s">
        <v>52</v>
      </c>
      <c r="F8977" s="7" t="s">
        <v>60</v>
      </c>
      <c r="G8977" s="33" t="s">
        <v>10484</v>
      </c>
      <c r="H8977" s="311" t="s">
        <v>12137</v>
      </c>
      <c r="I8977" s="157">
        <v>1</v>
      </c>
      <c r="J8977" s="142">
        <v>1</v>
      </c>
      <c r="K8977" s="142">
        <v>0</v>
      </c>
      <c r="L8977" s="142">
        <v>0</v>
      </c>
      <c r="M8977" s="142">
        <v>0</v>
      </c>
      <c r="N8977" s="142">
        <v>0</v>
      </c>
      <c r="O8977" s="142">
        <v>0</v>
      </c>
      <c r="P8977" s="306">
        <v>0</v>
      </c>
      <c r="Q8977" s="50" t="s">
        <v>9523</v>
      </c>
      <c r="R8977" s="303"/>
    </row>
    <row r="8978" spans="1:18" s="162" customFormat="1" ht="144" x14ac:dyDescent="0.25">
      <c r="A8978" s="184">
        <v>44475</v>
      </c>
      <c r="B8978" s="184">
        <v>44475</v>
      </c>
      <c r="C8978" s="138">
        <v>2021</v>
      </c>
      <c r="D8978" s="351" t="s">
        <v>23</v>
      </c>
      <c r="E8978" s="22" t="s">
        <v>86</v>
      </c>
      <c r="F8978" s="7" t="s">
        <v>53</v>
      </c>
      <c r="G8978" s="33" t="s">
        <v>12138</v>
      </c>
      <c r="H8978" s="311" t="s">
        <v>12139</v>
      </c>
      <c r="I8978" s="157">
        <v>0</v>
      </c>
      <c r="J8978" s="142">
        <v>164</v>
      </c>
      <c r="K8978" s="142">
        <v>41</v>
      </c>
      <c r="L8978" s="142">
        <v>0</v>
      </c>
      <c r="M8978" s="142"/>
      <c r="N8978" s="142">
        <v>0</v>
      </c>
      <c r="O8978" s="142">
        <v>0</v>
      </c>
      <c r="P8978" s="306">
        <v>8.8935E-2</v>
      </c>
      <c r="Q8978" s="50" t="s">
        <v>9523</v>
      </c>
      <c r="R8978" s="303"/>
    </row>
    <row r="8979" spans="1:18" s="162" customFormat="1" ht="120" x14ac:dyDescent="0.25">
      <c r="A8979" s="184">
        <v>44475</v>
      </c>
      <c r="B8979" s="184">
        <v>44475</v>
      </c>
      <c r="C8979" s="138">
        <v>2021</v>
      </c>
      <c r="D8979" s="35" t="s">
        <v>28</v>
      </c>
      <c r="E8979" s="30" t="s">
        <v>125</v>
      </c>
      <c r="F8979" s="7" t="s">
        <v>87</v>
      </c>
      <c r="G8979" s="33" t="s">
        <v>567</v>
      </c>
      <c r="H8979" s="311" t="s">
        <v>12140</v>
      </c>
      <c r="I8979" s="157">
        <v>0</v>
      </c>
      <c r="J8979" s="142">
        <v>50</v>
      </c>
      <c r="K8979" s="142">
        <v>0</v>
      </c>
      <c r="L8979" s="142">
        <v>0</v>
      </c>
      <c r="M8979" s="142">
        <v>0</v>
      </c>
      <c r="N8979" s="142">
        <v>1</v>
      </c>
      <c r="O8979" s="142">
        <v>0</v>
      </c>
      <c r="P8979" s="306">
        <v>0</v>
      </c>
      <c r="Q8979" s="50" t="s">
        <v>9523</v>
      </c>
      <c r="R8979" s="303"/>
    </row>
    <row r="8980" spans="1:18" s="162" customFormat="1" ht="60" x14ac:dyDescent="0.25">
      <c r="A8980" s="184">
        <v>44475</v>
      </c>
      <c r="B8980" s="184">
        <v>44475</v>
      </c>
      <c r="C8980" s="138">
        <v>2021</v>
      </c>
      <c r="D8980" s="351" t="s">
        <v>23</v>
      </c>
      <c r="E8980" s="49" t="s">
        <v>5893</v>
      </c>
      <c r="F8980" s="7" t="s">
        <v>53</v>
      </c>
      <c r="G8980" s="33" t="s">
        <v>8908</v>
      </c>
      <c r="H8980" s="311" t="s">
        <v>12141</v>
      </c>
      <c r="I8980" s="157">
        <v>1</v>
      </c>
      <c r="J8980" s="142">
        <v>1</v>
      </c>
      <c r="K8980" s="142">
        <v>0</v>
      </c>
      <c r="L8980" s="142">
        <v>0</v>
      </c>
      <c r="M8980" s="142">
        <v>0</v>
      </c>
      <c r="N8980" s="142">
        <v>0</v>
      </c>
      <c r="O8980" s="142">
        <v>0</v>
      </c>
      <c r="P8980" s="306">
        <v>1.1979000000000002E-3</v>
      </c>
      <c r="Q8980" s="50" t="s">
        <v>9523</v>
      </c>
      <c r="R8980" s="303"/>
    </row>
    <row r="8981" spans="1:18" s="162" customFormat="1" ht="96" x14ac:dyDescent="0.25">
      <c r="A8981" s="184">
        <v>44476</v>
      </c>
      <c r="B8981" s="184">
        <v>44477</v>
      </c>
      <c r="C8981" s="138">
        <v>2021</v>
      </c>
      <c r="D8981" s="24" t="s">
        <v>141</v>
      </c>
      <c r="E8981" s="30" t="s">
        <v>142</v>
      </c>
      <c r="F8981" s="7" t="s">
        <v>84</v>
      </c>
      <c r="G8981" s="33" t="s">
        <v>1453</v>
      </c>
      <c r="H8981" s="311" t="s">
        <v>12142</v>
      </c>
      <c r="I8981" s="157">
        <v>1</v>
      </c>
      <c r="J8981" s="142">
        <v>47</v>
      </c>
      <c r="K8981" s="142">
        <v>0</v>
      </c>
      <c r="L8981" s="142">
        <v>0</v>
      </c>
      <c r="M8981" s="142">
        <v>0</v>
      </c>
      <c r="N8981" s="142">
        <v>0</v>
      </c>
      <c r="O8981" s="142">
        <v>0</v>
      </c>
      <c r="P8981" s="306">
        <v>0.87007470000000009</v>
      </c>
      <c r="Q8981" s="50" t="s">
        <v>9523</v>
      </c>
      <c r="R8981" s="303"/>
    </row>
    <row r="8982" spans="1:18" s="162" customFormat="1" ht="72" x14ac:dyDescent="0.25">
      <c r="A8982" s="184">
        <v>44477</v>
      </c>
      <c r="B8982" s="184">
        <v>44477</v>
      </c>
      <c r="C8982" s="138">
        <v>2021</v>
      </c>
      <c r="D8982" s="24" t="s">
        <v>141</v>
      </c>
      <c r="E8982" s="30" t="s">
        <v>142</v>
      </c>
      <c r="F8982" s="7" t="s">
        <v>68</v>
      </c>
      <c r="G8982" s="33" t="s">
        <v>2852</v>
      </c>
      <c r="H8982" s="311" t="s">
        <v>12143</v>
      </c>
      <c r="I8982" s="157">
        <v>0</v>
      </c>
      <c r="J8982" s="142">
        <v>3</v>
      </c>
      <c r="K8982" s="142">
        <v>0</v>
      </c>
      <c r="L8982" s="142">
        <v>0</v>
      </c>
      <c r="M8982" s="142">
        <v>0</v>
      </c>
      <c r="N8982" s="142">
        <v>0</v>
      </c>
      <c r="O8982" s="142">
        <v>0</v>
      </c>
      <c r="P8982" s="306">
        <v>3.5937000000000009E-3</v>
      </c>
      <c r="Q8982" s="50" t="s">
        <v>9523</v>
      </c>
      <c r="R8982" s="303"/>
    </row>
    <row r="8983" spans="1:18" s="162" customFormat="1" ht="264" x14ac:dyDescent="0.25">
      <c r="A8983" s="184">
        <v>44477</v>
      </c>
      <c r="B8983" s="184">
        <v>44477</v>
      </c>
      <c r="C8983" s="138">
        <v>2021</v>
      </c>
      <c r="D8983" s="351" t="s">
        <v>23</v>
      </c>
      <c r="E8983" s="22" t="s">
        <v>86</v>
      </c>
      <c r="F8983" s="28" t="s">
        <v>210</v>
      </c>
      <c r="G8983" s="33" t="s">
        <v>12144</v>
      </c>
      <c r="H8983" s="311" t="s">
        <v>12145</v>
      </c>
      <c r="I8983" s="157">
        <v>2</v>
      </c>
      <c r="J8983" s="142">
        <v>28912</v>
      </c>
      <c r="K8983" s="142">
        <v>7228</v>
      </c>
      <c r="L8983" s="142">
        <v>4</v>
      </c>
      <c r="M8983" s="142">
        <v>0</v>
      </c>
      <c r="N8983" s="142">
        <v>0</v>
      </c>
      <c r="O8983" s="142">
        <v>0</v>
      </c>
      <c r="P8983" s="306">
        <v>7.0156374750000019</v>
      </c>
      <c r="Q8983" s="50" t="s">
        <v>9523</v>
      </c>
      <c r="R8983" s="303"/>
    </row>
    <row r="8984" spans="1:18" s="162" customFormat="1" ht="120" x14ac:dyDescent="0.25">
      <c r="A8984" s="184">
        <v>44478</v>
      </c>
      <c r="B8984" s="184">
        <v>44478</v>
      </c>
      <c r="C8984" s="138">
        <v>2021</v>
      </c>
      <c r="D8984" s="351" t="s">
        <v>23</v>
      </c>
      <c r="E8984" s="22" t="s">
        <v>86</v>
      </c>
      <c r="F8984" s="7" t="s">
        <v>36</v>
      </c>
      <c r="G8984" s="33" t="s">
        <v>310</v>
      </c>
      <c r="H8984" s="311" t="s">
        <v>12146</v>
      </c>
      <c r="I8984" s="157">
        <v>0</v>
      </c>
      <c r="J8984" s="142">
        <v>16</v>
      </c>
      <c r="K8984" s="142">
        <v>4</v>
      </c>
      <c r="L8984" s="142">
        <v>0</v>
      </c>
      <c r="M8984" s="142">
        <v>0</v>
      </c>
      <c r="N8984" s="142">
        <v>0</v>
      </c>
      <c r="O8984" s="142">
        <v>0</v>
      </c>
      <c r="P8984" s="306">
        <v>1.1025716625000004</v>
      </c>
      <c r="Q8984" s="50" t="s">
        <v>9523</v>
      </c>
      <c r="R8984" s="303"/>
    </row>
    <row r="8985" spans="1:18" s="162" customFormat="1" ht="60" x14ac:dyDescent="0.25">
      <c r="A8985" s="184">
        <v>44478</v>
      </c>
      <c r="B8985" s="184">
        <v>44479</v>
      </c>
      <c r="C8985" s="138">
        <v>2021</v>
      </c>
      <c r="D8985" s="24" t="s">
        <v>141</v>
      </c>
      <c r="E8985" s="49" t="s">
        <v>1600</v>
      </c>
      <c r="F8985" s="7" t="s">
        <v>40</v>
      </c>
      <c r="G8985" s="33" t="s">
        <v>8595</v>
      </c>
      <c r="H8985" s="311" t="s">
        <v>12147</v>
      </c>
      <c r="I8985" s="157">
        <v>2</v>
      </c>
      <c r="J8985" s="142">
        <v>2</v>
      </c>
      <c r="K8985" s="142">
        <v>0</v>
      </c>
      <c r="L8985" s="142">
        <v>0</v>
      </c>
      <c r="M8985" s="142">
        <v>0</v>
      </c>
      <c r="N8985" s="142">
        <v>0</v>
      </c>
      <c r="O8985" s="142">
        <v>0</v>
      </c>
      <c r="P8985" s="306">
        <v>0</v>
      </c>
      <c r="Q8985" s="50" t="s">
        <v>9523</v>
      </c>
      <c r="R8985" s="303"/>
    </row>
    <row r="8986" spans="1:18" s="162" customFormat="1" ht="84" x14ac:dyDescent="0.25">
      <c r="A8986" s="184">
        <v>44479</v>
      </c>
      <c r="B8986" s="184">
        <v>44479</v>
      </c>
      <c r="C8986" s="138">
        <v>2021</v>
      </c>
      <c r="D8986" s="35" t="s">
        <v>28</v>
      </c>
      <c r="E8986" s="6" t="s">
        <v>149</v>
      </c>
      <c r="F8986" s="28" t="s">
        <v>157</v>
      </c>
      <c r="G8986" s="33" t="s">
        <v>526</v>
      </c>
      <c r="H8986" s="311" t="s">
        <v>12148</v>
      </c>
      <c r="I8986" s="157">
        <v>0</v>
      </c>
      <c r="J8986" s="142">
        <v>70</v>
      </c>
      <c r="K8986" s="142">
        <v>0</v>
      </c>
      <c r="L8986" s="142">
        <v>0</v>
      </c>
      <c r="M8986" s="142">
        <v>0</v>
      </c>
      <c r="N8986" s="142">
        <v>0</v>
      </c>
      <c r="O8986" s="142">
        <v>0</v>
      </c>
      <c r="P8986" s="306">
        <v>0.63888000000000011</v>
      </c>
      <c r="Q8986" s="50" t="s">
        <v>9523</v>
      </c>
      <c r="R8986" s="303"/>
    </row>
    <row r="8987" spans="1:18" s="162" customFormat="1" ht="72" x14ac:dyDescent="0.25">
      <c r="A8987" s="184">
        <v>44479</v>
      </c>
      <c r="B8987" s="184">
        <v>44479</v>
      </c>
      <c r="C8987" s="138">
        <v>2021</v>
      </c>
      <c r="D8987" s="24" t="s">
        <v>141</v>
      </c>
      <c r="E8987" s="30" t="s">
        <v>142</v>
      </c>
      <c r="F8987" s="28" t="s">
        <v>157</v>
      </c>
      <c r="G8987" s="33" t="s">
        <v>1062</v>
      </c>
      <c r="H8987" s="311" t="s">
        <v>12149</v>
      </c>
      <c r="I8987" s="157">
        <v>0</v>
      </c>
      <c r="J8987" s="142">
        <v>10</v>
      </c>
      <c r="K8987" s="142">
        <v>0</v>
      </c>
      <c r="L8987" s="142">
        <v>0</v>
      </c>
      <c r="M8987" s="142">
        <v>0</v>
      </c>
      <c r="N8987" s="142">
        <v>0</v>
      </c>
      <c r="O8987" s="142">
        <v>0</v>
      </c>
      <c r="P8987" s="306">
        <v>1.7281704000000002</v>
      </c>
      <c r="Q8987" s="50" t="s">
        <v>9523</v>
      </c>
      <c r="R8987" s="303"/>
    </row>
    <row r="8988" spans="1:18" s="162" customFormat="1" ht="120" x14ac:dyDescent="0.25">
      <c r="A8988" s="184">
        <v>44479</v>
      </c>
      <c r="B8988" s="184">
        <v>44479</v>
      </c>
      <c r="C8988" s="138">
        <v>2021</v>
      </c>
      <c r="D8988" s="24" t="s">
        <v>141</v>
      </c>
      <c r="E8988" s="30" t="s">
        <v>142</v>
      </c>
      <c r="F8988" s="7" t="s">
        <v>80</v>
      </c>
      <c r="G8988" s="33" t="s">
        <v>11154</v>
      </c>
      <c r="H8988" s="311" t="s">
        <v>12150</v>
      </c>
      <c r="I8988" s="157">
        <v>5</v>
      </c>
      <c r="J8988" s="142">
        <v>16</v>
      </c>
      <c r="K8988" s="142">
        <v>0</v>
      </c>
      <c r="L8988" s="142">
        <v>0</v>
      </c>
      <c r="M8988" s="142">
        <v>0</v>
      </c>
      <c r="N8988" s="142">
        <v>0</v>
      </c>
      <c r="O8988" s="142">
        <v>0</v>
      </c>
      <c r="P8988" s="306">
        <v>0.44957961400000013</v>
      </c>
      <c r="Q8988" s="50" t="s">
        <v>9523</v>
      </c>
      <c r="R8988" s="303"/>
    </row>
    <row r="8989" spans="1:18" s="162" customFormat="1" ht="36" x14ac:dyDescent="0.25">
      <c r="A8989" s="184">
        <v>44481</v>
      </c>
      <c r="B8989" s="184">
        <v>44482</v>
      </c>
      <c r="C8989" s="138">
        <v>2021</v>
      </c>
      <c r="D8989" s="351" t="s">
        <v>23</v>
      </c>
      <c r="E8989" s="14" t="s">
        <v>32</v>
      </c>
      <c r="F8989" s="7" t="s">
        <v>84</v>
      </c>
      <c r="G8989" s="33" t="s">
        <v>12151</v>
      </c>
      <c r="H8989" s="311" t="s">
        <v>12152</v>
      </c>
      <c r="I8989" s="157">
        <v>0</v>
      </c>
      <c r="J8989" s="142">
        <v>12952</v>
      </c>
      <c r="K8989" s="142">
        <v>0</v>
      </c>
      <c r="L8989" s="142">
        <v>0</v>
      </c>
      <c r="M8989" s="142">
        <v>0</v>
      </c>
      <c r="N8989" s="142">
        <v>0</v>
      </c>
      <c r="O8989" s="142">
        <v>0</v>
      </c>
      <c r="P8989" s="306">
        <v>8.0749487999999996</v>
      </c>
      <c r="Q8989" s="50" t="s">
        <v>11670</v>
      </c>
      <c r="R8989" s="303"/>
    </row>
    <row r="8990" spans="1:18" s="162" customFormat="1" ht="348" x14ac:dyDescent="0.25">
      <c r="A8990" s="184">
        <v>44482</v>
      </c>
      <c r="B8990" s="184">
        <v>44484</v>
      </c>
      <c r="C8990" s="138">
        <v>2021</v>
      </c>
      <c r="D8990" s="351" t="s">
        <v>23</v>
      </c>
      <c r="E8990" s="14" t="s">
        <v>32</v>
      </c>
      <c r="F8990" s="7" t="s">
        <v>67</v>
      </c>
      <c r="G8990" s="33" t="s">
        <v>12153</v>
      </c>
      <c r="H8990" s="311" t="s">
        <v>12154</v>
      </c>
      <c r="I8990" s="157">
        <v>3</v>
      </c>
      <c r="J8990" s="142">
        <v>21000</v>
      </c>
      <c r="K8990" s="142">
        <v>14201</v>
      </c>
      <c r="L8990" s="142">
        <v>0</v>
      </c>
      <c r="M8990" s="142">
        <v>0</v>
      </c>
      <c r="N8990" s="142">
        <v>0</v>
      </c>
      <c r="O8990" s="142">
        <v>0</v>
      </c>
      <c r="P8990" s="306">
        <v>1934.11141294</v>
      </c>
      <c r="Q8990" s="50" t="s">
        <v>12155</v>
      </c>
      <c r="R8990" s="303"/>
    </row>
    <row r="8991" spans="1:18" s="162" customFormat="1" ht="120" x14ac:dyDescent="0.25">
      <c r="A8991" s="184">
        <v>44483</v>
      </c>
      <c r="B8991" s="184">
        <v>44491</v>
      </c>
      <c r="C8991" s="138">
        <v>2021</v>
      </c>
      <c r="D8991" s="351" t="s">
        <v>23</v>
      </c>
      <c r="E8991" s="14" t="s">
        <v>52</v>
      </c>
      <c r="F8991" s="7" t="s">
        <v>49</v>
      </c>
      <c r="G8991" s="33" t="s">
        <v>49</v>
      </c>
      <c r="H8991" s="311" t="s">
        <v>12156</v>
      </c>
      <c r="I8991" s="157">
        <v>4</v>
      </c>
      <c r="J8991" s="142">
        <v>4</v>
      </c>
      <c r="K8991" s="142">
        <v>0</v>
      </c>
      <c r="L8991" s="142">
        <v>0</v>
      </c>
      <c r="M8991" s="142">
        <v>0</v>
      </c>
      <c r="N8991" s="142">
        <v>0</v>
      </c>
      <c r="O8991" s="142">
        <v>0</v>
      </c>
      <c r="P8991" s="306">
        <v>0</v>
      </c>
      <c r="Q8991" s="50" t="s">
        <v>9523</v>
      </c>
      <c r="R8991" s="303"/>
    </row>
    <row r="8992" spans="1:18" s="162" customFormat="1" ht="120" x14ac:dyDescent="0.25">
      <c r="A8992" s="184">
        <v>44484</v>
      </c>
      <c r="B8992" s="184">
        <v>44484</v>
      </c>
      <c r="C8992" s="138">
        <v>2021</v>
      </c>
      <c r="D8992" s="35" t="s">
        <v>28</v>
      </c>
      <c r="E8992" s="30" t="s">
        <v>125</v>
      </c>
      <c r="F8992" s="7" t="s">
        <v>91</v>
      </c>
      <c r="G8992" s="33" t="s">
        <v>1874</v>
      </c>
      <c r="H8992" s="311" t="s">
        <v>12157</v>
      </c>
      <c r="I8992" s="157">
        <v>0</v>
      </c>
      <c r="J8992" s="142">
        <v>200</v>
      </c>
      <c r="K8992" s="142">
        <v>0</v>
      </c>
      <c r="L8992" s="142">
        <v>0</v>
      </c>
      <c r="M8992" s="142">
        <v>0</v>
      </c>
      <c r="N8992" s="142">
        <v>0</v>
      </c>
      <c r="O8992" s="142">
        <v>0</v>
      </c>
      <c r="P8992" s="306">
        <v>5.5990284447058836E-2</v>
      </c>
      <c r="Q8992" s="50" t="s">
        <v>9523</v>
      </c>
      <c r="R8992" s="303"/>
    </row>
    <row r="8993" spans="1:18" s="162" customFormat="1" ht="264" x14ac:dyDescent="0.25">
      <c r="A8993" s="184">
        <v>44486</v>
      </c>
      <c r="B8993" s="184">
        <v>44486</v>
      </c>
      <c r="C8993" s="138">
        <v>2021</v>
      </c>
      <c r="D8993" s="351" t="s">
        <v>23</v>
      </c>
      <c r="E8993" s="22" t="s">
        <v>86</v>
      </c>
      <c r="F8993" s="28" t="s">
        <v>210</v>
      </c>
      <c r="G8993" s="33" t="s">
        <v>12158</v>
      </c>
      <c r="H8993" s="311" t="s">
        <v>12159</v>
      </c>
      <c r="I8993" s="157">
        <v>0</v>
      </c>
      <c r="J8993" s="142">
        <v>708</v>
      </c>
      <c r="K8993" s="142">
        <v>177</v>
      </c>
      <c r="L8993" s="142">
        <v>0</v>
      </c>
      <c r="M8993" s="142">
        <v>0</v>
      </c>
      <c r="N8993" s="142">
        <v>0</v>
      </c>
      <c r="O8993" s="142">
        <v>0</v>
      </c>
      <c r="P8993" s="306">
        <v>0.23612242500000002</v>
      </c>
      <c r="Q8993" s="50" t="s">
        <v>9523</v>
      </c>
      <c r="R8993" s="303"/>
    </row>
    <row r="8994" spans="1:18" s="162" customFormat="1" ht="132" x14ac:dyDescent="0.25">
      <c r="A8994" s="184">
        <v>44486</v>
      </c>
      <c r="B8994" s="184">
        <v>44486</v>
      </c>
      <c r="C8994" s="138">
        <v>2021</v>
      </c>
      <c r="D8994" s="24" t="s">
        <v>141</v>
      </c>
      <c r="E8994" s="30" t="s">
        <v>142</v>
      </c>
      <c r="F8994" s="7" t="s">
        <v>62</v>
      </c>
      <c r="G8994" s="33" t="s">
        <v>4805</v>
      </c>
      <c r="H8994" s="311" t="s">
        <v>12160</v>
      </c>
      <c r="I8994" s="157">
        <v>0</v>
      </c>
      <c r="J8994" s="142">
        <v>32</v>
      </c>
      <c r="K8994" s="142">
        <v>0</v>
      </c>
      <c r="L8994" s="142">
        <v>0</v>
      </c>
      <c r="M8994" s="142">
        <v>0</v>
      </c>
      <c r="N8994" s="142">
        <v>0</v>
      </c>
      <c r="O8994" s="142">
        <v>0</v>
      </c>
      <c r="P8994" s="306">
        <v>0.87247050000000015</v>
      </c>
      <c r="Q8994" s="50" t="s">
        <v>9523</v>
      </c>
      <c r="R8994" s="303"/>
    </row>
    <row r="8995" spans="1:18" s="162" customFormat="1" ht="156" x14ac:dyDescent="0.25">
      <c r="A8995" s="184">
        <v>44486</v>
      </c>
      <c r="B8995" s="184">
        <v>44487</v>
      </c>
      <c r="C8995" s="138">
        <v>2021</v>
      </c>
      <c r="D8995" s="351" t="s">
        <v>23</v>
      </c>
      <c r="E8995" s="22" t="s">
        <v>86</v>
      </c>
      <c r="F8995" s="7" t="s">
        <v>36</v>
      </c>
      <c r="G8995" s="33" t="s">
        <v>12161</v>
      </c>
      <c r="H8995" s="311" t="s">
        <v>12162</v>
      </c>
      <c r="I8995" s="157">
        <v>0</v>
      </c>
      <c r="J8995" s="142">
        <v>44</v>
      </c>
      <c r="K8995" s="142">
        <v>10</v>
      </c>
      <c r="L8995" s="142">
        <v>0</v>
      </c>
      <c r="M8995" s="142">
        <v>0</v>
      </c>
      <c r="N8995" s="142">
        <v>0</v>
      </c>
      <c r="O8995" s="142">
        <v>0</v>
      </c>
      <c r="P8995" s="306">
        <v>1.334025E-2</v>
      </c>
      <c r="Q8995" s="50" t="s">
        <v>9523</v>
      </c>
      <c r="R8995" s="303"/>
    </row>
    <row r="8996" spans="1:18" s="162" customFormat="1" ht="84" x14ac:dyDescent="0.25">
      <c r="A8996" s="184">
        <v>44487</v>
      </c>
      <c r="B8996" s="184">
        <v>44487</v>
      </c>
      <c r="C8996" s="138">
        <v>2021</v>
      </c>
      <c r="D8996" s="351" t="s">
        <v>23</v>
      </c>
      <c r="E8996" s="22" t="s">
        <v>86</v>
      </c>
      <c r="F8996" s="25" t="s">
        <v>781</v>
      </c>
      <c r="G8996" s="33" t="s">
        <v>2337</v>
      </c>
      <c r="H8996" s="311" t="s">
        <v>12163</v>
      </c>
      <c r="I8996" s="157">
        <v>0</v>
      </c>
      <c r="J8996" s="142">
        <v>80</v>
      </c>
      <c r="K8996" s="142">
        <v>20</v>
      </c>
      <c r="L8996" s="142">
        <v>0</v>
      </c>
      <c r="M8996" s="142">
        <v>0</v>
      </c>
      <c r="N8996" s="142">
        <v>0</v>
      </c>
      <c r="O8996" s="142">
        <v>0</v>
      </c>
      <c r="P8996" s="306">
        <v>2.6680499999999999E-2</v>
      </c>
      <c r="Q8996" s="50" t="s">
        <v>9523</v>
      </c>
      <c r="R8996" s="303"/>
    </row>
    <row r="8997" spans="1:18" s="162" customFormat="1" ht="72" x14ac:dyDescent="0.25">
      <c r="A8997" s="184">
        <v>44488</v>
      </c>
      <c r="B8997" s="184">
        <v>44488</v>
      </c>
      <c r="C8997" s="138">
        <v>2021</v>
      </c>
      <c r="D8997" s="24" t="s">
        <v>141</v>
      </c>
      <c r="E8997" s="30" t="s">
        <v>142</v>
      </c>
      <c r="F8997" s="7" t="s">
        <v>36</v>
      </c>
      <c r="G8997" s="33" t="s">
        <v>232</v>
      </c>
      <c r="H8997" s="311" t="s">
        <v>12164</v>
      </c>
      <c r="I8997" s="157">
        <v>1</v>
      </c>
      <c r="J8997" s="142">
        <v>1</v>
      </c>
      <c r="K8997" s="142">
        <v>0</v>
      </c>
      <c r="L8997" s="142">
        <v>0</v>
      </c>
      <c r="M8997" s="142">
        <v>0</v>
      </c>
      <c r="N8997" s="142">
        <v>0</v>
      </c>
      <c r="O8997" s="142">
        <v>0</v>
      </c>
      <c r="P8997" s="306">
        <v>0</v>
      </c>
      <c r="Q8997" s="50" t="s">
        <v>9523</v>
      </c>
      <c r="R8997" s="303"/>
    </row>
    <row r="8998" spans="1:18" s="162" customFormat="1" ht="120" x14ac:dyDescent="0.25">
      <c r="A8998" s="184">
        <v>44489</v>
      </c>
      <c r="B8998" s="184">
        <v>44489</v>
      </c>
      <c r="C8998" s="138">
        <v>2021</v>
      </c>
      <c r="D8998" s="35" t="s">
        <v>28</v>
      </c>
      <c r="E8998" s="6" t="s">
        <v>149</v>
      </c>
      <c r="F8998" s="28" t="s">
        <v>157</v>
      </c>
      <c r="G8998" s="33" t="s">
        <v>857</v>
      </c>
      <c r="H8998" s="311" t="s">
        <v>12165</v>
      </c>
      <c r="I8998" s="157">
        <v>0</v>
      </c>
      <c r="J8998" s="142">
        <v>4</v>
      </c>
      <c r="K8998" s="142">
        <v>1</v>
      </c>
      <c r="L8998" s="142">
        <v>0</v>
      </c>
      <c r="M8998" s="142">
        <v>0</v>
      </c>
      <c r="N8998" s="142">
        <v>0</v>
      </c>
      <c r="O8998" s="142">
        <v>0</v>
      </c>
      <c r="P8998" s="306">
        <v>4.6585000000000007E-4</v>
      </c>
      <c r="Q8998" s="50" t="s">
        <v>9523</v>
      </c>
      <c r="R8998" s="303"/>
    </row>
    <row r="8999" spans="1:18" s="162" customFormat="1" ht="108" x14ac:dyDescent="0.25">
      <c r="A8999" s="184">
        <v>44489</v>
      </c>
      <c r="B8999" s="184">
        <v>44489</v>
      </c>
      <c r="C8999" s="138">
        <v>2021</v>
      </c>
      <c r="D8999" s="35" t="s">
        <v>28</v>
      </c>
      <c r="E8999" s="6" t="s">
        <v>369</v>
      </c>
      <c r="F8999" s="7" t="s">
        <v>45</v>
      </c>
      <c r="G8999" s="33" t="s">
        <v>577</v>
      </c>
      <c r="H8999" s="311" t="s">
        <v>12166</v>
      </c>
      <c r="I8999" s="157">
        <v>0</v>
      </c>
      <c r="J8999" s="142">
        <v>4</v>
      </c>
      <c r="K8999" s="142">
        <v>0</v>
      </c>
      <c r="L8999" s="142">
        <v>0</v>
      </c>
      <c r="M8999" s="142">
        <v>0</v>
      </c>
      <c r="N8999" s="142">
        <v>0</v>
      </c>
      <c r="O8999" s="142">
        <v>0</v>
      </c>
      <c r="P8999" s="306">
        <v>0.21409028444705883</v>
      </c>
      <c r="Q8999" s="50" t="s">
        <v>9523</v>
      </c>
      <c r="R8999" s="303"/>
    </row>
    <row r="9000" spans="1:18" s="162" customFormat="1" ht="60" x14ac:dyDescent="0.25">
      <c r="A9000" s="184">
        <v>44490</v>
      </c>
      <c r="B9000" s="184">
        <v>44490</v>
      </c>
      <c r="C9000" s="138">
        <v>2021</v>
      </c>
      <c r="D9000" s="24" t="s">
        <v>141</v>
      </c>
      <c r="E9000" s="30" t="s">
        <v>142</v>
      </c>
      <c r="F9000" s="7" t="s">
        <v>72</v>
      </c>
      <c r="G9000" s="33" t="s">
        <v>12167</v>
      </c>
      <c r="H9000" s="311" t="s">
        <v>12168</v>
      </c>
      <c r="I9000" s="157">
        <v>1</v>
      </c>
      <c r="J9000" s="142">
        <v>8</v>
      </c>
      <c r="K9000" s="142">
        <v>0</v>
      </c>
      <c r="L9000" s="142">
        <v>0</v>
      </c>
      <c r="M9000" s="142">
        <v>0</v>
      </c>
      <c r="N9000" s="142">
        <v>0</v>
      </c>
      <c r="O9000" s="142">
        <v>0</v>
      </c>
      <c r="P9000" s="306">
        <v>0.21820135700000004</v>
      </c>
      <c r="Q9000" s="50" t="s">
        <v>9523</v>
      </c>
      <c r="R9000" s="303"/>
    </row>
    <row r="9001" spans="1:18" s="162" customFormat="1" ht="84" x14ac:dyDescent="0.25">
      <c r="A9001" s="184">
        <v>44491</v>
      </c>
      <c r="B9001" s="184">
        <v>44491</v>
      </c>
      <c r="C9001" s="138">
        <v>2021</v>
      </c>
      <c r="D9001" s="35" t="s">
        <v>28</v>
      </c>
      <c r="E9001" s="30" t="s">
        <v>133</v>
      </c>
      <c r="F9001" s="28" t="s">
        <v>160</v>
      </c>
      <c r="G9001" s="33" t="s">
        <v>12169</v>
      </c>
      <c r="H9001" s="311" t="s">
        <v>12170</v>
      </c>
      <c r="I9001" s="157">
        <v>0</v>
      </c>
      <c r="J9001" s="142">
        <v>2</v>
      </c>
      <c r="K9001" s="142">
        <v>0</v>
      </c>
      <c r="L9001" s="142">
        <v>0</v>
      </c>
      <c r="M9001" s="142">
        <v>0</v>
      </c>
      <c r="N9001" s="142">
        <v>0</v>
      </c>
      <c r="O9001" s="142">
        <v>0</v>
      </c>
      <c r="P9001" s="306">
        <v>0</v>
      </c>
      <c r="Q9001" s="50" t="s">
        <v>9523</v>
      </c>
      <c r="R9001" s="303"/>
    </row>
    <row r="9002" spans="1:18" s="162" customFormat="1" ht="132" x14ac:dyDescent="0.25">
      <c r="A9002" s="184">
        <v>44492</v>
      </c>
      <c r="B9002" s="184">
        <v>44493</v>
      </c>
      <c r="C9002" s="138">
        <v>2021</v>
      </c>
      <c r="D9002" s="351" t="s">
        <v>23</v>
      </c>
      <c r="E9002" s="22" t="s">
        <v>86</v>
      </c>
      <c r="F9002" s="7" t="s">
        <v>65</v>
      </c>
      <c r="G9002" s="33" t="s">
        <v>1826</v>
      </c>
      <c r="H9002" s="311" t="s">
        <v>12171</v>
      </c>
      <c r="I9002" s="157">
        <v>1</v>
      </c>
      <c r="J9002" s="142">
        <v>0</v>
      </c>
      <c r="K9002" s="142">
        <v>18</v>
      </c>
      <c r="L9002" s="142">
        <v>0</v>
      </c>
      <c r="M9002" s="142">
        <v>0</v>
      </c>
      <c r="N9002" s="142">
        <v>0</v>
      </c>
      <c r="O9002" s="142">
        <v>0</v>
      </c>
      <c r="P9002" s="306">
        <v>0.43992726250000008</v>
      </c>
      <c r="Q9002" s="50" t="s">
        <v>9523</v>
      </c>
      <c r="R9002" s="303"/>
    </row>
    <row r="9003" spans="1:18" s="162" customFormat="1" ht="60" x14ac:dyDescent="0.25">
      <c r="A9003" s="184">
        <v>44493</v>
      </c>
      <c r="B9003" s="184">
        <v>44494</v>
      </c>
      <c r="C9003" s="138">
        <v>2021</v>
      </c>
      <c r="D9003" s="351" t="s">
        <v>23</v>
      </c>
      <c r="E9003" s="14" t="s">
        <v>32</v>
      </c>
      <c r="F9003" s="7" t="s">
        <v>58</v>
      </c>
      <c r="G9003" s="312" t="s">
        <v>12172</v>
      </c>
      <c r="H9003" s="313" t="s">
        <v>12173</v>
      </c>
      <c r="I9003" s="157">
        <v>0</v>
      </c>
      <c r="J9003" s="142">
        <v>0</v>
      </c>
      <c r="K9003" s="142">
        <v>0</v>
      </c>
      <c r="L9003" s="142">
        <v>0</v>
      </c>
      <c r="M9003" s="142">
        <v>0</v>
      </c>
      <c r="N9003" s="142">
        <v>0</v>
      </c>
      <c r="O9003" s="142">
        <v>0</v>
      </c>
      <c r="P9003" s="306">
        <v>521.18709928999999</v>
      </c>
      <c r="Q9003" s="50" t="s">
        <v>11852</v>
      </c>
      <c r="R9003" s="303"/>
    </row>
    <row r="9004" spans="1:18" s="162" customFormat="1" ht="96" x14ac:dyDescent="0.25">
      <c r="A9004" s="184">
        <v>44494</v>
      </c>
      <c r="B9004" s="184">
        <v>44494</v>
      </c>
      <c r="C9004" s="138">
        <v>2021</v>
      </c>
      <c r="D9004" s="24" t="s">
        <v>141</v>
      </c>
      <c r="E9004" s="30" t="s">
        <v>142</v>
      </c>
      <c r="F9004" s="7" t="s">
        <v>62</v>
      </c>
      <c r="G9004" s="33" t="s">
        <v>165</v>
      </c>
      <c r="H9004" s="311" t="s">
        <v>12174</v>
      </c>
      <c r="I9004" s="157">
        <v>0</v>
      </c>
      <c r="J9004" s="142">
        <v>20</v>
      </c>
      <c r="K9004" s="142">
        <v>0</v>
      </c>
      <c r="L9004" s="142">
        <v>0</v>
      </c>
      <c r="M9004" s="142">
        <v>0</v>
      </c>
      <c r="N9004" s="142">
        <v>0</v>
      </c>
      <c r="O9004" s="142">
        <v>0</v>
      </c>
      <c r="P9004" s="306">
        <v>0.88804320000000003</v>
      </c>
      <c r="Q9004" s="50" t="s">
        <v>9523</v>
      </c>
      <c r="R9004" s="303"/>
    </row>
    <row r="9005" spans="1:18" s="162" customFormat="1" ht="120" x14ac:dyDescent="0.25">
      <c r="A9005" s="184">
        <v>44494</v>
      </c>
      <c r="B9005" s="184">
        <v>44494</v>
      </c>
      <c r="C9005" s="138">
        <v>2021</v>
      </c>
      <c r="D9005" s="24" t="s">
        <v>141</v>
      </c>
      <c r="E9005" s="30" t="s">
        <v>142</v>
      </c>
      <c r="F9005" s="7" t="s">
        <v>53</v>
      </c>
      <c r="G9005" s="33" t="s">
        <v>1304</v>
      </c>
      <c r="H9005" s="311" t="s">
        <v>12175</v>
      </c>
      <c r="I9005" s="157">
        <v>0</v>
      </c>
      <c r="J9005" s="142">
        <v>9</v>
      </c>
      <c r="K9005" s="142">
        <v>0</v>
      </c>
      <c r="L9005" s="142">
        <v>0</v>
      </c>
      <c r="M9005" s="142">
        <v>0</v>
      </c>
      <c r="N9005" s="142">
        <v>0</v>
      </c>
      <c r="O9005" s="142">
        <v>0</v>
      </c>
      <c r="P9005" s="306">
        <v>0.86648100000000017</v>
      </c>
      <c r="Q9005" s="50" t="s">
        <v>9523</v>
      </c>
      <c r="R9005" s="303"/>
    </row>
    <row r="9006" spans="1:18" s="162" customFormat="1" ht="60" x14ac:dyDescent="0.25">
      <c r="A9006" s="184">
        <v>44494</v>
      </c>
      <c r="B9006" s="184">
        <v>44494</v>
      </c>
      <c r="C9006" s="138">
        <v>2021</v>
      </c>
      <c r="D9006" s="24" t="s">
        <v>141</v>
      </c>
      <c r="E9006" s="30" t="s">
        <v>142</v>
      </c>
      <c r="F9006" s="7" t="s">
        <v>80</v>
      </c>
      <c r="G9006" s="33" t="s">
        <v>8987</v>
      </c>
      <c r="H9006" s="311" t="s">
        <v>12176</v>
      </c>
      <c r="I9006" s="157">
        <v>2</v>
      </c>
      <c r="J9006" s="142">
        <v>14</v>
      </c>
      <c r="K9006" s="142">
        <v>0</v>
      </c>
      <c r="L9006" s="142">
        <v>0</v>
      </c>
      <c r="M9006" s="142">
        <v>0</v>
      </c>
      <c r="N9006" s="142">
        <v>0</v>
      </c>
      <c r="O9006" s="142">
        <v>0</v>
      </c>
      <c r="P9006" s="306">
        <v>0.86408520000000011</v>
      </c>
      <c r="Q9006" s="50" t="s">
        <v>9523</v>
      </c>
      <c r="R9006" s="303"/>
    </row>
    <row r="9007" spans="1:18" s="162" customFormat="1" ht="156" x14ac:dyDescent="0.25">
      <c r="A9007" s="184">
        <v>44496</v>
      </c>
      <c r="B9007" s="184">
        <v>44496</v>
      </c>
      <c r="C9007" s="138">
        <v>2021</v>
      </c>
      <c r="D9007" s="35" t="s">
        <v>17</v>
      </c>
      <c r="E9007" s="6" t="s">
        <v>328</v>
      </c>
      <c r="F9007" s="7" t="s">
        <v>36</v>
      </c>
      <c r="G9007" s="33" t="s">
        <v>12177</v>
      </c>
      <c r="H9007" s="311" t="s">
        <v>12178</v>
      </c>
      <c r="I9007" s="157">
        <v>1</v>
      </c>
      <c r="J9007" s="142">
        <v>4</v>
      </c>
      <c r="K9007" s="142">
        <v>0</v>
      </c>
      <c r="L9007" s="142">
        <v>0</v>
      </c>
      <c r="M9007" s="142">
        <v>0</v>
      </c>
      <c r="N9007" s="142">
        <v>0</v>
      </c>
      <c r="O9007" s="142">
        <v>0</v>
      </c>
      <c r="P9007" s="306">
        <v>0.14104740100000002</v>
      </c>
      <c r="Q9007" s="50" t="s">
        <v>9523</v>
      </c>
      <c r="R9007" s="303"/>
    </row>
    <row r="9008" spans="1:18" s="162" customFormat="1" ht="144" x14ac:dyDescent="0.25">
      <c r="A9008" s="184">
        <v>44498</v>
      </c>
      <c r="B9008" s="184">
        <v>44498</v>
      </c>
      <c r="C9008" s="138">
        <v>2021</v>
      </c>
      <c r="D9008" s="24" t="s">
        <v>141</v>
      </c>
      <c r="E9008" s="30" t="s">
        <v>142</v>
      </c>
      <c r="F9008" s="7" t="s">
        <v>53</v>
      </c>
      <c r="G9008" s="33" t="s">
        <v>2975</v>
      </c>
      <c r="H9008" s="311" t="s">
        <v>12179</v>
      </c>
      <c r="I9008" s="157">
        <v>0</v>
      </c>
      <c r="J9008" s="142">
        <v>12</v>
      </c>
      <c r="K9008" s="142">
        <v>0</v>
      </c>
      <c r="L9008" s="142">
        <v>0</v>
      </c>
      <c r="M9008" s="142">
        <v>0</v>
      </c>
      <c r="N9008" s="142">
        <v>0</v>
      </c>
      <c r="O9008" s="142">
        <v>0</v>
      </c>
      <c r="P9008" s="306">
        <v>1.5272231590000001</v>
      </c>
      <c r="Q9008" s="50" t="s">
        <v>9523</v>
      </c>
      <c r="R9008" s="303"/>
    </row>
    <row r="9009" spans="1:18" s="162" customFormat="1" ht="108" x14ac:dyDescent="0.25">
      <c r="A9009" s="184">
        <v>44499</v>
      </c>
      <c r="B9009" s="184">
        <v>44499</v>
      </c>
      <c r="C9009" s="138">
        <v>2021</v>
      </c>
      <c r="D9009" s="24" t="s">
        <v>141</v>
      </c>
      <c r="E9009" s="30" t="s">
        <v>142</v>
      </c>
      <c r="F9009" s="7" t="s">
        <v>60</v>
      </c>
      <c r="G9009" s="33" t="s">
        <v>1993</v>
      </c>
      <c r="H9009" s="311" t="s">
        <v>12180</v>
      </c>
      <c r="I9009" s="157">
        <v>1</v>
      </c>
      <c r="J9009" s="142">
        <v>11</v>
      </c>
      <c r="K9009" s="142">
        <v>0</v>
      </c>
      <c r="L9009" s="142">
        <v>0</v>
      </c>
      <c r="M9009" s="142">
        <v>0</v>
      </c>
      <c r="N9009" s="142">
        <v>0</v>
      </c>
      <c r="O9009" s="142">
        <v>0</v>
      </c>
      <c r="P9009" s="306">
        <v>0.35576424643023258</v>
      </c>
      <c r="Q9009" s="50" t="s">
        <v>9523</v>
      </c>
      <c r="R9009" s="303"/>
    </row>
    <row r="9010" spans="1:18" s="162" customFormat="1" ht="396" x14ac:dyDescent="0.25">
      <c r="A9010" s="184">
        <v>44500</v>
      </c>
      <c r="B9010" s="184">
        <v>44500</v>
      </c>
      <c r="C9010" s="138">
        <v>2021</v>
      </c>
      <c r="D9010" s="35" t="s">
        <v>28</v>
      </c>
      <c r="E9010" s="30" t="s">
        <v>133</v>
      </c>
      <c r="F9010" s="7" t="s">
        <v>75</v>
      </c>
      <c r="G9010" s="33" t="s">
        <v>75</v>
      </c>
      <c r="H9010" s="311" t="s">
        <v>12181</v>
      </c>
      <c r="I9010" s="157">
        <v>1</v>
      </c>
      <c r="J9010" s="142">
        <v>2018</v>
      </c>
      <c r="K9010" s="142">
        <v>54</v>
      </c>
      <c r="L9010" s="142">
        <v>0</v>
      </c>
      <c r="M9010" s="142">
        <v>1</v>
      </c>
      <c r="N9010" s="142">
        <v>2</v>
      </c>
      <c r="O9010" s="142">
        <v>0</v>
      </c>
      <c r="P9010" s="306">
        <v>1.6433347590000003</v>
      </c>
      <c r="Q9010" s="50" t="s">
        <v>9523</v>
      </c>
      <c r="R9010" s="303"/>
    </row>
    <row r="9011" spans="1:18" s="162" customFormat="1" ht="132" x14ac:dyDescent="0.25">
      <c r="A9011" s="184">
        <v>44500</v>
      </c>
      <c r="B9011" s="184">
        <v>44500</v>
      </c>
      <c r="C9011" s="138">
        <v>2021</v>
      </c>
      <c r="D9011" s="35" t="s">
        <v>28</v>
      </c>
      <c r="E9011" s="6" t="s">
        <v>149</v>
      </c>
      <c r="F9011" s="7" t="s">
        <v>80</v>
      </c>
      <c r="G9011" s="33" t="s">
        <v>1089</v>
      </c>
      <c r="H9011" s="311" t="s">
        <v>12182</v>
      </c>
      <c r="I9011" s="157">
        <v>0</v>
      </c>
      <c r="J9011" s="142">
        <v>650</v>
      </c>
      <c r="K9011" s="142">
        <v>0</v>
      </c>
      <c r="L9011" s="142">
        <v>0</v>
      </c>
      <c r="M9011" s="142">
        <v>0</v>
      </c>
      <c r="N9011" s="142">
        <v>1</v>
      </c>
      <c r="O9011" s="142">
        <v>0</v>
      </c>
      <c r="P9011" s="306">
        <v>0</v>
      </c>
      <c r="Q9011" s="50" t="s">
        <v>9523</v>
      </c>
      <c r="R9011" s="303"/>
    </row>
    <row r="9012" spans="1:18" s="162" customFormat="1" ht="84" x14ac:dyDescent="0.25">
      <c r="A9012" s="184">
        <v>44501</v>
      </c>
      <c r="B9012" s="184">
        <v>44501</v>
      </c>
      <c r="C9012" s="138">
        <v>2021</v>
      </c>
      <c r="D9012" s="24" t="s">
        <v>141</v>
      </c>
      <c r="E9012" s="30" t="s">
        <v>142</v>
      </c>
      <c r="F9012" s="7" t="s">
        <v>60</v>
      </c>
      <c r="G9012" s="33" t="s">
        <v>3691</v>
      </c>
      <c r="H9012" s="311" t="s">
        <v>12183</v>
      </c>
      <c r="I9012" s="157">
        <v>0</v>
      </c>
      <c r="J9012" s="142">
        <v>30</v>
      </c>
      <c r="K9012" s="142">
        <v>0</v>
      </c>
      <c r="L9012" s="142">
        <v>0</v>
      </c>
      <c r="M9012" s="142">
        <v>0</v>
      </c>
      <c r="N9012" s="142">
        <v>0</v>
      </c>
      <c r="O9012" s="142">
        <v>0</v>
      </c>
      <c r="P9012" s="306">
        <v>0.86528310000000008</v>
      </c>
      <c r="Q9012" s="50" t="s">
        <v>9523</v>
      </c>
      <c r="R9012" s="303"/>
    </row>
    <row r="9013" spans="1:18" s="162" customFormat="1" ht="108" x14ac:dyDescent="0.25">
      <c r="A9013" s="184">
        <v>44501</v>
      </c>
      <c r="B9013" s="184">
        <v>44501</v>
      </c>
      <c r="C9013" s="138">
        <v>2021</v>
      </c>
      <c r="D9013" s="24" t="s">
        <v>141</v>
      </c>
      <c r="E9013" s="30" t="s">
        <v>142</v>
      </c>
      <c r="F9013" s="7" t="s">
        <v>60</v>
      </c>
      <c r="G9013" s="33" t="s">
        <v>1256</v>
      </c>
      <c r="H9013" s="311" t="s">
        <v>12184</v>
      </c>
      <c r="I9013" s="157">
        <v>0</v>
      </c>
      <c r="J9013" s="142">
        <v>40</v>
      </c>
      <c r="K9013" s="142">
        <v>0</v>
      </c>
      <c r="L9013" s="142">
        <v>0</v>
      </c>
      <c r="M9013" s="142">
        <v>0</v>
      </c>
      <c r="N9013" s="142">
        <v>0</v>
      </c>
      <c r="O9013" s="142">
        <v>0</v>
      </c>
      <c r="P9013" s="306">
        <v>0.87846000000000013</v>
      </c>
      <c r="Q9013" s="50" t="s">
        <v>9523</v>
      </c>
      <c r="R9013" s="303"/>
    </row>
    <row r="9014" spans="1:18" s="162" customFormat="1" ht="72" x14ac:dyDescent="0.25">
      <c r="A9014" s="184">
        <v>44502</v>
      </c>
      <c r="B9014" s="184">
        <v>44502</v>
      </c>
      <c r="C9014" s="138">
        <v>2021</v>
      </c>
      <c r="D9014" s="24" t="s">
        <v>141</v>
      </c>
      <c r="E9014" s="30" t="s">
        <v>142</v>
      </c>
      <c r="F9014" s="7" t="s">
        <v>84</v>
      </c>
      <c r="G9014" s="33" t="s">
        <v>3161</v>
      </c>
      <c r="H9014" s="311" t="s">
        <v>12185</v>
      </c>
      <c r="I9014" s="157">
        <v>0</v>
      </c>
      <c r="J9014" s="142">
        <v>25</v>
      </c>
      <c r="K9014" s="142">
        <v>0</v>
      </c>
      <c r="L9014" s="142">
        <v>0</v>
      </c>
      <c r="M9014" s="142">
        <v>0</v>
      </c>
      <c r="N9014" s="142">
        <v>0</v>
      </c>
      <c r="O9014" s="142">
        <v>0</v>
      </c>
      <c r="P9014" s="306">
        <v>0.87965789999999999</v>
      </c>
      <c r="Q9014" s="50" t="s">
        <v>9523</v>
      </c>
      <c r="R9014" s="303"/>
    </row>
    <row r="9015" spans="1:18" s="162" customFormat="1" ht="72" x14ac:dyDescent="0.25">
      <c r="A9015" s="184">
        <v>44502</v>
      </c>
      <c r="B9015" s="184">
        <v>44502</v>
      </c>
      <c r="C9015" s="138">
        <v>2021</v>
      </c>
      <c r="D9015" s="24" t="s">
        <v>141</v>
      </c>
      <c r="E9015" s="30" t="s">
        <v>142</v>
      </c>
      <c r="F9015" s="7" t="s">
        <v>68</v>
      </c>
      <c r="G9015" s="33" t="s">
        <v>2852</v>
      </c>
      <c r="H9015" s="311" t="s">
        <v>12186</v>
      </c>
      <c r="I9015" s="157">
        <v>0</v>
      </c>
      <c r="J9015" s="142">
        <v>15</v>
      </c>
      <c r="K9015" s="142">
        <v>0</v>
      </c>
      <c r="L9015" s="142">
        <v>0</v>
      </c>
      <c r="M9015" s="142">
        <v>0</v>
      </c>
      <c r="N9015" s="142">
        <v>0</v>
      </c>
      <c r="O9015" s="142">
        <v>0</v>
      </c>
      <c r="P9015" s="306">
        <v>1.7341599000000001</v>
      </c>
      <c r="Q9015" s="50" t="s">
        <v>9523</v>
      </c>
      <c r="R9015" s="303"/>
    </row>
    <row r="9016" spans="1:18" s="162" customFormat="1" ht="120" x14ac:dyDescent="0.25">
      <c r="A9016" s="184">
        <v>44502</v>
      </c>
      <c r="B9016" s="184">
        <v>44502</v>
      </c>
      <c r="C9016" s="138">
        <v>2021</v>
      </c>
      <c r="D9016" s="24" t="s">
        <v>141</v>
      </c>
      <c r="E9016" s="30" t="s">
        <v>142</v>
      </c>
      <c r="F9016" s="7" t="s">
        <v>75</v>
      </c>
      <c r="G9016" s="33" t="s">
        <v>12187</v>
      </c>
      <c r="H9016" s="311" t="s">
        <v>12188</v>
      </c>
      <c r="I9016" s="157">
        <v>0</v>
      </c>
      <c r="J9016" s="142">
        <v>10</v>
      </c>
      <c r="K9016" s="142">
        <v>0</v>
      </c>
      <c r="L9016" s="142">
        <v>0</v>
      </c>
      <c r="M9016" s="142">
        <v>0</v>
      </c>
      <c r="N9016" s="142">
        <v>0</v>
      </c>
      <c r="O9016" s="142">
        <v>0</v>
      </c>
      <c r="P9016" s="306">
        <v>1.0942655569999999</v>
      </c>
      <c r="Q9016" s="50" t="s">
        <v>9523</v>
      </c>
      <c r="R9016" s="303"/>
    </row>
    <row r="9017" spans="1:18" s="162" customFormat="1" ht="204" x14ac:dyDescent="0.25">
      <c r="A9017" s="184">
        <v>44504</v>
      </c>
      <c r="B9017" s="184">
        <v>44504</v>
      </c>
      <c r="C9017" s="138">
        <v>2021</v>
      </c>
      <c r="D9017" s="35" t="s">
        <v>28</v>
      </c>
      <c r="E9017" s="6" t="s">
        <v>149</v>
      </c>
      <c r="F9017" s="28" t="s">
        <v>157</v>
      </c>
      <c r="G9017" s="33" t="s">
        <v>716</v>
      </c>
      <c r="H9017" s="311" t="s">
        <v>12189</v>
      </c>
      <c r="I9017" s="157">
        <v>0</v>
      </c>
      <c r="J9017" s="142">
        <v>600</v>
      </c>
      <c r="K9017" s="142">
        <v>0</v>
      </c>
      <c r="L9017" s="142">
        <v>0</v>
      </c>
      <c r="M9017" s="142">
        <v>0</v>
      </c>
      <c r="N9017" s="142">
        <v>1</v>
      </c>
      <c r="O9017" s="142">
        <v>0</v>
      </c>
      <c r="P9017" s="306">
        <v>0.141207</v>
      </c>
      <c r="Q9017" s="50" t="s">
        <v>9523</v>
      </c>
      <c r="R9017" s="303"/>
    </row>
    <row r="9018" spans="1:18" s="162" customFormat="1" ht="108" x14ac:dyDescent="0.25">
      <c r="A9018" s="184">
        <v>44504</v>
      </c>
      <c r="B9018" s="184"/>
      <c r="C9018" s="138">
        <v>2021</v>
      </c>
      <c r="D9018" s="24" t="s">
        <v>141</v>
      </c>
      <c r="E9018" s="49" t="s">
        <v>1600</v>
      </c>
      <c r="F9018" s="28" t="s">
        <v>160</v>
      </c>
      <c r="G9018" s="33" t="s">
        <v>11845</v>
      </c>
      <c r="H9018" s="311" t="s">
        <v>12190</v>
      </c>
      <c r="I9018" s="157">
        <v>1</v>
      </c>
      <c r="J9018" s="142">
        <v>1</v>
      </c>
      <c r="K9018" s="142">
        <v>0</v>
      </c>
      <c r="L9018" s="142">
        <v>0</v>
      </c>
      <c r="M9018" s="142">
        <v>0</v>
      </c>
      <c r="N9018" s="142">
        <v>0</v>
      </c>
      <c r="O9018" s="142">
        <v>0</v>
      </c>
      <c r="P9018" s="306">
        <v>1.1979000000000002E-3</v>
      </c>
      <c r="Q9018" s="50" t="s">
        <v>9523</v>
      </c>
      <c r="R9018" s="303"/>
    </row>
    <row r="9019" spans="1:18" s="162" customFormat="1" ht="120" x14ac:dyDescent="0.25">
      <c r="A9019" s="184">
        <v>44505</v>
      </c>
      <c r="B9019" s="184">
        <v>44505</v>
      </c>
      <c r="C9019" s="138">
        <v>2021</v>
      </c>
      <c r="D9019" s="35" t="s">
        <v>28</v>
      </c>
      <c r="E9019" s="6" t="s">
        <v>149</v>
      </c>
      <c r="F9019" s="7" t="s">
        <v>84</v>
      </c>
      <c r="G9019" s="33" t="s">
        <v>939</v>
      </c>
      <c r="H9019" s="311" t="s">
        <v>12191</v>
      </c>
      <c r="I9019" s="157">
        <v>0</v>
      </c>
      <c r="J9019" s="142">
        <v>152</v>
      </c>
      <c r="K9019" s="142">
        <v>0</v>
      </c>
      <c r="L9019" s="142">
        <v>0</v>
      </c>
      <c r="M9019" s="142">
        <v>0</v>
      </c>
      <c r="N9019" s="142">
        <v>1</v>
      </c>
      <c r="O9019" s="142">
        <v>0</v>
      </c>
      <c r="P9019" s="306">
        <v>0</v>
      </c>
      <c r="Q9019" s="50" t="s">
        <v>9523</v>
      </c>
      <c r="R9019" s="303"/>
    </row>
    <row r="9020" spans="1:18" s="162" customFormat="1" ht="132" x14ac:dyDescent="0.25">
      <c r="A9020" s="184">
        <v>44505</v>
      </c>
      <c r="B9020" s="184">
        <v>44505</v>
      </c>
      <c r="C9020" s="138">
        <v>2021</v>
      </c>
      <c r="D9020" s="24" t="s">
        <v>141</v>
      </c>
      <c r="E9020" s="30" t="s">
        <v>142</v>
      </c>
      <c r="F9020" s="28" t="s">
        <v>157</v>
      </c>
      <c r="G9020" s="33" t="s">
        <v>526</v>
      </c>
      <c r="H9020" s="311" t="s">
        <v>12192</v>
      </c>
      <c r="I9020" s="157">
        <v>0</v>
      </c>
      <c r="J9020" s="142">
        <v>7</v>
      </c>
      <c r="K9020" s="142">
        <v>0</v>
      </c>
      <c r="L9020" s="142">
        <v>0</v>
      </c>
      <c r="M9020" s="142">
        <v>0</v>
      </c>
      <c r="N9020" s="142">
        <v>0</v>
      </c>
      <c r="O9020" s="142">
        <v>0</v>
      </c>
      <c r="P9020" s="306">
        <v>1.0349084020000001</v>
      </c>
      <c r="Q9020" s="50" t="s">
        <v>9523</v>
      </c>
      <c r="R9020" s="303"/>
    </row>
    <row r="9021" spans="1:18" s="162" customFormat="1" ht="72" x14ac:dyDescent="0.25">
      <c r="A9021" s="184">
        <v>44505</v>
      </c>
      <c r="B9021" s="184">
        <v>44505</v>
      </c>
      <c r="C9021" s="138">
        <v>2021</v>
      </c>
      <c r="D9021" s="24" t="s">
        <v>141</v>
      </c>
      <c r="E9021" s="30" t="s">
        <v>142</v>
      </c>
      <c r="F9021" s="7" t="s">
        <v>65</v>
      </c>
      <c r="G9021" s="33" t="s">
        <v>2987</v>
      </c>
      <c r="H9021" s="311" t="s">
        <v>12193</v>
      </c>
      <c r="I9021" s="157">
        <v>1</v>
      </c>
      <c r="J9021" s="142">
        <v>7</v>
      </c>
      <c r="K9021" s="142">
        <v>0</v>
      </c>
      <c r="L9021" s="142">
        <v>0</v>
      </c>
      <c r="M9021" s="142">
        <v>0</v>
      </c>
      <c r="N9021" s="142">
        <v>0</v>
      </c>
      <c r="O9021" s="142">
        <v>0</v>
      </c>
      <c r="P9021" s="306">
        <v>1.082286557</v>
      </c>
      <c r="Q9021" s="50" t="s">
        <v>9523</v>
      </c>
      <c r="R9021" s="303"/>
    </row>
    <row r="9022" spans="1:18" s="162" customFormat="1" ht="132" x14ac:dyDescent="0.25">
      <c r="A9022" s="184">
        <v>44506</v>
      </c>
      <c r="B9022" s="184">
        <v>44507</v>
      </c>
      <c r="C9022" s="138">
        <v>2021</v>
      </c>
      <c r="D9022" s="24" t="s">
        <v>141</v>
      </c>
      <c r="E9022" s="30" t="s">
        <v>142</v>
      </c>
      <c r="F9022" s="7" t="s">
        <v>53</v>
      </c>
      <c r="G9022" s="33" t="s">
        <v>460</v>
      </c>
      <c r="H9022" s="311" t="s">
        <v>12194</v>
      </c>
      <c r="I9022" s="157">
        <v>17</v>
      </c>
      <c r="J9022" s="142">
        <v>24</v>
      </c>
      <c r="K9022" s="142">
        <v>0</v>
      </c>
      <c r="L9022" s="142">
        <v>0</v>
      </c>
      <c r="M9022" s="142">
        <v>0</v>
      </c>
      <c r="N9022" s="142">
        <v>0</v>
      </c>
      <c r="O9022" s="142">
        <v>0</v>
      </c>
      <c r="P9022" s="306">
        <v>1.3076449894302327</v>
      </c>
      <c r="Q9022" s="50" t="s">
        <v>9523</v>
      </c>
      <c r="R9022" s="303"/>
    </row>
    <row r="9023" spans="1:18" s="162" customFormat="1" ht="96" x14ac:dyDescent="0.25">
      <c r="A9023" s="184">
        <v>44508</v>
      </c>
      <c r="B9023" s="184">
        <v>44508</v>
      </c>
      <c r="C9023" s="138">
        <v>2021</v>
      </c>
      <c r="D9023" s="35" t="s">
        <v>28</v>
      </c>
      <c r="E9023" s="30" t="s">
        <v>133</v>
      </c>
      <c r="F9023" s="7" t="s">
        <v>87</v>
      </c>
      <c r="G9023" s="33" t="s">
        <v>8544</v>
      </c>
      <c r="H9023" s="311" t="s">
        <v>12195</v>
      </c>
      <c r="I9023" s="157">
        <v>0</v>
      </c>
      <c r="J9023" s="142">
        <v>52</v>
      </c>
      <c r="K9023" s="142">
        <v>0</v>
      </c>
      <c r="L9023" s="142">
        <v>0</v>
      </c>
      <c r="M9023" s="142">
        <v>0</v>
      </c>
      <c r="N9023" s="142">
        <v>1</v>
      </c>
      <c r="O9023" s="142">
        <v>0</v>
      </c>
      <c r="P9023" s="306">
        <v>0</v>
      </c>
      <c r="Q9023" s="50" t="s">
        <v>9523</v>
      </c>
      <c r="R9023" s="303"/>
    </row>
    <row r="9024" spans="1:18" s="162" customFormat="1" ht="84" x14ac:dyDescent="0.25">
      <c r="A9024" s="184">
        <v>44508</v>
      </c>
      <c r="B9024" s="184">
        <v>44508</v>
      </c>
      <c r="C9024" s="138">
        <v>2021</v>
      </c>
      <c r="D9024" s="24" t="s">
        <v>141</v>
      </c>
      <c r="E9024" s="30" t="s">
        <v>142</v>
      </c>
      <c r="F9024" s="7" t="s">
        <v>53</v>
      </c>
      <c r="G9024" s="33" t="s">
        <v>1236</v>
      </c>
      <c r="H9024" s="311" t="s">
        <v>12196</v>
      </c>
      <c r="I9024" s="157">
        <v>0</v>
      </c>
      <c r="J9024" s="142">
        <v>6</v>
      </c>
      <c r="K9024" s="142">
        <v>0</v>
      </c>
      <c r="L9024" s="142">
        <v>0</v>
      </c>
      <c r="M9024" s="142">
        <v>0</v>
      </c>
      <c r="N9024" s="142">
        <v>0</v>
      </c>
      <c r="O9024" s="142">
        <v>0</v>
      </c>
      <c r="P9024" s="306">
        <v>0.86408520000000011</v>
      </c>
      <c r="Q9024" s="50" t="s">
        <v>9523</v>
      </c>
      <c r="R9024" s="303"/>
    </row>
    <row r="9025" spans="1:18" s="162" customFormat="1" ht="120" x14ac:dyDescent="0.25">
      <c r="A9025" s="184">
        <v>44508</v>
      </c>
      <c r="B9025" s="184">
        <v>44518</v>
      </c>
      <c r="C9025" s="138">
        <v>2021</v>
      </c>
      <c r="D9025" s="35" t="s">
        <v>28</v>
      </c>
      <c r="E9025" s="6" t="s">
        <v>369</v>
      </c>
      <c r="F9025" s="7" t="s">
        <v>40</v>
      </c>
      <c r="G9025" s="33" t="s">
        <v>12197</v>
      </c>
      <c r="H9025" s="311" t="s">
        <v>12198</v>
      </c>
      <c r="I9025" s="157">
        <v>0</v>
      </c>
      <c r="J9025" s="142">
        <v>1</v>
      </c>
      <c r="K9025" s="142">
        <v>0</v>
      </c>
      <c r="L9025" s="142">
        <v>0</v>
      </c>
      <c r="M9025" s="142">
        <v>0</v>
      </c>
      <c r="N9025" s="142">
        <v>0</v>
      </c>
      <c r="O9025" s="142">
        <v>0</v>
      </c>
      <c r="P9025" s="306">
        <v>0.74550074447058823</v>
      </c>
      <c r="Q9025" s="50" t="s">
        <v>9523</v>
      </c>
      <c r="R9025" s="303"/>
    </row>
    <row r="9026" spans="1:18" s="162" customFormat="1" ht="108" x14ac:dyDescent="0.25">
      <c r="A9026" s="184">
        <v>44509</v>
      </c>
      <c r="B9026" s="184">
        <v>44509</v>
      </c>
      <c r="C9026" s="138">
        <v>2021</v>
      </c>
      <c r="D9026" s="24" t="s">
        <v>141</v>
      </c>
      <c r="E9026" s="30" t="s">
        <v>142</v>
      </c>
      <c r="F9026" s="7" t="s">
        <v>36</v>
      </c>
      <c r="G9026" s="33" t="s">
        <v>1887</v>
      </c>
      <c r="H9026" s="311" t="s">
        <v>12199</v>
      </c>
      <c r="I9026" s="157">
        <v>10</v>
      </c>
      <c r="J9026" s="142">
        <v>13</v>
      </c>
      <c r="K9026" s="142">
        <v>0</v>
      </c>
      <c r="L9026" s="142">
        <v>0</v>
      </c>
      <c r="M9026" s="142">
        <v>0</v>
      </c>
      <c r="N9026" s="142">
        <v>0</v>
      </c>
      <c r="O9026" s="142">
        <v>0</v>
      </c>
      <c r="P9026" s="306">
        <v>0.43999641400000011</v>
      </c>
      <c r="Q9026" s="50" t="s">
        <v>9523</v>
      </c>
      <c r="R9026" s="303"/>
    </row>
    <row r="9027" spans="1:18" s="162" customFormat="1" ht="120" x14ac:dyDescent="0.25">
      <c r="A9027" s="184">
        <v>44509</v>
      </c>
      <c r="B9027" s="184">
        <v>44509</v>
      </c>
      <c r="C9027" s="138">
        <v>2021</v>
      </c>
      <c r="D9027" s="35" t="s">
        <v>28</v>
      </c>
      <c r="E9027" s="30" t="s">
        <v>125</v>
      </c>
      <c r="F9027" s="7" t="s">
        <v>40</v>
      </c>
      <c r="G9027" s="33" t="s">
        <v>830</v>
      </c>
      <c r="H9027" s="311" t="s">
        <v>12200</v>
      </c>
      <c r="I9027" s="157">
        <v>2</v>
      </c>
      <c r="J9027" s="142">
        <v>5</v>
      </c>
      <c r="K9027" s="142">
        <v>0</v>
      </c>
      <c r="L9027" s="142">
        <v>0</v>
      </c>
      <c r="M9027" s="142">
        <v>0</v>
      </c>
      <c r="N9027" s="142">
        <v>0</v>
      </c>
      <c r="O9027" s="142">
        <v>0</v>
      </c>
      <c r="P9027" s="306">
        <v>0</v>
      </c>
      <c r="Q9027" s="50" t="s">
        <v>9523</v>
      </c>
      <c r="R9027" s="303"/>
    </row>
    <row r="9028" spans="1:18" s="162" customFormat="1" ht="108" x14ac:dyDescent="0.25">
      <c r="A9028" s="184">
        <v>44509</v>
      </c>
      <c r="B9028" s="184">
        <v>44510</v>
      </c>
      <c r="C9028" s="138">
        <v>2021</v>
      </c>
      <c r="D9028" s="24" t="s">
        <v>141</v>
      </c>
      <c r="E9028" s="30" t="s">
        <v>142</v>
      </c>
      <c r="F9028" s="7" t="s">
        <v>60</v>
      </c>
      <c r="G9028" s="33" t="s">
        <v>908</v>
      </c>
      <c r="H9028" s="311" t="s">
        <v>12201</v>
      </c>
      <c r="I9028" s="157">
        <v>0</v>
      </c>
      <c r="J9028" s="142">
        <v>5</v>
      </c>
      <c r="K9028" s="142">
        <v>0</v>
      </c>
      <c r="L9028" s="142">
        <v>0</v>
      </c>
      <c r="M9028" s="142">
        <v>0</v>
      </c>
      <c r="N9028" s="142">
        <v>0</v>
      </c>
      <c r="O9028" s="142">
        <v>0</v>
      </c>
      <c r="P9028" s="306">
        <v>0.87593110000000007</v>
      </c>
      <c r="Q9028" s="50" t="s">
        <v>9523</v>
      </c>
      <c r="R9028" s="303"/>
    </row>
    <row r="9029" spans="1:18" s="162" customFormat="1" ht="108" x14ac:dyDescent="0.25">
      <c r="A9029" s="184">
        <v>44509</v>
      </c>
      <c r="B9029" s="184">
        <v>44510</v>
      </c>
      <c r="C9029" s="138">
        <v>2021</v>
      </c>
      <c r="D9029" s="35" t="s">
        <v>28</v>
      </c>
      <c r="E9029" s="30" t="s">
        <v>125</v>
      </c>
      <c r="F9029" s="7" t="s">
        <v>68</v>
      </c>
      <c r="G9029" s="33" t="s">
        <v>1121</v>
      </c>
      <c r="H9029" s="311" t="s">
        <v>12202</v>
      </c>
      <c r="I9029" s="157">
        <v>0</v>
      </c>
      <c r="J9029" s="142">
        <v>2</v>
      </c>
      <c r="K9029" s="142">
        <v>0</v>
      </c>
      <c r="L9029" s="142">
        <v>0</v>
      </c>
      <c r="M9029" s="142">
        <v>0</v>
      </c>
      <c r="N9029" s="142">
        <v>0</v>
      </c>
      <c r="O9029" s="142">
        <v>0</v>
      </c>
      <c r="P9029" s="306">
        <v>2.3958000000000004E-3</v>
      </c>
      <c r="Q9029" s="50" t="s">
        <v>9523</v>
      </c>
      <c r="R9029" s="303"/>
    </row>
    <row r="9030" spans="1:18" s="162" customFormat="1" ht="192" x14ac:dyDescent="0.25">
      <c r="A9030" s="184">
        <v>44510</v>
      </c>
      <c r="B9030" s="184">
        <v>44510</v>
      </c>
      <c r="C9030" s="138">
        <v>2021</v>
      </c>
      <c r="D9030" s="35" t="s">
        <v>28</v>
      </c>
      <c r="E9030" s="30" t="s">
        <v>133</v>
      </c>
      <c r="F9030" s="7" t="s">
        <v>53</v>
      </c>
      <c r="G9030" s="33" t="s">
        <v>451</v>
      </c>
      <c r="H9030" s="311" t="s">
        <v>12203</v>
      </c>
      <c r="I9030" s="157">
        <v>0</v>
      </c>
      <c r="J9030" s="142">
        <v>1</v>
      </c>
      <c r="K9030" s="142">
        <v>0</v>
      </c>
      <c r="L9030" s="142">
        <v>0</v>
      </c>
      <c r="M9030" s="142">
        <v>0</v>
      </c>
      <c r="N9030" s="142">
        <v>0</v>
      </c>
      <c r="O9030" s="142">
        <v>0</v>
      </c>
      <c r="P9030" s="306">
        <v>0.45809160100000007</v>
      </c>
      <c r="Q9030" s="50" t="s">
        <v>9523</v>
      </c>
      <c r="R9030" s="303"/>
    </row>
    <row r="9031" spans="1:18" s="162" customFormat="1" ht="120" x14ac:dyDescent="0.25">
      <c r="A9031" s="184">
        <v>44512</v>
      </c>
      <c r="B9031" s="184">
        <v>44513</v>
      </c>
      <c r="C9031" s="138">
        <v>2021</v>
      </c>
      <c r="D9031" s="351" t="s">
        <v>23</v>
      </c>
      <c r="E9031" s="22" t="s">
        <v>86</v>
      </c>
      <c r="F9031" s="7" t="s">
        <v>36</v>
      </c>
      <c r="G9031" s="33" t="s">
        <v>12204</v>
      </c>
      <c r="H9031" s="311" t="s">
        <v>12205</v>
      </c>
      <c r="I9031" s="157">
        <v>0</v>
      </c>
      <c r="J9031" s="142">
        <v>328</v>
      </c>
      <c r="K9031" s="142">
        <v>82</v>
      </c>
      <c r="L9031" s="142">
        <v>0</v>
      </c>
      <c r="M9031" s="142">
        <v>0</v>
      </c>
      <c r="N9031" s="142">
        <v>0</v>
      </c>
      <c r="O9031" s="142">
        <v>0</v>
      </c>
      <c r="P9031" s="306">
        <v>0.10939005</v>
      </c>
      <c r="Q9031" s="50" t="s">
        <v>9523</v>
      </c>
      <c r="R9031" s="303"/>
    </row>
    <row r="9032" spans="1:18" s="162" customFormat="1" ht="108" x14ac:dyDescent="0.25">
      <c r="A9032" s="184">
        <v>44513</v>
      </c>
      <c r="B9032" s="184">
        <v>44513</v>
      </c>
      <c r="C9032" s="138">
        <v>2021</v>
      </c>
      <c r="D9032" s="24" t="s">
        <v>141</v>
      </c>
      <c r="E9032" s="30" t="s">
        <v>142</v>
      </c>
      <c r="F9032" s="7" t="s">
        <v>65</v>
      </c>
      <c r="G9032" s="33" t="s">
        <v>2274</v>
      </c>
      <c r="H9032" s="311" t="s">
        <v>12206</v>
      </c>
      <c r="I9032" s="157">
        <v>0</v>
      </c>
      <c r="J9032" s="142">
        <v>20</v>
      </c>
      <c r="K9032" s="142">
        <v>1</v>
      </c>
      <c r="L9032" s="142">
        <v>0</v>
      </c>
      <c r="M9032" s="142">
        <v>0</v>
      </c>
      <c r="N9032" s="142">
        <v>0</v>
      </c>
      <c r="O9032" s="142">
        <v>0</v>
      </c>
      <c r="P9032" s="306">
        <v>0.88937722500000005</v>
      </c>
      <c r="Q9032" s="50" t="s">
        <v>9523</v>
      </c>
      <c r="R9032" s="303"/>
    </row>
    <row r="9033" spans="1:18" s="162" customFormat="1" ht="120" x14ac:dyDescent="0.25">
      <c r="A9033" s="184">
        <v>44513</v>
      </c>
      <c r="B9033" s="184">
        <v>44514</v>
      </c>
      <c r="C9033" s="138">
        <v>2021</v>
      </c>
      <c r="D9033" s="35" t="s">
        <v>28</v>
      </c>
      <c r="E9033" s="6" t="s">
        <v>149</v>
      </c>
      <c r="F9033" s="28" t="s">
        <v>163</v>
      </c>
      <c r="G9033" s="33" t="s">
        <v>4478</v>
      </c>
      <c r="H9033" s="311" t="s">
        <v>12207</v>
      </c>
      <c r="I9033" s="157">
        <v>0</v>
      </c>
      <c r="J9033" s="142">
        <v>32</v>
      </c>
      <c r="K9033" s="142">
        <v>9</v>
      </c>
      <c r="L9033" s="142">
        <v>0</v>
      </c>
      <c r="M9033" s="142">
        <v>0</v>
      </c>
      <c r="N9033" s="142">
        <v>0</v>
      </c>
      <c r="O9033" s="142">
        <v>0</v>
      </c>
      <c r="P9033" s="306">
        <v>6.4453859820000001E-2</v>
      </c>
      <c r="Q9033" s="50" t="s">
        <v>9523</v>
      </c>
      <c r="R9033" s="303"/>
    </row>
    <row r="9034" spans="1:18" s="162" customFormat="1" ht="180" x14ac:dyDescent="0.25">
      <c r="A9034" s="184">
        <v>44513</v>
      </c>
      <c r="B9034" s="184">
        <v>44515</v>
      </c>
      <c r="C9034" s="138">
        <v>2021</v>
      </c>
      <c r="D9034" s="35" t="s">
        <v>28</v>
      </c>
      <c r="E9034" s="30" t="s">
        <v>133</v>
      </c>
      <c r="F9034" s="28" t="s">
        <v>157</v>
      </c>
      <c r="G9034" s="33" t="s">
        <v>1190</v>
      </c>
      <c r="H9034" s="311" t="s">
        <v>12208</v>
      </c>
      <c r="I9034" s="157">
        <v>1</v>
      </c>
      <c r="J9034" s="142">
        <v>113</v>
      </c>
      <c r="K9034" s="142">
        <v>3</v>
      </c>
      <c r="L9034" s="142">
        <v>0</v>
      </c>
      <c r="M9034" s="142">
        <v>0</v>
      </c>
      <c r="N9034" s="142">
        <v>0</v>
      </c>
      <c r="O9034" s="142">
        <v>0</v>
      </c>
      <c r="P9034" s="306">
        <v>0.19306155</v>
      </c>
      <c r="Q9034" s="50" t="s">
        <v>9523</v>
      </c>
      <c r="R9034" s="303"/>
    </row>
    <row r="9035" spans="1:18" s="162" customFormat="1" ht="84" x14ac:dyDescent="0.25">
      <c r="A9035" s="184">
        <v>44514</v>
      </c>
      <c r="B9035" s="184">
        <v>44514</v>
      </c>
      <c r="C9035" s="138">
        <v>2021</v>
      </c>
      <c r="D9035" s="24" t="s">
        <v>141</v>
      </c>
      <c r="E9035" s="30" t="s">
        <v>142</v>
      </c>
      <c r="F9035" s="7" t="s">
        <v>49</v>
      </c>
      <c r="G9035" s="33" t="s">
        <v>1445</v>
      </c>
      <c r="H9035" s="311" t="s">
        <v>12209</v>
      </c>
      <c r="I9035" s="157">
        <v>5</v>
      </c>
      <c r="J9035" s="142">
        <v>6</v>
      </c>
      <c r="K9035" s="142">
        <v>0</v>
      </c>
      <c r="L9035" s="142">
        <v>0</v>
      </c>
      <c r="M9035" s="142">
        <v>0</v>
      </c>
      <c r="N9035" s="142">
        <v>0</v>
      </c>
      <c r="O9035" s="142">
        <v>0</v>
      </c>
      <c r="P9035" s="306">
        <v>0.25037295800000003</v>
      </c>
      <c r="Q9035" s="50" t="s">
        <v>9523</v>
      </c>
      <c r="R9035" s="303"/>
    </row>
    <row r="9036" spans="1:18" s="162" customFormat="1" ht="96" x14ac:dyDescent="0.25">
      <c r="A9036" s="184">
        <v>44515</v>
      </c>
      <c r="B9036" s="184">
        <v>44515</v>
      </c>
      <c r="C9036" s="138">
        <v>2021</v>
      </c>
      <c r="D9036" s="24" t="s">
        <v>141</v>
      </c>
      <c r="E9036" s="30" t="s">
        <v>142</v>
      </c>
      <c r="F9036" s="7" t="s">
        <v>40</v>
      </c>
      <c r="G9036" s="33" t="s">
        <v>830</v>
      </c>
      <c r="H9036" s="311" t="s">
        <v>12210</v>
      </c>
      <c r="I9036" s="157">
        <v>0</v>
      </c>
      <c r="J9036" s="142">
        <v>11</v>
      </c>
      <c r="K9036" s="142">
        <v>0</v>
      </c>
      <c r="L9036" s="142">
        <v>0</v>
      </c>
      <c r="M9036" s="142">
        <v>0</v>
      </c>
      <c r="N9036" s="142">
        <v>0</v>
      </c>
      <c r="O9036" s="142">
        <v>0</v>
      </c>
      <c r="P9036" s="306">
        <v>2.6087600000000002E-2</v>
      </c>
      <c r="Q9036" s="50" t="s">
        <v>9523</v>
      </c>
      <c r="R9036" s="303"/>
    </row>
    <row r="9037" spans="1:18" s="162" customFormat="1" ht="84" x14ac:dyDescent="0.25">
      <c r="A9037" s="184">
        <v>44516</v>
      </c>
      <c r="B9037" s="184">
        <v>44516</v>
      </c>
      <c r="C9037" s="138">
        <v>2021</v>
      </c>
      <c r="D9037" s="24" t="s">
        <v>141</v>
      </c>
      <c r="E9037" s="30" t="s">
        <v>142</v>
      </c>
      <c r="F9037" s="7" t="s">
        <v>30</v>
      </c>
      <c r="G9037" s="33" t="s">
        <v>901</v>
      </c>
      <c r="H9037" s="311" t="s">
        <v>12211</v>
      </c>
      <c r="I9037" s="157">
        <v>0</v>
      </c>
      <c r="J9037" s="142">
        <v>40</v>
      </c>
      <c r="K9037" s="142">
        <v>0</v>
      </c>
      <c r="L9037" s="142">
        <v>0</v>
      </c>
      <c r="M9037" s="142">
        <v>0</v>
      </c>
      <c r="N9037" s="142">
        <v>0</v>
      </c>
      <c r="O9037" s="142">
        <v>0</v>
      </c>
      <c r="P9037" s="306">
        <v>2.7418600000000005E-2</v>
      </c>
      <c r="Q9037" s="50" t="s">
        <v>9523</v>
      </c>
      <c r="R9037" s="303"/>
    </row>
    <row r="9038" spans="1:18" s="162" customFormat="1" ht="84" x14ac:dyDescent="0.25">
      <c r="A9038" s="184">
        <v>44516</v>
      </c>
      <c r="B9038" s="184">
        <v>44518</v>
      </c>
      <c r="C9038" s="138">
        <v>2021</v>
      </c>
      <c r="D9038" s="35" t="s">
        <v>28</v>
      </c>
      <c r="E9038" s="30" t="s">
        <v>133</v>
      </c>
      <c r="F9038" s="28" t="s">
        <v>160</v>
      </c>
      <c r="G9038" s="33" t="s">
        <v>12212</v>
      </c>
      <c r="H9038" s="311" t="s">
        <v>12213</v>
      </c>
      <c r="I9038" s="157">
        <v>0</v>
      </c>
      <c r="J9038" s="142">
        <v>2</v>
      </c>
      <c r="K9038" s="142">
        <v>2</v>
      </c>
      <c r="L9038" s="142">
        <v>0</v>
      </c>
      <c r="M9038" s="142">
        <v>0</v>
      </c>
      <c r="N9038" s="142">
        <v>0</v>
      </c>
      <c r="O9038" s="142">
        <v>0</v>
      </c>
      <c r="P9038" s="306">
        <v>0.30492000000000002</v>
      </c>
      <c r="Q9038" s="50" t="s">
        <v>9523</v>
      </c>
      <c r="R9038" s="303"/>
    </row>
    <row r="9039" spans="1:18" s="162" customFormat="1" ht="84" x14ac:dyDescent="0.25">
      <c r="A9039" s="184">
        <v>44517</v>
      </c>
      <c r="B9039" s="184">
        <v>44517</v>
      </c>
      <c r="C9039" s="138">
        <v>2021</v>
      </c>
      <c r="D9039" s="35" t="s">
        <v>28</v>
      </c>
      <c r="E9039" s="30" t="s">
        <v>136</v>
      </c>
      <c r="F9039" s="28" t="s">
        <v>157</v>
      </c>
      <c r="G9039" s="33" t="s">
        <v>857</v>
      </c>
      <c r="H9039" s="311" t="s">
        <v>12214</v>
      </c>
      <c r="I9039" s="157">
        <v>2</v>
      </c>
      <c r="J9039" s="142">
        <v>2</v>
      </c>
      <c r="K9039" s="142">
        <v>0</v>
      </c>
      <c r="L9039" s="142">
        <v>0</v>
      </c>
      <c r="M9039" s="142">
        <v>0</v>
      </c>
      <c r="N9039" s="142">
        <v>0</v>
      </c>
      <c r="O9039" s="142">
        <v>0</v>
      </c>
      <c r="P9039" s="306">
        <v>0</v>
      </c>
      <c r="Q9039" s="50" t="s">
        <v>9523</v>
      </c>
      <c r="R9039" s="303"/>
    </row>
    <row r="9040" spans="1:18" s="162" customFormat="1" ht="84" x14ac:dyDescent="0.25">
      <c r="A9040" s="184">
        <v>44518</v>
      </c>
      <c r="B9040" s="184">
        <v>44518</v>
      </c>
      <c r="C9040" s="138">
        <v>2021</v>
      </c>
      <c r="D9040" s="24" t="s">
        <v>141</v>
      </c>
      <c r="E9040" s="30" t="s">
        <v>142</v>
      </c>
      <c r="F9040" s="7" t="s">
        <v>62</v>
      </c>
      <c r="G9040" s="33" t="s">
        <v>10904</v>
      </c>
      <c r="H9040" s="311" t="s">
        <v>12215</v>
      </c>
      <c r="I9040" s="157">
        <v>0</v>
      </c>
      <c r="J9040" s="142">
        <v>9</v>
      </c>
      <c r="K9040" s="142">
        <v>0</v>
      </c>
      <c r="L9040" s="142">
        <v>0</v>
      </c>
      <c r="M9040" s="142">
        <v>0</v>
      </c>
      <c r="N9040" s="142">
        <v>0</v>
      </c>
      <c r="O9040" s="142">
        <v>0</v>
      </c>
      <c r="P9040" s="306">
        <v>0.22898245700000006</v>
      </c>
      <c r="Q9040" s="50" t="s">
        <v>9523</v>
      </c>
      <c r="R9040" s="303"/>
    </row>
    <row r="9041" spans="1:18" s="162" customFormat="1" ht="108" x14ac:dyDescent="0.25">
      <c r="A9041" s="184">
        <v>44519</v>
      </c>
      <c r="B9041" s="184">
        <v>44519</v>
      </c>
      <c r="C9041" s="138">
        <v>2021</v>
      </c>
      <c r="D9041" s="35" t="s">
        <v>28</v>
      </c>
      <c r="E9041" s="30" t="s">
        <v>133</v>
      </c>
      <c r="F9041" s="7" t="s">
        <v>53</v>
      </c>
      <c r="G9041" s="33" t="s">
        <v>7379</v>
      </c>
      <c r="H9041" s="311" t="s">
        <v>12216</v>
      </c>
      <c r="I9041" s="157">
        <v>0</v>
      </c>
      <c r="J9041" s="142">
        <v>1</v>
      </c>
      <c r="K9041" s="142">
        <v>0</v>
      </c>
      <c r="L9041" s="142">
        <v>0</v>
      </c>
      <c r="M9041" s="142">
        <v>0</v>
      </c>
      <c r="N9041" s="142">
        <v>0</v>
      </c>
      <c r="O9041" s="142">
        <v>0</v>
      </c>
      <c r="P9041" s="306">
        <v>3.2171601000000008E-2</v>
      </c>
      <c r="Q9041" s="50" t="s">
        <v>9523</v>
      </c>
      <c r="R9041" s="303"/>
    </row>
    <row r="9042" spans="1:18" s="162" customFormat="1" ht="276" x14ac:dyDescent="0.25">
      <c r="A9042" s="184">
        <v>44522</v>
      </c>
      <c r="B9042" s="184">
        <v>44529</v>
      </c>
      <c r="C9042" s="138">
        <v>2021</v>
      </c>
      <c r="D9042" s="351" t="s">
        <v>23</v>
      </c>
      <c r="E9042" s="22" t="s">
        <v>86</v>
      </c>
      <c r="F9042" s="28" t="s">
        <v>210</v>
      </c>
      <c r="G9042" s="33" t="s">
        <v>12217</v>
      </c>
      <c r="H9042" s="311" t="s">
        <v>12218</v>
      </c>
      <c r="I9042" s="157">
        <v>0</v>
      </c>
      <c r="J9042" s="142">
        <v>1192</v>
      </c>
      <c r="K9042" s="142">
        <v>298</v>
      </c>
      <c r="L9042" s="142">
        <v>1</v>
      </c>
      <c r="M9042" s="142">
        <v>0</v>
      </c>
      <c r="N9042" s="142">
        <v>2</v>
      </c>
      <c r="O9042" s="142">
        <v>0</v>
      </c>
      <c r="P9042" s="306">
        <v>1.4947750125000001</v>
      </c>
      <c r="Q9042" s="50" t="s">
        <v>9523</v>
      </c>
      <c r="R9042" s="303"/>
    </row>
    <row r="9043" spans="1:18" s="162" customFormat="1" ht="96" x14ac:dyDescent="0.25">
      <c r="A9043" s="184">
        <v>44523</v>
      </c>
      <c r="B9043" s="184">
        <v>44524</v>
      </c>
      <c r="C9043" s="138">
        <v>2021</v>
      </c>
      <c r="D9043" s="35" t="s">
        <v>28</v>
      </c>
      <c r="E9043" s="6" t="s">
        <v>369</v>
      </c>
      <c r="F9043" s="7" t="s">
        <v>47</v>
      </c>
      <c r="G9043" s="33" t="s">
        <v>5158</v>
      </c>
      <c r="H9043" s="311" t="s">
        <v>12219</v>
      </c>
      <c r="I9043" s="157">
        <v>1</v>
      </c>
      <c r="J9043" s="142">
        <v>1</v>
      </c>
      <c r="K9043" s="142">
        <v>0</v>
      </c>
      <c r="L9043" s="142">
        <v>0</v>
      </c>
      <c r="M9043" s="142">
        <v>0</v>
      </c>
      <c r="N9043" s="142">
        <v>0</v>
      </c>
      <c r="O9043" s="142">
        <v>0</v>
      </c>
      <c r="P9043" s="306">
        <v>5.5990284447058836E-2</v>
      </c>
      <c r="Q9043" s="50" t="s">
        <v>9523</v>
      </c>
      <c r="R9043" s="303"/>
    </row>
    <row r="9044" spans="1:18" s="162" customFormat="1" ht="108" x14ac:dyDescent="0.25">
      <c r="A9044" s="184">
        <v>44524</v>
      </c>
      <c r="B9044" s="184">
        <v>44524</v>
      </c>
      <c r="C9044" s="138">
        <v>2021</v>
      </c>
      <c r="D9044" s="24" t="s">
        <v>141</v>
      </c>
      <c r="E9044" s="30" t="s">
        <v>142</v>
      </c>
      <c r="F9044" s="7" t="s">
        <v>77</v>
      </c>
      <c r="G9044" s="33" t="s">
        <v>9607</v>
      </c>
      <c r="H9044" s="311" t="s">
        <v>12220</v>
      </c>
      <c r="I9044" s="157">
        <v>0</v>
      </c>
      <c r="J9044" s="142">
        <v>44</v>
      </c>
      <c r="K9044" s="142">
        <v>0</v>
      </c>
      <c r="L9044" s="142">
        <v>0</v>
      </c>
      <c r="M9044" s="142">
        <v>0</v>
      </c>
      <c r="N9044" s="142">
        <v>0</v>
      </c>
      <c r="O9044" s="142">
        <v>0</v>
      </c>
      <c r="P9044" s="306">
        <v>1.0434028904302326</v>
      </c>
      <c r="Q9044" s="50" t="s">
        <v>9523</v>
      </c>
      <c r="R9044" s="303"/>
    </row>
    <row r="9045" spans="1:18" s="162" customFormat="1" ht="108" x14ac:dyDescent="0.25">
      <c r="A9045" s="184">
        <v>44524</v>
      </c>
      <c r="B9045" s="184">
        <v>44524</v>
      </c>
      <c r="C9045" s="138">
        <v>2021</v>
      </c>
      <c r="D9045" s="35" t="s">
        <v>28</v>
      </c>
      <c r="E9045" s="30" t="s">
        <v>133</v>
      </c>
      <c r="F9045" s="25" t="s">
        <v>781</v>
      </c>
      <c r="G9045" s="33" t="s">
        <v>3061</v>
      </c>
      <c r="H9045" s="311" t="s">
        <v>12221</v>
      </c>
      <c r="I9045" s="157">
        <v>0</v>
      </c>
      <c r="J9045" s="142">
        <v>1001</v>
      </c>
      <c r="K9045" s="142">
        <v>0</v>
      </c>
      <c r="L9045" s="142">
        <v>0</v>
      </c>
      <c r="M9045" s="142">
        <v>0</v>
      </c>
      <c r="N9045" s="142">
        <v>1</v>
      </c>
      <c r="O9045" s="142">
        <v>0</v>
      </c>
      <c r="P9045" s="306">
        <v>0.17352380100000001</v>
      </c>
      <c r="Q9045" s="50" t="s">
        <v>9523</v>
      </c>
      <c r="R9045" s="303"/>
    </row>
    <row r="9046" spans="1:18" s="162" customFormat="1" ht="96" x14ac:dyDescent="0.25">
      <c r="A9046" s="184">
        <v>44524</v>
      </c>
      <c r="B9046" s="184">
        <v>44524</v>
      </c>
      <c r="C9046" s="138">
        <v>2021</v>
      </c>
      <c r="D9046" s="24" t="s">
        <v>141</v>
      </c>
      <c r="E9046" s="30" t="s">
        <v>142</v>
      </c>
      <c r="F9046" s="7" t="s">
        <v>53</v>
      </c>
      <c r="G9046" s="33" t="s">
        <v>10636</v>
      </c>
      <c r="H9046" s="311" t="s">
        <v>12222</v>
      </c>
      <c r="I9046" s="157">
        <v>6</v>
      </c>
      <c r="J9046" s="142">
        <v>17</v>
      </c>
      <c r="K9046" s="142">
        <v>0</v>
      </c>
      <c r="L9046" s="142">
        <v>0</v>
      </c>
      <c r="M9046" s="142">
        <v>0</v>
      </c>
      <c r="N9046" s="142">
        <v>0</v>
      </c>
      <c r="O9046" s="142">
        <v>0</v>
      </c>
      <c r="P9046" s="306">
        <v>0.23137825700000003</v>
      </c>
      <c r="Q9046" s="50" t="s">
        <v>9523</v>
      </c>
      <c r="R9046" s="303"/>
    </row>
    <row r="9047" spans="1:18" s="162" customFormat="1" ht="240" x14ac:dyDescent="0.25">
      <c r="A9047" s="184">
        <v>44524</v>
      </c>
      <c r="B9047" s="184">
        <v>44524</v>
      </c>
      <c r="C9047" s="138">
        <v>2021</v>
      </c>
      <c r="D9047" s="35" t="s">
        <v>28</v>
      </c>
      <c r="E9047" s="30" t="s">
        <v>133</v>
      </c>
      <c r="F9047" s="7" t="s">
        <v>53</v>
      </c>
      <c r="G9047" s="33" t="s">
        <v>451</v>
      </c>
      <c r="H9047" s="311" t="s">
        <v>12223</v>
      </c>
      <c r="I9047" s="157">
        <v>2</v>
      </c>
      <c r="J9047" s="142">
        <v>20</v>
      </c>
      <c r="K9047" s="142">
        <v>3</v>
      </c>
      <c r="L9047" s="142">
        <v>0</v>
      </c>
      <c r="M9047" s="142">
        <v>0</v>
      </c>
      <c r="N9047" s="142">
        <v>0</v>
      </c>
      <c r="O9047" s="142">
        <v>0</v>
      </c>
      <c r="P9047" s="306">
        <v>0.26712480300000008</v>
      </c>
      <c r="Q9047" s="50" t="s">
        <v>9523</v>
      </c>
      <c r="R9047" s="303"/>
    </row>
    <row r="9048" spans="1:18" s="162" customFormat="1" ht="168" x14ac:dyDescent="0.25">
      <c r="A9048" s="184">
        <v>44525</v>
      </c>
      <c r="B9048" s="184">
        <v>44525</v>
      </c>
      <c r="C9048" s="138">
        <v>2021</v>
      </c>
      <c r="D9048" s="24" t="s">
        <v>141</v>
      </c>
      <c r="E9048" s="30" t="s">
        <v>142</v>
      </c>
      <c r="F9048" s="7" t="s">
        <v>62</v>
      </c>
      <c r="G9048" s="33" t="s">
        <v>5448</v>
      </c>
      <c r="H9048" s="311" t="s">
        <v>12224</v>
      </c>
      <c r="I9048" s="157">
        <v>0</v>
      </c>
      <c r="J9048" s="142">
        <v>0</v>
      </c>
      <c r="K9048" s="142">
        <v>0</v>
      </c>
      <c r="L9048" s="142">
        <v>0</v>
      </c>
      <c r="M9048" s="142">
        <v>0</v>
      </c>
      <c r="N9048" s="142">
        <v>0</v>
      </c>
      <c r="O9048" s="142">
        <v>0</v>
      </c>
      <c r="P9048" s="306">
        <v>0.29033949999999997</v>
      </c>
      <c r="Q9048" s="50" t="s">
        <v>9523</v>
      </c>
      <c r="R9048" s="303"/>
    </row>
    <row r="9049" spans="1:18" s="162" customFormat="1" ht="96" x14ac:dyDescent="0.25">
      <c r="A9049" s="184">
        <v>44525</v>
      </c>
      <c r="B9049" s="184">
        <v>44525</v>
      </c>
      <c r="C9049" s="138">
        <v>2021</v>
      </c>
      <c r="D9049" s="24" t="s">
        <v>141</v>
      </c>
      <c r="E9049" s="30" t="s">
        <v>142</v>
      </c>
      <c r="F9049" s="7" t="s">
        <v>68</v>
      </c>
      <c r="G9049" s="33" t="s">
        <v>2852</v>
      </c>
      <c r="H9049" s="311" t="s">
        <v>12225</v>
      </c>
      <c r="I9049" s="157">
        <v>1</v>
      </c>
      <c r="J9049" s="142">
        <v>2</v>
      </c>
      <c r="K9049" s="142">
        <v>0</v>
      </c>
      <c r="L9049" s="142">
        <v>0</v>
      </c>
      <c r="M9049" s="142">
        <v>0</v>
      </c>
      <c r="N9049" s="142">
        <v>0</v>
      </c>
      <c r="O9049" s="142">
        <v>0</v>
      </c>
      <c r="P9049" s="306">
        <v>1.1522467000000002E-2</v>
      </c>
      <c r="Q9049" s="50" t="s">
        <v>9523</v>
      </c>
      <c r="R9049" s="303"/>
    </row>
    <row r="9050" spans="1:18" s="162" customFormat="1" ht="132" x14ac:dyDescent="0.25">
      <c r="A9050" s="184">
        <v>44525</v>
      </c>
      <c r="B9050" s="184">
        <v>44526</v>
      </c>
      <c r="C9050" s="138">
        <v>2021</v>
      </c>
      <c r="D9050" s="35" t="s">
        <v>28</v>
      </c>
      <c r="E9050" s="30" t="s">
        <v>133</v>
      </c>
      <c r="F9050" s="7" t="s">
        <v>68</v>
      </c>
      <c r="G9050" s="33" t="s">
        <v>5096</v>
      </c>
      <c r="H9050" s="311" t="s">
        <v>12226</v>
      </c>
      <c r="I9050" s="157">
        <v>0</v>
      </c>
      <c r="J9050" s="142">
        <v>216</v>
      </c>
      <c r="K9050" s="142">
        <v>0</v>
      </c>
      <c r="L9050" s="142">
        <v>0</v>
      </c>
      <c r="M9050" s="142">
        <v>0</v>
      </c>
      <c r="N9050" s="142">
        <v>4</v>
      </c>
      <c r="O9050" s="142">
        <v>0</v>
      </c>
      <c r="P9050" s="306">
        <v>0</v>
      </c>
      <c r="Q9050" s="50" t="s">
        <v>9523</v>
      </c>
      <c r="R9050" s="303"/>
    </row>
    <row r="9051" spans="1:18" s="162" customFormat="1" ht="228" x14ac:dyDescent="0.25">
      <c r="A9051" s="184">
        <v>44526</v>
      </c>
      <c r="B9051" s="184">
        <v>44526</v>
      </c>
      <c r="C9051" s="138">
        <v>2021</v>
      </c>
      <c r="D9051" s="24" t="s">
        <v>141</v>
      </c>
      <c r="E9051" s="30" t="s">
        <v>142</v>
      </c>
      <c r="F9051" s="7" t="s">
        <v>53</v>
      </c>
      <c r="G9051" s="33" t="s">
        <v>10082</v>
      </c>
      <c r="H9051" s="311" t="s">
        <v>12227</v>
      </c>
      <c r="I9051" s="157">
        <v>19</v>
      </c>
      <c r="J9051" s="142">
        <v>53</v>
      </c>
      <c r="K9051" s="142">
        <v>1</v>
      </c>
      <c r="L9051" s="142">
        <v>0</v>
      </c>
      <c r="M9051" s="142">
        <v>0</v>
      </c>
      <c r="N9051" s="142">
        <v>0</v>
      </c>
      <c r="O9051" s="142">
        <v>0</v>
      </c>
      <c r="P9051" s="306">
        <v>1.3827396000000001</v>
      </c>
      <c r="Q9051" s="50" t="s">
        <v>9523</v>
      </c>
      <c r="R9051" s="303"/>
    </row>
    <row r="9052" spans="1:18" s="162" customFormat="1" ht="132" x14ac:dyDescent="0.25">
      <c r="A9052" s="184">
        <v>44526</v>
      </c>
      <c r="B9052" s="184">
        <v>44526</v>
      </c>
      <c r="C9052" s="138">
        <v>2021</v>
      </c>
      <c r="D9052" s="35" t="s">
        <v>28</v>
      </c>
      <c r="E9052" s="30" t="s">
        <v>125</v>
      </c>
      <c r="F9052" s="7" t="s">
        <v>62</v>
      </c>
      <c r="G9052" s="33" t="s">
        <v>165</v>
      </c>
      <c r="H9052" s="311" t="s">
        <v>12228</v>
      </c>
      <c r="I9052" s="157">
        <v>0</v>
      </c>
      <c r="J9052" s="142">
        <v>141</v>
      </c>
      <c r="K9052" s="142">
        <v>0</v>
      </c>
      <c r="L9052" s="142">
        <v>0</v>
      </c>
      <c r="M9052" s="142">
        <v>0</v>
      </c>
      <c r="N9052" s="142">
        <v>0</v>
      </c>
      <c r="O9052" s="142">
        <v>0</v>
      </c>
      <c r="P9052" s="306">
        <v>5.5990284447058836E-2</v>
      </c>
      <c r="Q9052" s="50" t="s">
        <v>9523</v>
      </c>
      <c r="R9052" s="303"/>
    </row>
    <row r="9053" spans="1:18" s="162" customFormat="1" ht="144" x14ac:dyDescent="0.25">
      <c r="A9053" s="184">
        <v>44528</v>
      </c>
      <c r="B9053" s="184">
        <v>44528</v>
      </c>
      <c r="C9053" s="138">
        <v>2021</v>
      </c>
      <c r="D9053" s="35" t="s">
        <v>28</v>
      </c>
      <c r="E9053" s="30" t="s">
        <v>133</v>
      </c>
      <c r="F9053" s="7" t="s">
        <v>75</v>
      </c>
      <c r="G9053" s="33" t="s">
        <v>75</v>
      </c>
      <c r="H9053" s="311" t="s">
        <v>12229</v>
      </c>
      <c r="I9053" s="157">
        <v>0</v>
      </c>
      <c r="J9053" s="142">
        <v>14</v>
      </c>
      <c r="K9053" s="142">
        <v>1</v>
      </c>
      <c r="L9053" s="142">
        <v>0</v>
      </c>
      <c r="M9053" s="142">
        <v>0</v>
      </c>
      <c r="N9053" s="142">
        <v>0</v>
      </c>
      <c r="O9053" s="142">
        <v>0</v>
      </c>
      <c r="P9053" s="306">
        <v>0.22713515000000004</v>
      </c>
      <c r="Q9053" s="50" t="s">
        <v>9523</v>
      </c>
      <c r="R9053" s="303"/>
    </row>
    <row r="9054" spans="1:18" s="162" customFormat="1" ht="96" x14ac:dyDescent="0.25">
      <c r="A9054" s="184">
        <v>44528</v>
      </c>
      <c r="B9054" s="184">
        <v>44528</v>
      </c>
      <c r="C9054" s="138">
        <v>2021</v>
      </c>
      <c r="D9054" s="24" t="s">
        <v>141</v>
      </c>
      <c r="E9054" s="42" t="s">
        <v>447</v>
      </c>
      <c r="F9054" s="7" t="s">
        <v>60</v>
      </c>
      <c r="G9054" s="33" t="s">
        <v>20</v>
      </c>
      <c r="H9054" s="311" t="s">
        <v>12230</v>
      </c>
      <c r="I9054" s="157">
        <v>0</v>
      </c>
      <c r="J9054" s="142">
        <v>30</v>
      </c>
      <c r="K9054" s="142">
        <v>0</v>
      </c>
      <c r="L9054" s="142">
        <v>0</v>
      </c>
      <c r="M9054" s="142">
        <v>0</v>
      </c>
      <c r="N9054" s="142">
        <v>0</v>
      </c>
      <c r="O9054" s="142">
        <v>0</v>
      </c>
      <c r="P9054" s="306">
        <v>7.1874000000000018E-3</v>
      </c>
      <c r="Q9054" s="50" t="s">
        <v>9523</v>
      </c>
      <c r="R9054" s="303"/>
    </row>
    <row r="9055" spans="1:18" s="162" customFormat="1" ht="84" x14ac:dyDescent="0.25">
      <c r="A9055" s="184">
        <v>44529</v>
      </c>
      <c r="B9055" s="184">
        <v>44529</v>
      </c>
      <c r="C9055" s="138">
        <v>2021</v>
      </c>
      <c r="D9055" s="24" t="s">
        <v>141</v>
      </c>
      <c r="E9055" s="30" t="s">
        <v>142</v>
      </c>
      <c r="F9055" s="7" t="s">
        <v>53</v>
      </c>
      <c r="G9055" s="33" t="s">
        <v>12231</v>
      </c>
      <c r="H9055" s="311" t="s">
        <v>12232</v>
      </c>
      <c r="I9055" s="157">
        <v>8</v>
      </c>
      <c r="J9055" s="142">
        <v>8</v>
      </c>
      <c r="K9055" s="142">
        <v>0</v>
      </c>
      <c r="L9055" s="142">
        <v>0</v>
      </c>
      <c r="M9055" s="142">
        <v>0</v>
      </c>
      <c r="N9055" s="142">
        <v>0</v>
      </c>
      <c r="O9055" s="142">
        <v>0</v>
      </c>
      <c r="P9055" s="306">
        <v>0</v>
      </c>
      <c r="Q9055" s="50" t="s">
        <v>9523</v>
      </c>
      <c r="R9055" s="303"/>
    </row>
    <row r="9056" spans="1:18" s="162" customFormat="1" ht="120" x14ac:dyDescent="0.25">
      <c r="A9056" s="184">
        <v>44529</v>
      </c>
      <c r="B9056" s="184">
        <v>44529</v>
      </c>
      <c r="C9056" s="138">
        <v>2021</v>
      </c>
      <c r="D9056" s="35" t="s">
        <v>28</v>
      </c>
      <c r="E9056" s="6" t="s">
        <v>149</v>
      </c>
      <c r="F9056" s="28" t="s">
        <v>157</v>
      </c>
      <c r="G9056" s="33" t="s">
        <v>716</v>
      </c>
      <c r="H9056" s="311" t="s">
        <v>12233</v>
      </c>
      <c r="I9056" s="157">
        <v>0</v>
      </c>
      <c r="J9056" s="142">
        <v>4</v>
      </c>
      <c r="K9056" s="142">
        <v>0</v>
      </c>
      <c r="L9056" s="142">
        <v>0</v>
      </c>
      <c r="M9056" s="142">
        <v>0</v>
      </c>
      <c r="N9056" s="142">
        <v>0</v>
      </c>
      <c r="O9056" s="142">
        <v>0</v>
      </c>
      <c r="P9056" s="306">
        <v>0.42592000000000008</v>
      </c>
      <c r="Q9056" s="50" t="s">
        <v>9523</v>
      </c>
      <c r="R9056" s="303"/>
    </row>
    <row r="9057" spans="1:18" s="162" customFormat="1" ht="72" x14ac:dyDescent="0.25">
      <c r="A9057" s="184">
        <v>44530</v>
      </c>
      <c r="B9057" s="184">
        <v>44530</v>
      </c>
      <c r="C9057" s="138">
        <v>2021</v>
      </c>
      <c r="D9057" s="35" t="s">
        <v>28</v>
      </c>
      <c r="E9057" s="30" t="s">
        <v>133</v>
      </c>
      <c r="F9057" s="7" t="s">
        <v>30</v>
      </c>
      <c r="G9057" s="33" t="s">
        <v>1078</v>
      </c>
      <c r="H9057" s="311" t="s">
        <v>12234</v>
      </c>
      <c r="I9057" s="157">
        <v>0</v>
      </c>
      <c r="J9057" s="142">
        <v>2</v>
      </c>
      <c r="K9057" s="142">
        <v>0</v>
      </c>
      <c r="L9057" s="142">
        <v>0</v>
      </c>
      <c r="M9057" s="142">
        <v>0</v>
      </c>
      <c r="N9057" s="142">
        <v>0</v>
      </c>
      <c r="O9057" s="142">
        <v>0</v>
      </c>
      <c r="P9057" s="306">
        <v>0</v>
      </c>
      <c r="Q9057" s="50" t="s">
        <v>9523</v>
      </c>
      <c r="R9057" s="303"/>
    </row>
    <row r="9058" spans="1:18" s="162" customFormat="1" ht="408" x14ac:dyDescent="0.25">
      <c r="A9058" s="184">
        <v>44530</v>
      </c>
      <c r="B9058" s="184">
        <v>44531</v>
      </c>
      <c r="C9058" s="138">
        <v>2021</v>
      </c>
      <c r="D9058" s="35" t="s">
        <v>28</v>
      </c>
      <c r="E9058" s="30" t="s">
        <v>133</v>
      </c>
      <c r="F9058" s="7" t="s">
        <v>75</v>
      </c>
      <c r="G9058" s="33" t="s">
        <v>75</v>
      </c>
      <c r="H9058" s="311" t="s">
        <v>12235</v>
      </c>
      <c r="I9058" s="157">
        <v>5</v>
      </c>
      <c r="J9058" s="142">
        <v>2018</v>
      </c>
      <c r="K9058" s="142">
        <v>257</v>
      </c>
      <c r="L9058" s="142">
        <v>0</v>
      </c>
      <c r="M9058" s="142">
        <v>0</v>
      </c>
      <c r="N9058" s="142">
        <v>0</v>
      </c>
      <c r="O9058" s="142">
        <v>0</v>
      </c>
      <c r="P9058" s="306">
        <v>12.891975129</v>
      </c>
      <c r="Q9058" s="50" t="s">
        <v>9523</v>
      </c>
      <c r="R9058" s="303"/>
    </row>
    <row r="9059" spans="1:18" s="162" customFormat="1" ht="132" x14ac:dyDescent="0.25">
      <c r="A9059" s="184">
        <v>44532</v>
      </c>
      <c r="B9059" s="184">
        <v>44533</v>
      </c>
      <c r="C9059" s="138">
        <v>2021</v>
      </c>
      <c r="D9059" s="35" t="s">
        <v>28</v>
      </c>
      <c r="E9059" s="6" t="s">
        <v>149</v>
      </c>
      <c r="F9059" s="7" t="s">
        <v>77</v>
      </c>
      <c r="G9059" s="33" t="s">
        <v>77</v>
      </c>
      <c r="H9059" s="311" t="s">
        <v>12236</v>
      </c>
      <c r="I9059" s="157">
        <v>0</v>
      </c>
      <c r="J9059" s="142">
        <v>40</v>
      </c>
      <c r="K9059" s="142">
        <v>8</v>
      </c>
      <c r="L9059" s="142">
        <v>0</v>
      </c>
      <c r="M9059" s="142">
        <v>0</v>
      </c>
      <c r="N9059" s="142">
        <v>0</v>
      </c>
      <c r="O9059" s="142">
        <v>0</v>
      </c>
      <c r="P9059" s="306">
        <v>3.7268000000000006E-3</v>
      </c>
      <c r="Q9059" s="50" t="s">
        <v>9523</v>
      </c>
      <c r="R9059" s="303"/>
    </row>
    <row r="9060" spans="1:18" s="162" customFormat="1" ht="84" x14ac:dyDescent="0.25">
      <c r="A9060" s="184">
        <v>44532</v>
      </c>
      <c r="B9060" s="184">
        <v>44533</v>
      </c>
      <c r="C9060" s="138">
        <v>2021</v>
      </c>
      <c r="D9060" s="35" t="s">
        <v>28</v>
      </c>
      <c r="E9060" s="6" t="s">
        <v>149</v>
      </c>
      <c r="F9060" s="28" t="s">
        <v>157</v>
      </c>
      <c r="G9060" s="33" t="s">
        <v>206</v>
      </c>
      <c r="H9060" s="311" t="s">
        <v>12237</v>
      </c>
      <c r="I9060" s="157">
        <v>0</v>
      </c>
      <c r="J9060" s="142">
        <v>72</v>
      </c>
      <c r="K9060" s="142">
        <v>0</v>
      </c>
      <c r="L9060" s="142">
        <v>0</v>
      </c>
      <c r="M9060" s="142">
        <v>0</v>
      </c>
      <c r="N9060" s="142">
        <v>1</v>
      </c>
      <c r="O9060" s="142">
        <v>0</v>
      </c>
      <c r="P9060" s="306">
        <v>5.3240000000000003E-2</v>
      </c>
      <c r="Q9060" s="50" t="s">
        <v>9523</v>
      </c>
      <c r="R9060" s="303"/>
    </row>
    <row r="9061" spans="1:18" s="162" customFormat="1" ht="96" x14ac:dyDescent="0.25">
      <c r="A9061" s="184">
        <v>44533</v>
      </c>
      <c r="B9061" s="184">
        <v>44533</v>
      </c>
      <c r="C9061" s="138">
        <v>2021</v>
      </c>
      <c r="D9061" s="24" t="s">
        <v>141</v>
      </c>
      <c r="E9061" s="30" t="s">
        <v>142</v>
      </c>
      <c r="F9061" s="7" t="s">
        <v>60</v>
      </c>
      <c r="G9061" s="33" t="s">
        <v>2508</v>
      </c>
      <c r="H9061" s="311" t="s">
        <v>12238</v>
      </c>
      <c r="I9061" s="157">
        <v>0</v>
      </c>
      <c r="J9061" s="142">
        <v>7</v>
      </c>
      <c r="K9061" s="142">
        <v>0</v>
      </c>
      <c r="L9061" s="142">
        <v>0</v>
      </c>
      <c r="M9061" s="142">
        <v>0</v>
      </c>
      <c r="N9061" s="142">
        <v>0</v>
      </c>
      <c r="O9061" s="142">
        <v>0</v>
      </c>
      <c r="P9061" s="306">
        <v>0.94262630000000014</v>
      </c>
      <c r="Q9061" s="50" t="s">
        <v>9523</v>
      </c>
      <c r="R9061" s="303"/>
    </row>
    <row r="9062" spans="1:18" s="162" customFormat="1" ht="156" x14ac:dyDescent="0.25">
      <c r="A9062" s="184">
        <v>44534</v>
      </c>
      <c r="B9062" s="184">
        <v>44534</v>
      </c>
      <c r="C9062" s="138">
        <v>2021</v>
      </c>
      <c r="D9062" s="24" t="s">
        <v>141</v>
      </c>
      <c r="E9062" s="49" t="s">
        <v>1600</v>
      </c>
      <c r="F9062" s="28" t="s">
        <v>157</v>
      </c>
      <c r="G9062" s="33" t="s">
        <v>1609</v>
      </c>
      <c r="H9062" s="311" t="s">
        <v>12239</v>
      </c>
      <c r="I9062" s="157">
        <v>0</v>
      </c>
      <c r="J9062" s="142">
        <v>2</v>
      </c>
      <c r="K9062" s="142">
        <v>0</v>
      </c>
      <c r="L9062" s="142">
        <v>0</v>
      </c>
      <c r="M9062" s="142">
        <v>0</v>
      </c>
      <c r="N9062" s="142">
        <v>0</v>
      </c>
      <c r="O9062" s="142">
        <v>0</v>
      </c>
      <c r="P9062" s="306">
        <v>2.3958000000000004E-3</v>
      </c>
      <c r="Q9062" s="50" t="s">
        <v>9523</v>
      </c>
      <c r="R9062" s="303"/>
    </row>
    <row r="9063" spans="1:18" s="162" customFormat="1" ht="108" x14ac:dyDescent="0.25">
      <c r="A9063" s="184">
        <v>44534</v>
      </c>
      <c r="B9063" s="184">
        <v>44534</v>
      </c>
      <c r="C9063" s="138">
        <v>2021</v>
      </c>
      <c r="D9063" s="24" t="s">
        <v>141</v>
      </c>
      <c r="E9063" s="30" t="s">
        <v>142</v>
      </c>
      <c r="F9063" s="28" t="s">
        <v>157</v>
      </c>
      <c r="G9063" s="33" t="s">
        <v>5443</v>
      </c>
      <c r="H9063" s="311" t="s">
        <v>12240</v>
      </c>
      <c r="I9063" s="157">
        <v>0</v>
      </c>
      <c r="J9063" s="142">
        <v>7</v>
      </c>
      <c r="K9063" s="142">
        <v>0</v>
      </c>
      <c r="L9063" s="142">
        <v>0</v>
      </c>
      <c r="M9063" s="142">
        <v>0</v>
      </c>
      <c r="N9063" s="142">
        <v>0</v>
      </c>
      <c r="O9063" s="142">
        <v>0</v>
      </c>
      <c r="P9063" s="306">
        <v>0.90090550000000014</v>
      </c>
      <c r="Q9063" s="50" t="s">
        <v>9523</v>
      </c>
      <c r="R9063" s="303"/>
    </row>
    <row r="9064" spans="1:18" s="162" customFormat="1" ht="132" x14ac:dyDescent="0.25">
      <c r="A9064" s="184">
        <v>44535</v>
      </c>
      <c r="B9064" s="184">
        <v>44536</v>
      </c>
      <c r="C9064" s="138">
        <v>2021</v>
      </c>
      <c r="D9064" s="35" t="s">
        <v>28</v>
      </c>
      <c r="E9064" s="30" t="s">
        <v>133</v>
      </c>
      <c r="F9064" s="7" t="s">
        <v>75</v>
      </c>
      <c r="G9064" s="33" t="s">
        <v>10029</v>
      </c>
      <c r="H9064" s="311" t="s">
        <v>12241</v>
      </c>
      <c r="I9064" s="157">
        <v>1</v>
      </c>
      <c r="J9064" s="142">
        <v>4</v>
      </c>
      <c r="K9064" s="142">
        <v>1</v>
      </c>
      <c r="L9064" s="142">
        <v>0</v>
      </c>
      <c r="M9064" s="142">
        <v>0</v>
      </c>
      <c r="N9064" s="142">
        <v>0</v>
      </c>
      <c r="O9064" s="142">
        <v>0</v>
      </c>
      <c r="P9064" s="306">
        <v>1.3340250000000002E-3</v>
      </c>
      <c r="Q9064" s="50" t="s">
        <v>9523</v>
      </c>
      <c r="R9064" s="303"/>
    </row>
    <row r="9065" spans="1:18" s="162" customFormat="1" ht="72" x14ac:dyDescent="0.25">
      <c r="A9065" s="184">
        <v>44536</v>
      </c>
      <c r="B9065" s="184">
        <v>44536</v>
      </c>
      <c r="C9065" s="138">
        <v>2021</v>
      </c>
      <c r="D9065" s="35" t="s">
        <v>28</v>
      </c>
      <c r="E9065" s="30" t="s">
        <v>133</v>
      </c>
      <c r="F9065" s="7" t="s">
        <v>53</v>
      </c>
      <c r="G9065" s="33" t="s">
        <v>451</v>
      </c>
      <c r="H9065" s="311" t="s">
        <v>12242</v>
      </c>
      <c r="I9065" s="157">
        <v>0</v>
      </c>
      <c r="J9065" s="142">
        <v>3</v>
      </c>
      <c r="K9065" s="142">
        <v>0</v>
      </c>
      <c r="L9065" s="142">
        <v>0</v>
      </c>
      <c r="M9065" s="142">
        <v>0</v>
      </c>
      <c r="N9065" s="142">
        <v>1</v>
      </c>
      <c r="O9065" s="142">
        <v>0</v>
      </c>
      <c r="P9065" s="306">
        <v>0</v>
      </c>
      <c r="Q9065" s="50" t="s">
        <v>9523</v>
      </c>
      <c r="R9065" s="303"/>
    </row>
    <row r="9066" spans="1:18" s="162" customFormat="1" ht="96" x14ac:dyDescent="0.25">
      <c r="A9066" s="184">
        <v>44536</v>
      </c>
      <c r="B9066" s="184">
        <v>44536</v>
      </c>
      <c r="C9066" s="138">
        <v>2021</v>
      </c>
      <c r="D9066" s="24" t="s">
        <v>141</v>
      </c>
      <c r="E9066" s="30" t="s">
        <v>142</v>
      </c>
      <c r="F9066" s="7" t="s">
        <v>53</v>
      </c>
      <c r="G9066" s="33" t="s">
        <v>353</v>
      </c>
      <c r="H9066" s="311" t="s">
        <v>12243</v>
      </c>
      <c r="I9066" s="157">
        <v>0</v>
      </c>
      <c r="J9066" s="142">
        <v>8</v>
      </c>
      <c r="K9066" s="142">
        <v>0</v>
      </c>
      <c r="L9066" s="142">
        <v>0</v>
      </c>
      <c r="M9066" s="142">
        <v>0</v>
      </c>
      <c r="N9066" s="142">
        <v>0</v>
      </c>
      <c r="O9066" s="142">
        <v>0</v>
      </c>
      <c r="P9066" s="306">
        <v>3.8018200000000002E-2</v>
      </c>
      <c r="Q9066" s="50" t="s">
        <v>9523</v>
      </c>
      <c r="R9066" s="303"/>
    </row>
    <row r="9067" spans="1:18" s="162" customFormat="1" ht="96" x14ac:dyDescent="0.25">
      <c r="A9067" s="184">
        <v>44536</v>
      </c>
      <c r="B9067" s="184">
        <v>44536</v>
      </c>
      <c r="C9067" s="138">
        <v>2021</v>
      </c>
      <c r="D9067" s="24" t="s">
        <v>141</v>
      </c>
      <c r="E9067" s="30" t="s">
        <v>142</v>
      </c>
      <c r="F9067" s="28" t="s">
        <v>157</v>
      </c>
      <c r="G9067" s="33" t="s">
        <v>206</v>
      </c>
      <c r="H9067" s="311" t="s">
        <v>12244</v>
      </c>
      <c r="I9067" s="157">
        <v>0</v>
      </c>
      <c r="J9067" s="142">
        <v>7</v>
      </c>
      <c r="K9067" s="142">
        <v>0</v>
      </c>
      <c r="L9067" s="142">
        <v>0</v>
      </c>
      <c r="M9067" s="142">
        <v>0</v>
      </c>
      <c r="N9067" s="142">
        <v>0</v>
      </c>
      <c r="O9067" s="142">
        <v>0</v>
      </c>
      <c r="P9067" s="306">
        <v>2.3691799999999999E-2</v>
      </c>
      <c r="Q9067" s="50" t="s">
        <v>9523</v>
      </c>
      <c r="R9067" s="303"/>
    </row>
    <row r="9068" spans="1:18" s="162" customFormat="1" ht="132" x14ac:dyDescent="0.25">
      <c r="A9068" s="184">
        <v>44536</v>
      </c>
      <c r="B9068" s="184">
        <v>44536</v>
      </c>
      <c r="C9068" s="138">
        <v>2021</v>
      </c>
      <c r="D9068" s="35" t="s">
        <v>28</v>
      </c>
      <c r="E9068" s="30" t="s">
        <v>133</v>
      </c>
      <c r="F9068" s="7" t="s">
        <v>56</v>
      </c>
      <c r="G9068" s="33" t="s">
        <v>12245</v>
      </c>
      <c r="H9068" s="311" t="s">
        <v>12246</v>
      </c>
      <c r="I9068" s="157">
        <v>0</v>
      </c>
      <c r="J9068" s="142">
        <v>12</v>
      </c>
      <c r="K9068" s="142">
        <v>3</v>
      </c>
      <c r="L9068" s="142">
        <v>0</v>
      </c>
      <c r="M9068" s="142">
        <v>0</v>
      </c>
      <c r="N9068" s="142">
        <v>0</v>
      </c>
      <c r="O9068" s="142">
        <v>0</v>
      </c>
      <c r="P9068" s="306">
        <v>0.15632594999999999</v>
      </c>
      <c r="Q9068" s="50" t="s">
        <v>9523</v>
      </c>
      <c r="R9068" s="303"/>
    </row>
    <row r="9069" spans="1:18" s="162" customFormat="1" ht="108" x14ac:dyDescent="0.25">
      <c r="A9069" s="184">
        <v>44536</v>
      </c>
      <c r="B9069" s="184">
        <v>44536</v>
      </c>
      <c r="C9069" s="138">
        <v>2021</v>
      </c>
      <c r="D9069" s="35" t="s">
        <v>28</v>
      </c>
      <c r="E9069" s="30" t="s">
        <v>133</v>
      </c>
      <c r="F9069" s="7" t="s">
        <v>75</v>
      </c>
      <c r="G9069" s="33" t="s">
        <v>12247</v>
      </c>
      <c r="H9069" s="311" t="s">
        <v>12248</v>
      </c>
      <c r="I9069" s="157">
        <v>6</v>
      </c>
      <c r="J9069" s="142">
        <v>44</v>
      </c>
      <c r="K9069" s="142">
        <v>11</v>
      </c>
      <c r="L9069" s="142">
        <v>0</v>
      </c>
      <c r="M9069" s="142">
        <v>0</v>
      </c>
      <c r="N9069" s="142">
        <v>0</v>
      </c>
      <c r="O9069" s="142">
        <v>0</v>
      </c>
      <c r="P9069" s="306">
        <v>1.3912580000000001</v>
      </c>
      <c r="Q9069" s="50" t="s">
        <v>9523</v>
      </c>
      <c r="R9069" s="303"/>
    </row>
    <row r="9070" spans="1:18" s="162" customFormat="1" ht="108" x14ac:dyDescent="0.25">
      <c r="A9070" s="184">
        <v>44538</v>
      </c>
      <c r="B9070" s="184">
        <v>44538</v>
      </c>
      <c r="C9070" s="138">
        <v>2021</v>
      </c>
      <c r="D9070" s="35" t="s">
        <v>28</v>
      </c>
      <c r="E9070" s="6" t="s">
        <v>369</v>
      </c>
      <c r="F9070" s="7" t="s">
        <v>87</v>
      </c>
      <c r="G9070" s="33" t="s">
        <v>828</v>
      </c>
      <c r="H9070" s="311" t="s">
        <v>12249</v>
      </c>
      <c r="I9070" s="157">
        <v>1</v>
      </c>
      <c r="J9070" s="142">
        <v>5</v>
      </c>
      <c r="K9070" s="142">
        <v>0</v>
      </c>
      <c r="L9070" s="142">
        <v>0</v>
      </c>
      <c r="M9070" s="142">
        <v>0</v>
      </c>
      <c r="N9070" s="142">
        <v>0</v>
      </c>
      <c r="O9070" s="142">
        <v>0</v>
      </c>
      <c r="P9070" s="306">
        <v>0.8793428444705883</v>
      </c>
      <c r="Q9070" s="50" t="s">
        <v>9523</v>
      </c>
      <c r="R9070" s="303"/>
    </row>
    <row r="9071" spans="1:18" s="162" customFormat="1" ht="84" x14ac:dyDescent="0.25">
      <c r="A9071" s="184">
        <v>44538</v>
      </c>
      <c r="B9071" s="184">
        <v>44538</v>
      </c>
      <c r="C9071" s="138">
        <v>2021</v>
      </c>
      <c r="D9071" s="35" t="s">
        <v>28</v>
      </c>
      <c r="E9071" s="30" t="s">
        <v>133</v>
      </c>
      <c r="F9071" s="7" t="s">
        <v>75</v>
      </c>
      <c r="G9071" s="33" t="s">
        <v>6676</v>
      </c>
      <c r="H9071" s="311" t="s">
        <v>12250</v>
      </c>
      <c r="I9071" s="157">
        <v>0</v>
      </c>
      <c r="J9071" s="142">
        <v>2</v>
      </c>
      <c r="K9071" s="142">
        <v>0</v>
      </c>
      <c r="L9071" s="142">
        <v>0</v>
      </c>
      <c r="M9071" s="142">
        <v>0</v>
      </c>
      <c r="N9071" s="142">
        <v>0</v>
      </c>
      <c r="O9071" s="142">
        <v>0</v>
      </c>
      <c r="P9071" s="306">
        <v>2.3958000000000004E-3</v>
      </c>
      <c r="Q9071" s="50" t="s">
        <v>9523</v>
      </c>
      <c r="R9071" s="303"/>
    </row>
    <row r="9072" spans="1:18" s="162" customFormat="1" ht="168" x14ac:dyDescent="0.25">
      <c r="A9072" s="184">
        <v>44538</v>
      </c>
      <c r="B9072" s="184">
        <v>44539</v>
      </c>
      <c r="C9072" s="138">
        <v>2021</v>
      </c>
      <c r="D9072" s="24" t="s">
        <v>141</v>
      </c>
      <c r="E9072" s="30" t="s">
        <v>142</v>
      </c>
      <c r="F9072" s="28" t="s">
        <v>210</v>
      </c>
      <c r="G9072" s="33" t="s">
        <v>1935</v>
      </c>
      <c r="H9072" s="311" t="s">
        <v>12251</v>
      </c>
      <c r="I9072" s="157">
        <v>0</v>
      </c>
      <c r="J9072" s="142">
        <v>11</v>
      </c>
      <c r="K9072" s="142">
        <v>1</v>
      </c>
      <c r="L9072" s="142">
        <v>0</v>
      </c>
      <c r="M9072" s="142">
        <v>0</v>
      </c>
      <c r="N9072" s="142">
        <v>0</v>
      </c>
      <c r="O9072" s="142">
        <v>0</v>
      </c>
      <c r="P9072" s="306">
        <v>1.0061392</v>
      </c>
      <c r="Q9072" s="50" t="s">
        <v>9523</v>
      </c>
      <c r="R9072" s="303"/>
    </row>
    <row r="9073" spans="1:18" s="162" customFormat="1" ht="240" x14ac:dyDescent="0.25">
      <c r="A9073" s="184">
        <v>44538</v>
      </c>
      <c r="B9073" s="184">
        <v>44538</v>
      </c>
      <c r="C9073" s="138">
        <v>2021</v>
      </c>
      <c r="D9073" s="35" t="s">
        <v>28</v>
      </c>
      <c r="E9073" s="30" t="s">
        <v>133</v>
      </c>
      <c r="F9073" s="7" t="s">
        <v>60</v>
      </c>
      <c r="G9073" s="33" t="s">
        <v>1605</v>
      </c>
      <c r="H9073" s="311" t="s">
        <v>12252</v>
      </c>
      <c r="I9073" s="157">
        <v>0</v>
      </c>
      <c r="J9073" s="142">
        <v>3</v>
      </c>
      <c r="K9073" s="142">
        <v>1</v>
      </c>
      <c r="L9073" s="142">
        <v>0</v>
      </c>
      <c r="M9073" s="142">
        <v>0</v>
      </c>
      <c r="N9073" s="142">
        <v>0</v>
      </c>
      <c r="O9073" s="142">
        <v>0</v>
      </c>
      <c r="P9073" s="306">
        <v>0.55614540300000015</v>
      </c>
      <c r="Q9073" s="50" t="s">
        <v>9523</v>
      </c>
      <c r="R9073" s="303"/>
    </row>
    <row r="9074" spans="1:18" s="162" customFormat="1" ht="84" x14ac:dyDescent="0.25">
      <c r="A9074" s="184">
        <v>44539</v>
      </c>
      <c r="B9074" s="184">
        <v>44539</v>
      </c>
      <c r="C9074" s="138">
        <v>2021</v>
      </c>
      <c r="D9074" s="24" t="s">
        <v>141</v>
      </c>
      <c r="E9074" s="30" t="s">
        <v>142</v>
      </c>
      <c r="F9074" s="7" t="s">
        <v>68</v>
      </c>
      <c r="G9074" s="33" t="s">
        <v>2010</v>
      </c>
      <c r="H9074" s="311" t="s">
        <v>12253</v>
      </c>
      <c r="I9074" s="157">
        <v>2</v>
      </c>
      <c r="J9074" s="142">
        <v>16</v>
      </c>
      <c r="K9074" s="142">
        <v>0</v>
      </c>
      <c r="L9074" s="142">
        <v>0</v>
      </c>
      <c r="M9074" s="142">
        <v>0</v>
      </c>
      <c r="N9074" s="142">
        <v>0</v>
      </c>
      <c r="O9074" s="142">
        <v>0</v>
      </c>
      <c r="P9074" s="306">
        <v>0.23497195700000006</v>
      </c>
      <c r="Q9074" s="50" t="s">
        <v>9523</v>
      </c>
      <c r="R9074" s="303"/>
    </row>
    <row r="9075" spans="1:18" s="162" customFormat="1" ht="96" x14ac:dyDescent="0.25">
      <c r="A9075" s="184">
        <v>44539</v>
      </c>
      <c r="B9075" s="184">
        <v>44540</v>
      </c>
      <c r="C9075" s="138">
        <v>2021</v>
      </c>
      <c r="D9075" s="24" t="s">
        <v>141</v>
      </c>
      <c r="E9075" s="30" t="s">
        <v>142</v>
      </c>
      <c r="F9075" s="7" t="s">
        <v>36</v>
      </c>
      <c r="G9075" s="33" t="s">
        <v>2276</v>
      </c>
      <c r="H9075" s="311" t="s">
        <v>12254</v>
      </c>
      <c r="I9075" s="157">
        <v>55</v>
      </c>
      <c r="J9075" s="142">
        <v>160</v>
      </c>
      <c r="K9075" s="142">
        <v>0</v>
      </c>
      <c r="L9075" s="142">
        <v>0</v>
      </c>
      <c r="M9075" s="142">
        <v>0</v>
      </c>
      <c r="N9075" s="142">
        <v>0</v>
      </c>
      <c r="O9075" s="142">
        <v>0</v>
      </c>
      <c r="P9075" s="306">
        <v>0.39611367886046517</v>
      </c>
      <c r="Q9075" s="50" t="s">
        <v>9523</v>
      </c>
      <c r="R9075" s="303"/>
    </row>
    <row r="9076" spans="1:18" s="162" customFormat="1" ht="156" x14ac:dyDescent="0.25">
      <c r="A9076" s="184">
        <v>44541</v>
      </c>
      <c r="B9076" s="184">
        <v>44542</v>
      </c>
      <c r="C9076" s="138">
        <v>2021</v>
      </c>
      <c r="D9076" s="35" t="s">
        <v>28</v>
      </c>
      <c r="E9076" s="6" t="s">
        <v>149</v>
      </c>
      <c r="F9076" s="7" t="s">
        <v>56</v>
      </c>
      <c r="G9076" s="33" t="s">
        <v>1712</v>
      </c>
      <c r="H9076" s="311" t="s">
        <v>12255</v>
      </c>
      <c r="I9076" s="157">
        <v>0</v>
      </c>
      <c r="J9076" s="142">
        <v>70</v>
      </c>
      <c r="K9076" s="142">
        <v>0</v>
      </c>
      <c r="L9076" s="142">
        <v>0</v>
      </c>
      <c r="M9076" s="142">
        <v>0</v>
      </c>
      <c r="N9076" s="142">
        <v>1</v>
      </c>
      <c r="O9076" s="142">
        <v>0</v>
      </c>
      <c r="P9076" s="306">
        <v>0</v>
      </c>
      <c r="Q9076" s="50" t="s">
        <v>9523</v>
      </c>
      <c r="R9076" s="303"/>
    </row>
    <row r="9077" spans="1:18" s="162" customFormat="1" ht="132" x14ac:dyDescent="0.25">
      <c r="A9077" s="184">
        <v>44541</v>
      </c>
      <c r="B9077" s="184">
        <v>44542</v>
      </c>
      <c r="C9077" s="138">
        <v>2021</v>
      </c>
      <c r="D9077" s="35" t="s">
        <v>28</v>
      </c>
      <c r="E9077" s="30" t="s">
        <v>133</v>
      </c>
      <c r="F9077" s="7" t="s">
        <v>53</v>
      </c>
      <c r="G9077" s="33" t="s">
        <v>451</v>
      </c>
      <c r="H9077" s="311" t="s">
        <v>12256</v>
      </c>
      <c r="I9077" s="157">
        <v>2</v>
      </c>
      <c r="J9077" s="142">
        <v>17</v>
      </c>
      <c r="K9077" s="142">
        <v>0</v>
      </c>
      <c r="L9077" s="142">
        <v>0</v>
      </c>
      <c r="M9077" s="142">
        <v>0</v>
      </c>
      <c r="N9077" s="142">
        <v>1</v>
      </c>
      <c r="O9077" s="142">
        <v>0</v>
      </c>
      <c r="P9077" s="306">
        <v>1.7968500000000005E-2</v>
      </c>
      <c r="Q9077" s="50" t="s">
        <v>9523</v>
      </c>
      <c r="R9077" s="303"/>
    </row>
    <row r="9078" spans="1:18" s="162" customFormat="1" ht="108" x14ac:dyDescent="0.25">
      <c r="A9078" s="184">
        <v>44542</v>
      </c>
      <c r="B9078" s="184">
        <v>44542</v>
      </c>
      <c r="C9078" s="138">
        <v>2021</v>
      </c>
      <c r="D9078" s="24" t="s">
        <v>141</v>
      </c>
      <c r="E9078" s="30" t="s">
        <v>142</v>
      </c>
      <c r="F9078" s="7" t="s">
        <v>68</v>
      </c>
      <c r="G9078" s="33" t="s">
        <v>556</v>
      </c>
      <c r="H9078" s="311" t="s">
        <v>12257</v>
      </c>
      <c r="I9078" s="157">
        <v>0</v>
      </c>
      <c r="J9078" s="142">
        <v>13</v>
      </c>
      <c r="K9078" s="142">
        <v>0</v>
      </c>
      <c r="L9078" s="142">
        <v>0</v>
      </c>
      <c r="M9078" s="142">
        <v>0</v>
      </c>
      <c r="N9078" s="142">
        <v>0</v>
      </c>
      <c r="O9078" s="142">
        <v>0</v>
      </c>
      <c r="P9078" s="306">
        <v>1.0148249894302326</v>
      </c>
      <c r="Q9078" s="50" t="s">
        <v>9523</v>
      </c>
      <c r="R9078" s="303"/>
    </row>
    <row r="9079" spans="1:18" s="162" customFormat="1" ht="144" x14ac:dyDescent="0.25">
      <c r="A9079" s="184">
        <v>44542</v>
      </c>
      <c r="B9079" s="184">
        <v>44542</v>
      </c>
      <c r="C9079" s="138">
        <v>2021</v>
      </c>
      <c r="D9079" s="24" t="s">
        <v>141</v>
      </c>
      <c r="E9079" s="30" t="s">
        <v>142</v>
      </c>
      <c r="F9079" s="7" t="s">
        <v>75</v>
      </c>
      <c r="G9079" s="33" t="s">
        <v>75</v>
      </c>
      <c r="H9079" s="311" t="s">
        <v>12258</v>
      </c>
      <c r="I9079" s="157">
        <v>0</v>
      </c>
      <c r="J9079" s="142">
        <v>15</v>
      </c>
      <c r="K9079" s="142">
        <v>1</v>
      </c>
      <c r="L9079" s="142">
        <v>0</v>
      </c>
      <c r="M9079" s="142">
        <v>0</v>
      </c>
      <c r="N9079" s="142">
        <v>0</v>
      </c>
      <c r="O9079" s="142">
        <v>0</v>
      </c>
      <c r="P9079" s="306">
        <v>0.86541922500000013</v>
      </c>
      <c r="Q9079" s="50" t="s">
        <v>9523</v>
      </c>
      <c r="R9079" s="303"/>
    </row>
    <row r="9080" spans="1:18" s="162" customFormat="1" ht="156" x14ac:dyDescent="0.25">
      <c r="A9080" s="184">
        <v>44542</v>
      </c>
      <c r="B9080" s="184">
        <v>44543</v>
      </c>
      <c r="C9080" s="138">
        <v>2021</v>
      </c>
      <c r="D9080" s="24" t="s">
        <v>141</v>
      </c>
      <c r="E9080" s="42" t="s">
        <v>447</v>
      </c>
      <c r="F9080" s="28" t="s">
        <v>210</v>
      </c>
      <c r="G9080" s="33" t="s">
        <v>2317</v>
      </c>
      <c r="H9080" s="311" t="s">
        <v>12259</v>
      </c>
      <c r="I9080" s="157">
        <v>0</v>
      </c>
      <c r="J9080" s="142">
        <v>4</v>
      </c>
      <c r="K9080" s="142">
        <v>0</v>
      </c>
      <c r="L9080" s="142">
        <v>0</v>
      </c>
      <c r="M9080" s="142">
        <v>0</v>
      </c>
      <c r="N9080" s="142">
        <v>0</v>
      </c>
      <c r="O9080" s="142">
        <v>0</v>
      </c>
      <c r="P9080" s="306">
        <v>4.7916000000000009E-3</v>
      </c>
      <c r="Q9080" s="50" t="s">
        <v>9523</v>
      </c>
      <c r="R9080" s="303"/>
    </row>
    <row r="9081" spans="1:18" s="162" customFormat="1" ht="192" x14ac:dyDescent="0.25">
      <c r="A9081" s="184">
        <v>44543</v>
      </c>
      <c r="B9081" s="184">
        <v>44543</v>
      </c>
      <c r="C9081" s="138">
        <v>2021</v>
      </c>
      <c r="D9081" s="351" t="s">
        <v>23</v>
      </c>
      <c r="E9081" s="22" t="s">
        <v>86</v>
      </c>
      <c r="F9081" s="7" t="s">
        <v>36</v>
      </c>
      <c r="G9081" s="33" t="s">
        <v>310</v>
      </c>
      <c r="H9081" s="311" t="s">
        <v>12260</v>
      </c>
      <c r="I9081" s="157">
        <v>0</v>
      </c>
      <c r="J9081" s="142">
        <v>44</v>
      </c>
      <c r="K9081" s="142">
        <v>11</v>
      </c>
      <c r="L9081" s="142">
        <v>0</v>
      </c>
      <c r="M9081" s="142">
        <v>0</v>
      </c>
      <c r="N9081" s="142">
        <v>0</v>
      </c>
      <c r="O9081" s="142">
        <v>0</v>
      </c>
      <c r="P9081" s="306">
        <v>1.800415E-2</v>
      </c>
      <c r="Q9081" s="50" t="s">
        <v>9523</v>
      </c>
      <c r="R9081" s="303"/>
    </row>
    <row r="9082" spans="1:18" s="162" customFormat="1" ht="276" x14ac:dyDescent="0.25">
      <c r="A9082" s="184">
        <v>44543</v>
      </c>
      <c r="B9082" s="184">
        <v>44544</v>
      </c>
      <c r="C9082" s="138">
        <v>2021</v>
      </c>
      <c r="D9082" s="35" t="s">
        <v>28</v>
      </c>
      <c r="E9082" s="6" t="s">
        <v>149</v>
      </c>
      <c r="F9082" s="7" t="s">
        <v>68</v>
      </c>
      <c r="G9082" s="33" t="s">
        <v>2512</v>
      </c>
      <c r="H9082" s="311" t="s">
        <v>12261</v>
      </c>
      <c r="I9082" s="157">
        <v>0</v>
      </c>
      <c r="J9082" s="142">
        <v>291</v>
      </c>
      <c r="K9082" s="142">
        <v>0</v>
      </c>
      <c r="L9082" s="142">
        <v>0</v>
      </c>
      <c r="M9082" s="142">
        <v>0</v>
      </c>
      <c r="N9082" s="142">
        <v>3</v>
      </c>
      <c r="O9082" s="142">
        <v>0</v>
      </c>
      <c r="P9082" s="306">
        <v>0</v>
      </c>
      <c r="Q9082" s="50" t="s">
        <v>9523</v>
      </c>
      <c r="R9082" s="303"/>
    </row>
    <row r="9083" spans="1:18" s="162" customFormat="1" ht="168" x14ac:dyDescent="0.25">
      <c r="A9083" s="184">
        <v>44544</v>
      </c>
      <c r="B9083" s="184">
        <v>44544</v>
      </c>
      <c r="C9083" s="138">
        <v>2021</v>
      </c>
      <c r="D9083" s="35" t="s">
        <v>28</v>
      </c>
      <c r="E9083" s="30" t="s">
        <v>133</v>
      </c>
      <c r="F9083" s="25" t="s">
        <v>781</v>
      </c>
      <c r="G9083" s="33" t="s">
        <v>3061</v>
      </c>
      <c r="H9083" s="311" t="s">
        <v>12262</v>
      </c>
      <c r="I9083" s="157">
        <v>1</v>
      </c>
      <c r="J9083" s="142">
        <v>4</v>
      </c>
      <c r="K9083" s="142">
        <v>0</v>
      </c>
      <c r="L9083" s="142">
        <v>0</v>
      </c>
      <c r="M9083" s="142">
        <v>0</v>
      </c>
      <c r="N9083" s="142">
        <v>0</v>
      </c>
      <c r="O9083" s="142">
        <v>0</v>
      </c>
      <c r="P9083" s="306">
        <v>0</v>
      </c>
      <c r="Q9083" s="50" t="s">
        <v>9523</v>
      </c>
      <c r="R9083" s="303"/>
    </row>
    <row r="9084" spans="1:18" s="162" customFormat="1" ht="108" x14ac:dyDescent="0.25">
      <c r="A9084" s="184">
        <v>44544</v>
      </c>
      <c r="B9084" s="184">
        <v>44544</v>
      </c>
      <c r="C9084" s="138">
        <v>2021</v>
      </c>
      <c r="D9084" s="24" t="s">
        <v>141</v>
      </c>
      <c r="E9084" s="49" t="s">
        <v>1600</v>
      </c>
      <c r="F9084" s="7" t="s">
        <v>30</v>
      </c>
      <c r="G9084" s="33" t="s">
        <v>1078</v>
      </c>
      <c r="H9084" s="311" t="s">
        <v>12263</v>
      </c>
      <c r="I9084" s="157">
        <v>1</v>
      </c>
      <c r="J9084" s="142">
        <v>301</v>
      </c>
      <c r="K9084" s="142">
        <v>0</v>
      </c>
      <c r="L9084" s="142">
        <v>0</v>
      </c>
      <c r="M9084" s="142">
        <v>0</v>
      </c>
      <c r="N9084" s="142">
        <v>1</v>
      </c>
      <c r="O9084" s="142">
        <v>0</v>
      </c>
      <c r="P9084" s="306">
        <v>1.1979000000000002E-3</v>
      </c>
      <c r="Q9084" s="50" t="s">
        <v>9523</v>
      </c>
      <c r="R9084" s="303"/>
    </row>
    <row r="9085" spans="1:18" s="162" customFormat="1" ht="409.5" x14ac:dyDescent="0.25">
      <c r="A9085" s="184">
        <v>44544</v>
      </c>
      <c r="B9085" s="184">
        <v>44544</v>
      </c>
      <c r="C9085" s="138">
        <v>2021</v>
      </c>
      <c r="D9085" s="351" t="s">
        <v>23</v>
      </c>
      <c r="E9085" s="14" t="s">
        <v>52</v>
      </c>
      <c r="F9085" s="7" t="s">
        <v>30</v>
      </c>
      <c r="G9085" s="33" t="s">
        <v>12264</v>
      </c>
      <c r="H9085" s="311" t="s">
        <v>12265</v>
      </c>
      <c r="I9085" s="157">
        <v>2</v>
      </c>
      <c r="J9085" s="142">
        <v>304</v>
      </c>
      <c r="K9085" s="142">
        <v>0</v>
      </c>
      <c r="L9085" s="142">
        <v>0</v>
      </c>
      <c r="M9085" s="142">
        <v>0</v>
      </c>
      <c r="N9085" s="142">
        <v>0</v>
      </c>
      <c r="O9085" s="142">
        <v>0</v>
      </c>
      <c r="P9085" s="306">
        <v>0.10648000000000002</v>
      </c>
      <c r="Q9085" s="50" t="s">
        <v>9523</v>
      </c>
      <c r="R9085" s="303"/>
    </row>
    <row r="9086" spans="1:18" s="162" customFormat="1" ht="409.5" x14ac:dyDescent="0.25">
      <c r="A9086" s="184">
        <v>44544</v>
      </c>
      <c r="B9086" s="184">
        <v>44544</v>
      </c>
      <c r="C9086" s="138">
        <v>2021</v>
      </c>
      <c r="D9086" s="351" t="s">
        <v>23</v>
      </c>
      <c r="E9086" s="22" t="s">
        <v>86</v>
      </c>
      <c r="F9086" s="7" t="s">
        <v>30</v>
      </c>
      <c r="G9086" s="33" t="s">
        <v>12264</v>
      </c>
      <c r="H9086" s="311" t="s">
        <v>12266</v>
      </c>
      <c r="I9086" s="157">
        <v>1</v>
      </c>
      <c r="J9086" s="142">
        <v>5</v>
      </c>
      <c r="K9086" s="142">
        <v>0</v>
      </c>
      <c r="L9086" s="142">
        <v>0</v>
      </c>
      <c r="M9086" s="142">
        <v>0</v>
      </c>
      <c r="N9086" s="142">
        <v>0</v>
      </c>
      <c r="O9086" s="142">
        <v>0</v>
      </c>
      <c r="P9086" s="306">
        <v>0.10648000000000002</v>
      </c>
      <c r="Q9086" s="50" t="s">
        <v>9523</v>
      </c>
      <c r="R9086" s="303"/>
    </row>
    <row r="9087" spans="1:18" s="162" customFormat="1" ht="204" x14ac:dyDescent="0.25">
      <c r="A9087" s="184">
        <v>44544</v>
      </c>
      <c r="B9087" s="184">
        <v>44545</v>
      </c>
      <c r="C9087" s="138">
        <v>2021</v>
      </c>
      <c r="D9087" s="35" t="s">
        <v>28</v>
      </c>
      <c r="E9087" s="30" t="s">
        <v>133</v>
      </c>
      <c r="F9087" s="25" t="s">
        <v>781</v>
      </c>
      <c r="G9087" s="33" t="s">
        <v>3061</v>
      </c>
      <c r="H9087" s="311" t="s">
        <v>12267</v>
      </c>
      <c r="I9087" s="157">
        <v>1</v>
      </c>
      <c r="J9087" s="142">
        <v>4</v>
      </c>
      <c r="K9087" s="142">
        <v>0</v>
      </c>
      <c r="L9087" s="142">
        <v>0</v>
      </c>
      <c r="M9087" s="142">
        <v>0</v>
      </c>
      <c r="N9087" s="142">
        <v>1</v>
      </c>
      <c r="O9087" s="142">
        <v>0</v>
      </c>
      <c r="P9087" s="306">
        <v>1.1979000000000002E-3</v>
      </c>
      <c r="Q9087" s="50" t="s">
        <v>9523</v>
      </c>
      <c r="R9087" s="303"/>
    </row>
    <row r="9088" spans="1:18" s="162" customFormat="1" ht="72" x14ac:dyDescent="0.25">
      <c r="A9088" s="184">
        <v>44546</v>
      </c>
      <c r="B9088" s="184">
        <v>44546</v>
      </c>
      <c r="C9088" s="138">
        <v>2021</v>
      </c>
      <c r="D9088" s="35" t="s">
        <v>28</v>
      </c>
      <c r="E9088" s="30" t="s">
        <v>133</v>
      </c>
      <c r="F9088" s="28" t="s">
        <v>160</v>
      </c>
      <c r="G9088" s="33" t="s">
        <v>428</v>
      </c>
      <c r="H9088" s="311" t="s">
        <v>12268</v>
      </c>
      <c r="I9088" s="157">
        <v>0</v>
      </c>
      <c r="J9088" s="142">
        <v>102</v>
      </c>
      <c r="K9088" s="142">
        <v>1</v>
      </c>
      <c r="L9088" s="142">
        <v>0</v>
      </c>
      <c r="M9088" s="142">
        <v>0</v>
      </c>
      <c r="N9088" s="142">
        <v>0</v>
      </c>
      <c r="O9088" s="142">
        <v>0</v>
      </c>
      <c r="P9088" s="306">
        <v>3.7298250000000008E-3</v>
      </c>
      <c r="Q9088" s="50" t="s">
        <v>9523</v>
      </c>
      <c r="R9088" s="303"/>
    </row>
    <row r="9089" spans="1:18" s="162" customFormat="1" ht="60" x14ac:dyDescent="0.25">
      <c r="A9089" s="184">
        <v>44547</v>
      </c>
      <c r="B9089" s="184">
        <v>44547</v>
      </c>
      <c r="C9089" s="138">
        <v>2021</v>
      </c>
      <c r="D9089" s="35" t="s">
        <v>28</v>
      </c>
      <c r="E9089" s="30" t="s">
        <v>133</v>
      </c>
      <c r="F9089" s="7" t="s">
        <v>56</v>
      </c>
      <c r="G9089" s="33" t="s">
        <v>1707</v>
      </c>
      <c r="H9089" s="311" t="s">
        <v>12269</v>
      </c>
      <c r="I9089" s="157">
        <v>0</v>
      </c>
      <c r="J9089" s="142">
        <v>1</v>
      </c>
      <c r="K9089" s="142">
        <v>0</v>
      </c>
      <c r="L9089" s="142">
        <v>0</v>
      </c>
      <c r="M9089" s="142">
        <v>0</v>
      </c>
      <c r="N9089" s="142">
        <v>0</v>
      </c>
      <c r="O9089" s="142">
        <v>0</v>
      </c>
      <c r="P9089" s="306">
        <v>1.1979000000000002E-3</v>
      </c>
      <c r="Q9089" s="50" t="s">
        <v>9523</v>
      </c>
      <c r="R9089" s="303"/>
    </row>
    <row r="9090" spans="1:18" s="162" customFormat="1" ht="144" x14ac:dyDescent="0.25">
      <c r="A9090" s="184">
        <v>44548</v>
      </c>
      <c r="B9090" s="184">
        <v>44548</v>
      </c>
      <c r="C9090" s="138">
        <v>2021</v>
      </c>
      <c r="D9090" s="24" t="s">
        <v>141</v>
      </c>
      <c r="E9090" s="30" t="s">
        <v>142</v>
      </c>
      <c r="F9090" s="7" t="s">
        <v>91</v>
      </c>
      <c r="G9090" s="33" t="s">
        <v>12270</v>
      </c>
      <c r="H9090" s="311" t="s">
        <v>12271</v>
      </c>
      <c r="I9090" s="157">
        <v>4</v>
      </c>
      <c r="J9090" s="142">
        <v>24</v>
      </c>
      <c r="K9090" s="142">
        <v>0</v>
      </c>
      <c r="L9090" s="142">
        <v>0</v>
      </c>
      <c r="M9090" s="142">
        <v>0</v>
      </c>
      <c r="N9090" s="142">
        <v>0</v>
      </c>
      <c r="O9090" s="142">
        <v>0</v>
      </c>
      <c r="P9090" s="306">
        <v>1.2414116464302325</v>
      </c>
      <c r="Q9090" s="50" t="s">
        <v>9523</v>
      </c>
      <c r="R9090" s="303"/>
    </row>
    <row r="9091" spans="1:18" s="162" customFormat="1" ht="96" x14ac:dyDescent="0.25">
      <c r="A9091" s="184">
        <v>44548</v>
      </c>
      <c r="B9091" s="184">
        <v>44548</v>
      </c>
      <c r="C9091" s="138">
        <v>2021</v>
      </c>
      <c r="D9091" s="24" t="s">
        <v>141</v>
      </c>
      <c r="E9091" s="30" t="s">
        <v>142</v>
      </c>
      <c r="F9091" s="25" t="s">
        <v>781</v>
      </c>
      <c r="G9091" s="33" t="s">
        <v>6135</v>
      </c>
      <c r="H9091" s="311" t="s">
        <v>12272</v>
      </c>
      <c r="I9091" s="157">
        <v>0</v>
      </c>
      <c r="J9091" s="142">
        <v>5</v>
      </c>
      <c r="K9091" s="142">
        <v>0</v>
      </c>
      <c r="L9091" s="142">
        <v>0</v>
      </c>
      <c r="M9091" s="142">
        <v>0</v>
      </c>
      <c r="N9091" s="142">
        <v>0</v>
      </c>
      <c r="O9091" s="142">
        <v>0</v>
      </c>
      <c r="P9091" s="306">
        <v>1.1979000000000002E-3</v>
      </c>
      <c r="Q9091" s="50" t="s">
        <v>9523</v>
      </c>
      <c r="R9091" s="303"/>
    </row>
    <row r="9092" spans="1:18" s="162" customFormat="1" ht="96" x14ac:dyDescent="0.25">
      <c r="A9092" s="184">
        <v>44549</v>
      </c>
      <c r="B9092" s="184">
        <v>44550</v>
      </c>
      <c r="C9092" s="138">
        <v>2021</v>
      </c>
      <c r="D9092" s="35" t="s">
        <v>28</v>
      </c>
      <c r="E9092" s="30" t="s">
        <v>133</v>
      </c>
      <c r="F9092" s="28" t="s">
        <v>210</v>
      </c>
      <c r="G9092" s="33" t="s">
        <v>7518</v>
      </c>
      <c r="H9092" s="311" t="s">
        <v>12273</v>
      </c>
      <c r="I9092" s="157">
        <v>0</v>
      </c>
      <c r="J9092" s="142">
        <v>3</v>
      </c>
      <c r="K9092" s="142">
        <v>0</v>
      </c>
      <c r="L9092" s="142">
        <v>0</v>
      </c>
      <c r="M9092" s="142">
        <v>0</v>
      </c>
      <c r="N9092" s="142">
        <v>0</v>
      </c>
      <c r="O9092" s="142">
        <v>0</v>
      </c>
      <c r="P9092" s="306">
        <v>1.1979000000000002E-3</v>
      </c>
      <c r="Q9092" s="50" t="s">
        <v>9523</v>
      </c>
      <c r="R9092" s="303"/>
    </row>
    <row r="9093" spans="1:18" s="162" customFormat="1" ht="96" x14ac:dyDescent="0.25">
      <c r="A9093" s="184">
        <v>44549</v>
      </c>
      <c r="B9093" s="184">
        <v>44550</v>
      </c>
      <c r="C9093" s="138">
        <v>2021</v>
      </c>
      <c r="D9093" s="24" t="s">
        <v>141</v>
      </c>
      <c r="E9093" s="30" t="s">
        <v>142</v>
      </c>
      <c r="F9093" s="7" t="s">
        <v>101</v>
      </c>
      <c r="G9093" s="33" t="s">
        <v>752</v>
      </c>
      <c r="H9093" s="311" t="s">
        <v>12274</v>
      </c>
      <c r="I9093" s="157">
        <v>1</v>
      </c>
      <c r="J9093" s="142">
        <v>42</v>
      </c>
      <c r="K9093" s="142">
        <v>0</v>
      </c>
      <c r="L9093" s="142">
        <v>0</v>
      </c>
      <c r="M9093" s="142">
        <v>0</v>
      </c>
      <c r="N9093" s="142">
        <v>0</v>
      </c>
      <c r="O9093" s="142">
        <v>0</v>
      </c>
      <c r="P9093" s="306">
        <v>1.0052417894302326</v>
      </c>
      <c r="Q9093" s="50" t="s">
        <v>9523</v>
      </c>
      <c r="R9093" s="303"/>
    </row>
    <row r="9094" spans="1:18" s="162" customFormat="1" ht="84" x14ac:dyDescent="0.25">
      <c r="A9094" s="184">
        <v>44550</v>
      </c>
      <c r="B9094" s="184">
        <v>44551</v>
      </c>
      <c r="C9094" s="138">
        <v>2021</v>
      </c>
      <c r="D9094" s="24" t="s">
        <v>141</v>
      </c>
      <c r="E9094" s="30" t="s">
        <v>142</v>
      </c>
      <c r="F9094" s="28" t="s">
        <v>210</v>
      </c>
      <c r="G9094" s="33" t="s">
        <v>5888</v>
      </c>
      <c r="H9094" s="311" t="s">
        <v>12275</v>
      </c>
      <c r="I9094" s="157">
        <v>1</v>
      </c>
      <c r="J9094" s="142">
        <v>6</v>
      </c>
      <c r="K9094" s="142">
        <v>0</v>
      </c>
      <c r="L9094" s="142">
        <v>0</v>
      </c>
      <c r="M9094" s="142">
        <v>0</v>
      </c>
      <c r="N9094" s="142">
        <v>0</v>
      </c>
      <c r="O9094" s="142">
        <v>0</v>
      </c>
      <c r="P9094" s="306">
        <v>0.22419085700000005</v>
      </c>
      <c r="Q9094" s="50" t="s">
        <v>9523</v>
      </c>
      <c r="R9094" s="303"/>
    </row>
    <row r="9095" spans="1:18" s="162" customFormat="1" ht="120" x14ac:dyDescent="0.25">
      <c r="A9095" s="184">
        <v>44551</v>
      </c>
      <c r="B9095" s="184">
        <v>44551</v>
      </c>
      <c r="C9095" s="138">
        <v>2021</v>
      </c>
      <c r="D9095" s="24" t="s">
        <v>141</v>
      </c>
      <c r="E9095" s="30" t="s">
        <v>142</v>
      </c>
      <c r="F9095" s="28" t="s">
        <v>210</v>
      </c>
      <c r="G9095" s="33" t="s">
        <v>4404</v>
      </c>
      <c r="H9095" s="311" t="s">
        <v>12276</v>
      </c>
      <c r="I9095" s="157">
        <v>2</v>
      </c>
      <c r="J9095" s="142">
        <v>29</v>
      </c>
      <c r="K9095" s="142">
        <v>0</v>
      </c>
      <c r="L9095" s="142">
        <v>0</v>
      </c>
      <c r="M9095" s="142">
        <v>0</v>
      </c>
      <c r="N9095" s="142">
        <v>0</v>
      </c>
      <c r="O9095" s="142">
        <v>0</v>
      </c>
      <c r="P9095" s="306">
        <v>0.87726210000000004</v>
      </c>
      <c r="Q9095" s="50" t="s">
        <v>9523</v>
      </c>
      <c r="R9095" s="303"/>
    </row>
    <row r="9096" spans="1:18" s="162" customFormat="1" ht="120" x14ac:dyDescent="0.25">
      <c r="A9096" s="184">
        <v>44553</v>
      </c>
      <c r="B9096" s="184">
        <v>44554</v>
      </c>
      <c r="C9096" s="138">
        <v>2021</v>
      </c>
      <c r="D9096" s="35" t="s">
        <v>28</v>
      </c>
      <c r="E9096" s="30" t="s">
        <v>133</v>
      </c>
      <c r="F9096" s="7" t="s">
        <v>56</v>
      </c>
      <c r="G9096" s="33" t="s">
        <v>1666</v>
      </c>
      <c r="H9096" s="311" t="s">
        <v>12277</v>
      </c>
      <c r="I9096" s="157">
        <v>4</v>
      </c>
      <c r="J9096" s="142">
        <v>11</v>
      </c>
      <c r="K9096" s="142">
        <v>0</v>
      </c>
      <c r="L9096" s="142">
        <v>0</v>
      </c>
      <c r="M9096" s="142">
        <v>0</v>
      </c>
      <c r="N9096" s="142">
        <v>0</v>
      </c>
      <c r="O9096" s="142">
        <v>0</v>
      </c>
      <c r="P9096" s="306">
        <v>0.22658665700000005</v>
      </c>
      <c r="Q9096" s="50" t="s">
        <v>9523</v>
      </c>
      <c r="R9096" s="303"/>
    </row>
    <row r="9097" spans="1:18" s="162" customFormat="1" ht="84" x14ac:dyDescent="0.25">
      <c r="A9097" s="184">
        <v>44554</v>
      </c>
      <c r="B9097" s="184">
        <v>44554</v>
      </c>
      <c r="C9097" s="138">
        <v>2021</v>
      </c>
      <c r="D9097" s="24" t="s">
        <v>141</v>
      </c>
      <c r="E9097" s="30" t="s">
        <v>142</v>
      </c>
      <c r="F9097" s="7" t="s">
        <v>72</v>
      </c>
      <c r="G9097" s="33" t="s">
        <v>12278</v>
      </c>
      <c r="H9097" s="311" t="s">
        <v>12279</v>
      </c>
      <c r="I9097" s="157">
        <v>3</v>
      </c>
      <c r="J9097" s="142">
        <v>11</v>
      </c>
      <c r="K9097" s="142">
        <v>0</v>
      </c>
      <c r="L9097" s="142">
        <v>0</v>
      </c>
      <c r="M9097" s="142">
        <v>0</v>
      </c>
      <c r="N9097" s="142">
        <v>0</v>
      </c>
      <c r="O9097" s="142">
        <v>0</v>
      </c>
      <c r="P9097" s="306">
        <v>1.091869757</v>
      </c>
      <c r="Q9097" s="50" t="s">
        <v>9523</v>
      </c>
      <c r="R9097" s="303"/>
    </row>
    <row r="9098" spans="1:18" s="162" customFormat="1" ht="72" x14ac:dyDescent="0.25">
      <c r="A9098" s="184">
        <v>44556</v>
      </c>
      <c r="B9098" s="184">
        <v>44556</v>
      </c>
      <c r="C9098" s="138">
        <v>2021</v>
      </c>
      <c r="D9098" s="24" t="s">
        <v>141</v>
      </c>
      <c r="E9098" s="30" t="s">
        <v>142</v>
      </c>
      <c r="F9098" s="7" t="s">
        <v>30</v>
      </c>
      <c r="G9098" s="33" t="s">
        <v>901</v>
      </c>
      <c r="H9098" s="311" t="s">
        <v>12280</v>
      </c>
      <c r="I9098" s="157">
        <v>0</v>
      </c>
      <c r="J9098" s="142">
        <v>2</v>
      </c>
      <c r="K9098" s="142">
        <v>0</v>
      </c>
      <c r="L9098" s="142">
        <v>0</v>
      </c>
      <c r="M9098" s="142">
        <v>0</v>
      </c>
      <c r="N9098" s="142">
        <v>0</v>
      </c>
      <c r="O9098" s="142">
        <v>0</v>
      </c>
      <c r="P9098" s="306">
        <v>1.3043800000000001E-2</v>
      </c>
      <c r="Q9098" s="50" t="s">
        <v>9523</v>
      </c>
      <c r="R9098" s="303"/>
    </row>
    <row r="9099" spans="1:18" s="162" customFormat="1" ht="84" x14ac:dyDescent="0.25">
      <c r="A9099" s="184">
        <v>44557</v>
      </c>
      <c r="B9099" s="184">
        <v>44558</v>
      </c>
      <c r="C9099" s="138">
        <v>2021</v>
      </c>
      <c r="D9099" s="35" t="s">
        <v>28</v>
      </c>
      <c r="E9099" s="30" t="s">
        <v>125</v>
      </c>
      <c r="F9099" s="7" t="s">
        <v>87</v>
      </c>
      <c r="G9099" s="33" t="s">
        <v>936</v>
      </c>
      <c r="H9099" s="311" t="s">
        <v>12281</v>
      </c>
      <c r="I9099" s="157">
        <v>0</v>
      </c>
      <c r="J9099" s="142">
        <v>51</v>
      </c>
      <c r="K9099" s="142">
        <v>0</v>
      </c>
      <c r="L9099" s="142">
        <v>0</v>
      </c>
      <c r="M9099" s="142">
        <v>0</v>
      </c>
      <c r="N9099" s="142">
        <v>0</v>
      </c>
      <c r="O9099" s="142">
        <v>0</v>
      </c>
      <c r="P9099" s="306">
        <v>1.1979000000000002E-3</v>
      </c>
      <c r="Q9099" s="50" t="s">
        <v>9523</v>
      </c>
      <c r="R9099" s="303"/>
    </row>
    <row r="9100" spans="1:18" s="162" customFormat="1" ht="60" x14ac:dyDescent="0.25">
      <c r="A9100" s="184">
        <v>44557</v>
      </c>
      <c r="B9100" s="184">
        <v>44558</v>
      </c>
      <c r="C9100" s="138">
        <v>2021</v>
      </c>
      <c r="D9100" s="35" t="s">
        <v>28</v>
      </c>
      <c r="E9100" s="6" t="s">
        <v>149</v>
      </c>
      <c r="F9100" s="28" t="s">
        <v>210</v>
      </c>
      <c r="G9100" s="33" t="s">
        <v>924</v>
      </c>
      <c r="H9100" s="311" t="s">
        <v>12282</v>
      </c>
      <c r="I9100" s="157">
        <v>0</v>
      </c>
      <c r="J9100" s="142">
        <v>4</v>
      </c>
      <c r="K9100" s="142">
        <v>1</v>
      </c>
      <c r="L9100" s="142">
        <v>0</v>
      </c>
      <c r="M9100" s="142">
        <v>0</v>
      </c>
      <c r="N9100" s="142">
        <v>0</v>
      </c>
      <c r="O9100" s="142">
        <v>0</v>
      </c>
      <c r="P9100" s="306">
        <v>0.15246000000000001</v>
      </c>
      <c r="Q9100" s="50" t="s">
        <v>9523</v>
      </c>
      <c r="R9100" s="303"/>
    </row>
    <row r="9101" spans="1:18" s="162" customFormat="1" ht="72" x14ac:dyDescent="0.25">
      <c r="A9101" s="184">
        <v>44558</v>
      </c>
      <c r="B9101" s="184">
        <v>44558</v>
      </c>
      <c r="C9101" s="138">
        <v>2021</v>
      </c>
      <c r="D9101" s="24" t="s">
        <v>141</v>
      </c>
      <c r="E9101" s="30" t="s">
        <v>142</v>
      </c>
      <c r="F9101" s="7" t="s">
        <v>62</v>
      </c>
      <c r="G9101" s="33" t="s">
        <v>230</v>
      </c>
      <c r="H9101" s="311" t="s">
        <v>12283</v>
      </c>
      <c r="I9101" s="157">
        <v>1</v>
      </c>
      <c r="J9101" s="142">
        <v>2</v>
      </c>
      <c r="K9101" s="142">
        <v>0</v>
      </c>
      <c r="L9101" s="142">
        <v>0</v>
      </c>
      <c r="M9101" s="142">
        <v>0</v>
      </c>
      <c r="N9101" s="142">
        <v>0</v>
      </c>
      <c r="O9101" s="142">
        <v>0</v>
      </c>
      <c r="P9101" s="306">
        <v>1.1979000000000002E-3</v>
      </c>
      <c r="Q9101" s="50" t="s">
        <v>9523</v>
      </c>
      <c r="R9101" s="303"/>
    </row>
    <row r="9102" spans="1:18" s="162" customFormat="1" ht="96" x14ac:dyDescent="0.25">
      <c r="A9102" s="184">
        <v>44559</v>
      </c>
      <c r="B9102" s="184">
        <v>44559</v>
      </c>
      <c r="C9102" s="138">
        <v>2021</v>
      </c>
      <c r="D9102" s="24" t="s">
        <v>141</v>
      </c>
      <c r="E9102" s="30" t="s">
        <v>142</v>
      </c>
      <c r="F9102" s="7" t="s">
        <v>45</v>
      </c>
      <c r="G9102" s="33" t="s">
        <v>6380</v>
      </c>
      <c r="H9102" s="311" t="s">
        <v>12284</v>
      </c>
      <c r="I9102" s="157">
        <v>1</v>
      </c>
      <c r="J9102" s="142">
        <v>7</v>
      </c>
      <c r="K9102" s="142">
        <v>0</v>
      </c>
      <c r="L9102" s="142">
        <v>0</v>
      </c>
      <c r="M9102" s="142">
        <v>0</v>
      </c>
      <c r="N9102" s="142">
        <v>0</v>
      </c>
      <c r="O9102" s="142">
        <v>0</v>
      </c>
      <c r="P9102" s="306">
        <v>0.22538875700000005</v>
      </c>
      <c r="Q9102" s="50" t="s">
        <v>9523</v>
      </c>
      <c r="R9102" s="303"/>
    </row>
    <row r="9103" spans="1:18" s="162" customFormat="1" ht="120" x14ac:dyDescent="0.25">
      <c r="A9103" s="184">
        <v>44559</v>
      </c>
      <c r="B9103" s="184">
        <v>44559</v>
      </c>
      <c r="C9103" s="138">
        <v>2021</v>
      </c>
      <c r="D9103" s="35" t="s">
        <v>28</v>
      </c>
      <c r="E9103" s="30" t="s">
        <v>133</v>
      </c>
      <c r="F9103" s="7" t="s">
        <v>77</v>
      </c>
      <c r="G9103" s="33" t="s">
        <v>4230</v>
      </c>
      <c r="H9103" s="311" t="s">
        <v>12285</v>
      </c>
      <c r="I9103" s="157">
        <v>0</v>
      </c>
      <c r="J9103" s="142">
        <v>2</v>
      </c>
      <c r="K9103" s="142">
        <v>0</v>
      </c>
      <c r="L9103" s="142">
        <v>0</v>
      </c>
      <c r="M9103" s="142">
        <v>0</v>
      </c>
      <c r="N9103" s="142">
        <v>0</v>
      </c>
      <c r="O9103" s="142">
        <v>0</v>
      </c>
      <c r="P9103" s="306">
        <v>6.4343202000000016E-2</v>
      </c>
      <c r="Q9103" s="50" t="s">
        <v>9523</v>
      </c>
      <c r="R9103" s="303"/>
    </row>
    <row r="9104" spans="1:18" s="162" customFormat="1" ht="96" x14ac:dyDescent="0.25">
      <c r="A9104" s="184">
        <v>44559</v>
      </c>
      <c r="B9104" s="184">
        <v>44559</v>
      </c>
      <c r="C9104" s="138">
        <v>2021</v>
      </c>
      <c r="D9104" s="35" t="s">
        <v>28</v>
      </c>
      <c r="E9104" s="30" t="s">
        <v>133</v>
      </c>
      <c r="F9104" s="7" t="s">
        <v>53</v>
      </c>
      <c r="G9104" s="33" t="s">
        <v>12286</v>
      </c>
      <c r="H9104" s="311" t="s">
        <v>12287</v>
      </c>
      <c r="I9104" s="157">
        <v>1</v>
      </c>
      <c r="J9104" s="142">
        <v>2</v>
      </c>
      <c r="K9104" s="142">
        <v>0</v>
      </c>
      <c r="L9104" s="142">
        <v>0</v>
      </c>
      <c r="M9104" s="142">
        <v>0</v>
      </c>
      <c r="N9104" s="142">
        <v>0</v>
      </c>
      <c r="O9104" s="142">
        <v>0</v>
      </c>
      <c r="P9104" s="306">
        <v>0.24292940100000002</v>
      </c>
      <c r="Q9104" s="50" t="s">
        <v>9523</v>
      </c>
      <c r="R9104" s="303"/>
    </row>
    <row r="9105" spans="1:18" s="162" customFormat="1" ht="96" x14ac:dyDescent="0.25">
      <c r="A9105" s="184">
        <v>44561</v>
      </c>
      <c r="B9105" s="184">
        <v>44562</v>
      </c>
      <c r="C9105" s="138">
        <v>2021</v>
      </c>
      <c r="D9105" s="35" t="s">
        <v>28</v>
      </c>
      <c r="E9105" s="6" t="s">
        <v>149</v>
      </c>
      <c r="F9105" s="7" t="s">
        <v>101</v>
      </c>
      <c r="G9105" s="33" t="s">
        <v>101</v>
      </c>
      <c r="H9105" s="311" t="s">
        <v>12288</v>
      </c>
      <c r="I9105" s="157">
        <v>0</v>
      </c>
      <c r="J9105" s="142">
        <v>0</v>
      </c>
      <c r="K9105" s="142">
        <v>0</v>
      </c>
      <c r="L9105" s="142">
        <v>0</v>
      </c>
      <c r="M9105" s="142">
        <v>0</v>
      </c>
      <c r="N9105" s="142">
        <v>1</v>
      </c>
      <c r="O9105" s="142">
        <v>0</v>
      </c>
      <c r="P9105" s="306">
        <v>0.10648000000000002</v>
      </c>
      <c r="Q9105" s="50" t="s">
        <v>9523</v>
      </c>
      <c r="R9105" s="303"/>
    </row>
    <row r="9106" spans="1:18" s="162" customFormat="1" ht="60" x14ac:dyDescent="0.25">
      <c r="A9106" s="184">
        <v>44561</v>
      </c>
      <c r="B9106" s="184">
        <v>44562</v>
      </c>
      <c r="C9106" s="138">
        <v>2021</v>
      </c>
      <c r="D9106" s="35" t="s">
        <v>28</v>
      </c>
      <c r="E9106" s="30" t="s">
        <v>133</v>
      </c>
      <c r="F9106" s="28" t="s">
        <v>210</v>
      </c>
      <c r="G9106" s="33" t="s">
        <v>4296</v>
      </c>
      <c r="H9106" s="311" t="s">
        <v>12289</v>
      </c>
      <c r="I9106" s="157">
        <v>1</v>
      </c>
      <c r="J9106" s="142">
        <v>6</v>
      </c>
      <c r="K9106" s="142">
        <v>0</v>
      </c>
      <c r="L9106" s="142">
        <v>0</v>
      </c>
      <c r="M9106" s="142">
        <v>0</v>
      </c>
      <c r="N9106" s="142">
        <v>0</v>
      </c>
      <c r="O9106" s="142">
        <v>0</v>
      </c>
      <c r="P9106" s="306">
        <v>5.9895000000000018E-3</v>
      </c>
      <c r="Q9106" s="50" t="s">
        <v>9523</v>
      </c>
      <c r="R9106" s="303"/>
    </row>
    <row r="9107" spans="1:18" s="162" customFormat="1" ht="204" x14ac:dyDescent="0.25">
      <c r="A9107" s="184">
        <v>44561</v>
      </c>
      <c r="B9107" s="184">
        <v>44562</v>
      </c>
      <c r="C9107" s="138">
        <v>2021</v>
      </c>
      <c r="D9107" s="351" t="s">
        <v>23</v>
      </c>
      <c r="E9107" s="22" t="s">
        <v>86</v>
      </c>
      <c r="F9107" s="7" t="s">
        <v>87</v>
      </c>
      <c r="G9107" s="33" t="s">
        <v>936</v>
      </c>
      <c r="H9107" s="311" t="s">
        <v>12290</v>
      </c>
      <c r="I9107" s="157">
        <v>0</v>
      </c>
      <c r="J9107" s="142">
        <v>12</v>
      </c>
      <c r="K9107" s="142">
        <v>1</v>
      </c>
      <c r="L9107" s="142">
        <v>0</v>
      </c>
      <c r="M9107" s="142">
        <v>0</v>
      </c>
      <c r="N9107" s="142">
        <v>0</v>
      </c>
      <c r="O9107" s="142">
        <v>0</v>
      </c>
      <c r="P9107" s="306">
        <v>0.74669402500000015</v>
      </c>
      <c r="Q9107" s="50" t="s">
        <v>9523</v>
      </c>
      <c r="R9107" s="303"/>
    </row>
    <row r="9108" spans="1:18" ht="120" x14ac:dyDescent="0.25">
      <c r="A9108" s="314">
        <v>44562</v>
      </c>
      <c r="B9108" s="314">
        <v>44562</v>
      </c>
      <c r="C9108" s="315">
        <v>2022</v>
      </c>
      <c r="D9108" s="24" t="s">
        <v>141</v>
      </c>
      <c r="E9108" s="316" t="s">
        <v>142</v>
      </c>
      <c r="F9108" s="317" t="s">
        <v>58</v>
      </c>
      <c r="G9108" s="317" t="s">
        <v>6775</v>
      </c>
      <c r="H9108" s="318" t="s">
        <v>12291</v>
      </c>
      <c r="I9108" s="317">
        <v>2</v>
      </c>
      <c r="J9108" s="356">
        <v>5</v>
      </c>
      <c r="K9108" s="356">
        <v>0</v>
      </c>
      <c r="L9108" s="356">
        <v>0</v>
      </c>
      <c r="M9108" s="356">
        <v>0</v>
      </c>
      <c r="N9108" s="356">
        <v>0</v>
      </c>
      <c r="O9108" s="356">
        <v>0</v>
      </c>
      <c r="P9108" s="362">
        <v>3.5937000000000005E-3</v>
      </c>
      <c r="Q9108" s="356" t="s">
        <v>154</v>
      </c>
    </row>
    <row r="9109" spans="1:18" ht="60" x14ac:dyDescent="0.25">
      <c r="A9109" s="314">
        <v>44564</v>
      </c>
      <c r="B9109" s="314">
        <v>44564</v>
      </c>
      <c r="C9109" s="315">
        <v>2022</v>
      </c>
      <c r="D9109" s="35" t="s">
        <v>28</v>
      </c>
      <c r="E9109" s="316" t="s">
        <v>149</v>
      </c>
      <c r="F9109" s="317" t="s">
        <v>60</v>
      </c>
      <c r="G9109" s="317" t="s">
        <v>2797</v>
      </c>
      <c r="H9109" s="318" t="s">
        <v>12292</v>
      </c>
      <c r="I9109" s="317">
        <v>4</v>
      </c>
      <c r="J9109" s="356">
        <v>6</v>
      </c>
      <c r="K9109" s="356">
        <v>1</v>
      </c>
      <c r="L9109" s="356">
        <v>0</v>
      </c>
      <c r="M9109" s="356">
        <v>0</v>
      </c>
      <c r="N9109" s="356">
        <v>0</v>
      </c>
      <c r="O9109" s="356">
        <v>0</v>
      </c>
      <c r="P9109" s="362">
        <v>3.5574000000000001E-2</v>
      </c>
      <c r="Q9109" s="356" t="s">
        <v>154</v>
      </c>
    </row>
    <row r="9110" spans="1:18" ht="409.5" x14ac:dyDescent="0.25">
      <c r="A9110" s="314">
        <v>44563</v>
      </c>
      <c r="B9110" s="314">
        <v>44565</v>
      </c>
      <c r="C9110" s="315">
        <v>2022</v>
      </c>
      <c r="D9110" s="351" t="s">
        <v>23</v>
      </c>
      <c r="E9110" s="316" t="s">
        <v>323</v>
      </c>
      <c r="F9110" s="317" t="s">
        <v>12293</v>
      </c>
      <c r="G9110" s="317" t="s">
        <v>12294</v>
      </c>
      <c r="H9110" s="318" t="s">
        <v>12295</v>
      </c>
      <c r="I9110" s="317">
        <v>0</v>
      </c>
      <c r="J9110" s="357">
        <f>18*4</f>
        <v>72</v>
      </c>
      <c r="K9110" s="356">
        <v>18</v>
      </c>
      <c r="L9110" s="356">
        <v>0</v>
      </c>
      <c r="M9110" s="356">
        <v>0</v>
      </c>
      <c r="N9110" s="356">
        <v>0</v>
      </c>
      <c r="O9110" s="356">
        <v>0</v>
      </c>
      <c r="P9110" s="362">
        <v>1.337289E-2</v>
      </c>
      <c r="Q9110" s="356" t="s">
        <v>154</v>
      </c>
    </row>
    <row r="9111" spans="1:18" ht="84" x14ac:dyDescent="0.25">
      <c r="A9111" s="314">
        <v>44566</v>
      </c>
      <c r="B9111" s="314">
        <v>44566</v>
      </c>
      <c r="C9111" s="315">
        <v>2022</v>
      </c>
      <c r="D9111" s="24" t="s">
        <v>141</v>
      </c>
      <c r="E9111" s="316" t="s">
        <v>142</v>
      </c>
      <c r="F9111" s="317" t="s">
        <v>67</v>
      </c>
      <c r="G9111" s="317" t="s">
        <v>8606</v>
      </c>
      <c r="H9111" s="318" t="s">
        <v>12296</v>
      </c>
      <c r="I9111" s="317">
        <v>1</v>
      </c>
      <c r="J9111" s="356">
        <v>6</v>
      </c>
      <c r="K9111" s="356">
        <v>0</v>
      </c>
      <c r="L9111" s="356">
        <v>0</v>
      </c>
      <c r="M9111" s="356">
        <v>0</v>
      </c>
      <c r="N9111" s="356">
        <v>0</v>
      </c>
      <c r="O9111" s="356">
        <v>0</v>
      </c>
      <c r="P9111" s="362">
        <v>0.17281704000000001</v>
      </c>
      <c r="Q9111" s="356" t="s">
        <v>154</v>
      </c>
    </row>
    <row r="9112" spans="1:18" ht="108" x14ac:dyDescent="0.25">
      <c r="A9112" s="314">
        <v>44566</v>
      </c>
      <c r="B9112" s="314">
        <v>44566</v>
      </c>
      <c r="C9112" s="315">
        <v>2022</v>
      </c>
      <c r="D9112" s="35" t="s">
        <v>28</v>
      </c>
      <c r="E9112" s="316" t="s">
        <v>133</v>
      </c>
      <c r="F9112" s="317" t="s">
        <v>56</v>
      </c>
      <c r="G9112" s="317" t="s">
        <v>711</v>
      </c>
      <c r="H9112" s="318" t="s">
        <v>12297</v>
      </c>
      <c r="I9112" s="317">
        <v>0</v>
      </c>
      <c r="J9112" s="356">
        <v>2</v>
      </c>
      <c r="K9112" s="356">
        <v>0</v>
      </c>
      <c r="L9112" s="356">
        <v>0</v>
      </c>
      <c r="M9112" s="356">
        <v>0</v>
      </c>
      <c r="N9112" s="356">
        <v>0</v>
      </c>
      <c r="O9112" s="356">
        <v>0</v>
      </c>
      <c r="P9112" s="362">
        <v>2.3958E-3</v>
      </c>
      <c r="Q9112" s="356" t="s">
        <v>154</v>
      </c>
    </row>
    <row r="9113" spans="1:18" ht="72" x14ac:dyDescent="0.25">
      <c r="A9113" s="314">
        <v>44567</v>
      </c>
      <c r="B9113" s="314">
        <v>44567</v>
      </c>
      <c r="C9113" s="315">
        <v>2022</v>
      </c>
      <c r="D9113" s="24" t="s">
        <v>141</v>
      </c>
      <c r="E9113" s="316" t="s">
        <v>142</v>
      </c>
      <c r="F9113" s="7" t="s">
        <v>87</v>
      </c>
      <c r="G9113" s="317" t="s">
        <v>2608</v>
      </c>
      <c r="H9113" s="318" t="s">
        <v>12298</v>
      </c>
      <c r="I9113" s="317">
        <v>0</v>
      </c>
      <c r="J9113" s="356">
        <v>19</v>
      </c>
      <c r="K9113" s="356">
        <v>0</v>
      </c>
      <c r="L9113" s="356">
        <v>0</v>
      </c>
      <c r="M9113" s="356">
        <v>0</v>
      </c>
      <c r="N9113" s="356">
        <v>0</v>
      </c>
      <c r="O9113" s="356">
        <v>0</v>
      </c>
      <c r="P9113" s="362">
        <v>4.4580240000000007E-2</v>
      </c>
      <c r="Q9113" s="356" t="s">
        <v>154</v>
      </c>
    </row>
    <row r="9114" spans="1:18" ht="84" x14ac:dyDescent="0.25">
      <c r="A9114" s="314">
        <v>44569</v>
      </c>
      <c r="B9114" s="314">
        <v>44569</v>
      </c>
      <c r="C9114" s="315">
        <v>2022</v>
      </c>
      <c r="D9114" s="24" t="s">
        <v>141</v>
      </c>
      <c r="E9114" s="316" t="s">
        <v>142</v>
      </c>
      <c r="F9114" s="317" t="s">
        <v>56</v>
      </c>
      <c r="G9114" s="317" t="s">
        <v>646</v>
      </c>
      <c r="H9114" s="318" t="s">
        <v>12299</v>
      </c>
      <c r="I9114" s="317">
        <v>1</v>
      </c>
      <c r="J9114" s="356">
        <v>18</v>
      </c>
      <c r="K9114" s="356">
        <v>0</v>
      </c>
      <c r="L9114" s="356">
        <v>0</v>
      </c>
      <c r="M9114" s="356">
        <v>0</v>
      </c>
      <c r="N9114" s="356">
        <v>0</v>
      </c>
      <c r="O9114" s="356">
        <v>0</v>
      </c>
      <c r="P9114" s="362">
        <v>2.0364300000000002E-2</v>
      </c>
      <c r="Q9114" s="356" t="s">
        <v>154</v>
      </c>
    </row>
    <row r="9115" spans="1:18" ht="144" x14ac:dyDescent="0.25">
      <c r="A9115" s="314">
        <v>44569</v>
      </c>
      <c r="B9115" s="314">
        <v>44569</v>
      </c>
      <c r="C9115" s="315">
        <v>2022</v>
      </c>
      <c r="D9115" s="351" t="s">
        <v>23</v>
      </c>
      <c r="E9115" s="316" t="s">
        <v>5893</v>
      </c>
      <c r="F9115" s="7" t="s">
        <v>75</v>
      </c>
      <c r="G9115" s="317" t="s">
        <v>4971</v>
      </c>
      <c r="H9115" s="318" t="s">
        <v>12300</v>
      </c>
      <c r="I9115" s="317">
        <v>0</v>
      </c>
      <c r="J9115" s="356">
        <v>28</v>
      </c>
      <c r="K9115" s="356">
        <v>7</v>
      </c>
      <c r="L9115" s="356">
        <v>0</v>
      </c>
      <c r="M9115" s="356">
        <v>0</v>
      </c>
      <c r="N9115" s="356">
        <v>0</v>
      </c>
      <c r="O9115" s="356">
        <v>0</v>
      </c>
      <c r="P9115" s="362">
        <v>4.8914249999999999E-2</v>
      </c>
      <c r="Q9115" s="356" t="s">
        <v>154</v>
      </c>
    </row>
    <row r="9116" spans="1:18" ht="84" x14ac:dyDescent="0.25">
      <c r="A9116" s="314">
        <v>44571</v>
      </c>
      <c r="B9116" s="314">
        <v>44571</v>
      </c>
      <c r="C9116" s="315">
        <v>2022</v>
      </c>
      <c r="D9116" s="35" t="s">
        <v>28</v>
      </c>
      <c r="E9116" s="316" t="s">
        <v>133</v>
      </c>
      <c r="F9116" s="317" t="s">
        <v>56</v>
      </c>
      <c r="G9116" s="317" t="s">
        <v>358</v>
      </c>
      <c r="H9116" s="318" t="s">
        <v>12301</v>
      </c>
      <c r="I9116" s="317">
        <v>0</v>
      </c>
      <c r="J9116" s="356">
        <v>11</v>
      </c>
      <c r="K9116" s="356">
        <v>0</v>
      </c>
      <c r="L9116" s="356">
        <v>0</v>
      </c>
      <c r="M9116" s="356">
        <v>0</v>
      </c>
      <c r="N9116" s="356">
        <v>0</v>
      </c>
      <c r="O9116" s="356">
        <v>0</v>
      </c>
      <c r="P9116" s="362">
        <v>0</v>
      </c>
      <c r="Q9116" s="356" t="s">
        <v>154</v>
      </c>
    </row>
    <row r="9117" spans="1:18" ht="84" x14ac:dyDescent="0.25">
      <c r="A9117" s="314">
        <v>44572</v>
      </c>
      <c r="B9117" s="314">
        <v>44572</v>
      </c>
      <c r="C9117" s="315">
        <v>2022</v>
      </c>
      <c r="D9117" s="35" t="s">
        <v>28</v>
      </c>
      <c r="E9117" s="316" t="s">
        <v>6779</v>
      </c>
      <c r="F9117" s="317" t="s">
        <v>210</v>
      </c>
      <c r="G9117" s="319" t="s">
        <v>921</v>
      </c>
      <c r="H9117" s="318" t="s">
        <v>12302</v>
      </c>
      <c r="I9117" s="317">
        <v>0</v>
      </c>
      <c r="J9117" s="356">
        <v>4</v>
      </c>
      <c r="K9117" s="356">
        <v>0</v>
      </c>
      <c r="L9117" s="356">
        <v>0</v>
      </c>
      <c r="M9117" s="356">
        <v>0</v>
      </c>
      <c r="N9117" s="356">
        <v>0</v>
      </c>
      <c r="O9117" s="356">
        <v>0</v>
      </c>
      <c r="P9117" s="362">
        <v>4.7916E-3</v>
      </c>
      <c r="Q9117" s="356" t="s">
        <v>154</v>
      </c>
    </row>
    <row r="9118" spans="1:18" ht="84" x14ac:dyDescent="0.25">
      <c r="A9118" s="314">
        <v>44571</v>
      </c>
      <c r="B9118" s="314">
        <v>44571</v>
      </c>
      <c r="C9118" s="315">
        <v>2022</v>
      </c>
      <c r="D9118" s="351" t="s">
        <v>23</v>
      </c>
      <c r="E9118" s="316" t="s">
        <v>323</v>
      </c>
      <c r="F9118" s="317" t="s">
        <v>210</v>
      </c>
      <c r="G9118" s="317" t="s">
        <v>12303</v>
      </c>
      <c r="H9118" s="318" t="s">
        <v>12304</v>
      </c>
      <c r="I9118" s="317">
        <v>0</v>
      </c>
      <c r="J9118" s="356">
        <v>348</v>
      </c>
      <c r="K9118" s="356">
        <v>87</v>
      </c>
      <c r="L9118" s="356">
        <v>2</v>
      </c>
      <c r="M9118" s="356">
        <v>0</v>
      </c>
      <c r="N9118" s="356">
        <v>0</v>
      </c>
      <c r="O9118" s="356">
        <v>0</v>
      </c>
      <c r="P9118" s="362">
        <v>0.11432355</v>
      </c>
      <c r="Q9118" s="356" t="s">
        <v>154</v>
      </c>
    </row>
    <row r="9119" spans="1:18" ht="84" x14ac:dyDescent="0.25">
      <c r="A9119" s="314">
        <v>44573</v>
      </c>
      <c r="B9119" s="314">
        <v>44573</v>
      </c>
      <c r="C9119" s="315">
        <v>2022</v>
      </c>
      <c r="D9119" s="24" t="s">
        <v>141</v>
      </c>
      <c r="E9119" s="316" t="s">
        <v>142</v>
      </c>
      <c r="F9119" s="317" t="s">
        <v>210</v>
      </c>
      <c r="G9119" s="319" t="s">
        <v>2292</v>
      </c>
      <c r="H9119" s="318" t="s">
        <v>12305</v>
      </c>
      <c r="I9119" s="317">
        <v>0</v>
      </c>
      <c r="J9119" s="356">
        <v>10</v>
      </c>
      <c r="K9119" s="356">
        <v>0</v>
      </c>
      <c r="L9119" s="356">
        <v>0</v>
      </c>
      <c r="M9119" s="356">
        <v>0</v>
      </c>
      <c r="N9119" s="356">
        <v>0</v>
      </c>
      <c r="O9119" s="356">
        <v>0</v>
      </c>
      <c r="P9119" s="362">
        <v>1.7401494</v>
      </c>
      <c r="Q9119" s="356" t="s">
        <v>154</v>
      </c>
    </row>
    <row r="9120" spans="1:18" ht="60" x14ac:dyDescent="0.25">
      <c r="A9120" s="314">
        <v>44574</v>
      </c>
      <c r="B9120" s="314">
        <v>44574</v>
      </c>
      <c r="C9120" s="315">
        <v>2022</v>
      </c>
      <c r="D9120" s="24" t="s">
        <v>141</v>
      </c>
      <c r="E9120" s="316" t="s">
        <v>142</v>
      </c>
      <c r="F9120" s="317" t="s">
        <v>210</v>
      </c>
      <c r="G9120" s="319" t="s">
        <v>5762</v>
      </c>
      <c r="H9120" s="318" t="s">
        <v>12306</v>
      </c>
      <c r="I9120" s="317">
        <v>2</v>
      </c>
      <c r="J9120" s="356">
        <v>6</v>
      </c>
      <c r="K9120" s="356">
        <v>0</v>
      </c>
      <c r="L9120" s="356">
        <v>0</v>
      </c>
      <c r="M9120" s="356">
        <v>0</v>
      </c>
      <c r="N9120" s="356">
        <v>0</v>
      </c>
      <c r="O9120" s="356">
        <v>0</v>
      </c>
      <c r="P9120" s="362">
        <v>2.2289329943023253</v>
      </c>
      <c r="Q9120" s="356" t="s">
        <v>154</v>
      </c>
    </row>
    <row r="9121" spans="1:17" ht="108" x14ac:dyDescent="0.25">
      <c r="A9121" s="314">
        <v>44574</v>
      </c>
      <c r="B9121" s="314">
        <v>44574</v>
      </c>
      <c r="C9121" s="315">
        <v>2022</v>
      </c>
      <c r="D9121" s="35" t="s">
        <v>28</v>
      </c>
      <c r="E9121" s="316" t="s">
        <v>149</v>
      </c>
      <c r="F9121" s="317" t="s">
        <v>210</v>
      </c>
      <c r="G9121" s="319" t="s">
        <v>12307</v>
      </c>
      <c r="H9121" s="318" t="s">
        <v>12308</v>
      </c>
      <c r="I9121" s="317">
        <v>0</v>
      </c>
      <c r="J9121" s="356">
        <v>80</v>
      </c>
      <c r="K9121" s="356">
        <v>0</v>
      </c>
      <c r="L9121" s="356">
        <v>0</v>
      </c>
      <c r="M9121" s="356">
        <v>0</v>
      </c>
      <c r="N9121" s="356">
        <v>1</v>
      </c>
      <c r="O9121" s="356">
        <v>0</v>
      </c>
      <c r="P9121" s="362">
        <v>1.1979E-3</v>
      </c>
      <c r="Q9121" s="356" t="s">
        <v>154</v>
      </c>
    </row>
    <row r="9122" spans="1:17" ht="96" x14ac:dyDescent="0.25">
      <c r="A9122" s="314">
        <v>44576</v>
      </c>
      <c r="B9122" s="314">
        <v>44576</v>
      </c>
      <c r="C9122" s="315">
        <v>2022</v>
      </c>
      <c r="D9122" s="24" t="s">
        <v>141</v>
      </c>
      <c r="E9122" s="316" t="s">
        <v>142</v>
      </c>
      <c r="F9122" s="317" t="s">
        <v>62</v>
      </c>
      <c r="G9122" s="317" t="s">
        <v>12309</v>
      </c>
      <c r="H9122" s="318" t="s">
        <v>12310</v>
      </c>
      <c r="I9122" s="317">
        <v>4</v>
      </c>
      <c r="J9122" s="356">
        <v>14</v>
      </c>
      <c r="K9122" s="356">
        <v>0</v>
      </c>
      <c r="L9122" s="356">
        <v>0</v>
      </c>
      <c r="M9122" s="356">
        <v>0</v>
      </c>
      <c r="N9122" s="356">
        <v>0</v>
      </c>
      <c r="O9122" s="356">
        <v>0</v>
      </c>
      <c r="P9122" s="362">
        <v>1.1979E-2</v>
      </c>
      <c r="Q9122" s="356" t="s">
        <v>154</v>
      </c>
    </row>
    <row r="9123" spans="1:17" ht="84" x14ac:dyDescent="0.25">
      <c r="A9123" s="314">
        <v>44579</v>
      </c>
      <c r="B9123" s="314">
        <v>44579</v>
      </c>
      <c r="C9123" s="315">
        <v>2022</v>
      </c>
      <c r="D9123" s="24" t="s">
        <v>141</v>
      </c>
      <c r="E9123" s="316" t="s">
        <v>142</v>
      </c>
      <c r="F9123" s="28" t="s">
        <v>157</v>
      </c>
      <c r="G9123" s="317" t="s">
        <v>526</v>
      </c>
      <c r="H9123" s="318" t="s">
        <v>12311</v>
      </c>
      <c r="I9123" s="317">
        <v>0</v>
      </c>
      <c r="J9123" s="356">
        <v>17</v>
      </c>
      <c r="K9123" s="356">
        <v>1</v>
      </c>
      <c r="L9123" s="356">
        <v>0</v>
      </c>
      <c r="M9123" s="356">
        <v>0</v>
      </c>
      <c r="N9123" s="356">
        <v>0</v>
      </c>
      <c r="O9123" s="356">
        <v>0</v>
      </c>
      <c r="P9123" s="362">
        <v>4.1614925000000004E-2</v>
      </c>
      <c r="Q9123" s="356" t="s">
        <v>154</v>
      </c>
    </row>
    <row r="9124" spans="1:17" ht="108" x14ac:dyDescent="0.25">
      <c r="A9124" s="314">
        <v>44579</v>
      </c>
      <c r="B9124" s="314">
        <v>44580</v>
      </c>
      <c r="C9124" s="315">
        <v>2022</v>
      </c>
      <c r="D9124" s="24" t="s">
        <v>141</v>
      </c>
      <c r="E9124" s="316" t="s">
        <v>1965</v>
      </c>
      <c r="F9124" s="317" t="s">
        <v>210</v>
      </c>
      <c r="G9124" s="319" t="s">
        <v>12312</v>
      </c>
      <c r="H9124" s="318" t="s">
        <v>12313</v>
      </c>
      <c r="I9124" s="317">
        <v>3</v>
      </c>
      <c r="J9124" s="356">
        <v>3</v>
      </c>
      <c r="K9124" s="356">
        <v>0</v>
      </c>
      <c r="L9124" s="356">
        <v>0</v>
      </c>
      <c r="M9124" s="356">
        <v>0</v>
      </c>
      <c r="N9124" s="356">
        <v>0</v>
      </c>
      <c r="O9124" s="356">
        <v>0</v>
      </c>
      <c r="P9124" s="362">
        <v>0</v>
      </c>
      <c r="Q9124" s="356" t="s">
        <v>154</v>
      </c>
    </row>
    <row r="9125" spans="1:17" ht="84" x14ac:dyDescent="0.25">
      <c r="A9125" s="314">
        <v>44580</v>
      </c>
      <c r="B9125" s="314">
        <v>44580</v>
      </c>
      <c r="C9125" s="315">
        <v>2022</v>
      </c>
      <c r="D9125" s="24" t="s">
        <v>141</v>
      </c>
      <c r="E9125" s="316" t="s">
        <v>142</v>
      </c>
      <c r="F9125" s="7" t="s">
        <v>53</v>
      </c>
      <c r="G9125" s="317" t="s">
        <v>5554</v>
      </c>
      <c r="H9125" s="318" t="s">
        <v>12314</v>
      </c>
      <c r="I9125" s="317">
        <v>0</v>
      </c>
      <c r="J9125" s="356">
        <v>18</v>
      </c>
      <c r="K9125" s="356">
        <v>0</v>
      </c>
      <c r="L9125" s="356">
        <v>0</v>
      </c>
      <c r="M9125" s="356">
        <v>0</v>
      </c>
      <c r="N9125" s="356">
        <v>0</v>
      </c>
      <c r="O9125" s="356">
        <v>0</v>
      </c>
      <c r="P9125" s="362">
        <v>4.9997200000000006E-2</v>
      </c>
      <c r="Q9125" s="356" t="s">
        <v>154</v>
      </c>
    </row>
    <row r="9126" spans="1:17" ht="84" x14ac:dyDescent="0.25">
      <c r="A9126" s="314">
        <v>44581</v>
      </c>
      <c r="B9126" s="314">
        <v>44581</v>
      </c>
      <c r="C9126" s="315">
        <v>2022</v>
      </c>
      <c r="D9126" s="24" t="s">
        <v>141</v>
      </c>
      <c r="E9126" s="316" t="s">
        <v>142</v>
      </c>
      <c r="F9126" s="317" t="s">
        <v>97</v>
      </c>
      <c r="G9126" s="317" t="s">
        <v>1140</v>
      </c>
      <c r="H9126" s="318" t="s">
        <v>12315</v>
      </c>
      <c r="I9126" s="317">
        <v>1</v>
      </c>
      <c r="J9126" s="356">
        <v>8</v>
      </c>
      <c r="K9126" s="356">
        <v>0</v>
      </c>
      <c r="L9126" s="356">
        <v>0</v>
      </c>
      <c r="M9126" s="356">
        <v>0</v>
      </c>
      <c r="N9126" s="356">
        <v>0</v>
      </c>
      <c r="O9126" s="356">
        <v>0</v>
      </c>
      <c r="P9126" s="362">
        <v>8.3853000000000018E-3</v>
      </c>
      <c r="Q9126" s="356" t="s">
        <v>154</v>
      </c>
    </row>
    <row r="9127" spans="1:17" ht="156" x14ac:dyDescent="0.25">
      <c r="A9127" s="314">
        <v>44586</v>
      </c>
      <c r="B9127" s="314">
        <v>44587</v>
      </c>
      <c r="C9127" s="315">
        <v>2022</v>
      </c>
      <c r="D9127" s="24" t="s">
        <v>141</v>
      </c>
      <c r="E9127" s="316" t="s">
        <v>1965</v>
      </c>
      <c r="F9127" s="317" t="s">
        <v>781</v>
      </c>
      <c r="G9127" s="317" t="s">
        <v>3061</v>
      </c>
      <c r="H9127" s="318" t="s">
        <v>12316</v>
      </c>
      <c r="I9127" s="317">
        <v>0</v>
      </c>
      <c r="J9127" s="356">
        <v>5</v>
      </c>
      <c r="K9127" s="356">
        <v>0</v>
      </c>
      <c r="L9127" s="356">
        <v>0</v>
      </c>
      <c r="M9127" s="356">
        <v>0</v>
      </c>
      <c r="N9127" s="356">
        <v>0</v>
      </c>
      <c r="O9127" s="356">
        <v>0</v>
      </c>
      <c r="P9127" s="362">
        <v>5.9895E-3</v>
      </c>
      <c r="Q9127" s="356" t="s">
        <v>154</v>
      </c>
    </row>
    <row r="9128" spans="1:17" ht="96" x14ac:dyDescent="0.25">
      <c r="A9128" s="314">
        <v>44587</v>
      </c>
      <c r="B9128" s="314">
        <v>44587</v>
      </c>
      <c r="C9128" s="315">
        <v>2022</v>
      </c>
      <c r="D9128" s="24" t="s">
        <v>141</v>
      </c>
      <c r="E9128" s="316" t="s">
        <v>142</v>
      </c>
      <c r="F9128" s="7" t="s">
        <v>53</v>
      </c>
      <c r="G9128" s="317" t="s">
        <v>1896</v>
      </c>
      <c r="H9128" s="318" t="s">
        <v>12317</v>
      </c>
      <c r="I9128" s="317">
        <v>0</v>
      </c>
      <c r="J9128" s="356">
        <v>13</v>
      </c>
      <c r="K9128" s="356">
        <v>0</v>
      </c>
      <c r="L9128" s="356">
        <v>0</v>
      </c>
      <c r="M9128" s="356">
        <v>0</v>
      </c>
      <c r="N9128" s="356">
        <v>0</v>
      </c>
      <c r="O9128" s="356">
        <v>0</v>
      </c>
      <c r="P9128" s="362">
        <v>9.2398019999999997E-2</v>
      </c>
      <c r="Q9128" s="356" t="s">
        <v>154</v>
      </c>
    </row>
    <row r="9129" spans="1:17" ht="84" x14ac:dyDescent="0.25">
      <c r="A9129" s="314">
        <v>44588</v>
      </c>
      <c r="B9129" s="314">
        <v>44588</v>
      </c>
      <c r="C9129" s="315">
        <v>2022</v>
      </c>
      <c r="D9129" s="24" t="s">
        <v>141</v>
      </c>
      <c r="E9129" s="316" t="s">
        <v>142</v>
      </c>
      <c r="F9129" s="28" t="s">
        <v>157</v>
      </c>
      <c r="G9129" s="317" t="s">
        <v>716</v>
      </c>
      <c r="H9129" s="318" t="s">
        <v>12318</v>
      </c>
      <c r="I9129" s="317">
        <v>0</v>
      </c>
      <c r="J9129" s="356">
        <v>5</v>
      </c>
      <c r="K9129" s="356">
        <v>0</v>
      </c>
      <c r="L9129" s="356">
        <v>0</v>
      </c>
      <c r="M9129" s="356">
        <v>0</v>
      </c>
      <c r="N9129" s="356">
        <v>0</v>
      </c>
      <c r="O9129" s="356">
        <v>0</v>
      </c>
      <c r="P9129" s="362">
        <v>2.5413835699999998E-2</v>
      </c>
      <c r="Q9129" s="356" t="s">
        <v>154</v>
      </c>
    </row>
    <row r="9130" spans="1:17" ht="96" x14ac:dyDescent="0.25">
      <c r="A9130" s="314">
        <v>44590</v>
      </c>
      <c r="B9130" s="314">
        <v>44590</v>
      </c>
      <c r="C9130" s="315">
        <v>2022</v>
      </c>
      <c r="D9130" s="24" t="s">
        <v>141</v>
      </c>
      <c r="E9130" s="316" t="s">
        <v>142</v>
      </c>
      <c r="F9130" s="317" t="s">
        <v>67</v>
      </c>
      <c r="G9130" s="317" t="s">
        <v>2973</v>
      </c>
      <c r="H9130" s="318" t="s">
        <v>12319</v>
      </c>
      <c r="I9130" s="317">
        <v>0</v>
      </c>
      <c r="J9130" s="356">
        <v>5</v>
      </c>
      <c r="K9130" s="356">
        <v>0</v>
      </c>
      <c r="L9130" s="356">
        <v>0</v>
      </c>
      <c r="M9130" s="356">
        <v>0</v>
      </c>
      <c r="N9130" s="356">
        <v>0</v>
      </c>
      <c r="O9130" s="356">
        <v>0</v>
      </c>
      <c r="P9130" s="362">
        <v>0.23821310943023255</v>
      </c>
      <c r="Q9130" s="356" t="s">
        <v>154</v>
      </c>
    </row>
    <row r="9131" spans="1:17" ht="96" x14ac:dyDescent="0.25">
      <c r="A9131" s="314">
        <v>44586</v>
      </c>
      <c r="B9131" s="314">
        <v>44590</v>
      </c>
      <c r="C9131" s="315">
        <v>2022</v>
      </c>
      <c r="D9131" s="35" t="s">
        <v>28</v>
      </c>
      <c r="E9131" s="316" t="s">
        <v>133</v>
      </c>
      <c r="F9131" s="7" t="s">
        <v>75</v>
      </c>
      <c r="G9131" s="317" t="s">
        <v>75</v>
      </c>
      <c r="H9131" s="318" t="s">
        <v>12320</v>
      </c>
      <c r="I9131" s="317">
        <v>4</v>
      </c>
      <c r="J9131" s="356">
        <v>34</v>
      </c>
      <c r="K9131" s="356">
        <v>1</v>
      </c>
      <c r="L9131" s="356">
        <v>0</v>
      </c>
      <c r="M9131" s="356">
        <v>0</v>
      </c>
      <c r="N9131" s="356">
        <v>0</v>
      </c>
      <c r="O9131" s="356">
        <v>0</v>
      </c>
      <c r="P9131" s="362">
        <v>0.15246000000000001</v>
      </c>
      <c r="Q9131" s="356" t="s">
        <v>154</v>
      </c>
    </row>
    <row r="9132" spans="1:17" ht="156" x14ac:dyDescent="0.25">
      <c r="A9132" s="314">
        <v>44592</v>
      </c>
      <c r="B9132" s="314">
        <v>44592</v>
      </c>
      <c r="C9132" s="315">
        <v>2022</v>
      </c>
      <c r="D9132" s="35" t="s">
        <v>28</v>
      </c>
      <c r="E9132" s="316" t="s">
        <v>369</v>
      </c>
      <c r="F9132" s="317" t="s">
        <v>160</v>
      </c>
      <c r="G9132" s="317" t="s">
        <v>12321</v>
      </c>
      <c r="H9132" s="318" t="s">
        <v>12322</v>
      </c>
      <c r="I9132" s="317">
        <v>1</v>
      </c>
      <c r="J9132" s="356">
        <v>2</v>
      </c>
      <c r="K9132" s="356">
        <v>0</v>
      </c>
      <c r="L9132" s="356">
        <v>0</v>
      </c>
      <c r="M9132" s="356">
        <v>0</v>
      </c>
      <c r="N9132" s="356">
        <v>0</v>
      </c>
      <c r="O9132" s="356">
        <v>0</v>
      </c>
      <c r="P9132" s="362">
        <v>0.55990284447058825</v>
      </c>
      <c r="Q9132" s="356" t="s">
        <v>154</v>
      </c>
    </row>
    <row r="9133" spans="1:17" ht="132" x14ac:dyDescent="0.25">
      <c r="A9133" s="314">
        <v>44591</v>
      </c>
      <c r="B9133" s="314">
        <v>44592</v>
      </c>
      <c r="C9133" s="315">
        <v>2022</v>
      </c>
      <c r="D9133" s="24" t="s">
        <v>141</v>
      </c>
      <c r="E9133" s="316" t="s">
        <v>142</v>
      </c>
      <c r="F9133" s="317" t="s">
        <v>67</v>
      </c>
      <c r="G9133" s="317" t="s">
        <v>12323</v>
      </c>
      <c r="H9133" s="318" t="s">
        <v>12324</v>
      </c>
      <c r="I9133" s="317">
        <v>1</v>
      </c>
      <c r="J9133" s="356">
        <v>35</v>
      </c>
      <c r="K9133" s="356">
        <v>0</v>
      </c>
      <c r="L9133" s="356">
        <v>0</v>
      </c>
      <c r="M9133" s="356">
        <v>0</v>
      </c>
      <c r="N9133" s="356">
        <v>0</v>
      </c>
      <c r="O9133" s="356">
        <v>0</v>
      </c>
      <c r="P9133" s="362">
        <v>9.2398019999999997E-2</v>
      </c>
      <c r="Q9133" s="356" t="s">
        <v>154</v>
      </c>
    </row>
    <row r="9134" spans="1:17" ht="96" x14ac:dyDescent="0.25">
      <c r="A9134" s="314">
        <v>44592</v>
      </c>
      <c r="B9134" s="314">
        <v>44592</v>
      </c>
      <c r="C9134" s="315">
        <v>2022</v>
      </c>
      <c r="D9134" s="24" t="s">
        <v>141</v>
      </c>
      <c r="E9134" s="316" t="s">
        <v>142</v>
      </c>
      <c r="F9134" s="317" t="s">
        <v>163</v>
      </c>
      <c r="G9134" s="317" t="s">
        <v>4478</v>
      </c>
      <c r="H9134" s="318" t="s">
        <v>12325</v>
      </c>
      <c r="I9134" s="317">
        <v>0</v>
      </c>
      <c r="J9134" s="356">
        <v>5</v>
      </c>
      <c r="K9134" s="356">
        <v>0</v>
      </c>
      <c r="L9134" s="356">
        <v>0</v>
      </c>
      <c r="M9134" s="356">
        <v>0</v>
      </c>
      <c r="N9134" s="356">
        <v>0</v>
      </c>
      <c r="O9134" s="356">
        <v>0</v>
      </c>
      <c r="P9134" s="362">
        <v>0.15776222000000004</v>
      </c>
      <c r="Q9134" s="356" t="s">
        <v>154</v>
      </c>
    </row>
    <row r="9135" spans="1:17" ht="72" x14ac:dyDescent="0.25">
      <c r="A9135" s="314">
        <v>44592</v>
      </c>
      <c r="B9135" s="314">
        <v>44594</v>
      </c>
      <c r="C9135" s="315">
        <v>2022</v>
      </c>
      <c r="D9135" s="24" t="s">
        <v>141</v>
      </c>
      <c r="E9135" s="316" t="s">
        <v>1965</v>
      </c>
      <c r="F9135" s="317" t="s">
        <v>84</v>
      </c>
      <c r="G9135" s="317" t="s">
        <v>2725</v>
      </c>
      <c r="H9135" s="318" t="s">
        <v>12326</v>
      </c>
      <c r="I9135" s="317">
        <v>1</v>
      </c>
      <c r="J9135" s="356">
        <v>1</v>
      </c>
      <c r="K9135" s="356">
        <v>0</v>
      </c>
      <c r="L9135" s="356">
        <v>0</v>
      </c>
      <c r="M9135" s="356">
        <v>0</v>
      </c>
      <c r="N9135" s="356">
        <v>0</v>
      </c>
      <c r="O9135" s="356">
        <v>0</v>
      </c>
      <c r="P9135" s="362">
        <v>0</v>
      </c>
      <c r="Q9135" s="356" t="s">
        <v>154</v>
      </c>
    </row>
    <row r="9136" spans="1:17" ht="84" x14ac:dyDescent="0.25">
      <c r="A9136" s="314">
        <v>44593</v>
      </c>
      <c r="B9136" s="314">
        <v>44594</v>
      </c>
      <c r="C9136" s="315">
        <v>2022</v>
      </c>
      <c r="D9136" s="24" t="s">
        <v>141</v>
      </c>
      <c r="E9136" s="316" t="s">
        <v>142</v>
      </c>
      <c r="F9136" s="317" t="s">
        <v>36</v>
      </c>
      <c r="G9136" s="317" t="s">
        <v>2276</v>
      </c>
      <c r="H9136" s="318" t="s">
        <v>12327</v>
      </c>
      <c r="I9136" s="317">
        <v>1</v>
      </c>
      <c r="J9136" s="356">
        <v>17</v>
      </c>
      <c r="K9136" s="356">
        <v>0</v>
      </c>
      <c r="L9136" s="356">
        <v>0</v>
      </c>
      <c r="M9136" s="356">
        <v>0</v>
      </c>
      <c r="N9136" s="356">
        <v>0</v>
      </c>
      <c r="O9136" s="356">
        <v>0</v>
      </c>
      <c r="P9136" s="362">
        <v>0.11143132</v>
      </c>
      <c r="Q9136" s="356" t="s">
        <v>154</v>
      </c>
    </row>
    <row r="9137" spans="1:17" ht="60" x14ac:dyDescent="0.25">
      <c r="A9137" s="314">
        <v>44594</v>
      </c>
      <c r="B9137" s="314">
        <v>44594</v>
      </c>
      <c r="C9137" s="315">
        <v>2022</v>
      </c>
      <c r="D9137" s="24" t="s">
        <v>141</v>
      </c>
      <c r="E9137" s="316" t="s">
        <v>142</v>
      </c>
      <c r="F9137" s="7" t="s">
        <v>75</v>
      </c>
      <c r="G9137" s="317" t="s">
        <v>8682</v>
      </c>
      <c r="H9137" s="318" t="s">
        <v>12328</v>
      </c>
      <c r="I9137" s="317">
        <v>4</v>
      </c>
      <c r="J9137" s="356">
        <v>6</v>
      </c>
      <c r="K9137" s="356">
        <v>0</v>
      </c>
      <c r="L9137" s="356">
        <v>0</v>
      </c>
      <c r="M9137" s="356">
        <v>0</v>
      </c>
      <c r="N9137" s="356">
        <v>0</v>
      </c>
      <c r="O9137" s="356">
        <v>0</v>
      </c>
      <c r="P9137" s="362">
        <v>9.9452320000000011E-2</v>
      </c>
      <c r="Q9137" s="356" t="s">
        <v>154</v>
      </c>
    </row>
    <row r="9138" spans="1:17" ht="96" x14ac:dyDescent="0.25">
      <c r="A9138" s="314">
        <v>44596</v>
      </c>
      <c r="B9138" s="314">
        <v>44596</v>
      </c>
      <c r="C9138" s="315">
        <v>2022</v>
      </c>
      <c r="D9138" s="35" t="s">
        <v>28</v>
      </c>
      <c r="E9138" s="316" t="s">
        <v>369</v>
      </c>
      <c r="F9138" s="7" t="s">
        <v>87</v>
      </c>
      <c r="G9138" s="317" t="s">
        <v>1718</v>
      </c>
      <c r="H9138" s="318" t="s">
        <v>12329</v>
      </c>
      <c r="I9138" s="317">
        <v>0</v>
      </c>
      <c r="J9138" s="356">
        <v>1</v>
      </c>
      <c r="K9138" s="356">
        <v>0</v>
      </c>
      <c r="L9138" s="356">
        <v>0</v>
      </c>
      <c r="M9138" s="356">
        <v>0</v>
      </c>
      <c r="N9138" s="356">
        <v>0</v>
      </c>
      <c r="O9138" s="356">
        <v>0</v>
      </c>
      <c r="P9138" s="362">
        <v>0.73206818444705879</v>
      </c>
      <c r="Q9138" s="356" t="s">
        <v>154</v>
      </c>
    </row>
    <row r="9139" spans="1:17" ht="96" x14ac:dyDescent="0.25">
      <c r="A9139" s="314">
        <v>44596</v>
      </c>
      <c r="B9139" s="314">
        <v>44596</v>
      </c>
      <c r="C9139" s="315">
        <v>2022</v>
      </c>
      <c r="D9139" s="24" t="s">
        <v>141</v>
      </c>
      <c r="E9139" s="316" t="s">
        <v>142</v>
      </c>
      <c r="F9139" s="7" t="s">
        <v>53</v>
      </c>
      <c r="G9139" s="317" t="s">
        <v>12330</v>
      </c>
      <c r="H9139" s="318" t="s">
        <v>12331</v>
      </c>
      <c r="I9139" s="317">
        <v>1</v>
      </c>
      <c r="J9139" s="356">
        <v>6</v>
      </c>
      <c r="K9139" s="356">
        <v>0</v>
      </c>
      <c r="L9139" s="356">
        <v>0</v>
      </c>
      <c r="M9139" s="356">
        <v>0</v>
      </c>
      <c r="N9139" s="356">
        <v>0</v>
      </c>
      <c r="O9139" s="356">
        <v>0</v>
      </c>
      <c r="P9139" s="362">
        <v>9.2398019999999997E-2</v>
      </c>
      <c r="Q9139" s="356" t="s">
        <v>154</v>
      </c>
    </row>
    <row r="9140" spans="1:17" ht="96" x14ac:dyDescent="0.25">
      <c r="A9140" s="314">
        <v>44596</v>
      </c>
      <c r="B9140" s="314">
        <v>44597</v>
      </c>
      <c r="C9140" s="315">
        <v>2022</v>
      </c>
      <c r="D9140" s="24" t="s">
        <v>141</v>
      </c>
      <c r="E9140" s="316" t="s">
        <v>142</v>
      </c>
      <c r="F9140" s="317" t="s">
        <v>160</v>
      </c>
      <c r="G9140" s="317" t="s">
        <v>428</v>
      </c>
      <c r="H9140" s="318" t="s">
        <v>12332</v>
      </c>
      <c r="I9140" s="317">
        <v>0</v>
      </c>
      <c r="J9140" s="356">
        <v>37</v>
      </c>
      <c r="K9140" s="356">
        <v>0</v>
      </c>
      <c r="L9140" s="356">
        <v>0</v>
      </c>
      <c r="M9140" s="356">
        <v>0</v>
      </c>
      <c r="N9140" s="356">
        <v>0</v>
      </c>
      <c r="O9140" s="356">
        <v>0</v>
      </c>
      <c r="P9140" s="362">
        <v>0.8747332000000001</v>
      </c>
      <c r="Q9140" s="356" t="s">
        <v>154</v>
      </c>
    </row>
    <row r="9141" spans="1:17" ht="144" x14ac:dyDescent="0.25">
      <c r="A9141" s="314">
        <v>44598</v>
      </c>
      <c r="B9141" s="314">
        <v>44598</v>
      </c>
      <c r="C9141" s="315">
        <v>2022</v>
      </c>
      <c r="D9141" s="24" t="s">
        <v>141</v>
      </c>
      <c r="E9141" s="316" t="s">
        <v>142</v>
      </c>
      <c r="F9141" s="317" t="s">
        <v>80</v>
      </c>
      <c r="G9141" s="317" t="s">
        <v>1533</v>
      </c>
      <c r="H9141" s="318" t="s">
        <v>12333</v>
      </c>
      <c r="I9141" s="317">
        <v>8</v>
      </c>
      <c r="J9141" s="356">
        <v>41</v>
      </c>
      <c r="K9141" s="356">
        <v>0</v>
      </c>
      <c r="L9141" s="356">
        <v>0</v>
      </c>
      <c r="M9141" s="356">
        <v>0</v>
      </c>
      <c r="N9141" s="356">
        <v>0</v>
      </c>
      <c r="O9141" s="356">
        <v>0</v>
      </c>
      <c r="P9141" s="362">
        <v>2.3958E-2</v>
      </c>
      <c r="Q9141" s="356" t="s">
        <v>154</v>
      </c>
    </row>
    <row r="9142" spans="1:17" ht="84" x14ac:dyDescent="0.25">
      <c r="A9142" s="314">
        <v>44598</v>
      </c>
      <c r="B9142" s="314">
        <v>44598</v>
      </c>
      <c r="C9142" s="315">
        <v>2022</v>
      </c>
      <c r="D9142" s="24" t="s">
        <v>141</v>
      </c>
      <c r="E9142" s="316" t="s">
        <v>142</v>
      </c>
      <c r="F9142" s="7" t="s">
        <v>53</v>
      </c>
      <c r="G9142" s="317" t="s">
        <v>878</v>
      </c>
      <c r="H9142" s="318" t="s">
        <v>12334</v>
      </c>
      <c r="I9142" s="317">
        <v>0</v>
      </c>
      <c r="J9142" s="356">
        <v>7</v>
      </c>
      <c r="K9142" s="356">
        <v>0</v>
      </c>
      <c r="L9142" s="356">
        <v>0</v>
      </c>
      <c r="M9142" s="356">
        <v>0</v>
      </c>
      <c r="N9142" s="356">
        <v>0</v>
      </c>
      <c r="O9142" s="356">
        <v>0</v>
      </c>
      <c r="P9142" s="362">
        <v>1.4241700000000001E-2</v>
      </c>
      <c r="Q9142" s="356" t="s">
        <v>154</v>
      </c>
    </row>
    <row r="9143" spans="1:17" ht="132" x14ac:dyDescent="0.25">
      <c r="A9143" s="314">
        <v>44598</v>
      </c>
      <c r="B9143" s="314">
        <v>44598</v>
      </c>
      <c r="C9143" s="315">
        <v>2022</v>
      </c>
      <c r="D9143" s="35" t="s">
        <v>28</v>
      </c>
      <c r="E9143" s="316" t="s">
        <v>133</v>
      </c>
      <c r="F9143" s="7" t="s">
        <v>87</v>
      </c>
      <c r="G9143" s="317" t="s">
        <v>2608</v>
      </c>
      <c r="H9143" s="318" t="s">
        <v>12335</v>
      </c>
      <c r="I9143" s="317">
        <v>0</v>
      </c>
      <c r="J9143" s="356">
        <v>3</v>
      </c>
      <c r="K9143" s="356">
        <v>1</v>
      </c>
      <c r="L9143" s="356">
        <v>0</v>
      </c>
      <c r="M9143" s="356">
        <v>0</v>
      </c>
      <c r="N9143" s="356">
        <v>0</v>
      </c>
      <c r="O9143" s="356">
        <v>0</v>
      </c>
      <c r="P9143" s="362">
        <v>3.5937000000000005E-3</v>
      </c>
      <c r="Q9143" s="356" t="s">
        <v>154</v>
      </c>
    </row>
    <row r="9144" spans="1:17" ht="72" x14ac:dyDescent="0.25">
      <c r="A9144" s="314">
        <v>44600</v>
      </c>
      <c r="B9144" s="314">
        <v>44600</v>
      </c>
      <c r="C9144" s="315">
        <v>2022</v>
      </c>
      <c r="D9144" s="351" t="s">
        <v>23</v>
      </c>
      <c r="E9144" s="316" t="s">
        <v>5893</v>
      </c>
      <c r="F9144" s="317" t="s">
        <v>62</v>
      </c>
      <c r="G9144" s="317" t="s">
        <v>1320</v>
      </c>
      <c r="H9144" s="318" t="s">
        <v>12336</v>
      </c>
      <c r="I9144" s="317">
        <v>0</v>
      </c>
      <c r="J9144" s="356">
        <v>88</v>
      </c>
      <c r="K9144" s="356">
        <v>22</v>
      </c>
      <c r="L9144" s="356">
        <v>0</v>
      </c>
      <c r="M9144" s="356">
        <v>0</v>
      </c>
      <c r="N9144" s="356">
        <v>0</v>
      </c>
      <c r="O9144" s="356">
        <v>0</v>
      </c>
      <c r="P9144" s="362">
        <v>0.15373049999999999</v>
      </c>
      <c r="Q9144" s="356" t="s">
        <v>154</v>
      </c>
    </row>
    <row r="9145" spans="1:17" ht="60" x14ac:dyDescent="0.25">
      <c r="A9145" s="314">
        <v>44603</v>
      </c>
      <c r="B9145" s="314">
        <v>44603</v>
      </c>
      <c r="C9145" s="315">
        <v>2022</v>
      </c>
      <c r="D9145" s="24" t="s">
        <v>141</v>
      </c>
      <c r="E9145" s="316" t="s">
        <v>142</v>
      </c>
      <c r="F9145" s="317" t="s">
        <v>25</v>
      </c>
      <c r="G9145" s="317" t="s">
        <v>12337</v>
      </c>
      <c r="H9145" s="318" t="s">
        <v>12338</v>
      </c>
      <c r="I9145" s="317">
        <v>2</v>
      </c>
      <c r="J9145" s="356">
        <v>27</v>
      </c>
      <c r="K9145" s="356">
        <v>0</v>
      </c>
      <c r="L9145" s="356">
        <v>0</v>
      </c>
      <c r="M9145" s="356">
        <v>0</v>
      </c>
      <c r="N9145" s="356">
        <v>0</v>
      </c>
      <c r="O9145" s="356">
        <v>0</v>
      </c>
      <c r="P9145" s="362">
        <v>0.356742698860466</v>
      </c>
      <c r="Q9145" s="356" t="s">
        <v>154</v>
      </c>
    </row>
    <row r="9146" spans="1:17" ht="120" x14ac:dyDescent="0.25">
      <c r="A9146" s="314">
        <v>44604</v>
      </c>
      <c r="B9146" s="314">
        <v>44604</v>
      </c>
      <c r="C9146" s="315">
        <v>2022</v>
      </c>
      <c r="D9146" s="35" t="s">
        <v>28</v>
      </c>
      <c r="E9146" s="316" t="s">
        <v>149</v>
      </c>
      <c r="F9146" s="28" t="s">
        <v>157</v>
      </c>
      <c r="G9146" s="317" t="s">
        <v>526</v>
      </c>
      <c r="H9146" s="318" t="s">
        <v>12339</v>
      </c>
      <c r="I9146" s="317">
        <v>0</v>
      </c>
      <c r="J9146" s="356">
        <v>81</v>
      </c>
      <c r="K9146" s="356">
        <v>1</v>
      </c>
      <c r="L9146" s="356">
        <v>0</v>
      </c>
      <c r="M9146" s="356">
        <v>0</v>
      </c>
      <c r="N9146" s="356">
        <v>0</v>
      </c>
      <c r="O9146" s="356">
        <v>0</v>
      </c>
      <c r="P9146" s="362">
        <v>6.7745600999999989E-2</v>
      </c>
      <c r="Q9146" s="356" t="s">
        <v>154</v>
      </c>
    </row>
    <row r="9147" spans="1:17" ht="84" x14ac:dyDescent="0.25">
      <c r="A9147" s="314">
        <v>44605</v>
      </c>
      <c r="B9147" s="314">
        <v>44605</v>
      </c>
      <c r="C9147" s="315">
        <v>2022</v>
      </c>
      <c r="D9147" s="24" t="s">
        <v>141</v>
      </c>
      <c r="E9147" s="316" t="s">
        <v>142</v>
      </c>
      <c r="F9147" s="317" t="s">
        <v>80</v>
      </c>
      <c r="G9147" s="317" t="s">
        <v>1089</v>
      </c>
      <c r="H9147" s="318" t="s">
        <v>12340</v>
      </c>
      <c r="I9147" s="317">
        <v>0</v>
      </c>
      <c r="J9147" s="356">
        <v>8</v>
      </c>
      <c r="K9147" s="356">
        <v>0</v>
      </c>
      <c r="L9147" s="356">
        <v>0</v>
      </c>
      <c r="M9147" s="356">
        <v>0</v>
      </c>
      <c r="N9147" s="356">
        <v>0</v>
      </c>
      <c r="O9147" s="356">
        <v>0</v>
      </c>
      <c r="P9147" s="362">
        <v>9.5832000000000001E-3</v>
      </c>
      <c r="Q9147" s="356" t="s">
        <v>154</v>
      </c>
    </row>
    <row r="9148" spans="1:17" ht="84" x14ac:dyDescent="0.25">
      <c r="A9148" s="314">
        <v>44606</v>
      </c>
      <c r="B9148" s="314">
        <v>44606</v>
      </c>
      <c r="C9148" s="315">
        <v>2022</v>
      </c>
      <c r="D9148" s="351" t="s">
        <v>23</v>
      </c>
      <c r="E9148" s="316" t="s">
        <v>86</v>
      </c>
      <c r="F9148" s="317" t="s">
        <v>36</v>
      </c>
      <c r="G9148" s="317" t="s">
        <v>11056</v>
      </c>
      <c r="H9148" s="318" t="s">
        <v>12341</v>
      </c>
      <c r="I9148" s="317">
        <v>0</v>
      </c>
      <c r="J9148" s="356">
        <v>12</v>
      </c>
      <c r="K9148" s="356">
        <v>3</v>
      </c>
      <c r="L9148" s="356">
        <v>0</v>
      </c>
      <c r="M9148" s="356">
        <v>0</v>
      </c>
      <c r="N9148" s="356">
        <v>0</v>
      </c>
      <c r="O9148" s="356">
        <v>0</v>
      </c>
      <c r="P9148" s="362">
        <v>2.0963249999999999E-2</v>
      </c>
      <c r="Q9148" s="356" t="s">
        <v>154</v>
      </c>
    </row>
    <row r="9149" spans="1:17" ht="84" x14ac:dyDescent="0.25">
      <c r="A9149" s="314">
        <v>44607</v>
      </c>
      <c r="B9149" s="314">
        <v>44607</v>
      </c>
      <c r="C9149" s="315">
        <v>2022</v>
      </c>
      <c r="D9149" s="24" t="s">
        <v>141</v>
      </c>
      <c r="E9149" s="316" t="s">
        <v>1965</v>
      </c>
      <c r="F9149" s="7" t="s">
        <v>87</v>
      </c>
      <c r="G9149" s="317" t="s">
        <v>4431</v>
      </c>
      <c r="H9149" s="318" t="s">
        <v>12342</v>
      </c>
      <c r="I9149" s="317">
        <v>3</v>
      </c>
      <c r="J9149" s="356">
        <v>3</v>
      </c>
      <c r="K9149" s="356">
        <v>0</v>
      </c>
      <c r="L9149" s="356">
        <v>0</v>
      </c>
      <c r="M9149" s="356">
        <v>0</v>
      </c>
      <c r="N9149" s="356">
        <v>0</v>
      </c>
      <c r="O9149" s="356">
        <v>0</v>
      </c>
      <c r="P9149" s="362">
        <v>0</v>
      </c>
      <c r="Q9149" s="356" t="s">
        <v>154</v>
      </c>
    </row>
    <row r="9150" spans="1:17" ht="84" x14ac:dyDescent="0.25">
      <c r="A9150" s="314">
        <v>44609</v>
      </c>
      <c r="B9150" s="314">
        <v>44609</v>
      </c>
      <c r="C9150" s="315">
        <v>2022</v>
      </c>
      <c r="D9150" s="35" t="s">
        <v>28</v>
      </c>
      <c r="E9150" s="316" t="s">
        <v>133</v>
      </c>
      <c r="F9150" s="7" t="s">
        <v>53</v>
      </c>
      <c r="G9150" s="317" t="s">
        <v>2247</v>
      </c>
      <c r="H9150" s="318" t="s">
        <v>12343</v>
      </c>
      <c r="I9150" s="317">
        <v>1</v>
      </c>
      <c r="J9150" s="356">
        <v>3</v>
      </c>
      <c r="K9150" s="356">
        <v>0</v>
      </c>
      <c r="L9150" s="356">
        <v>0</v>
      </c>
      <c r="M9150" s="356">
        <v>0</v>
      </c>
      <c r="N9150" s="356">
        <v>0</v>
      </c>
      <c r="O9150" s="356">
        <v>0</v>
      </c>
      <c r="P9150" s="362">
        <v>0</v>
      </c>
      <c r="Q9150" s="356" t="s">
        <v>154</v>
      </c>
    </row>
    <row r="9151" spans="1:17" ht="108" x14ac:dyDescent="0.25">
      <c r="A9151" s="314">
        <v>44610</v>
      </c>
      <c r="B9151" s="314">
        <v>44610</v>
      </c>
      <c r="C9151" s="315">
        <v>2022</v>
      </c>
      <c r="D9151" s="35" t="s">
        <v>28</v>
      </c>
      <c r="E9151" s="316" t="s">
        <v>149</v>
      </c>
      <c r="F9151" s="28" t="s">
        <v>157</v>
      </c>
      <c r="G9151" s="317" t="s">
        <v>4820</v>
      </c>
      <c r="H9151" s="318" t="s">
        <v>12344</v>
      </c>
      <c r="I9151" s="317">
        <v>1</v>
      </c>
      <c r="J9151" s="356">
        <v>1</v>
      </c>
      <c r="K9151" s="356">
        <v>0</v>
      </c>
      <c r="L9151" s="356">
        <v>0</v>
      </c>
      <c r="M9151" s="356">
        <v>0</v>
      </c>
      <c r="N9151" s="356">
        <v>0</v>
      </c>
      <c r="O9151" s="356">
        <v>0</v>
      </c>
      <c r="P9151" s="362">
        <v>0</v>
      </c>
      <c r="Q9151" s="356" t="s">
        <v>154</v>
      </c>
    </row>
    <row r="9152" spans="1:17" ht="144" x14ac:dyDescent="0.25">
      <c r="A9152" s="314">
        <v>44610</v>
      </c>
      <c r="B9152" s="314">
        <v>44610</v>
      </c>
      <c r="C9152" s="315">
        <v>2022</v>
      </c>
      <c r="D9152" s="24" t="s">
        <v>141</v>
      </c>
      <c r="E9152" s="316" t="s">
        <v>142</v>
      </c>
      <c r="F9152" s="7" t="s">
        <v>53</v>
      </c>
      <c r="G9152" s="317" t="s">
        <v>1896</v>
      </c>
      <c r="H9152" s="318" t="s">
        <v>12345</v>
      </c>
      <c r="I9152" s="317">
        <v>0</v>
      </c>
      <c r="J9152" s="356">
        <v>8</v>
      </c>
      <c r="K9152" s="356">
        <v>0</v>
      </c>
      <c r="L9152" s="356">
        <v>0</v>
      </c>
      <c r="M9152" s="356">
        <v>0</v>
      </c>
      <c r="N9152" s="356">
        <v>0</v>
      </c>
      <c r="O9152" s="356">
        <v>0</v>
      </c>
      <c r="P9152" s="362">
        <v>0.15029652000000002</v>
      </c>
      <c r="Q9152" s="356" t="s">
        <v>154</v>
      </c>
    </row>
    <row r="9153" spans="1:17" ht="120" x14ac:dyDescent="0.25">
      <c r="A9153" s="314">
        <v>44610</v>
      </c>
      <c r="B9153" s="314">
        <v>44610</v>
      </c>
      <c r="C9153" s="315">
        <v>2022</v>
      </c>
      <c r="D9153" s="35" t="s">
        <v>28</v>
      </c>
      <c r="E9153" s="316" t="s">
        <v>133</v>
      </c>
      <c r="F9153" s="317" t="s">
        <v>56</v>
      </c>
      <c r="G9153" s="317" t="s">
        <v>358</v>
      </c>
      <c r="H9153" s="318" t="s">
        <v>12346</v>
      </c>
      <c r="I9153" s="317">
        <v>0</v>
      </c>
      <c r="J9153" s="356">
        <v>5</v>
      </c>
      <c r="K9153" s="356">
        <v>0</v>
      </c>
      <c r="L9153" s="356">
        <v>0</v>
      </c>
      <c r="M9153" s="356">
        <v>0</v>
      </c>
      <c r="N9153" s="356">
        <v>1</v>
      </c>
      <c r="O9153" s="356">
        <v>0</v>
      </c>
      <c r="P9153" s="362">
        <v>0.17831540100000001</v>
      </c>
      <c r="Q9153" s="356" t="s">
        <v>154</v>
      </c>
    </row>
    <row r="9154" spans="1:17" ht="96" x14ac:dyDescent="0.25">
      <c r="A9154" s="314">
        <v>44610</v>
      </c>
      <c r="B9154" s="314">
        <v>44610</v>
      </c>
      <c r="C9154" s="315">
        <v>2022</v>
      </c>
      <c r="D9154" s="35" t="s">
        <v>28</v>
      </c>
      <c r="E9154" s="316" t="s">
        <v>133</v>
      </c>
      <c r="F9154" s="317" t="s">
        <v>80</v>
      </c>
      <c r="G9154" s="317" t="s">
        <v>2613</v>
      </c>
      <c r="H9154" s="318" t="s">
        <v>12347</v>
      </c>
      <c r="I9154" s="317">
        <v>0</v>
      </c>
      <c r="J9154" s="356">
        <v>7</v>
      </c>
      <c r="K9154" s="356">
        <v>0</v>
      </c>
      <c r="L9154" s="356">
        <v>0</v>
      </c>
      <c r="M9154" s="356">
        <v>0</v>
      </c>
      <c r="N9154" s="356">
        <v>1</v>
      </c>
      <c r="O9154" s="356">
        <v>0</v>
      </c>
      <c r="P9154" s="362">
        <v>0.14374799999999999</v>
      </c>
      <c r="Q9154" s="356" t="s">
        <v>154</v>
      </c>
    </row>
    <row r="9155" spans="1:17" ht="96" x14ac:dyDescent="0.25">
      <c r="A9155" s="314">
        <v>44613</v>
      </c>
      <c r="B9155" s="314">
        <v>44613</v>
      </c>
      <c r="C9155" s="315">
        <v>2022</v>
      </c>
      <c r="D9155" s="24" t="s">
        <v>141</v>
      </c>
      <c r="E9155" s="316" t="s">
        <v>142</v>
      </c>
      <c r="F9155" s="317" t="s">
        <v>45</v>
      </c>
      <c r="G9155" s="317" t="s">
        <v>577</v>
      </c>
      <c r="H9155" s="318" t="s">
        <v>12348</v>
      </c>
      <c r="I9155" s="317">
        <v>1</v>
      </c>
      <c r="J9155" s="356">
        <v>7</v>
      </c>
      <c r="K9155" s="356">
        <v>0</v>
      </c>
      <c r="L9155" s="356">
        <v>0</v>
      </c>
      <c r="M9155" s="356">
        <v>0</v>
      </c>
      <c r="N9155" s="356">
        <v>0</v>
      </c>
      <c r="O9155" s="356">
        <v>0</v>
      </c>
      <c r="P9155" s="362">
        <v>0.16015802000000001</v>
      </c>
      <c r="Q9155" s="356" t="s">
        <v>154</v>
      </c>
    </row>
    <row r="9156" spans="1:17" ht="60" x14ac:dyDescent="0.25">
      <c r="A9156" s="314">
        <v>44615</v>
      </c>
      <c r="B9156" s="314">
        <v>44615</v>
      </c>
      <c r="C9156" s="315">
        <v>2022</v>
      </c>
      <c r="D9156" s="24" t="s">
        <v>141</v>
      </c>
      <c r="E9156" s="316" t="s">
        <v>142</v>
      </c>
      <c r="F9156" s="317" t="s">
        <v>84</v>
      </c>
      <c r="G9156" s="317" t="s">
        <v>939</v>
      </c>
      <c r="H9156" s="318" t="s">
        <v>12349</v>
      </c>
      <c r="I9156" s="317">
        <v>1</v>
      </c>
      <c r="J9156" s="356">
        <v>1</v>
      </c>
      <c r="K9156" s="356">
        <v>0</v>
      </c>
      <c r="L9156" s="356">
        <v>0</v>
      </c>
      <c r="M9156" s="356">
        <v>0</v>
      </c>
      <c r="N9156" s="356">
        <v>0</v>
      </c>
      <c r="O9156" s="356">
        <v>0</v>
      </c>
      <c r="P9156" s="362">
        <v>0.199205353540574</v>
      </c>
      <c r="Q9156" s="356" t="s">
        <v>154</v>
      </c>
    </row>
    <row r="9157" spans="1:17" ht="96" x14ac:dyDescent="0.25">
      <c r="A9157" s="314">
        <v>44615</v>
      </c>
      <c r="B9157" s="314">
        <v>44615</v>
      </c>
      <c r="C9157" s="315">
        <v>2022</v>
      </c>
      <c r="D9157" s="24" t="s">
        <v>141</v>
      </c>
      <c r="E9157" s="316" t="s">
        <v>142</v>
      </c>
      <c r="F9157" s="317" t="s">
        <v>56</v>
      </c>
      <c r="G9157" s="317" t="s">
        <v>358</v>
      </c>
      <c r="H9157" s="318" t="s">
        <v>12350</v>
      </c>
      <c r="I9157" s="317">
        <v>0</v>
      </c>
      <c r="J9157" s="356">
        <v>7</v>
      </c>
      <c r="K9157" s="356">
        <v>0</v>
      </c>
      <c r="L9157" s="356">
        <v>0</v>
      </c>
      <c r="M9157" s="356">
        <v>0</v>
      </c>
      <c r="N9157" s="356">
        <v>0</v>
      </c>
      <c r="O9157" s="356">
        <v>0</v>
      </c>
      <c r="P9157" s="362">
        <v>4.7468300000000005E-2</v>
      </c>
      <c r="Q9157" s="356" t="s">
        <v>154</v>
      </c>
    </row>
    <row r="9158" spans="1:17" ht="108" x14ac:dyDescent="0.25">
      <c r="A9158" s="314">
        <v>44616</v>
      </c>
      <c r="B9158" s="314">
        <v>44616</v>
      </c>
      <c r="C9158" s="315">
        <v>2022</v>
      </c>
      <c r="D9158" s="35" t="s">
        <v>28</v>
      </c>
      <c r="E9158" s="316" t="s">
        <v>149</v>
      </c>
      <c r="F9158" s="317" t="s">
        <v>210</v>
      </c>
      <c r="G9158" s="319" t="s">
        <v>210</v>
      </c>
      <c r="H9158" s="318" t="s">
        <v>12351</v>
      </c>
      <c r="I9158" s="317">
        <v>0</v>
      </c>
      <c r="J9158" s="356">
        <v>700</v>
      </c>
      <c r="K9158" s="356">
        <v>0</v>
      </c>
      <c r="L9158" s="356">
        <v>0</v>
      </c>
      <c r="M9158" s="356">
        <v>1</v>
      </c>
      <c r="N9158" s="356">
        <v>0</v>
      </c>
      <c r="O9158" s="356">
        <v>0</v>
      </c>
      <c r="P9158" s="362">
        <v>0</v>
      </c>
      <c r="Q9158" s="356" t="s">
        <v>154</v>
      </c>
    </row>
    <row r="9159" spans="1:17" x14ac:dyDescent="0.25">
      <c r="A9159" s="314">
        <v>44616</v>
      </c>
      <c r="B9159" s="314">
        <v>44616</v>
      </c>
      <c r="C9159" s="315">
        <v>2022</v>
      </c>
      <c r="D9159" s="35" t="s">
        <v>28</v>
      </c>
      <c r="E9159" s="316" t="s">
        <v>149</v>
      </c>
      <c r="F9159" s="317" t="s">
        <v>30</v>
      </c>
      <c r="G9159" s="317" t="s">
        <v>1078</v>
      </c>
      <c r="H9159" s="320" t="s">
        <v>12352</v>
      </c>
      <c r="I9159" s="317">
        <v>8</v>
      </c>
      <c r="J9159" s="356">
        <v>11</v>
      </c>
      <c r="K9159" s="356">
        <v>8</v>
      </c>
      <c r="L9159" s="356">
        <v>0</v>
      </c>
      <c r="M9159" s="356">
        <v>0</v>
      </c>
      <c r="N9159" s="356">
        <v>0</v>
      </c>
      <c r="O9159" s="356">
        <v>0</v>
      </c>
      <c r="P9159" s="362">
        <v>0.75213600000000003</v>
      </c>
      <c r="Q9159" s="356" t="s">
        <v>154</v>
      </c>
    </row>
    <row r="9160" spans="1:17" ht="96" x14ac:dyDescent="0.25">
      <c r="A9160" s="314">
        <v>44616</v>
      </c>
      <c r="B9160" s="314">
        <v>44616</v>
      </c>
      <c r="C9160" s="315">
        <v>2022</v>
      </c>
      <c r="D9160" s="35" t="s">
        <v>28</v>
      </c>
      <c r="E9160" s="316" t="s">
        <v>149</v>
      </c>
      <c r="F9160" s="7" t="s">
        <v>53</v>
      </c>
      <c r="G9160" s="317" t="s">
        <v>1502</v>
      </c>
      <c r="H9160" s="318" t="s">
        <v>12353</v>
      </c>
      <c r="I9160" s="317">
        <v>0</v>
      </c>
      <c r="J9160" s="356">
        <v>0</v>
      </c>
      <c r="K9160" s="356">
        <v>8</v>
      </c>
      <c r="L9160" s="356">
        <v>0</v>
      </c>
      <c r="M9160" s="356">
        <v>0</v>
      </c>
      <c r="N9160" s="356">
        <v>1</v>
      </c>
      <c r="O9160" s="356">
        <v>0</v>
      </c>
      <c r="P9160" s="362">
        <v>4.1901999999999999</v>
      </c>
      <c r="Q9160" s="356" t="s">
        <v>154</v>
      </c>
    </row>
    <row r="9161" spans="1:17" ht="204" x14ac:dyDescent="0.25">
      <c r="A9161" s="314">
        <v>44617</v>
      </c>
      <c r="B9161" s="314">
        <v>44617</v>
      </c>
      <c r="C9161" s="315">
        <v>2022</v>
      </c>
      <c r="D9161" s="24" t="s">
        <v>141</v>
      </c>
      <c r="E9161" s="316" t="s">
        <v>142</v>
      </c>
      <c r="F9161" s="317" t="s">
        <v>56</v>
      </c>
      <c r="G9161" s="317" t="s">
        <v>1817</v>
      </c>
      <c r="H9161" s="318" t="s">
        <v>12354</v>
      </c>
      <c r="I9161" s="317">
        <v>5</v>
      </c>
      <c r="J9161" s="356">
        <v>20</v>
      </c>
      <c r="K9161" s="356">
        <v>1</v>
      </c>
      <c r="L9161" s="356">
        <v>0</v>
      </c>
      <c r="M9161" s="356">
        <v>0</v>
      </c>
      <c r="N9161" s="356">
        <v>0</v>
      </c>
      <c r="O9161" s="356">
        <v>0</v>
      </c>
      <c r="P9161" s="362">
        <v>0.1617711557</v>
      </c>
      <c r="Q9161" s="356" t="s">
        <v>154</v>
      </c>
    </row>
    <row r="9162" spans="1:17" ht="72" x14ac:dyDescent="0.25">
      <c r="A9162" s="314">
        <v>44617</v>
      </c>
      <c r="B9162" s="314">
        <v>44617</v>
      </c>
      <c r="C9162" s="315">
        <v>2022</v>
      </c>
      <c r="D9162" s="24" t="s">
        <v>141</v>
      </c>
      <c r="E9162" s="316" t="s">
        <v>142</v>
      </c>
      <c r="F9162" s="317" t="s">
        <v>91</v>
      </c>
      <c r="G9162" s="317" t="s">
        <v>2321</v>
      </c>
      <c r="H9162" s="318" t="s">
        <v>12355</v>
      </c>
      <c r="I9162" s="317">
        <v>0</v>
      </c>
      <c r="J9162" s="356">
        <v>13</v>
      </c>
      <c r="K9162" s="356">
        <v>0</v>
      </c>
      <c r="L9162" s="356">
        <v>0</v>
      </c>
      <c r="M9162" s="356">
        <v>0</v>
      </c>
      <c r="N9162" s="356">
        <v>0</v>
      </c>
      <c r="O9162" s="356">
        <v>0</v>
      </c>
      <c r="P9162" s="362">
        <v>1.55727E-2</v>
      </c>
      <c r="Q9162" s="356" t="s">
        <v>154</v>
      </c>
    </row>
    <row r="9163" spans="1:17" ht="84" x14ac:dyDescent="0.25">
      <c r="A9163" s="314">
        <v>44617</v>
      </c>
      <c r="B9163" s="314">
        <v>44617</v>
      </c>
      <c r="C9163" s="315">
        <v>2022</v>
      </c>
      <c r="D9163" s="35" t="s">
        <v>28</v>
      </c>
      <c r="E9163" s="316" t="s">
        <v>133</v>
      </c>
      <c r="F9163" s="317" t="s">
        <v>91</v>
      </c>
      <c r="G9163" s="317" t="s">
        <v>2321</v>
      </c>
      <c r="H9163" s="318" t="s">
        <v>12356</v>
      </c>
      <c r="I9163" s="317">
        <v>3</v>
      </c>
      <c r="J9163" s="356">
        <v>4</v>
      </c>
      <c r="K9163" s="356">
        <v>0</v>
      </c>
      <c r="L9163" s="356">
        <v>0</v>
      </c>
      <c r="M9163" s="356">
        <v>0</v>
      </c>
      <c r="N9163" s="356">
        <v>0</v>
      </c>
      <c r="O9163" s="356">
        <v>0</v>
      </c>
      <c r="P9163" s="362">
        <v>0.47918818444705885</v>
      </c>
      <c r="Q9163" s="356" t="s">
        <v>154</v>
      </c>
    </row>
    <row r="9164" spans="1:17" ht="96" x14ac:dyDescent="0.25">
      <c r="A9164" s="314">
        <v>44617</v>
      </c>
      <c r="B9164" s="314">
        <v>44617</v>
      </c>
      <c r="C9164" s="315">
        <v>2022</v>
      </c>
      <c r="D9164" s="35" t="s">
        <v>28</v>
      </c>
      <c r="E9164" s="316" t="s">
        <v>133</v>
      </c>
      <c r="F9164" s="317" t="s">
        <v>40</v>
      </c>
      <c r="G9164" s="317" t="s">
        <v>40</v>
      </c>
      <c r="H9164" s="318" t="s">
        <v>12357</v>
      </c>
      <c r="I9164" s="317">
        <v>1</v>
      </c>
      <c r="J9164" s="356">
        <v>7</v>
      </c>
      <c r="K9164" s="356">
        <v>0</v>
      </c>
      <c r="L9164" s="356">
        <v>0</v>
      </c>
      <c r="M9164" s="356">
        <v>0</v>
      </c>
      <c r="N9164" s="356">
        <v>1</v>
      </c>
      <c r="O9164" s="356">
        <v>0</v>
      </c>
      <c r="P9164" s="362">
        <v>7.1874000000000009E-3</v>
      </c>
      <c r="Q9164" s="356" t="s">
        <v>154</v>
      </c>
    </row>
    <row r="9165" spans="1:17" ht="84" x14ac:dyDescent="0.25">
      <c r="A9165" s="314">
        <v>44619</v>
      </c>
      <c r="B9165" s="314">
        <v>44620</v>
      </c>
      <c r="C9165" s="315">
        <v>2022</v>
      </c>
      <c r="D9165" s="24" t="s">
        <v>141</v>
      </c>
      <c r="E9165" s="316" t="s">
        <v>142</v>
      </c>
      <c r="F9165" s="317" t="s">
        <v>84</v>
      </c>
      <c r="G9165" s="317" t="s">
        <v>7417</v>
      </c>
      <c r="H9165" s="318" t="s">
        <v>12358</v>
      </c>
      <c r="I9165" s="317">
        <v>1</v>
      </c>
      <c r="J9165" s="356">
        <v>6</v>
      </c>
      <c r="K9165" s="356">
        <v>0</v>
      </c>
      <c r="L9165" s="356">
        <v>0</v>
      </c>
      <c r="M9165" s="356">
        <v>0</v>
      </c>
      <c r="N9165" s="356">
        <v>0</v>
      </c>
      <c r="O9165" s="356">
        <v>0</v>
      </c>
      <c r="P9165" s="362">
        <v>5.9895E-3</v>
      </c>
      <c r="Q9165" s="356" t="s">
        <v>154</v>
      </c>
    </row>
    <row r="9166" spans="1:17" ht="96" x14ac:dyDescent="0.25">
      <c r="A9166" s="314">
        <v>44621</v>
      </c>
      <c r="B9166" s="314">
        <v>44621</v>
      </c>
      <c r="C9166" s="315">
        <v>2022</v>
      </c>
      <c r="D9166" s="35" t="s">
        <v>28</v>
      </c>
      <c r="E9166" s="316" t="s">
        <v>133</v>
      </c>
      <c r="F9166" s="7" t="s">
        <v>53</v>
      </c>
      <c r="G9166" s="317" t="s">
        <v>451</v>
      </c>
      <c r="H9166" s="318" t="s">
        <v>12359</v>
      </c>
      <c r="I9166" s="317">
        <v>0</v>
      </c>
      <c r="J9166" s="356">
        <v>1</v>
      </c>
      <c r="K9166" s="356">
        <v>1</v>
      </c>
      <c r="L9166" s="356">
        <v>0</v>
      </c>
      <c r="M9166" s="356">
        <v>0</v>
      </c>
      <c r="N9166" s="356">
        <v>0</v>
      </c>
      <c r="O9166" s="356">
        <v>0</v>
      </c>
      <c r="P9166" s="362">
        <v>3.2171601000000001E-2</v>
      </c>
      <c r="Q9166" s="356" t="s">
        <v>154</v>
      </c>
    </row>
    <row r="9167" spans="1:17" ht="60" x14ac:dyDescent="0.25">
      <c r="A9167" s="314">
        <v>44621</v>
      </c>
      <c r="B9167" s="314">
        <v>44621</v>
      </c>
      <c r="C9167" s="315">
        <v>2022</v>
      </c>
      <c r="D9167" s="35" t="s">
        <v>28</v>
      </c>
      <c r="E9167" s="316" t="s">
        <v>133</v>
      </c>
      <c r="F9167" s="7" t="s">
        <v>53</v>
      </c>
      <c r="G9167" s="317" t="s">
        <v>451</v>
      </c>
      <c r="H9167" s="318" t="s">
        <v>12360</v>
      </c>
      <c r="I9167" s="317">
        <v>1</v>
      </c>
      <c r="J9167" s="356">
        <v>1</v>
      </c>
      <c r="K9167" s="356">
        <v>0</v>
      </c>
      <c r="L9167" s="356">
        <v>0</v>
      </c>
      <c r="M9167" s="356">
        <v>0</v>
      </c>
      <c r="N9167" s="356">
        <v>0</v>
      </c>
      <c r="O9167" s="356">
        <v>0</v>
      </c>
      <c r="P9167" s="362">
        <v>0</v>
      </c>
      <c r="Q9167" s="356" t="s">
        <v>154</v>
      </c>
    </row>
    <row r="9168" spans="1:17" ht="108" x14ac:dyDescent="0.25">
      <c r="A9168" s="314">
        <v>44621</v>
      </c>
      <c r="B9168" s="314">
        <v>44621</v>
      </c>
      <c r="C9168" s="315">
        <v>2022</v>
      </c>
      <c r="D9168" s="24" t="s">
        <v>141</v>
      </c>
      <c r="E9168" s="316" t="s">
        <v>142</v>
      </c>
      <c r="F9168" s="7" t="s">
        <v>53</v>
      </c>
      <c r="G9168" s="317" t="s">
        <v>2516</v>
      </c>
      <c r="H9168" s="318" t="s">
        <v>12361</v>
      </c>
      <c r="I9168" s="317">
        <v>0</v>
      </c>
      <c r="J9168" s="356">
        <v>8</v>
      </c>
      <c r="K9168" s="356">
        <v>0</v>
      </c>
      <c r="L9168" s="356">
        <v>0</v>
      </c>
      <c r="M9168" s="356">
        <v>0</v>
      </c>
      <c r="N9168" s="356">
        <v>0</v>
      </c>
      <c r="O9168" s="356">
        <v>0</v>
      </c>
      <c r="P9168" s="362">
        <v>9.5832000000000001E-3</v>
      </c>
      <c r="Q9168" s="356" t="s">
        <v>154</v>
      </c>
    </row>
    <row r="9169" spans="1:17" ht="96" x14ac:dyDescent="0.25">
      <c r="A9169" s="314">
        <v>44624</v>
      </c>
      <c r="B9169" s="314">
        <v>44624</v>
      </c>
      <c r="C9169" s="315">
        <v>2022</v>
      </c>
      <c r="D9169" s="35" t="s">
        <v>28</v>
      </c>
      <c r="E9169" s="316" t="s">
        <v>133</v>
      </c>
      <c r="F9169" s="317" t="s">
        <v>210</v>
      </c>
      <c r="G9169" s="319" t="s">
        <v>12362</v>
      </c>
      <c r="H9169" s="318" t="s">
        <v>12363</v>
      </c>
      <c r="I9169" s="317">
        <v>6</v>
      </c>
      <c r="J9169" s="356">
        <v>7</v>
      </c>
      <c r="K9169" s="356">
        <v>5</v>
      </c>
      <c r="L9169" s="356">
        <v>0</v>
      </c>
      <c r="M9169" s="356">
        <v>0</v>
      </c>
      <c r="N9169" s="356">
        <v>0</v>
      </c>
      <c r="O9169" s="356">
        <v>0</v>
      </c>
      <c r="P9169" s="362">
        <v>0.18160889999999999</v>
      </c>
      <c r="Q9169" s="356" t="s">
        <v>154</v>
      </c>
    </row>
    <row r="9170" spans="1:17" ht="60" x14ac:dyDescent="0.25">
      <c r="A9170" s="314">
        <v>44625</v>
      </c>
      <c r="B9170" s="314">
        <v>44626</v>
      </c>
      <c r="C9170" s="315">
        <v>2022</v>
      </c>
      <c r="D9170" s="24" t="s">
        <v>141</v>
      </c>
      <c r="E9170" s="316" t="s">
        <v>447</v>
      </c>
      <c r="F9170" s="7" t="s">
        <v>77</v>
      </c>
      <c r="G9170" s="317" t="s">
        <v>77</v>
      </c>
      <c r="H9170" s="318" t="s">
        <v>12364</v>
      </c>
      <c r="I9170" s="317">
        <v>0</v>
      </c>
      <c r="J9170" s="356">
        <v>22</v>
      </c>
      <c r="K9170" s="356">
        <v>0</v>
      </c>
      <c r="L9170" s="356">
        <v>0</v>
      </c>
      <c r="M9170" s="356">
        <v>0</v>
      </c>
      <c r="N9170" s="356">
        <v>0</v>
      </c>
      <c r="O9170" s="356">
        <v>0</v>
      </c>
      <c r="P9170" s="362">
        <v>2.6353800000000004E-2</v>
      </c>
      <c r="Q9170" s="356" t="s">
        <v>154</v>
      </c>
    </row>
    <row r="9171" spans="1:17" ht="144" x14ac:dyDescent="0.25">
      <c r="A9171" s="314">
        <v>44625</v>
      </c>
      <c r="B9171" s="314">
        <v>44626</v>
      </c>
      <c r="C9171" s="315">
        <v>2022</v>
      </c>
      <c r="D9171" s="24" t="s">
        <v>141</v>
      </c>
      <c r="E9171" s="316" t="s">
        <v>142</v>
      </c>
      <c r="F9171" s="317" t="s">
        <v>56</v>
      </c>
      <c r="G9171" s="317" t="s">
        <v>56</v>
      </c>
      <c r="H9171" s="318" t="s">
        <v>12365</v>
      </c>
      <c r="I9171" s="317">
        <v>0</v>
      </c>
      <c r="J9171" s="356">
        <v>7</v>
      </c>
      <c r="K9171" s="356">
        <v>0</v>
      </c>
      <c r="L9171" s="356">
        <v>0</v>
      </c>
      <c r="M9171" s="356">
        <v>0</v>
      </c>
      <c r="N9171" s="356">
        <v>0</v>
      </c>
      <c r="O9171" s="356">
        <v>0</v>
      </c>
      <c r="P9171" s="362">
        <v>8.3853000000000018E-3</v>
      </c>
      <c r="Q9171" s="356" t="s">
        <v>154</v>
      </c>
    </row>
    <row r="9172" spans="1:17" ht="24" x14ac:dyDescent="0.25">
      <c r="A9172" s="314">
        <v>44620</v>
      </c>
      <c r="B9172" s="314">
        <v>44625</v>
      </c>
      <c r="C9172" s="315">
        <v>2022</v>
      </c>
      <c r="D9172" s="35" t="s">
        <v>17</v>
      </c>
      <c r="E9172" s="316" t="s">
        <v>328</v>
      </c>
      <c r="F9172" s="317" t="s">
        <v>30</v>
      </c>
      <c r="G9172" s="317" t="s">
        <v>1078</v>
      </c>
      <c r="H9172" s="320" t="s">
        <v>12366</v>
      </c>
      <c r="I9172" s="317">
        <v>0</v>
      </c>
      <c r="J9172" s="356">
        <v>599</v>
      </c>
      <c r="K9172" s="356">
        <v>120</v>
      </c>
      <c r="L9172" s="356">
        <v>0</v>
      </c>
      <c r="M9172" s="356">
        <v>0</v>
      </c>
      <c r="N9172" s="356">
        <v>0</v>
      </c>
      <c r="O9172" s="356">
        <v>0</v>
      </c>
      <c r="P9172" s="362">
        <v>18.295200000000001</v>
      </c>
      <c r="Q9172" s="356" t="s">
        <v>154</v>
      </c>
    </row>
    <row r="9173" spans="1:17" ht="96" x14ac:dyDescent="0.25">
      <c r="A9173" s="314">
        <v>44627</v>
      </c>
      <c r="B9173" s="314">
        <v>44628</v>
      </c>
      <c r="C9173" s="315">
        <v>2022</v>
      </c>
      <c r="D9173" s="24" t="s">
        <v>141</v>
      </c>
      <c r="E9173" s="316" t="s">
        <v>142</v>
      </c>
      <c r="F9173" s="317" t="s">
        <v>210</v>
      </c>
      <c r="G9173" s="319" t="s">
        <v>2292</v>
      </c>
      <c r="H9173" s="318" t="s">
        <v>12367</v>
      </c>
      <c r="I9173" s="317">
        <v>0</v>
      </c>
      <c r="J9173" s="356">
        <v>6</v>
      </c>
      <c r="K9173" s="356">
        <v>0</v>
      </c>
      <c r="L9173" s="356">
        <v>0</v>
      </c>
      <c r="M9173" s="356">
        <v>0</v>
      </c>
      <c r="N9173" s="356">
        <v>0</v>
      </c>
      <c r="O9173" s="356">
        <v>0</v>
      </c>
      <c r="P9173" s="362">
        <v>2.6611735699999996E-2</v>
      </c>
      <c r="Q9173" s="356" t="s">
        <v>154</v>
      </c>
    </row>
    <row r="9174" spans="1:17" ht="96" x14ac:dyDescent="0.25">
      <c r="A9174" s="314">
        <v>44630</v>
      </c>
      <c r="B9174" s="314">
        <v>44630</v>
      </c>
      <c r="C9174" s="315">
        <v>2022</v>
      </c>
      <c r="D9174" s="24" t="s">
        <v>141</v>
      </c>
      <c r="E9174" s="316" t="s">
        <v>142</v>
      </c>
      <c r="F9174" s="317" t="s">
        <v>72</v>
      </c>
      <c r="G9174" s="317" t="s">
        <v>10670</v>
      </c>
      <c r="H9174" s="318" t="s">
        <v>12368</v>
      </c>
      <c r="I9174" s="317">
        <v>0</v>
      </c>
      <c r="J9174" s="356">
        <v>17</v>
      </c>
      <c r="K9174" s="356">
        <v>0</v>
      </c>
      <c r="L9174" s="356">
        <v>0</v>
      </c>
      <c r="M9174" s="356">
        <v>0</v>
      </c>
      <c r="N9174" s="356">
        <v>0</v>
      </c>
      <c r="O9174" s="356">
        <v>0</v>
      </c>
      <c r="P9174" s="362">
        <v>2.0364300000000002E-2</v>
      </c>
      <c r="Q9174" s="356" t="s">
        <v>154</v>
      </c>
    </row>
    <row r="9175" spans="1:17" ht="84" x14ac:dyDescent="0.25">
      <c r="A9175" s="314">
        <v>44631</v>
      </c>
      <c r="B9175" s="314">
        <v>44631</v>
      </c>
      <c r="C9175" s="315">
        <v>2022</v>
      </c>
      <c r="D9175" s="35" t="s">
        <v>28</v>
      </c>
      <c r="E9175" s="316" t="s">
        <v>149</v>
      </c>
      <c r="F9175" s="317" t="s">
        <v>68</v>
      </c>
      <c r="G9175" s="317" t="s">
        <v>2071</v>
      </c>
      <c r="H9175" s="318" t="s">
        <v>12369</v>
      </c>
      <c r="I9175" s="317">
        <v>4</v>
      </c>
      <c r="J9175" s="356">
        <v>4</v>
      </c>
      <c r="K9175" s="356">
        <v>1</v>
      </c>
      <c r="L9175" s="356">
        <v>0</v>
      </c>
      <c r="M9175" s="356">
        <v>0</v>
      </c>
      <c r="N9175" s="356">
        <v>0</v>
      </c>
      <c r="O9175" s="356">
        <v>0</v>
      </c>
      <c r="P9175" s="362">
        <v>6.98775E-3</v>
      </c>
      <c r="Q9175" s="356" t="s">
        <v>154</v>
      </c>
    </row>
    <row r="9176" spans="1:17" ht="96" x14ac:dyDescent="0.25">
      <c r="A9176" s="314">
        <v>44632</v>
      </c>
      <c r="B9176" s="314">
        <v>44632</v>
      </c>
      <c r="C9176" s="315">
        <v>2022</v>
      </c>
      <c r="D9176" s="24" t="s">
        <v>141</v>
      </c>
      <c r="E9176" s="316" t="s">
        <v>142</v>
      </c>
      <c r="F9176" s="7" t="s">
        <v>53</v>
      </c>
      <c r="G9176" s="317" t="s">
        <v>2888</v>
      </c>
      <c r="H9176" s="318" t="s">
        <v>12370</v>
      </c>
      <c r="I9176" s="317">
        <v>1</v>
      </c>
      <c r="J9176" s="356">
        <v>1</v>
      </c>
      <c r="K9176" s="356">
        <v>0</v>
      </c>
      <c r="L9176" s="356">
        <v>0</v>
      </c>
      <c r="M9176" s="356">
        <v>0</v>
      </c>
      <c r="N9176" s="356">
        <v>0</v>
      </c>
      <c r="O9176" s="356">
        <v>0</v>
      </c>
      <c r="P9176" s="362">
        <v>0</v>
      </c>
      <c r="Q9176" s="356" t="s">
        <v>154</v>
      </c>
    </row>
    <row r="9177" spans="1:17" ht="108" x14ac:dyDescent="0.25">
      <c r="A9177" s="314">
        <v>44630</v>
      </c>
      <c r="B9177" s="314">
        <v>44633</v>
      </c>
      <c r="C9177" s="315">
        <v>2022</v>
      </c>
      <c r="D9177" s="35" t="s">
        <v>28</v>
      </c>
      <c r="E9177" s="316" t="s">
        <v>149</v>
      </c>
      <c r="F9177" s="7" t="s">
        <v>53</v>
      </c>
      <c r="G9177" s="317" t="s">
        <v>1885</v>
      </c>
      <c r="H9177" s="318" t="s">
        <v>12371</v>
      </c>
      <c r="I9177" s="317">
        <v>0</v>
      </c>
      <c r="J9177" s="356">
        <v>14</v>
      </c>
      <c r="K9177" s="356">
        <v>2</v>
      </c>
      <c r="L9177" s="356">
        <v>0</v>
      </c>
      <c r="M9177" s="356">
        <v>0</v>
      </c>
      <c r="N9177" s="356">
        <v>0</v>
      </c>
      <c r="O9177" s="356">
        <v>0</v>
      </c>
      <c r="P9177" s="362">
        <v>0.30492000000000002</v>
      </c>
      <c r="Q9177" s="356" t="s">
        <v>154</v>
      </c>
    </row>
    <row r="9178" spans="1:17" ht="409.5" x14ac:dyDescent="0.25">
      <c r="A9178" s="314">
        <v>44632</v>
      </c>
      <c r="B9178" s="314">
        <v>44633</v>
      </c>
      <c r="C9178" s="315">
        <v>2022</v>
      </c>
      <c r="D9178" s="351" t="s">
        <v>23</v>
      </c>
      <c r="E9178" s="316" t="s">
        <v>323</v>
      </c>
      <c r="F9178" s="317" t="s">
        <v>210</v>
      </c>
      <c r="G9178" s="317" t="s">
        <v>12372</v>
      </c>
      <c r="H9178" s="318" t="s">
        <v>12373</v>
      </c>
      <c r="I9178" s="317">
        <v>0</v>
      </c>
      <c r="J9178" s="356">
        <v>192</v>
      </c>
      <c r="K9178" s="356">
        <v>48</v>
      </c>
      <c r="L9178" s="356">
        <v>6</v>
      </c>
      <c r="M9178" s="356">
        <v>0</v>
      </c>
      <c r="N9178" s="356">
        <v>11</v>
      </c>
      <c r="O9178" s="356">
        <v>0</v>
      </c>
      <c r="P9178" s="362">
        <v>2.2360800000000004E-2</v>
      </c>
      <c r="Q9178" s="356" t="s">
        <v>154</v>
      </c>
    </row>
    <row r="9179" spans="1:17" x14ac:dyDescent="0.25">
      <c r="A9179" s="314">
        <v>44633</v>
      </c>
      <c r="B9179" s="314">
        <v>44633</v>
      </c>
      <c r="C9179" s="315">
        <v>2022</v>
      </c>
      <c r="D9179" s="35" t="s">
        <v>28</v>
      </c>
      <c r="E9179" s="316" t="s">
        <v>149</v>
      </c>
      <c r="F9179" s="317" t="s">
        <v>30</v>
      </c>
      <c r="G9179" s="317" t="s">
        <v>1078</v>
      </c>
      <c r="H9179" s="320" t="s">
        <v>12374</v>
      </c>
      <c r="I9179" s="317">
        <v>0</v>
      </c>
      <c r="J9179" s="356">
        <v>32</v>
      </c>
      <c r="K9179" s="356">
        <v>10</v>
      </c>
      <c r="L9179" s="356">
        <v>0</v>
      </c>
      <c r="M9179" s="356">
        <v>0</v>
      </c>
      <c r="N9179" s="356">
        <v>0</v>
      </c>
      <c r="O9179" s="356">
        <v>0</v>
      </c>
      <c r="P9179" s="362">
        <v>1.5246</v>
      </c>
      <c r="Q9179" s="356" t="s">
        <v>154</v>
      </c>
    </row>
    <row r="9180" spans="1:17" ht="192" x14ac:dyDescent="0.25">
      <c r="A9180" s="314">
        <v>44632</v>
      </c>
      <c r="B9180" s="314">
        <v>44633</v>
      </c>
      <c r="C9180" s="315">
        <v>2022</v>
      </c>
      <c r="D9180" s="351" t="s">
        <v>23</v>
      </c>
      <c r="E9180" s="316" t="s">
        <v>323</v>
      </c>
      <c r="F9180" s="317" t="s">
        <v>36</v>
      </c>
      <c r="G9180" s="317" t="s">
        <v>12375</v>
      </c>
      <c r="H9180" s="318" t="s">
        <v>12376</v>
      </c>
      <c r="I9180" s="317">
        <v>0</v>
      </c>
      <c r="J9180" s="356">
        <v>16</v>
      </c>
      <c r="K9180" s="356">
        <v>4</v>
      </c>
      <c r="L9180" s="356">
        <v>0</v>
      </c>
      <c r="M9180" s="356">
        <v>0</v>
      </c>
      <c r="N9180" s="356">
        <v>0</v>
      </c>
      <c r="O9180" s="356">
        <v>0</v>
      </c>
      <c r="P9180" s="362">
        <v>1.8634000000000001E-3</v>
      </c>
      <c r="Q9180" s="356" t="s">
        <v>154</v>
      </c>
    </row>
    <row r="9181" spans="1:17" ht="144" x14ac:dyDescent="0.25">
      <c r="A9181" s="314">
        <v>44628</v>
      </c>
      <c r="B9181" s="314">
        <v>44628</v>
      </c>
      <c r="C9181" s="315">
        <v>2022</v>
      </c>
      <c r="D9181" s="35" t="s">
        <v>28</v>
      </c>
      <c r="E9181" s="316" t="s">
        <v>125</v>
      </c>
      <c r="F9181" s="317" t="s">
        <v>56</v>
      </c>
      <c r="G9181" s="317" t="s">
        <v>56</v>
      </c>
      <c r="H9181" s="318" t="s">
        <v>12377</v>
      </c>
      <c r="I9181" s="317">
        <v>0</v>
      </c>
      <c r="J9181" s="356">
        <v>253</v>
      </c>
      <c r="K9181" s="356">
        <v>0</v>
      </c>
      <c r="L9181" s="356">
        <v>0</v>
      </c>
      <c r="M9181" s="356">
        <v>0</v>
      </c>
      <c r="N9181" s="356">
        <v>1</v>
      </c>
      <c r="O9181" s="356">
        <v>0</v>
      </c>
      <c r="P9181" s="362">
        <v>5.1428000000000008E-2</v>
      </c>
      <c r="Q9181" s="356" t="s">
        <v>154</v>
      </c>
    </row>
    <row r="9182" spans="1:17" ht="252" x14ac:dyDescent="0.25">
      <c r="A9182" s="314">
        <v>44628</v>
      </c>
      <c r="B9182" s="314">
        <v>44628</v>
      </c>
      <c r="C9182" s="315">
        <v>2022</v>
      </c>
      <c r="D9182" s="24" t="s">
        <v>141</v>
      </c>
      <c r="E9182" s="316" t="s">
        <v>447</v>
      </c>
      <c r="F9182" s="28" t="s">
        <v>157</v>
      </c>
      <c r="G9182" s="317" t="s">
        <v>1062</v>
      </c>
      <c r="H9182" s="318" t="s">
        <v>12378</v>
      </c>
      <c r="I9182" s="317">
        <v>0</v>
      </c>
      <c r="J9182" s="356">
        <v>88</v>
      </c>
      <c r="K9182" s="356">
        <v>0</v>
      </c>
      <c r="L9182" s="356">
        <v>0</v>
      </c>
      <c r="M9182" s="356">
        <v>0</v>
      </c>
      <c r="N9182" s="356">
        <v>0</v>
      </c>
      <c r="O9182" s="356">
        <v>0</v>
      </c>
      <c r="P9182" s="362">
        <v>9.5832000000000001E-3</v>
      </c>
      <c r="Q9182" s="356" t="s">
        <v>154</v>
      </c>
    </row>
    <row r="9183" spans="1:17" ht="84" x14ac:dyDescent="0.25">
      <c r="A9183" s="314">
        <v>44629</v>
      </c>
      <c r="B9183" s="314">
        <v>44629</v>
      </c>
      <c r="C9183" s="315">
        <v>2022</v>
      </c>
      <c r="D9183" s="24" t="s">
        <v>141</v>
      </c>
      <c r="E9183" s="316" t="s">
        <v>142</v>
      </c>
      <c r="F9183" s="7" t="s">
        <v>75</v>
      </c>
      <c r="G9183" s="317" t="s">
        <v>12379</v>
      </c>
      <c r="H9183" s="318" t="s">
        <v>12380</v>
      </c>
      <c r="I9183" s="317">
        <v>1</v>
      </c>
      <c r="J9183" s="356">
        <v>17</v>
      </c>
      <c r="K9183" s="356">
        <v>0</v>
      </c>
      <c r="L9183" s="356">
        <v>0</v>
      </c>
      <c r="M9183" s="356">
        <v>0</v>
      </c>
      <c r="N9183" s="356">
        <v>0</v>
      </c>
      <c r="O9183" s="356">
        <v>0</v>
      </c>
      <c r="P9183" s="362">
        <v>1.91664E-2</v>
      </c>
      <c r="Q9183" s="356" t="s">
        <v>154</v>
      </c>
    </row>
    <row r="9184" spans="1:17" ht="120" x14ac:dyDescent="0.25">
      <c r="A9184" s="314">
        <v>44629</v>
      </c>
      <c r="B9184" s="314">
        <v>44629</v>
      </c>
      <c r="C9184" s="315">
        <v>2022</v>
      </c>
      <c r="D9184" s="24" t="s">
        <v>141</v>
      </c>
      <c r="E9184" s="316" t="s">
        <v>1965</v>
      </c>
      <c r="F9184" s="7" t="s">
        <v>53</v>
      </c>
      <c r="G9184" s="317" t="s">
        <v>1236</v>
      </c>
      <c r="H9184" s="318" t="s">
        <v>12381</v>
      </c>
      <c r="I9184" s="317">
        <v>0</v>
      </c>
      <c r="J9184" s="356">
        <v>5</v>
      </c>
      <c r="K9184" s="356">
        <v>0</v>
      </c>
      <c r="L9184" s="356">
        <v>0</v>
      </c>
      <c r="M9184" s="356">
        <v>0</v>
      </c>
      <c r="N9184" s="356">
        <v>1</v>
      </c>
      <c r="O9184" s="356">
        <v>0</v>
      </c>
      <c r="P9184" s="362">
        <v>3.5937000000000005E-3</v>
      </c>
      <c r="Q9184" s="356" t="s">
        <v>154</v>
      </c>
    </row>
    <row r="9185" spans="1:17" ht="156" x14ac:dyDescent="0.25">
      <c r="A9185" s="314">
        <v>44629</v>
      </c>
      <c r="B9185" s="314">
        <v>44630</v>
      </c>
      <c r="C9185" s="315">
        <v>2022</v>
      </c>
      <c r="D9185" s="24" t="s">
        <v>141</v>
      </c>
      <c r="E9185" s="316" t="s">
        <v>142</v>
      </c>
      <c r="F9185" s="317" t="s">
        <v>56</v>
      </c>
      <c r="G9185" s="317" t="s">
        <v>12382</v>
      </c>
      <c r="H9185" s="318" t="s">
        <v>12383</v>
      </c>
      <c r="I9185" s="317">
        <v>0</v>
      </c>
      <c r="J9185" s="356">
        <v>7</v>
      </c>
      <c r="K9185" s="356">
        <v>0</v>
      </c>
      <c r="L9185" s="356">
        <v>0</v>
      </c>
      <c r="M9185" s="356">
        <v>0</v>
      </c>
      <c r="N9185" s="356">
        <v>0</v>
      </c>
      <c r="O9185" s="356">
        <v>0</v>
      </c>
      <c r="P9185" s="362">
        <v>8.3853000000000018E-3</v>
      </c>
      <c r="Q9185" s="356" t="s">
        <v>154</v>
      </c>
    </row>
    <row r="9186" spans="1:17" ht="144" x14ac:dyDescent="0.25">
      <c r="A9186" s="314">
        <v>44634</v>
      </c>
      <c r="B9186" s="314">
        <v>44634</v>
      </c>
      <c r="C9186" s="315">
        <v>2022</v>
      </c>
      <c r="D9186" s="35" t="s">
        <v>28</v>
      </c>
      <c r="E9186" s="316" t="s">
        <v>133</v>
      </c>
      <c r="F9186" s="317" t="s">
        <v>80</v>
      </c>
      <c r="G9186" s="317" t="s">
        <v>5558</v>
      </c>
      <c r="H9186" s="318" t="s">
        <v>12384</v>
      </c>
      <c r="I9186" s="317">
        <v>2</v>
      </c>
      <c r="J9186" s="356">
        <v>21</v>
      </c>
      <c r="K9186" s="356">
        <v>0</v>
      </c>
      <c r="L9186" s="356">
        <v>0</v>
      </c>
      <c r="M9186" s="356">
        <v>0</v>
      </c>
      <c r="N9186" s="356">
        <v>1</v>
      </c>
      <c r="O9186" s="356">
        <v>0</v>
      </c>
      <c r="P9186" s="362">
        <v>9.5832000000000001E-3</v>
      </c>
      <c r="Q9186" s="356" t="s">
        <v>154</v>
      </c>
    </row>
    <row r="9187" spans="1:17" ht="108" x14ac:dyDescent="0.25">
      <c r="A9187" s="314">
        <v>44634</v>
      </c>
      <c r="B9187" s="314">
        <v>44634</v>
      </c>
      <c r="C9187" s="315">
        <v>2022</v>
      </c>
      <c r="D9187" s="35" t="s">
        <v>28</v>
      </c>
      <c r="E9187" s="316" t="s">
        <v>149</v>
      </c>
      <c r="F9187" s="317" t="s">
        <v>68</v>
      </c>
      <c r="G9187" s="317" t="s">
        <v>1121</v>
      </c>
      <c r="H9187" s="318" t="s">
        <v>12385</v>
      </c>
      <c r="I9187" s="317">
        <v>0</v>
      </c>
      <c r="J9187" s="356">
        <v>53</v>
      </c>
      <c r="K9187" s="356">
        <v>0</v>
      </c>
      <c r="L9187" s="356">
        <v>0</v>
      </c>
      <c r="M9187" s="356">
        <v>0</v>
      </c>
      <c r="N9187" s="356">
        <v>1</v>
      </c>
      <c r="O9187" s="356">
        <v>0</v>
      </c>
      <c r="P9187" s="362">
        <v>4.7916E-3</v>
      </c>
      <c r="Q9187" s="356" t="s">
        <v>154</v>
      </c>
    </row>
    <row r="9188" spans="1:17" ht="84" x14ac:dyDescent="0.25">
      <c r="A9188" s="314">
        <v>44634</v>
      </c>
      <c r="B9188" s="314">
        <v>44635</v>
      </c>
      <c r="C9188" s="315">
        <v>2022</v>
      </c>
      <c r="D9188" s="24" t="s">
        <v>141</v>
      </c>
      <c r="E9188" s="316" t="s">
        <v>142</v>
      </c>
      <c r="F9188" s="28" t="s">
        <v>157</v>
      </c>
      <c r="G9188" s="317" t="s">
        <v>857</v>
      </c>
      <c r="H9188" s="318" t="s">
        <v>12386</v>
      </c>
      <c r="I9188" s="317">
        <v>0</v>
      </c>
      <c r="J9188" s="356">
        <v>15</v>
      </c>
      <c r="K9188" s="356">
        <v>0</v>
      </c>
      <c r="L9188" s="356">
        <v>0</v>
      </c>
      <c r="M9188" s="356">
        <v>0</v>
      </c>
      <c r="N9188" s="356">
        <v>0</v>
      </c>
      <c r="O9188" s="356">
        <v>0</v>
      </c>
      <c r="P9188" s="362">
        <v>0.17641074000000001</v>
      </c>
      <c r="Q9188" s="356" t="s">
        <v>154</v>
      </c>
    </row>
    <row r="9189" spans="1:17" ht="96" x14ac:dyDescent="0.25">
      <c r="A9189" s="314">
        <v>44635</v>
      </c>
      <c r="B9189" s="314">
        <v>44635</v>
      </c>
      <c r="C9189" s="315">
        <v>2022</v>
      </c>
      <c r="D9189" s="24" t="s">
        <v>141</v>
      </c>
      <c r="E9189" s="316" t="s">
        <v>142</v>
      </c>
      <c r="F9189" s="317" t="s">
        <v>210</v>
      </c>
      <c r="G9189" s="319" t="s">
        <v>12387</v>
      </c>
      <c r="H9189" s="318" t="s">
        <v>12388</v>
      </c>
      <c r="I9189" s="317">
        <v>3</v>
      </c>
      <c r="J9189" s="356">
        <v>26</v>
      </c>
      <c r="K9189" s="356">
        <v>0</v>
      </c>
      <c r="L9189" s="356">
        <v>0</v>
      </c>
      <c r="M9189" s="356">
        <v>0</v>
      </c>
      <c r="N9189" s="356">
        <v>0</v>
      </c>
      <c r="O9189" s="356">
        <v>0</v>
      </c>
      <c r="P9189" s="362">
        <v>1.91664E-2</v>
      </c>
      <c r="Q9189" s="356" t="s">
        <v>154</v>
      </c>
    </row>
    <row r="9190" spans="1:17" ht="96" x14ac:dyDescent="0.25">
      <c r="A9190" s="314">
        <v>44635</v>
      </c>
      <c r="B9190" s="314">
        <v>44635</v>
      </c>
      <c r="C9190" s="315">
        <v>2022</v>
      </c>
      <c r="D9190" s="24" t="s">
        <v>141</v>
      </c>
      <c r="E9190" s="316" t="s">
        <v>142</v>
      </c>
      <c r="F9190" s="317" t="s">
        <v>47</v>
      </c>
      <c r="G9190" s="317" t="s">
        <v>4996</v>
      </c>
      <c r="H9190" s="318" t="s">
        <v>12389</v>
      </c>
      <c r="I9190" s="317">
        <v>4</v>
      </c>
      <c r="J9190" s="356">
        <v>25</v>
      </c>
      <c r="K9190" s="356">
        <v>0</v>
      </c>
      <c r="L9190" s="356">
        <v>0</v>
      </c>
      <c r="M9190" s="356">
        <v>0</v>
      </c>
      <c r="N9190" s="356">
        <v>0</v>
      </c>
      <c r="O9190" s="356">
        <v>0</v>
      </c>
      <c r="P9190" s="362">
        <v>0.18214312513023256</v>
      </c>
      <c r="Q9190" s="356" t="s">
        <v>154</v>
      </c>
    </row>
    <row r="9191" spans="1:17" ht="180" x14ac:dyDescent="0.25">
      <c r="A9191" s="314">
        <v>44635</v>
      </c>
      <c r="B9191" s="314">
        <v>44636</v>
      </c>
      <c r="C9191" s="315">
        <v>2022</v>
      </c>
      <c r="D9191" s="35" t="s">
        <v>28</v>
      </c>
      <c r="E9191" s="316" t="s">
        <v>369</v>
      </c>
      <c r="F9191" s="317" t="s">
        <v>30</v>
      </c>
      <c r="G9191" s="317" t="s">
        <v>1070</v>
      </c>
      <c r="H9191" s="318" t="s">
        <v>12390</v>
      </c>
      <c r="I9191" s="317">
        <v>0</v>
      </c>
      <c r="J9191" s="356">
        <v>1</v>
      </c>
      <c r="K9191" s="356">
        <v>0</v>
      </c>
      <c r="L9191" s="356">
        <v>0</v>
      </c>
      <c r="M9191" s="356">
        <v>0</v>
      </c>
      <c r="N9191" s="356">
        <v>0</v>
      </c>
      <c r="O9191" s="356">
        <v>0</v>
      </c>
      <c r="P9191" s="362">
        <v>0.44059790000000004</v>
      </c>
      <c r="Q9191" s="356" t="s">
        <v>154</v>
      </c>
    </row>
    <row r="9192" spans="1:17" ht="96" x14ac:dyDescent="0.25">
      <c r="A9192" s="314">
        <v>44638</v>
      </c>
      <c r="B9192" s="314">
        <v>44638</v>
      </c>
      <c r="C9192" s="315">
        <v>2022</v>
      </c>
      <c r="D9192" s="24" t="s">
        <v>141</v>
      </c>
      <c r="E9192" s="316" t="s">
        <v>142</v>
      </c>
      <c r="F9192" s="7" t="s">
        <v>53</v>
      </c>
      <c r="G9192" s="317" t="s">
        <v>12391</v>
      </c>
      <c r="H9192" s="318" t="s">
        <v>12392</v>
      </c>
      <c r="I9192" s="317">
        <v>0</v>
      </c>
      <c r="J9192" s="356">
        <v>12</v>
      </c>
      <c r="K9192" s="356">
        <v>0</v>
      </c>
      <c r="L9192" s="356">
        <v>0</v>
      </c>
      <c r="M9192" s="356">
        <v>0</v>
      </c>
      <c r="N9192" s="356">
        <v>0</v>
      </c>
      <c r="O9192" s="356">
        <v>0</v>
      </c>
      <c r="P9192" s="362">
        <v>0.10078332000000001</v>
      </c>
      <c r="Q9192" s="356" t="s">
        <v>154</v>
      </c>
    </row>
    <row r="9193" spans="1:17" ht="108" x14ac:dyDescent="0.25">
      <c r="A9193" s="314">
        <v>44638</v>
      </c>
      <c r="B9193" s="314">
        <v>44638</v>
      </c>
      <c r="C9193" s="315">
        <v>2022</v>
      </c>
      <c r="D9193" s="24" t="s">
        <v>141</v>
      </c>
      <c r="E9193" s="316" t="s">
        <v>142</v>
      </c>
      <c r="F9193" s="317" t="s">
        <v>45</v>
      </c>
      <c r="G9193" s="317" t="s">
        <v>6929</v>
      </c>
      <c r="H9193" s="318" t="s">
        <v>12393</v>
      </c>
      <c r="I9193" s="317">
        <v>0</v>
      </c>
      <c r="J9193" s="356">
        <v>15</v>
      </c>
      <c r="K9193" s="356">
        <v>0</v>
      </c>
      <c r="L9193" s="356">
        <v>0</v>
      </c>
      <c r="M9193" s="356">
        <v>0</v>
      </c>
      <c r="N9193" s="356">
        <v>0</v>
      </c>
      <c r="O9193" s="356">
        <v>0</v>
      </c>
      <c r="P9193" s="362">
        <v>0.10437702</v>
      </c>
      <c r="Q9193" s="356" t="s">
        <v>154</v>
      </c>
    </row>
    <row r="9194" spans="1:17" ht="72" x14ac:dyDescent="0.25">
      <c r="A9194" s="314">
        <v>44638</v>
      </c>
      <c r="B9194" s="314">
        <v>44639</v>
      </c>
      <c r="C9194" s="315">
        <v>2022</v>
      </c>
      <c r="D9194" s="24" t="s">
        <v>141</v>
      </c>
      <c r="E9194" s="316" t="s">
        <v>142</v>
      </c>
      <c r="F9194" s="317" t="s">
        <v>84</v>
      </c>
      <c r="G9194" s="317" t="s">
        <v>7115</v>
      </c>
      <c r="H9194" s="318" t="s">
        <v>12394</v>
      </c>
      <c r="I9194" s="317">
        <v>1</v>
      </c>
      <c r="J9194" s="356">
        <v>12</v>
      </c>
      <c r="K9194" s="356">
        <v>0</v>
      </c>
      <c r="L9194" s="356">
        <v>0</v>
      </c>
      <c r="M9194" s="356">
        <v>0</v>
      </c>
      <c r="N9194" s="356">
        <v>0</v>
      </c>
      <c r="O9194" s="356">
        <v>0</v>
      </c>
      <c r="P9194" s="362">
        <v>1.3176900000000002E-2</v>
      </c>
      <c r="Q9194" s="356" t="s">
        <v>154</v>
      </c>
    </row>
    <row r="9195" spans="1:17" ht="120" x14ac:dyDescent="0.25">
      <c r="A9195" s="314">
        <v>44638</v>
      </c>
      <c r="B9195" s="314">
        <v>44639</v>
      </c>
      <c r="C9195" s="315">
        <v>2022</v>
      </c>
      <c r="D9195" s="24" t="s">
        <v>141</v>
      </c>
      <c r="E9195" s="316" t="s">
        <v>142</v>
      </c>
      <c r="F9195" s="7" t="s">
        <v>53</v>
      </c>
      <c r="G9195" s="317" t="s">
        <v>3542</v>
      </c>
      <c r="H9195" s="318" t="s">
        <v>12395</v>
      </c>
      <c r="I9195" s="317">
        <v>1</v>
      </c>
      <c r="J9195" s="356">
        <v>1</v>
      </c>
      <c r="K9195" s="356">
        <v>0</v>
      </c>
      <c r="L9195" s="356">
        <v>0</v>
      </c>
      <c r="M9195" s="356">
        <v>0</v>
      </c>
      <c r="N9195" s="356">
        <v>0</v>
      </c>
      <c r="O9195" s="356">
        <v>0</v>
      </c>
      <c r="P9195" s="362">
        <v>0.20128171354057398</v>
      </c>
      <c r="Q9195" s="356" t="s">
        <v>154</v>
      </c>
    </row>
    <row r="9196" spans="1:17" ht="132" x14ac:dyDescent="0.25">
      <c r="A9196" s="314">
        <v>44640</v>
      </c>
      <c r="B9196" s="314">
        <v>44640</v>
      </c>
      <c r="C9196" s="315">
        <v>2022</v>
      </c>
      <c r="D9196" s="35" t="s">
        <v>28</v>
      </c>
      <c r="E9196" s="316" t="s">
        <v>133</v>
      </c>
      <c r="F9196" s="7" t="s">
        <v>75</v>
      </c>
      <c r="G9196" s="317" t="s">
        <v>75</v>
      </c>
      <c r="H9196" s="318" t="s">
        <v>12396</v>
      </c>
      <c r="I9196" s="317">
        <v>0</v>
      </c>
      <c r="J9196" s="356">
        <v>8</v>
      </c>
      <c r="K9196" s="356">
        <v>0</v>
      </c>
      <c r="L9196" s="356">
        <v>0</v>
      </c>
      <c r="M9196" s="356">
        <v>0</v>
      </c>
      <c r="N9196" s="356">
        <v>0</v>
      </c>
      <c r="O9196" s="356">
        <v>0</v>
      </c>
      <c r="P9196" s="362">
        <v>3.14033357E-2</v>
      </c>
      <c r="Q9196" s="356" t="s">
        <v>154</v>
      </c>
    </row>
    <row r="9197" spans="1:17" ht="96" x14ac:dyDescent="0.25">
      <c r="A9197" s="314">
        <v>44640</v>
      </c>
      <c r="B9197" s="314">
        <v>44640</v>
      </c>
      <c r="C9197" s="315">
        <v>2022</v>
      </c>
      <c r="D9197" s="24" t="s">
        <v>141</v>
      </c>
      <c r="E9197" s="316" t="s">
        <v>142</v>
      </c>
      <c r="F9197" s="317" t="s">
        <v>82</v>
      </c>
      <c r="G9197" s="317" t="s">
        <v>2949</v>
      </c>
      <c r="H9197" s="318" t="s">
        <v>12397</v>
      </c>
      <c r="I9197" s="317">
        <v>1</v>
      </c>
      <c r="J9197" s="356">
        <v>24</v>
      </c>
      <c r="K9197" s="356">
        <v>0</v>
      </c>
      <c r="L9197" s="356">
        <v>0</v>
      </c>
      <c r="M9197" s="356">
        <v>0</v>
      </c>
      <c r="N9197" s="356">
        <v>0</v>
      </c>
      <c r="O9197" s="356">
        <v>0</v>
      </c>
      <c r="P9197" s="362">
        <v>2.7551700000000002E-2</v>
      </c>
      <c r="Q9197" s="356" t="s">
        <v>154</v>
      </c>
    </row>
    <row r="9198" spans="1:17" ht="168" x14ac:dyDescent="0.25">
      <c r="A9198" s="314">
        <v>44641</v>
      </c>
      <c r="B9198" s="314">
        <v>44641</v>
      </c>
      <c r="C9198" s="315">
        <v>2022</v>
      </c>
      <c r="D9198" s="35" t="s">
        <v>28</v>
      </c>
      <c r="E9198" s="316" t="s">
        <v>133</v>
      </c>
      <c r="F9198" s="28" t="s">
        <v>157</v>
      </c>
      <c r="G9198" s="317" t="s">
        <v>206</v>
      </c>
      <c r="H9198" s="318" t="s">
        <v>12398</v>
      </c>
      <c r="I9198" s="317">
        <v>0</v>
      </c>
      <c r="J9198" s="356">
        <v>3</v>
      </c>
      <c r="K9198" s="356">
        <v>0</v>
      </c>
      <c r="L9198" s="356">
        <v>1</v>
      </c>
      <c r="M9198" s="356">
        <v>0</v>
      </c>
      <c r="N9198" s="356">
        <v>0</v>
      </c>
      <c r="O9198" s="356">
        <v>0</v>
      </c>
      <c r="P9198" s="362">
        <v>3.5937000000000005E-3</v>
      </c>
      <c r="Q9198" s="356" t="s">
        <v>154</v>
      </c>
    </row>
    <row r="9199" spans="1:17" ht="108" x14ac:dyDescent="0.25">
      <c r="A9199" s="314">
        <v>44641</v>
      </c>
      <c r="B9199" s="314">
        <v>44641</v>
      </c>
      <c r="C9199" s="315">
        <v>2022</v>
      </c>
      <c r="D9199" s="35" t="s">
        <v>28</v>
      </c>
      <c r="E9199" s="316" t="s">
        <v>149</v>
      </c>
      <c r="F9199" s="28" t="s">
        <v>157</v>
      </c>
      <c r="G9199" s="317" t="s">
        <v>876</v>
      </c>
      <c r="H9199" s="318" t="s">
        <v>12399</v>
      </c>
      <c r="I9199" s="317">
        <v>0</v>
      </c>
      <c r="J9199" s="356">
        <v>42</v>
      </c>
      <c r="K9199" s="356">
        <v>1</v>
      </c>
      <c r="L9199" s="356">
        <v>0</v>
      </c>
      <c r="M9199" s="356">
        <v>0</v>
      </c>
      <c r="N9199" s="356">
        <v>0</v>
      </c>
      <c r="O9199" s="356">
        <v>0</v>
      </c>
      <c r="P9199" s="362">
        <v>2.3958E-3</v>
      </c>
      <c r="Q9199" s="356" t="s">
        <v>154</v>
      </c>
    </row>
    <row r="9200" spans="1:17" ht="120" x14ac:dyDescent="0.25">
      <c r="A9200" s="314">
        <v>44644</v>
      </c>
      <c r="B9200" s="314">
        <v>44644</v>
      </c>
      <c r="C9200" s="315">
        <v>2022</v>
      </c>
      <c r="D9200" s="24" t="s">
        <v>141</v>
      </c>
      <c r="E9200" s="316" t="s">
        <v>142</v>
      </c>
      <c r="F9200" s="317" t="s">
        <v>72</v>
      </c>
      <c r="G9200" s="317" t="s">
        <v>12400</v>
      </c>
      <c r="H9200" s="318" t="s">
        <v>12401</v>
      </c>
      <c r="I9200" s="317">
        <v>0</v>
      </c>
      <c r="J9200" s="356">
        <v>40</v>
      </c>
      <c r="K9200" s="356">
        <v>0</v>
      </c>
      <c r="L9200" s="356">
        <v>0</v>
      </c>
      <c r="M9200" s="356">
        <v>0</v>
      </c>
      <c r="N9200" s="356">
        <v>0</v>
      </c>
      <c r="O9200" s="356">
        <v>0</v>
      </c>
      <c r="P9200" s="362">
        <v>9.120012000000001E-2</v>
      </c>
      <c r="Q9200" s="356" t="s">
        <v>154</v>
      </c>
    </row>
    <row r="9201" spans="1:17" ht="204" x14ac:dyDescent="0.25">
      <c r="A9201" s="314">
        <v>44644</v>
      </c>
      <c r="B9201" s="314">
        <v>44644</v>
      </c>
      <c r="C9201" s="315">
        <v>2022</v>
      </c>
      <c r="D9201" s="35" t="s">
        <v>28</v>
      </c>
      <c r="E9201" s="316" t="s">
        <v>133</v>
      </c>
      <c r="F9201" s="317" t="s">
        <v>91</v>
      </c>
      <c r="G9201" s="317" t="s">
        <v>2321</v>
      </c>
      <c r="H9201" s="318" t="s">
        <v>12402</v>
      </c>
      <c r="I9201" s="317">
        <v>0</v>
      </c>
      <c r="J9201" s="356">
        <v>1</v>
      </c>
      <c r="K9201" s="356">
        <v>0</v>
      </c>
      <c r="L9201" s="356">
        <v>0</v>
      </c>
      <c r="M9201" s="356">
        <v>0</v>
      </c>
      <c r="N9201" s="356">
        <v>0</v>
      </c>
      <c r="O9201" s="356">
        <v>0</v>
      </c>
      <c r="P9201" s="362">
        <v>0.99030284447058825</v>
      </c>
      <c r="Q9201" s="356" t="s">
        <v>154</v>
      </c>
    </row>
    <row r="9202" spans="1:17" ht="120" x14ac:dyDescent="0.25">
      <c r="A9202" s="314">
        <v>44645</v>
      </c>
      <c r="B9202" s="314">
        <v>44645</v>
      </c>
      <c r="C9202" s="315">
        <v>2022</v>
      </c>
      <c r="D9202" s="35" t="s">
        <v>28</v>
      </c>
      <c r="E9202" s="316" t="s">
        <v>133</v>
      </c>
      <c r="F9202" s="7" t="s">
        <v>53</v>
      </c>
      <c r="G9202" s="317" t="s">
        <v>451</v>
      </c>
      <c r="H9202" s="318" t="s">
        <v>12403</v>
      </c>
      <c r="I9202" s="317">
        <v>0</v>
      </c>
      <c r="J9202" s="356">
        <v>3</v>
      </c>
      <c r="K9202" s="356">
        <v>0</v>
      </c>
      <c r="L9202" s="356">
        <v>0</v>
      </c>
      <c r="M9202" s="356">
        <v>0</v>
      </c>
      <c r="N9202" s="356">
        <v>0</v>
      </c>
      <c r="O9202" s="356">
        <v>0</v>
      </c>
      <c r="P9202" s="362">
        <v>1.1979E-3</v>
      </c>
      <c r="Q9202" s="356" t="s">
        <v>154</v>
      </c>
    </row>
    <row r="9203" spans="1:17" ht="168" x14ac:dyDescent="0.25">
      <c r="A9203" s="314">
        <v>44648</v>
      </c>
      <c r="B9203" s="314">
        <v>44648</v>
      </c>
      <c r="C9203" s="315">
        <v>2022</v>
      </c>
      <c r="D9203" s="24" t="s">
        <v>141</v>
      </c>
      <c r="E9203" s="316" t="s">
        <v>142</v>
      </c>
      <c r="F9203" s="317" t="s">
        <v>65</v>
      </c>
      <c r="G9203" s="317" t="s">
        <v>1868</v>
      </c>
      <c r="H9203" s="318" t="s">
        <v>12404</v>
      </c>
      <c r="I9203" s="317">
        <v>3</v>
      </c>
      <c r="J9203" s="356">
        <v>7</v>
      </c>
      <c r="K9203" s="356">
        <v>0</v>
      </c>
      <c r="L9203" s="356">
        <v>0</v>
      </c>
      <c r="M9203" s="356">
        <v>0</v>
      </c>
      <c r="N9203" s="356">
        <v>0</v>
      </c>
      <c r="O9203" s="356">
        <v>0</v>
      </c>
      <c r="P9203" s="362">
        <v>4.7916E-3</v>
      </c>
      <c r="Q9203" s="356" t="s">
        <v>154</v>
      </c>
    </row>
    <row r="9204" spans="1:17" ht="96" x14ac:dyDescent="0.25">
      <c r="A9204" s="314">
        <v>44648</v>
      </c>
      <c r="B9204" s="314">
        <v>44648</v>
      </c>
      <c r="C9204" s="315">
        <v>2022</v>
      </c>
      <c r="D9204" s="24" t="s">
        <v>141</v>
      </c>
      <c r="E9204" s="316" t="s">
        <v>142</v>
      </c>
      <c r="F9204" s="317" t="s">
        <v>60</v>
      </c>
      <c r="G9204" s="317" t="s">
        <v>1256</v>
      </c>
      <c r="H9204" s="318" t="s">
        <v>12405</v>
      </c>
      <c r="I9204" s="317">
        <v>0</v>
      </c>
      <c r="J9204" s="356">
        <v>35</v>
      </c>
      <c r="K9204" s="356">
        <v>0</v>
      </c>
      <c r="L9204" s="356">
        <v>0</v>
      </c>
      <c r="M9204" s="356">
        <v>0</v>
      </c>
      <c r="N9204" s="356">
        <v>0</v>
      </c>
      <c r="O9204" s="356">
        <v>0</v>
      </c>
      <c r="P9204" s="362">
        <v>4.1926499999999998E-2</v>
      </c>
      <c r="Q9204" s="356" t="s">
        <v>154</v>
      </c>
    </row>
    <row r="9205" spans="1:17" ht="72" x14ac:dyDescent="0.25">
      <c r="A9205" s="314">
        <v>44648</v>
      </c>
      <c r="B9205" s="314">
        <v>44648</v>
      </c>
      <c r="C9205" s="315">
        <v>2022</v>
      </c>
      <c r="D9205" s="35" t="s">
        <v>28</v>
      </c>
      <c r="E9205" s="316" t="s">
        <v>149</v>
      </c>
      <c r="F9205" s="317" t="s">
        <v>72</v>
      </c>
      <c r="G9205" s="317" t="s">
        <v>12406</v>
      </c>
      <c r="H9205" s="318" t="s">
        <v>12407</v>
      </c>
      <c r="I9205" s="317">
        <v>6</v>
      </c>
      <c r="J9205" s="356">
        <v>6</v>
      </c>
      <c r="K9205" s="356">
        <v>1</v>
      </c>
      <c r="L9205" s="356">
        <v>0</v>
      </c>
      <c r="M9205" s="356">
        <v>0</v>
      </c>
      <c r="N9205" s="356">
        <v>0</v>
      </c>
      <c r="O9205" s="356">
        <v>0</v>
      </c>
      <c r="P9205" s="362">
        <v>0.15246000000000001</v>
      </c>
      <c r="Q9205" s="356" t="s">
        <v>154</v>
      </c>
    </row>
    <row r="9206" spans="1:17" ht="120" x14ac:dyDescent="0.25">
      <c r="A9206" s="314">
        <v>44648</v>
      </c>
      <c r="B9206" s="314">
        <v>44648</v>
      </c>
      <c r="C9206" s="315">
        <v>2022</v>
      </c>
      <c r="D9206" s="35" t="s">
        <v>28</v>
      </c>
      <c r="E9206" s="316" t="s">
        <v>149</v>
      </c>
      <c r="F9206" s="317" t="s">
        <v>160</v>
      </c>
      <c r="G9206" s="317" t="s">
        <v>2822</v>
      </c>
      <c r="H9206" s="318" t="s">
        <v>12408</v>
      </c>
      <c r="I9206" s="317">
        <v>0</v>
      </c>
      <c r="J9206" s="356">
        <v>20</v>
      </c>
      <c r="K9206" s="356">
        <v>0</v>
      </c>
      <c r="L9206" s="356">
        <v>0</v>
      </c>
      <c r="M9206" s="356">
        <v>0</v>
      </c>
      <c r="N9206" s="356">
        <v>0</v>
      </c>
      <c r="O9206" s="356">
        <v>0</v>
      </c>
      <c r="P9206" s="362">
        <v>0.87699000000000005</v>
      </c>
      <c r="Q9206" s="356" t="s">
        <v>154</v>
      </c>
    </row>
    <row r="9207" spans="1:17" ht="120" x14ac:dyDescent="0.25">
      <c r="A9207" s="314">
        <v>44649</v>
      </c>
      <c r="B9207" s="314">
        <v>44650</v>
      </c>
      <c r="C9207" s="315">
        <v>2022</v>
      </c>
      <c r="D9207" s="24" t="s">
        <v>141</v>
      </c>
      <c r="E9207" s="316" t="s">
        <v>142</v>
      </c>
      <c r="F9207" s="317" t="s">
        <v>210</v>
      </c>
      <c r="G9207" s="319" t="s">
        <v>12409</v>
      </c>
      <c r="H9207" s="318" t="s">
        <v>12410</v>
      </c>
      <c r="I9207" s="317">
        <v>2</v>
      </c>
      <c r="J9207" s="356">
        <v>17</v>
      </c>
      <c r="K9207" s="356">
        <v>0</v>
      </c>
      <c r="L9207" s="356">
        <v>0</v>
      </c>
      <c r="M9207" s="356">
        <v>0</v>
      </c>
      <c r="N9207" s="356">
        <v>0</v>
      </c>
      <c r="O9207" s="356">
        <v>0</v>
      </c>
      <c r="P9207" s="362">
        <v>1.7968499999999998E-2</v>
      </c>
      <c r="Q9207" s="356" t="s">
        <v>154</v>
      </c>
    </row>
    <row r="9208" spans="1:17" ht="120.75" x14ac:dyDescent="0.25">
      <c r="A9208" s="321">
        <v>44651</v>
      </c>
      <c r="B9208" s="321">
        <v>44652</v>
      </c>
      <c r="C9208" s="315">
        <v>2022</v>
      </c>
      <c r="D9208" s="24" t="s">
        <v>141</v>
      </c>
      <c r="E9208" s="316" t="s">
        <v>142</v>
      </c>
      <c r="F9208" s="7" t="s">
        <v>53</v>
      </c>
      <c r="G9208" s="317" t="s">
        <v>1304</v>
      </c>
      <c r="H9208" s="348" t="s">
        <v>12411</v>
      </c>
      <c r="I9208" s="317">
        <v>0</v>
      </c>
      <c r="J9208" s="356">
        <v>12</v>
      </c>
      <c r="K9208" s="356">
        <v>0</v>
      </c>
      <c r="L9208" s="356">
        <v>0</v>
      </c>
      <c r="M9208" s="356">
        <v>0</v>
      </c>
      <c r="N9208" s="356">
        <v>0</v>
      </c>
      <c r="O9208" s="356">
        <v>0</v>
      </c>
      <c r="P9208" s="362">
        <v>0.10078332000000001</v>
      </c>
      <c r="Q9208" s="356" t="s">
        <v>154</v>
      </c>
    </row>
    <row r="9209" spans="1:17" ht="132.75" x14ac:dyDescent="0.25">
      <c r="A9209" s="314">
        <v>44653</v>
      </c>
      <c r="B9209" s="314">
        <v>44653</v>
      </c>
      <c r="C9209" s="315">
        <v>2022</v>
      </c>
      <c r="D9209" s="24" t="s">
        <v>141</v>
      </c>
      <c r="E9209" s="316" t="s">
        <v>142</v>
      </c>
      <c r="F9209" s="317" t="s">
        <v>56</v>
      </c>
      <c r="G9209" s="317" t="s">
        <v>351</v>
      </c>
      <c r="H9209" s="348" t="s">
        <v>12412</v>
      </c>
      <c r="I9209" s="317">
        <v>0</v>
      </c>
      <c r="J9209" s="356">
        <v>17</v>
      </c>
      <c r="K9209" s="356">
        <v>0</v>
      </c>
      <c r="L9209" s="356">
        <v>0</v>
      </c>
      <c r="M9209" s="356">
        <v>0</v>
      </c>
      <c r="N9209" s="356">
        <v>0</v>
      </c>
      <c r="O9209" s="356">
        <v>0</v>
      </c>
      <c r="P9209" s="362">
        <v>9.9389155273775778</v>
      </c>
      <c r="Q9209" s="356" t="s">
        <v>154</v>
      </c>
    </row>
    <row r="9210" spans="1:17" ht="108.75" x14ac:dyDescent="0.25">
      <c r="A9210" s="314">
        <v>44654</v>
      </c>
      <c r="B9210" s="314">
        <v>44654</v>
      </c>
      <c r="C9210" s="315">
        <v>2022</v>
      </c>
      <c r="D9210" s="24" t="s">
        <v>141</v>
      </c>
      <c r="E9210" s="316" t="s">
        <v>447</v>
      </c>
      <c r="F9210" s="28" t="s">
        <v>157</v>
      </c>
      <c r="G9210" s="317" t="s">
        <v>526</v>
      </c>
      <c r="H9210" s="348" t="s">
        <v>12413</v>
      </c>
      <c r="I9210" s="317">
        <v>0</v>
      </c>
      <c r="J9210" s="356">
        <v>11</v>
      </c>
      <c r="K9210" s="356">
        <v>0</v>
      </c>
      <c r="L9210" s="356">
        <v>0</v>
      </c>
      <c r="M9210" s="356">
        <v>0</v>
      </c>
      <c r="N9210" s="356">
        <v>0</v>
      </c>
      <c r="O9210" s="356">
        <v>0</v>
      </c>
      <c r="P9210" s="362">
        <v>3.5937000000000005E-3</v>
      </c>
      <c r="Q9210" s="356" t="s">
        <v>154</v>
      </c>
    </row>
    <row r="9211" spans="1:17" ht="84" x14ac:dyDescent="0.25">
      <c r="A9211" s="314">
        <v>44654</v>
      </c>
      <c r="B9211" s="314">
        <v>44654</v>
      </c>
      <c r="C9211" s="315">
        <v>2022</v>
      </c>
      <c r="D9211" s="351" t="s">
        <v>23</v>
      </c>
      <c r="E9211" s="316" t="s">
        <v>323</v>
      </c>
      <c r="F9211" s="317" t="s">
        <v>160</v>
      </c>
      <c r="G9211" s="317" t="s">
        <v>3649</v>
      </c>
      <c r="H9211" s="318" t="s">
        <v>12414</v>
      </c>
      <c r="I9211" s="317">
        <v>0</v>
      </c>
      <c r="J9211" s="356">
        <v>49</v>
      </c>
      <c r="K9211" s="356">
        <v>0</v>
      </c>
      <c r="L9211" s="356">
        <v>0</v>
      </c>
      <c r="M9211" s="356">
        <v>0</v>
      </c>
      <c r="N9211" s="356">
        <v>1</v>
      </c>
      <c r="O9211" s="356">
        <v>0</v>
      </c>
      <c r="P9211" s="362">
        <v>2.15622E-2</v>
      </c>
      <c r="Q9211" s="356" t="s">
        <v>154</v>
      </c>
    </row>
    <row r="9212" spans="1:17" ht="72" x14ac:dyDescent="0.25">
      <c r="A9212" s="314">
        <v>44655</v>
      </c>
      <c r="B9212" s="314">
        <v>44655</v>
      </c>
      <c r="C9212" s="315">
        <v>2022</v>
      </c>
      <c r="D9212" s="24" t="s">
        <v>141</v>
      </c>
      <c r="E9212" s="316" t="s">
        <v>142</v>
      </c>
      <c r="F9212" s="7" t="s">
        <v>75</v>
      </c>
      <c r="G9212" s="317" t="s">
        <v>75</v>
      </c>
      <c r="H9212" s="318" t="s">
        <v>12415</v>
      </c>
      <c r="I9212" s="317">
        <v>0</v>
      </c>
      <c r="J9212" s="356">
        <v>14</v>
      </c>
      <c r="K9212" s="356">
        <v>0</v>
      </c>
      <c r="L9212" s="356">
        <v>0</v>
      </c>
      <c r="M9212" s="356">
        <v>0</v>
      </c>
      <c r="N9212" s="356">
        <v>0</v>
      </c>
      <c r="O9212" s="356">
        <v>0</v>
      </c>
      <c r="P9212" s="362">
        <v>9.0002220000000008E-2</v>
      </c>
      <c r="Q9212" s="356" t="s">
        <v>154</v>
      </c>
    </row>
    <row r="9213" spans="1:17" ht="120" x14ac:dyDescent="0.25">
      <c r="A9213" s="314">
        <v>44656</v>
      </c>
      <c r="B9213" s="314">
        <v>44656</v>
      </c>
      <c r="C9213" s="315">
        <v>2022</v>
      </c>
      <c r="D9213" s="24" t="s">
        <v>141</v>
      </c>
      <c r="E9213" s="316" t="s">
        <v>142</v>
      </c>
      <c r="F9213" s="317" t="s">
        <v>40</v>
      </c>
      <c r="G9213" s="317" t="s">
        <v>573</v>
      </c>
      <c r="H9213" s="318" t="s">
        <v>12416</v>
      </c>
      <c r="I9213" s="317">
        <v>0</v>
      </c>
      <c r="J9213" s="356">
        <v>40</v>
      </c>
      <c r="K9213" s="356">
        <v>0</v>
      </c>
      <c r="L9213" s="356">
        <v>0</v>
      </c>
      <c r="M9213" s="356">
        <v>0</v>
      </c>
      <c r="N9213" s="356">
        <v>0</v>
      </c>
      <c r="O9213" s="356">
        <v>0</v>
      </c>
      <c r="P9213" s="362">
        <v>9.9585420000000008E-2</v>
      </c>
      <c r="Q9213" s="356" t="s">
        <v>154</v>
      </c>
    </row>
    <row r="9214" spans="1:17" ht="108" x14ac:dyDescent="0.25">
      <c r="A9214" s="314">
        <v>44656</v>
      </c>
      <c r="B9214" s="314">
        <v>44656</v>
      </c>
      <c r="C9214" s="315">
        <v>2022</v>
      </c>
      <c r="D9214" s="24" t="s">
        <v>141</v>
      </c>
      <c r="E9214" s="316" t="s">
        <v>142</v>
      </c>
      <c r="F9214" s="7" t="s">
        <v>77</v>
      </c>
      <c r="G9214" s="317" t="s">
        <v>9607</v>
      </c>
      <c r="H9214" s="318" t="s">
        <v>12417</v>
      </c>
      <c r="I9214" s="317">
        <v>0</v>
      </c>
      <c r="J9214" s="356">
        <v>1</v>
      </c>
      <c r="K9214" s="356">
        <v>0</v>
      </c>
      <c r="L9214" s="356">
        <v>0</v>
      </c>
      <c r="M9214" s="356">
        <v>0</v>
      </c>
      <c r="N9214" s="356">
        <v>0</v>
      </c>
      <c r="O9214" s="356">
        <v>0</v>
      </c>
      <c r="P9214" s="362">
        <v>0.27153207886046604</v>
      </c>
      <c r="Q9214" s="356" t="s">
        <v>154</v>
      </c>
    </row>
    <row r="9215" spans="1:17" ht="108" x14ac:dyDescent="0.25">
      <c r="A9215" s="314">
        <v>44657</v>
      </c>
      <c r="B9215" s="314">
        <v>44657</v>
      </c>
      <c r="C9215" s="315">
        <v>2022</v>
      </c>
      <c r="D9215" s="24" t="s">
        <v>141</v>
      </c>
      <c r="E9215" s="316" t="s">
        <v>142</v>
      </c>
      <c r="F9215" s="317" t="s">
        <v>91</v>
      </c>
      <c r="G9215" s="317" t="s">
        <v>2321</v>
      </c>
      <c r="H9215" s="318" t="s">
        <v>12418</v>
      </c>
      <c r="I9215" s="317">
        <v>0</v>
      </c>
      <c r="J9215" s="356">
        <v>13</v>
      </c>
      <c r="K9215" s="356">
        <v>0</v>
      </c>
      <c r="L9215" s="356">
        <v>0</v>
      </c>
      <c r="M9215" s="356">
        <v>0</v>
      </c>
      <c r="N9215" s="356">
        <v>0</v>
      </c>
      <c r="O9215" s="356">
        <v>0</v>
      </c>
      <c r="P9215" s="362">
        <v>0.10198122</v>
      </c>
      <c r="Q9215" s="356" t="s">
        <v>154</v>
      </c>
    </row>
    <row r="9216" spans="1:17" ht="96" x14ac:dyDescent="0.25">
      <c r="A9216" s="314">
        <v>44658</v>
      </c>
      <c r="B9216" s="314">
        <v>44658</v>
      </c>
      <c r="C9216" s="315">
        <v>2022</v>
      </c>
      <c r="D9216" s="24" t="s">
        <v>141</v>
      </c>
      <c r="E9216" s="316" t="s">
        <v>142</v>
      </c>
      <c r="F9216" s="28" t="s">
        <v>157</v>
      </c>
      <c r="G9216" s="317" t="s">
        <v>12419</v>
      </c>
      <c r="H9216" s="318" t="s">
        <v>12420</v>
      </c>
      <c r="I9216" s="317">
        <v>0</v>
      </c>
      <c r="J9216" s="356">
        <v>60</v>
      </c>
      <c r="K9216" s="356">
        <v>0</v>
      </c>
      <c r="L9216" s="356">
        <v>0</v>
      </c>
      <c r="M9216" s="356">
        <v>0</v>
      </c>
      <c r="N9216" s="356">
        <v>0</v>
      </c>
      <c r="O9216" s="356">
        <v>0</v>
      </c>
      <c r="P9216" s="362">
        <v>5.9895E-3</v>
      </c>
      <c r="Q9216" s="356" t="s">
        <v>154</v>
      </c>
    </row>
    <row r="9217" spans="1:17" ht="48" x14ac:dyDescent="0.25">
      <c r="A9217" s="322">
        <v>44660</v>
      </c>
      <c r="B9217" s="322">
        <v>44660</v>
      </c>
      <c r="C9217" s="315">
        <v>2022</v>
      </c>
      <c r="D9217" s="35" t="s">
        <v>28</v>
      </c>
      <c r="E9217" s="316" t="s">
        <v>149</v>
      </c>
      <c r="F9217" s="28" t="s">
        <v>157</v>
      </c>
      <c r="G9217" s="317" t="s">
        <v>12421</v>
      </c>
      <c r="H9217" s="318" t="s">
        <v>12422</v>
      </c>
      <c r="I9217" s="317">
        <v>0</v>
      </c>
      <c r="J9217" s="356">
        <v>50</v>
      </c>
      <c r="K9217" s="356">
        <v>1</v>
      </c>
      <c r="L9217" s="356">
        <v>0</v>
      </c>
      <c r="M9217" s="356">
        <v>0</v>
      </c>
      <c r="N9217" s="356">
        <v>0</v>
      </c>
      <c r="O9217" s="356">
        <v>0</v>
      </c>
      <c r="P9217" s="362">
        <v>6.98775E-3</v>
      </c>
      <c r="Q9217" s="356" t="s">
        <v>154</v>
      </c>
    </row>
    <row r="9218" spans="1:17" ht="36" x14ac:dyDescent="0.25">
      <c r="A9218" s="314">
        <v>44660</v>
      </c>
      <c r="B9218" s="314">
        <v>44660</v>
      </c>
      <c r="C9218" s="315">
        <v>2022</v>
      </c>
      <c r="D9218" s="351" t="s">
        <v>23</v>
      </c>
      <c r="E9218" s="316" t="s">
        <v>5893</v>
      </c>
      <c r="F9218" s="317" t="s">
        <v>160</v>
      </c>
      <c r="G9218" s="317" t="s">
        <v>12423</v>
      </c>
      <c r="H9218" s="318" t="s">
        <v>12424</v>
      </c>
      <c r="I9218" s="317">
        <v>0</v>
      </c>
      <c r="J9218" s="356">
        <v>46</v>
      </c>
      <c r="K9218" s="356">
        <v>11</v>
      </c>
      <c r="L9218" s="356">
        <v>0</v>
      </c>
      <c r="M9218" s="356">
        <v>0</v>
      </c>
      <c r="N9218" s="356">
        <v>0</v>
      </c>
      <c r="O9218" s="356">
        <v>0</v>
      </c>
      <c r="P9218" s="362">
        <v>6.3857750000000005E-2</v>
      </c>
      <c r="Q9218" s="356" t="s">
        <v>154</v>
      </c>
    </row>
    <row r="9219" spans="1:17" ht="48" x14ac:dyDescent="0.25">
      <c r="A9219" s="314">
        <v>44659</v>
      </c>
      <c r="B9219" s="314">
        <v>44660</v>
      </c>
      <c r="C9219" s="315">
        <v>2022</v>
      </c>
      <c r="D9219" s="351" t="s">
        <v>23</v>
      </c>
      <c r="E9219" s="316" t="s">
        <v>86</v>
      </c>
      <c r="F9219" s="317" t="s">
        <v>781</v>
      </c>
      <c r="G9219" s="317" t="s">
        <v>2584</v>
      </c>
      <c r="H9219" s="318" t="s">
        <v>12425</v>
      </c>
      <c r="I9219" s="317">
        <v>0</v>
      </c>
      <c r="J9219" s="356">
        <v>180</v>
      </c>
      <c r="K9219" s="356">
        <v>45</v>
      </c>
      <c r="L9219" s="356">
        <v>0</v>
      </c>
      <c r="M9219" s="356">
        <v>0</v>
      </c>
      <c r="N9219" s="356">
        <v>0</v>
      </c>
      <c r="O9219" s="356">
        <v>0</v>
      </c>
      <c r="P9219" s="362">
        <v>0.31444875</v>
      </c>
      <c r="Q9219" s="356" t="s">
        <v>154</v>
      </c>
    </row>
    <row r="9220" spans="1:17" ht="276" x14ac:dyDescent="0.25">
      <c r="A9220" s="314">
        <v>44665</v>
      </c>
      <c r="B9220" s="314">
        <v>44665</v>
      </c>
      <c r="C9220" s="315">
        <v>2022</v>
      </c>
      <c r="D9220" s="35" t="s">
        <v>28</v>
      </c>
      <c r="E9220" s="316" t="s">
        <v>149</v>
      </c>
      <c r="F9220" s="317" t="s">
        <v>56</v>
      </c>
      <c r="G9220" s="317" t="s">
        <v>358</v>
      </c>
      <c r="H9220" s="318" t="s">
        <v>12426</v>
      </c>
      <c r="I9220" s="317">
        <v>0</v>
      </c>
      <c r="J9220" s="356">
        <v>41</v>
      </c>
      <c r="K9220" s="356">
        <v>0</v>
      </c>
      <c r="L9220" s="356">
        <v>0</v>
      </c>
      <c r="M9220" s="356">
        <v>0</v>
      </c>
      <c r="N9220" s="356">
        <v>1</v>
      </c>
      <c r="O9220" s="356">
        <v>0</v>
      </c>
      <c r="P9220" s="362">
        <v>0</v>
      </c>
      <c r="Q9220" s="356" t="s">
        <v>154</v>
      </c>
    </row>
    <row r="9221" spans="1:17" ht="84" x14ac:dyDescent="0.25">
      <c r="A9221" s="314">
        <v>44665</v>
      </c>
      <c r="B9221" s="314">
        <v>44665</v>
      </c>
      <c r="C9221" s="315">
        <v>2022</v>
      </c>
      <c r="D9221" s="35" t="s">
        <v>28</v>
      </c>
      <c r="E9221" s="316" t="s">
        <v>149</v>
      </c>
      <c r="F9221" s="28" t="s">
        <v>157</v>
      </c>
      <c r="G9221" s="317" t="s">
        <v>1062</v>
      </c>
      <c r="H9221" s="318" t="s">
        <v>12427</v>
      </c>
      <c r="I9221" s="317">
        <v>0</v>
      </c>
      <c r="J9221" s="356">
        <v>70</v>
      </c>
      <c r="K9221" s="356">
        <v>1</v>
      </c>
      <c r="L9221" s="356">
        <v>0</v>
      </c>
      <c r="M9221" s="356">
        <v>0</v>
      </c>
      <c r="N9221" s="356">
        <v>0</v>
      </c>
      <c r="O9221" s="356">
        <v>0</v>
      </c>
      <c r="P9221" s="362">
        <v>3.5574000000000001E-2</v>
      </c>
      <c r="Q9221" s="356" t="s">
        <v>154</v>
      </c>
    </row>
    <row r="9222" spans="1:17" ht="108" x14ac:dyDescent="0.25">
      <c r="A9222" s="314">
        <v>44664</v>
      </c>
      <c r="B9222" s="314">
        <v>44664</v>
      </c>
      <c r="C9222" s="315">
        <v>2022</v>
      </c>
      <c r="D9222" s="35" t="s">
        <v>28</v>
      </c>
      <c r="E9222" s="316" t="s">
        <v>149</v>
      </c>
      <c r="F9222" s="317" t="s">
        <v>781</v>
      </c>
      <c r="G9222" s="317" t="s">
        <v>2337</v>
      </c>
      <c r="H9222" s="318" t="s">
        <v>12428</v>
      </c>
      <c r="I9222" s="317">
        <v>0</v>
      </c>
      <c r="J9222" s="356">
        <v>8</v>
      </c>
      <c r="K9222" s="356">
        <v>0</v>
      </c>
      <c r="L9222" s="356">
        <v>0</v>
      </c>
      <c r="M9222" s="356">
        <v>0</v>
      </c>
      <c r="N9222" s="356">
        <v>0</v>
      </c>
      <c r="O9222" s="356">
        <v>0</v>
      </c>
      <c r="P9222" s="362">
        <v>10.937968</v>
      </c>
      <c r="Q9222" s="356" t="s">
        <v>154</v>
      </c>
    </row>
    <row r="9223" spans="1:17" ht="120" x14ac:dyDescent="0.25">
      <c r="A9223" s="314">
        <v>44662</v>
      </c>
      <c r="B9223" s="314">
        <v>44662</v>
      </c>
      <c r="C9223" s="315">
        <v>2022</v>
      </c>
      <c r="D9223" s="35" t="s">
        <v>28</v>
      </c>
      <c r="E9223" s="316" t="s">
        <v>133</v>
      </c>
      <c r="F9223" s="317" t="s">
        <v>210</v>
      </c>
      <c r="G9223" s="319" t="s">
        <v>12429</v>
      </c>
      <c r="H9223" s="318" t="s">
        <v>12430</v>
      </c>
      <c r="I9223" s="317">
        <v>0</v>
      </c>
      <c r="J9223" s="356">
        <v>80</v>
      </c>
      <c r="K9223" s="356">
        <v>4</v>
      </c>
      <c r="L9223" s="356">
        <v>0</v>
      </c>
      <c r="M9223" s="356">
        <v>0</v>
      </c>
      <c r="N9223" s="356">
        <v>1</v>
      </c>
      <c r="O9223" s="356">
        <v>0</v>
      </c>
      <c r="P9223" s="362">
        <v>0.11370975</v>
      </c>
      <c r="Q9223" s="356" t="s">
        <v>154</v>
      </c>
    </row>
    <row r="9224" spans="1:17" ht="84" x14ac:dyDescent="0.25">
      <c r="A9224" s="314">
        <v>44671</v>
      </c>
      <c r="B9224" s="314">
        <v>44671</v>
      </c>
      <c r="C9224" s="315">
        <v>2022</v>
      </c>
      <c r="D9224" s="24" t="s">
        <v>141</v>
      </c>
      <c r="E9224" s="316" t="s">
        <v>142</v>
      </c>
      <c r="F9224" s="317" t="s">
        <v>210</v>
      </c>
      <c r="G9224" s="319" t="s">
        <v>8984</v>
      </c>
      <c r="H9224" s="318" t="s">
        <v>12431</v>
      </c>
      <c r="I9224" s="317">
        <v>2</v>
      </c>
      <c r="J9224" s="356">
        <v>7</v>
      </c>
      <c r="K9224" s="356">
        <v>0</v>
      </c>
      <c r="L9224" s="356">
        <v>0</v>
      </c>
      <c r="M9224" s="356">
        <v>0</v>
      </c>
      <c r="N9224" s="356">
        <v>0</v>
      </c>
      <c r="O9224" s="356">
        <v>0</v>
      </c>
      <c r="P9224" s="362">
        <v>0.15605370000000002</v>
      </c>
      <c r="Q9224" s="356" t="s">
        <v>154</v>
      </c>
    </row>
    <row r="9225" spans="1:17" ht="132" x14ac:dyDescent="0.25">
      <c r="A9225" s="314">
        <v>44670</v>
      </c>
      <c r="B9225" s="314">
        <v>44670</v>
      </c>
      <c r="C9225" s="315">
        <v>2022</v>
      </c>
      <c r="D9225" s="351" t="s">
        <v>23</v>
      </c>
      <c r="E9225" s="316" t="s">
        <v>52</v>
      </c>
      <c r="F9225" s="7" t="s">
        <v>53</v>
      </c>
      <c r="G9225" s="317" t="s">
        <v>12432</v>
      </c>
      <c r="H9225" s="318" t="s">
        <v>12433</v>
      </c>
      <c r="I9225" s="317">
        <v>0</v>
      </c>
      <c r="J9225" s="356">
        <v>80</v>
      </c>
      <c r="K9225" s="356">
        <v>25</v>
      </c>
      <c r="L9225" s="356">
        <v>0</v>
      </c>
      <c r="M9225" s="356">
        <v>0</v>
      </c>
      <c r="N9225" s="356">
        <v>0</v>
      </c>
      <c r="O9225" s="356">
        <v>0</v>
      </c>
      <c r="P9225" s="362">
        <v>3.3350625000000002E-2</v>
      </c>
      <c r="Q9225" s="356" t="s">
        <v>154</v>
      </c>
    </row>
    <row r="9226" spans="1:17" ht="108" x14ac:dyDescent="0.25">
      <c r="A9226" s="314">
        <v>44671</v>
      </c>
      <c r="B9226" s="314">
        <v>44672</v>
      </c>
      <c r="C9226" s="315">
        <v>2022</v>
      </c>
      <c r="D9226" s="24" t="s">
        <v>141</v>
      </c>
      <c r="E9226" s="316" t="s">
        <v>142</v>
      </c>
      <c r="F9226" s="317" t="s">
        <v>72</v>
      </c>
      <c r="G9226" s="317" t="s">
        <v>12434</v>
      </c>
      <c r="H9226" s="318" t="s">
        <v>12435</v>
      </c>
      <c r="I9226" s="317">
        <v>1</v>
      </c>
      <c r="J9226" s="356">
        <v>6</v>
      </c>
      <c r="K9226" s="356">
        <v>0</v>
      </c>
      <c r="L9226" s="356">
        <v>0</v>
      </c>
      <c r="M9226" s="356">
        <v>0</v>
      </c>
      <c r="N9226" s="356">
        <v>0</v>
      </c>
      <c r="O9226" s="356">
        <v>0</v>
      </c>
      <c r="P9226" s="362">
        <v>0.16909750000000001</v>
      </c>
      <c r="Q9226" s="356" t="s">
        <v>154</v>
      </c>
    </row>
    <row r="9227" spans="1:17" ht="228" x14ac:dyDescent="0.25">
      <c r="A9227" s="314">
        <v>44672</v>
      </c>
      <c r="B9227" s="314">
        <v>44673</v>
      </c>
      <c r="C9227" s="315">
        <v>2022</v>
      </c>
      <c r="D9227" s="24" t="s">
        <v>141</v>
      </c>
      <c r="E9227" s="316" t="s">
        <v>142</v>
      </c>
      <c r="F9227" s="317" t="s">
        <v>67</v>
      </c>
      <c r="G9227" s="317" t="s">
        <v>12436</v>
      </c>
      <c r="H9227" s="318" t="s">
        <v>12437</v>
      </c>
      <c r="I9227" s="317">
        <v>0</v>
      </c>
      <c r="J9227" s="356">
        <v>16</v>
      </c>
      <c r="K9227" s="356">
        <v>0</v>
      </c>
      <c r="L9227" s="356">
        <v>0</v>
      </c>
      <c r="M9227" s="356">
        <v>0</v>
      </c>
      <c r="N9227" s="356">
        <v>0</v>
      </c>
      <c r="O9227" s="356">
        <v>0</v>
      </c>
      <c r="P9227" s="362">
        <v>0.1822744</v>
      </c>
      <c r="Q9227" s="356" t="s">
        <v>154</v>
      </c>
    </row>
    <row r="9228" spans="1:17" ht="156" x14ac:dyDescent="0.25">
      <c r="A9228" s="314">
        <v>44673</v>
      </c>
      <c r="B9228" s="314">
        <v>44673</v>
      </c>
      <c r="C9228" s="315">
        <v>2022</v>
      </c>
      <c r="D9228" s="24" t="s">
        <v>141</v>
      </c>
      <c r="E9228" s="316" t="s">
        <v>142</v>
      </c>
      <c r="F9228" s="317" t="s">
        <v>72</v>
      </c>
      <c r="G9228" s="317" t="s">
        <v>9686</v>
      </c>
      <c r="H9228" s="318" t="s">
        <v>12438</v>
      </c>
      <c r="I9228" s="317">
        <v>7</v>
      </c>
      <c r="J9228" s="356">
        <v>30</v>
      </c>
      <c r="K9228" s="356">
        <v>0</v>
      </c>
      <c r="L9228" s="356">
        <v>0</v>
      </c>
      <c r="M9228" s="356">
        <v>0</v>
      </c>
      <c r="N9228" s="356">
        <v>0</v>
      </c>
      <c r="O9228" s="356">
        <v>0</v>
      </c>
      <c r="P9228" s="362">
        <v>0.11156442000000001</v>
      </c>
      <c r="Q9228" s="356" t="s">
        <v>154</v>
      </c>
    </row>
    <row r="9229" spans="1:17" ht="108" x14ac:dyDescent="0.25">
      <c r="A9229" s="314">
        <v>44671</v>
      </c>
      <c r="B9229" s="314">
        <v>44671</v>
      </c>
      <c r="C9229" s="315">
        <v>2022</v>
      </c>
      <c r="D9229" s="35" t="s">
        <v>28</v>
      </c>
      <c r="E9229" s="316" t="s">
        <v>149</v>
      </c>
      <c r="F9229" s="317" t="s">
        <v>56</v>
      </c>
      <c r="G9229" s="317" t="s">
        <v>6919</v>
      </c>
      <c r="H9229" s="318" t="s">
        <v>12439</v>
      </c>
      <c r="I9229" s="317">
        <v>0</v>
      </c>
      <c r="J9229" s="356">
        <v>4</v>
      </c>
      <c r="K9229" s="356">
        <v>1</v>
      </c>
      <c r="L9229" s="356">
        <v>0</v>
      </c>
      <c r="M9229" s="356">
        <v>0</v>
      </c>
      <c r="N9229" s="356">
        <v>0</v>
      </c>
      <c r="O9229" s="356">
        <v>0</v>
      </c>
      <c r="P9229" s="362">
        <v>3.5574000000000001E-2</v>
      </c>
      <c r="Q9229" s="356" t="s">
        <v>154</v>
      </c>
    </row>
    <row r="9230" spans="1:17" ht="264" x14ac:dyDescent="0.25">
      <c r="A9230" s="314">
        <v>44672</v>
      </c>
      <c r="B9230" s="314">
        <v>44673</v>
      </c>
      <c r="C9230" s="315">
        <v>2022</v>
      </c>
      <c r="D9230" s="351" t="s">
        <v>23</v>
      </c>
      <c r="E9230" s="316" t="s">
        <v>5893</v>
      </c>
      <c r="F9230" s="7" t="s">
        <v>75</v>
      </c>
      <c r="G9230" s="317" t="s">
        <v>12440</v>
      </c>
      <c r="H9230" s="323" t="s">
        <v>12441</v>
      </c>
      <c r="I9230" s="317">
        <v>0</v>
      </c>
      <c r="J9230" s="356">
        <v>44</v>
      </c>
      <c r="K9230" s="356">
        <v>8</v>
      </c>
      <c r="L9230" s="356">
        <v>0</v>
      </c>
      <c r="M9230" s="356">
        <v>0</v>
      </c>
      <c r="N9230" s="356">
        <v>0</v>
      </c>
      <c r="O9230" s="356">
        <v>500</v>
      </c>
      <c r="P9230" s="362">
        <v>4.5949750000000003E-3</v>
      </c>
      <c r="Q9230" s="356" t="s">
        <v>154</v>
      </c>
    </row>
    <row r="9231" spans="1:17" ht="108" x14ac:dyDescent="0.25">
      <c r="A9231" s="314">
        <v>44673</v>
      </c>
      <c r="B9231" s="314">
        <v>44673</v>
      </c>
      <c r="C9231" s="315">
        <v>2022</v>
      </c>
      <c r="D9231" s="35" t="s">
        <v>28</v>
      </c>
      <c r="E9231" s="316" t="s">
        <v>133</v>
      </c>
      <c r="F9231" s="317" t="s">
        <v>25</v>
      </c>
      <c r="G9231" s="317" t="s">
        <v>25</v>
      </c>
      <c r="H9231" s="323" t="s">
        <v>12442</v>
      </c>
      <c r="I9231" s="317">
        <v>3</v>
      </c>
      <c r="J9231" s="356">
        <v>3</v>
      </c>
      <c r="K9231" s="356">
        <v>0</v>
      </c>
      <c r="L9231" s="356">
        <v>0</v>
      </c>
      <c r="M9231" s="356">
        <v>0</v>
      </c>
      <c r="N9231" s="356">
        <v>0</v>
      </c>
      <c r="O9231" s="356">
        <v>0</v>
      </c>
      <c r="P9231" s="362">
        <v>0</v>
      </c>
      <c r="Q9231" s="356" t="s">
        <v>154</v>
      </c>
    </row>
    <row r="9232" spans="1:17" ht="108" x14ac:dyDescent="0.25">
      <c r="A9232" s="314">
        <v>44674</v>
      </c>
      <c r="B9232" s="314">
        <v>44674</v>
      </c>
      <c r="C9232" s="315">
        <v>2022</v>
      </c>
      <c r="D9232" s="24" t="s">
        <v>141</v>
      </c>
      <c r="E9232" s="316" t="s">
        <v>142</v>
      </c>
      <c r="F9232" s="317" t="s">
        <v>33</v>
      </c>
      <c r="G9232" s="317" t="s">
        <v>10797</v>
      </c>
      <c r="H9232" s="324" t="s">
        <v>12443</v>
      </c>
      <c r="I9232" s="317">
        <v>0</v>
      </c>
      <c r="J9232" s="356">
        <v>6</v>
      </c>
      <c r="K9232" s="356">
        <v>0</v>
      </c>
      <c r="L9232" s="356">
        <v>0</v>
      </c>
      <c r="M9232" s="356">
        <v>0</v>
      </c>
      <c r="N9232" s="356">
        <v>0</v>
      </c>
      <c r="O9232" s="356">
        <v>0</v>
      </c>
      <c r="P9232" s="362">
        <v>0.18000444000000002</v>
      </c>
      <c r="Q9232" s="356" t="s">
        <v>154</v>
      </c>
    </row>
    <row r="9233" spans="1:17" ht="144" x14ac:dyDescent="0.25">
      <c r="A9233" s="314">
        <v>44674</v>
      </c>
      <c r="B9233" s="314">
        <v>44674</v>
      </c>
      <c r="C9233" s="315">
        <v>2022</v>
      </c>
      <c r="D9233" s="24" t="s">
        <v>141</v>
      </c>
      <c r="E9233" s="316" t="s">
        <v>142</v>
      </c>
      <c r="F9233" s="317" t="s">
        <v>68</v>
      </c>
      <c r="G9233" s="317" t="s">
        <v>1121</v>
      </c>
      <c r="H9233" s="323" t="s">
        <v>12444</v>
      </c>
      <c r="I9233" s="317">
        <v>1</v>
      </c>
      <c r="J9233" s="356">
        <v>9</v>
      </c>
      <c r="K9233" s="356">
        <v>0</v>
      </c>
      <c r="L9233" s="356">
        <v>0</v>
      </c>
      <c r="M9233" s="356">
        <v>0</v>
      </c>
      <c r="N9233" s="356">
        <v>0</v>
      </c>
      <c r="O9233" s="356">
        <v>0</v>
      </c>
      <c r="P9233" s="362">
        <v>9.5832000000000001E-3</v>
      </c>
      <c r="Q9233" s="356" t="s">
        <v>154</v>
      </c>
    </row>
    <row r="9234" spans="1:17" ht="36" x14ac:dyDescent="0.25">
      <c r="A9234" s="314">
        <v>44659</v>
      </c>
      <c r="B9234" s="314">
        <v>44659</v>
      </c>
      <c r="C9234" s="315">
        <v>2022</v>
      </c>
      <c r="D9234" s="35" t="s">
        <v>17</v>
      </c>
      <c r="E9234" s="316" t="s">
        <v>328</v>
      </c>
      <c r="F9234" s="317" t="s">
        <v>36</v>
      </c>
      <c r="G9234" s="317" t="s">
        <v>12445</v>
      </c>
      <c r="H9234" s="323" t="s">
        <v>12446</v>
      </c>
      <c r="I9234" s="317">
        <v>0</v>
      </c>
      <c r="J9234" s="356">
        <v>1946</v>
      </c>
      <c r="K9234" s="356">
        <v>288</v>
      </c>
      <c r="L9234" s="356">
        <v>2</v>
      </c>
      <c r="M9234" s="356">
        <v>1</v>
      </c>
      <c r="N9234" s="356">
        <v>0</v>
      </c>
      <c r="O9234" s="356">
        <v>0</v>
      </c>
      <c r="P9234" s="362">
        <v>35.531087999999997</v>
      </c>
      <c r="Q9234" s="356" t="s">
        <v>12447</v>
      </c>
    </row>
    <row r="9235" spans="1:17" ht="168" x14ac:dyDescent="0.25">
      <c r="A9235" s="314">
        <v>44674</v>
      </c>
      <c r="B9235" s="314">
        <v>44674</v>
      </c>
      <c r="C9235" s="315">
        <v>2022</v>
      </c>
      <c r="D9235" s="24" t="s">
        <v>141</v>
      </c>
      <c r="E9235" s="316" t="s">
        <v>142</v>
      </c>
      <c r="F9235" s="317" t="s">
        <v>36</v>
      </c>
      <c r="G9235" s="317" t="s">
        <v>12448</v>
      </c>
      <c r="H9235" s="323" t="s">
        <v>12449</v>
      </c>
      <c r="I9235" s="317">
        <v>3</v>
      </c>
      <c r="J9235" s="356">
        <v>26</v>
      </c>
      <c r="K9235" s="356">
        <v>0</v>
      </c>
      <c r="L9235" s="356">
        <v>0</v>
      </c>
      <c r="M9235" s="356">
        <v>0</v>
      </c>
      <c r="N9235" s="356">
        <v>0</v>
      </c>
      <c r="O9235" s="356">
        <v>0</v>
      </c>
      <c r="P9235" s="362">
        <v>9.5832000000000001E-3</v>
      </c>
      <c r="Q9235" s="356" t="s">
        <v>154</v>
      </c>
    </row>
    <row r="9236" spans="1:17" ht="60" x14ac:dyDescent="0.25">
      <c r="A9236" s="314">
        <v>44676</v>
      </c>
      <c r="B9236" s="314">
        <v>44676</v>
      </c>
      <c r="C9236" s="315">
        <v>2022</v>
      </c>
      <c r="D9236" s="35" t="s">
        <v>28</v>
      </c>
      <c r="E9236" s="316" t="s">
        <v>133</v>
      </c>
      <c r="F9236" s="317" t="s">
        <v>60</v>
      </c>
      <c r="G9236" s="317" t="s">
        <v>12450</v>
      </c>
      <c r="H9236" s="323" t="s">
        <v>12451</v>
      </c>
      <c r="I9236" s="317">
        <v>1</v>
      </c>
      <c r="J9236" s="356">
        <v>4</v>
      </c>
      <c r="K9236" s="356">
        <v>0</v>
      </c>
      <c r="L9236" s="356">
        <v>0</v>
      </c>
      <c r="M9236" s="356">
        <v>0</v>
      </c>
      <c r="N9236" s="356">
        <v>0</v>
      </c>
      <c r="O9236" s="356">
        <v>0</v>
      </c>
      <c r="P9236" s="362">
        <v>3.5937000000000005E-3</v>
      </c>
      <c r="Q9236" s="356" t="s">
        <v>154</v>
      </c>
    </row>
    <row r="9237" spans="1:17" ht="84" x14ac:dyDescent="0.25">
      <c r="A9237" s="314">
        <v>44677</v>
      </c>
      <c r="B9237" s="314">
        <v>44677</v>
      </c>
      <c r="C9237" s="315">
        <v>2022</v>
      </c>
      <c r="D9237" s="35" t="s">
        <v>28</v>
      </c>
      <c r="E9237" s="316" t="s">
        <v>149</v>
      </c>
      <c r="F9237" s="28" t="s">
        <v>157</v>
      </c>
      <c r="G9237" s="317" t="s">
        <v>1062</v>
      </c>
      <c r="H9237" s="323" t="s">
        <v>12452</v>
      </c>
      <c r="I9237" s="317">
        <v>0</v>
      </c>
      <c r="J9237" s="356">
        <v>100</v>
      </c>
      <c r="K9237" s="356">
        <v>1</v>
      </c>
      <c r="L9237" s="356">
        <v>0</v>
      </c>
      <c r="M9237" s="356">
        <v>0</v>
      </c>
      <c r="N9237" s="356">
        <v>0</v>
      </c>
      <c r="O9237" s="356">
        <v>0</v>
      </c>
      <c r="P9237" s="362">
        <v>1.4999999999999999E-2</v>
      </c>
      <c r="Q9237" s="356" t="s">
        <v>154</v>
      </c>
    </row>
    <row r="9238" spans="1:17" ht="96" x14ac:dyDescent="0.25">
      <c r="A9238" s="314">
        <v>44677</v>
      </c>
      <c r="B9238" s="314">
        <v>44677</v>
      </c>
      <c r="C9238" s="315">
        <v>2022</v>
      </c>
      <c r="D9238" s="24" t="s">
        <v>141</v>
      </c>
      <c r="E9238" s="316" t="s">
        <v>142</v>
      </c>
      <c r="F9238" s="317" t="s">
        <v>84</v>
      </c>
      <c r="G9238" s="317" t="s">
        <v>12453</v>
      </c>
      <c r="H9238" s="323" t="s">
        <v>12454</v>
      </c>
      <c r="I9238" s="317">
        <v>0</v>
      </c>
      <c r="J9238" s="356">
        <v>5</v>
      </c>
      <c r="K9238" s="356">
        <v>0</v>
      </c>
      <c r="L9238" s="356">
        <v>0</v>
      </c>
      <c r="M9238" s="356">
        <v>0</v>
      </c>
      <c r="N9238" s="356">
        <v>0</v>
      </c>
      <c r="O9238" s="356">
        <v>0</v>
      </c>
      <c r="P9238" s="362">
        <v>1.9920535354057374</v>
      </c>
      <c r="Q9238" s="356" t="s">
        <v>154</v>
      </c>
    </row>
    <row r="9239" spans="1:17" ht="36" x14ac:dyDescent="0.25">
      <c r="A9239" s="314">
        <v>44677</v>
      </c>
      <c r="B9239" s="314">
        <v>44677</v>
      </c>
      <c r="C9239" s="315">
        <v>2022</v>
      </c>
      <c r="D9239" s="351" t="s">
        <v>23</v>
      </c>
      <c r="E9239" s="316" t="s">
        <v>323</v>
      </c>
      <c r="F9239" s="317" t="s">
        <v>36</v>
      </c>
      <c r="G9239" s="317" t="s">
        <v>8482</v>
      </c>
      <c r="H9239" s="323" t="s">
        <v>12455</v>
      </c>
      <c r="I9239" s="317">
        <v>0</v>
      </c>
      <c r="J9239" s="356">
        <v>53</v>
      </c>
      <c r="K9239" s="356">
        <v>13</v>
      </c>
      <c r="L9239" s="356">
        <v>0</v>
      </c>
      <c r="M9239" s="356">
        <v>0</v>
      </c>
      <c r="N9239" s="356">
        <v>0</v>
      </c>
      <c r="O9239" s="356">
        <v>0</v>
      </c>
      <c r="P9239" s="362">
        <v>6.0560500000000003E-3</v>
      </c>
      <c r="Q9239" s="356" t="s">
        <v>154</v>
      </c>
    </row>
    <row r="9240" spans="1:17" ht="72" x14ac:dyDescent="0.25">
      <c r="A9240" s="314">
        <v>44677</v>
      </c>
      <c r="B9240" s="314">
        <v>44677</v>
      </c>
      <c r="C9240" s="315">
        <v>2022</v>
      </c>
      <c r="D9240" s="35" t="s">
        <v>28</v>
      </c>
      <c r="E9240" s="316" t="s">
        <v>149</v>
      </c>
      <c r="F9240" s="28" t="s">
        <v>157</v>
      </c>
      <c r="G9240" s="317" t="s">
        <v>1062</v>
      </c>
      <c r="H9240" s="323" t="s">
        <v>12456</v>
      </c>
      <c r="I9240" s="317">
        <v>0</v>
      </c>
      <c r="J9240" s="356">
        <v>10</v>
      </c>
      <c r="K9240" s="356">
        <v>0</v>
      </c>
      <c r="L9240" s="356">
        <v>0</v>
      </c>
      <c r="M9240" s="356">
        <v>0</v>
      </c>
      <c r="N9240" s="356">
        <v>3</v>
      </c>
      <c r="O9240" s="356">
        <v>0</v>
      </c>
      <c r="P9240" s="362">
        <v>0</v>
      </c>
      <c r="Q9240" s="356" t="s">
        <v>154</v>
      </c>
    </row>
    <row r="9241" spans="1:17" ht="144" x14ac:dyDescent="0.25">
      <c r="A9241" s="314">
        <v>44677</v>
      </c>
      <c r="B9241" s="314">
        <v>44677</v>
      </c>
      <c r="C9241" s="315">
        <v>2022</v>
      </c>
      <c r="D9241" s="351" t="s">
        <v>23</v>
      </c>
      <c r="E9241" s="316" t="s">
        <v>86</v>
      </c>
      <c r="F9241" s="317" t="s">
        <v>210</v>
      </c>
      <c r="G9241" s="319" t="s">
        <v>12457</v>
      </c>
      <c r="H9241" s="134" t="s">
        <v>12458</v>
      </c>
      <c r="I9241" s="317">
        <v>0</v>
      </c>
      <c r="J9241" s="356">
        <v>176</v>
      </c>
      <c r="K9241" s="356">
        <v>44</v>
      </c>
      <c r="L9241" s="356">
        <v>0</v>
      </c>
      <c r="M9241" s="356">
        <v>0</v>
      </c>
      <c r="N9241" s="356">
        <v>0</v>
      </c>
      <c r="O9241" s="356">
        <v>0</v>
      </c>
      <c r="P9241" s="362">
        <v>2.0497400000000002E-2</v>
      </c>
      <c r="Q9241" s="356" t="s">
        <v>154</v>
      </c>
    </row>
    <row r="9242" spans="1:17" ht="409.5" x14ac:dyDescent="0.25">
      <c r="A9242" s="314">
        <v>44677</v>
      </c>
      <c r="B9242" s="314">
        <v>44677</v>
      </c>
      <c r="C9242" s="315">
        <v>2022</v>
      </c>
      <c r="D9242" s="351" t="s">
        <v>23</v>
      </c>
      <c r="E9242" s="316" t="s">
        <v>86</v>
      </c>
      <c r="F9242" s="7" t="s">
        <v>101</v>
      </c>
      <c r="G9242" s="317" t="s">
        <v>12459</v>
      </c>
      <c r="H9242" s="323" t="s">
        <v>12460</v>
      </c>
      <c r="I9242" s="317">
        <v>0</v>
      </c>
      <c r="J9242" s="356">
        <v>916</v>
      </c>
      <c r="K9242" s="356">
        <v>25</v>
      </c>
      <c r="L9242" s="356">
        <v>2</v>
      </c>
      <c r="M9242" s="356">
        <v>0</v>
      </c>
      <c r="N9242" s="356">
        <v>80</v>
      </c>
      <c r="O9242" s="356">
        <v>0</v>
      </c>
      <c r="P9242" s="362">
        <v>4.4996874999999999E-2</v>
      </c>
      <c r="Q9242" s="356" t="s">
        <v>154</v>
      </c>
    </row>
    <row r="9243" spans="1:17" ht="168.75" x14ac:dyDescent="0.25">
      <c r="A9243" s="314">
        <v>44677</v>
      </c>
      <c r="B9243" s="314">
        <v>44677</v>
      </c>
      <c r="C9243" s="315">
        <v>2022</v>
      </c>
      <c r="D9243" s="351" t="s">
        <v>23</v>
      </c>
      <c r="E9243" s="316" t="s">
        <v>86</v>
      </c>
      <c r="F9243" s="317" t="s">
        <v>25</v>
      </c>
      <c r="G9243" s="317" t="s">
        <v>12461</v>
      </c>
      <c r="H9243" s="325" t="s">
        <v>12462</v>
      </c>
      <c r="I9243" s="317">
        <v>0</v>
      </c>
      <c r="J9243" s="356">
        <v>2080</v>
      </c>
      <c r="K9243" s="356">
        <v>520</v>
      </c>
      <c r="L9243" s="356">
        <v>0</v>
      </c>
      <c r="M9243" s="356">
        <v>0</v>
      </c>
      <c r="N9243" s="356">
        <v>0</v>
      </c>
      <c r="O9243" s="356">
        <v>0</v>
      </c>
      <c r="P9243" s="362">
        <v>0.693693</v>
      </c>
      <c r="Q9243" s="356" t="s">
        <v>154</v>
      </c>
    </row>
    <row r="9244" spans="1:17" ht="144" x14ac:dyDescent="0.25">
      <c r="A9244" s="314">
        <v>44678</v>
      </c>
      <c r="B9244" s="314">
        <v>44678</v>
      </c>
      <c r="C9244" s="315">
        <v>2022</v>
      </c>
      <c r="D9244" s="24" t="s">
        <v>141</v>
      </c>
      <c r="E9244" s="316" t="s">
        <v>142</v>
      </c>
      <c r="F9244" s="7" t="s">
        <v>53</v>
      </c>
      <c r="G9244" s="317" t="s">
        <v>12463</v>
      </c>
      <c r="H9244" s="318" t="s">
        <v>12464</v>
      </c>
      <c r="I9244" s="317">
        <v>0</v>
      </c>
      <c r="J9244" s="356">
        <v>23</v>
      </c>
      <c r="K9244" s="356">
        <v>0</v>
      </c>
      <c r="L9244" s="356">
        <v>0</v>
      </c>
      <c r="M9244" s="356">
        <v>0</v>
      </c>
      <c r="N9244" s="356">
        <v>0</v>
      </c>
      <c r="O9244" s="356">
        <v>0</v>
      </c>
      <c r="P9244" s="362">
        <v>0.24193990943023255</v>
      </c>
      <c r="Q9244" s="356" t="s">
        <v>154</v>
      </c>
    </row>
    <row r="9245" spans="1:17" ht="168" x14ac:dyDescent="0.25">
      <c r="A9245" s="314">
        <v>44680</v>
      </c>
      <c r="B9245" s="314">
        <v>44680</v>
      </c>
      <c r="C9245" s="315">
        <v>2022</v>
      </c>
      <c r="D9245" s="24" t="s">
        <v>141</v>
      </c>
      <c r="E9245" s="316" t="s">
        <v>142</v>
      </c>
      <c r="F9245" s="317" t="s">
        <v>56</v>
      </c>
      <c r="G9245" s="317" t="s">
        <v>12465</v>
      </c>
      <c r="H9245" s="318" t="s">
        <v>12466</v>
      </c>
      <c r="I9245" s="317">
        <v>0</v>
      </c>
      <c r="J9245" s="356">
        <v>12</v>
      </c>
      <c r="K9245" s="356">
        <v>0</v>
      </c>
      <c r="L9245" s="356">
        <v>0</v>
      </c>
      <c r="M9245" s="356">
        <v>0</v>
      </c>
      <c r="N9245" s="356">
        <v>0</v>
      </c>
      <c r="O9245" s="356">
        <v>0</v>
      </c>
      <c r="P9245" s="362">
        <v>0.23595040943023254</v>
      </c>
      <c r="Q9245" s="356" t="s">
        <v>154</v>
      </c>
    </row>
    <row r="9246" spans="1:17" ht="120" x14ac:dyDescent="0.25">
      <c r="A9246" s="314">
        <v>44680</v>
      </c>
      <c r="B9246" s="314">
        <v>44681</v>
      </c>
      <c r="C9246" s="315">
        <v>2022</v>
      </c>
      <c r="D9246" s="35" t="s">
        <v>28</v>
      </c>
      <c r="E9246" s="316" t="s">
        <v>133</v>
      </c>
      <c r="F9246" s="28" t="s">
        <v>157</v>
      </c>
      <c r="G9246" s="317" t="s">
        <v>1062</v>
      </c>
      <c r="H9246" s="318" t="s">
        <v>12467</v>
      </c>
      <c r="I9246" s="317">
        <v>1</v>
      </c>
      <c r="J9246" s="356">
        <v>104</v>
      </c>
      <c r="K9246" s="356">
        <v>1</v>
      </c>
      <c r="L9246" s="356">
        <v>0</v>
      </c>
      <c r="M9246" s="356">
        <v>0</v>
      </c>
      <c r="N9246" s="356">
        <v>0</v>
      </c>
      <c r="O9246" s="356">
        <v>0</v>
      </c>
      <c r="P9246" s="362">
        <v>0.15365789999999999</v>
      </c>
      <c r="Q9246" s="356" t="s">
        <v>154</v>
      </c>
    </row>
    <row r="9247" spans="1:17" ht="96" x14ac:dyDescent="0.25">
      <c r="A9247" s="314">
        <v>44682</v>
      </c>
      <c r="B9247" s="314">
        <v>44682</v>
      </c>
      <c r="C9247" s="315">
        <v>2022</v>
      </c>
      <c r="D9247" s="24" t="s">
        <v>141</v>
      </c>
      <c r="E9247" s="316" t="s">
        <v>142</v>
      </c>
      <c r="F9247" s="7" t="s">
        <v>75</v>
      </c>
      <c r="G9247" s="317" t="s">
        <v>75</v>
      </c>
      <c r="H9247" s="318" t="s">
        <v>12468</v>
      </c>
      <c r="I9247" s="317">
        <v>1</v>
      </c>
      <c r="J9247" s="356">
        <v>40</v>
      </c>
      <c r="K9247" s="356">
        <v>0</v>
      </c>
      <c r="L9247" s="356">
        <v>0</v>
      </c>
      <c r="M9247" s="356">
        <v>0</v>
      </c>
      <c r="N9247" s="356">
        <v>0</v>
      </c>
      <c r="O9247" s="356">
        <v>0</v>
      </c>
      <c r="P9247" s="362">
        <v>1.91664E-2</v>
      </c>
      <c r="Q9247" s="356" t="s">
        <v>154</v>
      </c>
    </row>
    <row r="9248" spans="1:17" ht="156" x14ac:dyDescent="0.25">
      <c r="A9248" s="314">
        <v>44683</v>
      </c>
      <c r="B9248" s="314">
        <v>44683</v>
      </c>
      <c r="C9248" s="315">
        <v>2022</v>
      </c>
      <c r="D9248" s="351" t="s">
        <v>23</v>
      </c>
      <c r="E9248" s="316" t="s">
        <v>5893</v>
      </c>
      <c r="F9248" s="317" t="s">
        <v>97</v>
      </c>
      <c r="G9248" s="317" t="s">
        <v>746</v>
      </c>
      <c r="H9248" s="318" t="s">
        <v>12469</v>
      </c>
      <c r="I9248" s="317">
        <v>0</v>
      </c>
      <c r="J9248" s="356">
        <v>8</v>
      </c>
      <c r="K9248" s="356">
        <v>2</v>
      </c>
      <c r="L9248" s="356">
        <v>0</v>
      </c>
      <c r="M9248" s="356">
        <v>0</v>
      </c>
      <c r="N9248" s="356">
        <v>0</v>
      </c>
      <c r="O9248" s="356">
        <v>0</v>
      </c>
      <c r="P9248" s="362">
        <v>1.39755E-2</v>
      </c>
      <c r="Q9248" s="356" t="s">
        <v>154</v>
      </c>
    </row>
    <row r="9249" spans="1:17" ht="84" x14ac:dyDescent="0.25">
      <c r="A9249" s="314">
        <v>44684</v>
      </c>
      <c r="B9249" s="314">
        <v>44684</v>
      </c>
      <c r="C9249" s="315">
        <v>2022</v>
      </c>
      <c r="D9249" s="35" t="s">
        <v>28</v>
      </c>
      <c r="E9249" s="316" t="s">
        <v>149</v>
      </c>
      <c r="F9249" s="28" t="s">
        <v>157</v>
      </c>
      <c r="G9249" s="317" t="s">
        <v>1062</v>
      </c>
      <c r="H9249" s="318" t="s">
        <v>12470</v>
      </c>
      <c r="I9249" s="317">
        <v>0</v>
      </c>
      <c r="J9249" s="356">
        <v>5</v>
      </c>
      <c r="K9249" s="356">
        <v>1</v>
      </c>
      <c r="L9249" s="356">
        <v>0</v>
      </c>
      <c r="M9249" s="356">
        <v>0</v>
      </c>
      <c r="N9249" s="356">
        <v>0</v>
      </c>
      <c r="O9249" s="356">
        <v>0</v>
      </c>
      <c r="P9249" s="362">
        <v>2.198775E-2</v>
      </c>
      <c r="Q9249" s="356" t="s">
        <v>12471</v>
      </c>
    </row>
    <row r="9250" spans="1:17" ht="120" x14ac:dyDescent="0.25">
      <c r="A9250" s="314">
        <v>44685</v>
      </c>
      <c r="B9250" s="314">
        <v>44685</v>
      </c>
      <c r="C9250" s="315">
        <v>2022</v>
      </c>
      <c r="D9250" s="24" t="s">
        <v>141</v>
      </c>
      <c r="E9250" s="316" t="s">
        <v>142</v>
      </c>
      <c r="F9250" s="317" t="s">
        <v>40</v>
      </c>
      <c r="G9250" s="317" t="s">
        <v>40</v>
      </c>
      <c r="H9250" s="318" t="s">
        <v>12472</v>
      </c>
      <c r="I9250" s="317">
        <v>0</v>
      </c>
      <c r="J9250" s="356">
        <v>30</v>
      </c>
      <c r="K9250" s="356">
        <v>0</v>
      </c>
      <c r="L9250" s="356">
        <v>0</v>
      </c>
      <c r="M9250" s="356">
        <v>0</v>
      </c>
      <c r="N9250" s="356">
        <v>0</v>
      </c>
      <c r="O9250" s="356">
        <v>0</v>
      </c>
      <c r="P9250" s="362">
        <v>3.5936999999999997E-2</v>
      </c>
      <c r="Q9250" s="356" t="s">
        <v>154</v>
      </c>
    </row>
    <row r="9251" spans="1:17" ht="108" x14ac:dyDescent="0.25">
      <c r="A9251" s="314">
        <v>44685</v>
      </c>
      <c r="B9251" s="314">
        <v>44685</v>
      </c>
      <c r="C9251" s="315">
        <v>2022</v>
      </c>
      <c r="D9251" s="351" t="s">
        <v>23</v>
      </c>
      <c r="E9251" s="316" t="s">
        <v>5893</v>
      </c>
      <c r="F9251" s="317" t="s">
        <v>45</v>
      </c>
      <c r="G9251" s="317" t="s">
        <v>12473</v>
      </c>
      <c r="H9251" s="318" t="s">
        <v>12474</v>
      </c>
      <c r="I9251" s="317">
        <v>0</v>
      </c>
      <c r="J9251" s="356">
        <v>200</v>
      </c>
      <c r="K9251" s="356">
        <v>50</v>
      </c>
      <c r="L9251" s="356">
        <v>0</v>
      </c>
      <c r="M9251" s="356">
        <v>0</v>
      </c>
      <c r="N9251" s="356">
        <v>0</v>
      </c>
      <c r="O9251" s="356">
        <v>0</v>
      </c>
      <c r="P9251" s="362">
        <v>2.46235E-2</v>
      </c>
      <c r="Q9251" s="356" t="s">
        <v>154</v>
      </c>
    </row>
    <row r="9252" spans="1:17" ht="192" x14ac:dyDescent="0.25">
      <c r="A9252" s="314">
        <v>44687</v>
      </c>
      <c r="B9252" s="314">
        <v>44687</v>
      </c>
      <c r="C9252" s="315">
        <v>2022</v>
      </c>
      <c r="D9252" s="351" t="s">
        <v>23</v>
      </c>
      <c r="E9252" s="316" t="s">
        <v>5893</v>
      </c>
      <c r="F9252" s="28" t="s">
        <v>157</v>
      </c>
      <c r="G9252" s="317" t="s">
        <v>12475</v>
      </c>
      <c r="H9252" s="318" t="s">
        <v>12476</v>
      </c>
      <c r="I9252" s="317">
        <v>0</v>
      </c>
      <c r="J9252" s="356">
        <v>10</v>
      </c>
      <c r="K9252" s="356">
        <v>2</v>
      </c>
      <c r="L9252" s="356">
        <v>0</v>
      </c>
      <c r="M9252" s="356">
        <v>0</v>
      </c>
      <c r="N9252" s="356">
        <v>70</v>
      </c>
      <c r="O9252" s="356">
        <v>0</v>
      </c>
      <c r="P9252" s="362">
        <v>1.39755E-2</v>
      </c>
      <c r="Q9252" s="356" t="s">
        <v>154</v>
      </c>
    </row>
    <row r="9253" spans="1:17" ht="276" x14ac:dyDescent="0.25">
      <c r="A9253" s="314">
        <v>44687</v>
      </c>
      <c r="B9253" s="314">
        <v>44687</v>
      </c>
      <c r="C9253" s="315">
        <v>2022</v>
      </c>
      <c r="D9253" s="351" t="s">
        <v>23</v>
      </c>
      <c r="E9253" s="316" t="s">
        <v>5893</v>
      </c>
      <c r="F9253" s="7" t="s">
        <v>53</v>
      </c>
      <c r="G9253" s="317" t="s">
        <v>12477</v>
      </c>
      <c r="H9253" s="318" t="s">
        <v>12478</v>
      </c>
      <c r="I9253" s="317">
        <v>0</v>
      </c>
      <c r="J9253" s="356">
        <v>0</v>
      </c>
      <c r="K9253" s="356">
        <v>0</v>
      </c>
      <c r="L9253" s="356">
        <v>0</v>
      </c>
      <c r="M9253" s="356">
        <v>0</v>
      </c>
      <c r="N9253" s="356">
        <v>0</v>
      </c>
      <c r="O9253" s="356">
        <v>0</v>
      </c>
      <c r="P9253" s="362">
        <v>0</v>
      </c>
      <c r="Q9253" s="356" t="s">
        <v>154</v>
      </c>
    </row>
    <row r="9254" spans="1:17" ht="96" x14ac:dyDescent="0.25">
      <c r="A9254" s="314">
        <v>44690</v>
      </c>
      <c r="B9254" s="314">
        <v>44691</v>
      </c>
      <c r="C9254" s="315">
        <v>2022</v>
      </c>
      <c r="D9254" s="35" t="s">
        <v>28</v>
      </c>
      <c r="E9254" s="316" t="s">
        <v>133</v>
      </c>
      <c r="F9254" s="317" t="s">
        <v>210</v>
      </c>
      <c r="G9254" s="319" t="s">
        <v>12479</v>
      </c>
      <c r="H9254" s="318" t="s">
        <v>12480</v>
      </c>
      <c r="I9254" s="317">
        <v>0</v>
      </c>
      <c r="J9254" s="356">
        <v>6</v>
      </c>
      <c r="K9254" s="356">
        <v>0</v>
      </c>
      <c r="L9254" s="356">
        <v>0</v>
      </c>
      <c r="M9254" s="356">
        <v>0</v>
      </c>
      <c r="N9254" s="356">
        <v>1</v>
      </c>
      <c r="O9254" s="356">
        <v>0</v>
      </c>
      <c r="P9254" s="362">
        <v>7.1874000000000009E-3</v>
      </c>
      <c r="Q9254" s="356" t="s">
        <v>154</v>
      </c>
    </row>
    <row r="9255" spans="1:17" ht="216" x14ac:dyDescent="0.25">
      <c r="A9255" s="314">
        <v>44691</v>
      </c>
      <c r="B9255" s="314">
        <v>44692</v>
      </c>
      <c r="C9255" s="315">
        <v>2022</v>
      </c>
      <c r="D9255" s="35" t="s">
        <v>28</v>
      </c>
      <c r="E9255" s="316" t="s">
        <v>125</v>
      </c>
      <c r="F9255" s="317" t="s">
        <v>56</v>
      </c>
      <c r="G9255" s="317" t="s">
        <v>1707</v>
      </c>
      <c r="H9255" s="318" t="s">
        <v>12481</v>
      </c>
      <c r="I9255" s="317">
        <v>0</v>
      </c>
      <c r="J9255" s="356">
        <v>287</v>
      </c>
      <c r="K9255" s="356">
        <v>0</v>
      </c>
      <c r="L9255" s="356">
        <v>0</v>
      </c>
      <c r="M9255" s="356">
        <v>0</v>
      </c>
      <c r="N9255" s="356">
        <v>1</v>
      </c>
      <c r="O9255" s="356">
        <v>0</v>
      </c>
      <c r="P9255" s="362">
        <v>0</v>
      </c>
      <c r="Q9255" s="356" t="s">
        <v>154</v>
      </c>
    </row>
    <row r="9256" spans="1:17" ht="84" x14ac:dyDescent="0.25">
      <c r="A9256" s="314">
        <v>44692</v>
      </c>
      <c r="B9256" s="314">
        <v>44692</v>
      </c>
      <c r="C9256" s="315">
        <v>2022</v>
      </c>
      <c r="D9256" s="35" t="s">
        <v>28</v>
      </c>
      <c r="E9256" s="316" t="s">
        <v>149</v>
      </c>
      <c r="F9256" s="28" t="s">
        <v>157</v>
      </c>
      <c r="G9256" s="317" t="s">
        <v>12421</v>
      </c>
      <c r="H9256" s="318" t="s">
        <v>12482</v>
      </c>
      <c r="I9256" s="317">
        <v>0</v>
      </c>
      <c r="J9256" s="356">
        <v>70</v>
      </c>
      <c r="K9256" s="356">
        <v>1</v>
      </c>
      <c r="L9256" s="356">
        <v>0</v>
      </c>
      <c r="M9256" s="356">
        <v>0</v>
      </c>
      <c r="N9256" s="356">
        <v>0</v>
      </c>
      <c r="O9256" s="356">
        <v>0</v>
      </c>
      <c r="P9256" s="362">
        <v>6.98775E-3</v>
      </c>
      <c r="Q9256" s="356" t="s">
        <v>154</v>
      </c>
    </row>
    <row r="9257" spans="1:17" ht="84" x14ac:dyDescent="0.25">
      <c r="A9257" s="314">
        <v>44693</v>
      </c>
      <c r="B9257" s="314">
        <v>44693</v>
      </c>
      <c r="C9257" s="315">
        <v>2022</v>
      </c>
      <c r="D9257" s="24" t="s">
        <v>141</v>
      </c>
      <c r="E9257" s="316" t="s">
        <v>142</v>
      </c>
      <c r="F9257" s="317" t="s">
        <v>56</v>
      </c>
      <c r="G9257" s="317" t="s">
        <v>2462</v>
      </c>
      <c r="H9257" s="318" t="s">
        <v>12483</v>
      </c>
      <c r="I9257" s="317">
        <v>0</v>
      </c>
      <c r="J9257" s="356">
        <v>8</v>
      </c>
      <c r="K9257" s="356">
        <v>0</v>
      </c>
      <c r="L9257" s="356">
        <v>0</v>
      </c>
      <c r="M9257" s="356">
        <v>0</v>
      </c>
      <c r="N9257" s="356">
        <v>0</v>
      </c>
      <c r="O9257" s="356">
        <v>0</v>
      </c>
      <c r="P9257" s="362">
        <v>4.7916E-3</v>
      </c>
      <c r="Q9257" s="356" t="s">
        <v>154</v>
      </c>
    </row>
    <row r="9258" spans="1:17" ht="144" x14ac:dyDescent="0.25">
      <c r="A9258" s="314">
        <v>44693</v>
      </c>
      <c r="B9258" s="314">
        <v>44694</v>
      </c>
      <c r="C9258" s="315">
        <v>2022</v>
      </c>
      <c r="D9258" s="35" t="s">
        <v>17</v>
      </c>
      <c r="E9258" s="316" t="s">
        <v>328</v>
      </c>
      <c r="F9258" s="317" t="s">
        <v>30</v>
      </c>
      <c r="G9258" s="317" t="s">
        <v>1078</v>
      </c>
      <c r="H9258" s="318" t="s">
        <v>12484</v>
      </c>
      <c r="I9258" s="317">
        <v>0</v>
      </c>
      <c r="J9258" s="356">
        <v>16</v>
      </c>
      <c r="K9258" s="356">
        <v>0</v>
      </c>
      <c r="L9258" s="356">
        <v>0</v>
      </c>
      <c r="M9258" s="356">
        <v>0</v>
      </c>
      <c r="N9258" s="356">
        <v>0</v>
      </c>
      <c r="O9258" s="356">
        <v>0</v>
      </c>
      <c r="P9258" s="362">
        <v>0</v>
      </c>
      <c r="Q9258" s="356" t="s">
        <v>154</v>
      </c>
    </row>
    <row r="9259" spans="1:17" ht="180" x14ac:dyDescent="0.25">
      <c r="A9259" s="314">
        <v>44692</v>
      </c>
      <c r="B9259" s="314">
        <v>44693</v>
      </c>
      <c r="C9259" s="315">
        <v>2022</v>
      </c>
      <c r="D9259" s="351" t="s">
        <v>23</v>
      </c>
      <c r="E9259" s="316" t="s">
        <v>86</v>
      </c>
      <c r="F9259" s="317" t="s">
        <v>36</v>
      </c>
      <c r="G9259" s="317" t="s">
        <v>12485</v>
      </c>
      <c r="H9259" s="318" t="s">
        <v>12486</v>
      </c>
      <c r="I9259" s="317">
        <v>2</v>
      </c>
      <c r="J9259" s="356">
        <v>12</v>
      </c>
      <c r="K9259" s="356">
        <v>4</v>
      </c>
      <c r="L9259" s="356">
        <v>0</v>
      </c>
      <c r="M9259" s="356">
        <v>0</v>
      </c>
      <c r="N9259" s="356">
        <v>0</v>
      </c>
      <c r="O9259" s="356">
        <v>0</v>
      </c>
      <c r="P9259" s="362">
        <v>1.8634000000000001E-3</v>
      </c>
      <c r="Q9259" s="356" t="s">
        <v>154</v>
      </c>
    </row>
    <row r="9260" spans="1:17" ht="108" x14ac:dyDescent="0.25">
      <c r="A9260" s="314">
        <v>44694</v>
      </c>
      <c r="B9260" s="314">
        <v>44695</v>
      </c>
      <c r="C9260" s="315">
        <v>2022</v>
      </c>
      <c r="D9260" s="35" t="s">
        <v>28</v>
      </c>
      <c r="E9260" s="316" t="s">
        <v>149</v>
      </c>
      <c r="F9260" s="317" t="s">
        <v>60</v>
      </c>
      <c r="G9260" s="317" t="s">
        <v>5525</v>
      </c>
      <c r="H9260" s="318" t="s">
        <v>12487</v>
      </c>
      <c r="I9260" s="317">
        <v>0</v>
      </c>
      <c r="J9260" s="356">
        <v>13</v>
      </c>
      <c r="K9260" s="356">
        <v>0</v>
      </c>
      <c r="L9260" s="356">
        <v>0</v>
      </c>
      <c r="M9260" s="356">
        <v>0</v>
      </c>
      <c r="N9260" s="356">
        <v>1</v>
      </c>
      <c r="O9260" s="356">
        <v>0</v>
      </c>
      <c r="P9260" s="362">
        <v>0</v>
      </c>
      <c r="Q9260" s="356" t="s">
        <v>154</v>
      </c>
    </row>
    <row r="9261" spans="1:17" ht="96" x14ac:dyDescent="0.25">
      <c r="A9261" s="314">
        <v>44694</v>
      </c>
      <c r="B9261" s="314">
        <v>44695</v>
      </c>
      <c r="C9261" s="315">
        <v>2022</v>
      </c>
      <c r="D9261" s="24" t="s">
        <v>141</v>
      </c>
      <c r="E9261" s="316" t="s">
        <v>142</v>
      </c>
      <c r="F9261" s="317" t="s">
        <v>56</v>
      </c>
      <c r="G9261" s="317" t="s">
        <v>646</v>
      </c>
      <c r="H9261" s="318" t="s">
        <v>12488</v>
      </c>
      <c r="I9261" s="317">
        <v>0</v>
      </c>
      <c r="J9261" s="356">
        <v>4</v>
      </c>
      <c r="K9261" s="356">
        <v>0</v>
      </c>
      <c r="L9261" s="356">
        <v>0</v>
      </c>
      <c r="M9261" s="356">
        <v>0</v>
      </c>
      <c r="N9261" s="356">
        <v>0</v>
      </c>
      <c r="O9261" s="356">
        <v>0</v>
      </c>
      <c r="P9261" s="362">
        <v>0.23222360943023254</v>
      </c>
      <c r="Q9261" s="356" t="s">
        <v>154</v>
      </c>
    </row>
    <row r="9262" spans="1:17" ht="168" x14ac:dyDescent="0.25">
      <c r="A9262" s="314">
        <v>44695</v>
      </c>
      <c r="B9262" s="314">
        <v>44695</v>
      </c>
      <c r="C9262" s="315">
        <v>2022</v>
      </c>
      <c r="D9262" s="35" t="s">
        <v>28</v>
      </c>
      <c r="E9262" s="316" t="s">
        <v>149</v>
      </c>
      <c r="F9262" s="317" t="s">
        <v>68</v>
      </c>
      <c r="G9262" s="317" t="s">
        <v>1121</v>
      </c>
      <c r="H9262" s="318" t="s">
        <v>12489</v>
      </c>
      <c r="I9262" s="317">
        <v>1</v>
      </c>
      <c r="J9262" s="356">
        <v>35</v>
      </c>
      <c r="K9262" s="356">
        <v>0</v>
      </c>
      <c r="L9262" s="356">
        <v>0</v>
      </c>
      <c r="M9262" s="356">
        <v>0</v>
      </c>
      <c r="N9262" s="356">
        <v>2</v>
      </c>
      <c r="O9262" s="356">
        <v>0</v>
      </c>
      <c r="P9262" s="362">
        <v>2.3958E-3</v>
      </c>
      <c r="Q9262" s="356" t="s">
        <v>154</v>
      </c>
    </row>
    <row r="9263" spans="1:17" ht="204" x14ac:dyDescent="0.25">
      <c r="A9263" s="314">
        <v>44695</v>
      </c>
      <c r="B9263" s="314">
        <v>44695</v>
      </c>
      <c r="C9263" s="315">
        <v>2022</v>
      </c>
      <c r="D9263" s="35" t="s">
        <v>28</v>
      </c>
      <c r="E9263" s="316" t="s">
        <v>125</v>
      </c>
      <c r="F9263" s="317" t="s">
        <v>56</v>
      </c>
      <c r="G9263" s="317" t="s">
        <v>9807</v>
      </c>
      <c r="H9263" s="318" t="s">
        <v>12490</v>
      </c>
      <c r="I9263" s="317">
        <v>0</v>
      </c>
      <c r="J9263" s="356">
        <v>63</v>
      </c>
      <c r="K9263" s="356">
        <v>0</v>
      </c>
      <c r="L9263" s="356">
        <v>0</v>
      </c>
      <c r="M9263" s="356">
        <v>0</v>
      </c>
      <c r="N9263" s="356">
        <v>0</v>
      </c>
      <c r="O9263" s="356">
        <v>0</v>
      </c>
      <c r="P9263" s="362">
        <v>0</v>
      </c>
      <c r="Q9263" s="356" t="s">
        <v>154</v>
      </c>
    </row>
    <row r="9264" spans="1:17" ht="168" x14ac:dyDescent="0.25">
      <c r="A9264" s="314">
        <v>44695</v>
      </c>
      <c r="B9264" s="314">
        <v>44695</v>
      </c>
      <c r="C9264" s="315">
        <v>2022</v>
      </c>
      <c r="D9264" s="24" t="s">
        <v>141</v>
      </c>
      <c r="E9264" s="316" t="s">
        <v>142</v>
      </c>
      <c r="F9264" s="317" t="s">
        <v>67</v>
      </c>
      <c r="G9264" s="317" t="s">
        <v>8606</v>
      </c>
      <c r="H9264" s="318" t="s">
        <v>12491</v>
      </c>
      <c r="I9264" s="317">
        <v>0</v>
      </c>
      <c r="J9264" s="356">
        <v>24</v>
      </c>
      <c r="K9264" s="356">
        <v>0</v>
      </c>
      <c r="L9264" s="356">
        <v>0</v>
      </c>
      <c r="M9264" s="356">
        <v>0</v>
      </c>
      <c r="N9264" s="356">
        <v>0</v>
      </c>
      <c r="O9264" s="356">
        <v>0</v>
      </c>
      <c r="P9264" s="362">
        <v>2.8749600000000004E-2</v>
      </c>
      <c r="Q9264" s="356" t="s">
        <v>154</v>
      </c>
    </row>
    <row r="9265" spans="1:17" ht="120" x14ac:dyDescent="0.25">
      <c r="A9265" s="314">
        <v>44696</v>
      </c>
      <c r="B9265" s="314">
        <v>44696</v>
      </c>
      <c r="C9265" s="315">
        <v>2022</v>
      </c>
      <c r="D9265" s="35" t="s">
        <v>28</v>
      </c>
      <c r="E9265" s="316" t="s">
        <v>149</v>
      </c>
      <c r="F9265" s="7" t="s">
        <v>53</v>
      </c>
      <c r="G9265" s="317" t="s">
        <v>12492</v>
      </c>
      <c r="H9265" s="318" t="s">
        <v>12493</v>
      </c>
      <c r="I9265" s="317">
        <v>0</v>
      </c>
      <c r="J9265" s="356">
        <v>1</v>
      </c>
      <c r="K9265" s="356">
        <v>0</v>
      </c>
      <c r="L9265" s="356">
        <v>0</v>
      </c>
      <c r="M9265" s="356">
        <v>0</v>
      </c>
      <c r="N9265" s="356">
        <v>1</v>
      </c>
      <c r="O9265" s="356">
        <v>0</v>
      </c>
      <c r="P9265" s="362">
        <v>1.1979E-3</v>
      </c>
      <c r="Q9265" s="356" t="s">
        <v>154</v>
      </c>
    </row>
    <row r="9266" spans="1:17" ht="72" x14ac:dyDescent="0.25">
      <c r="A9266" s="314">
        <v>44696</v>
      </c>
      <c r="B9266" s="314">
        <v>44697</v>
      </c>
      <c r="C9266" s="315">
        <v>2022</v>
      </c>
      <c r="D9266" s="24" t="s">
        <v>141</v>
      </c>
      <c r="E9266" s="316" t="s">
        <v>142</v>
      </c>
      <c r="F9266" s="7" t="s">
        <v>77</v>
      </c>
      <c r="G9266" s="317" t="s">
        <v>12494</v>
      </c>
      <c r="H9266" s="318" t="s">
        <v>12495</v>
      </c>
      <c r="I9266" s="317">
        <v>0</v>
      </c>
      <c r="J9266" s="356">
        <v>54</v>
      </c>
      <c r="K9266" s="356">
        <v>0</v>
      </c>
      <c r="L9266" s="356">
        <v>0</v>
      </c>
      <c r="M9266" s="356">
        <v>0</v>
      </c>
      <c r="N9266" s="356">
        <v>0</v>
      </c>
      <c r="O9266" s="356">
        <v>0</v>
      </c>
      <c r="P9266" s="362">
        <v>9.3595919999999999E-2</v>
      </c>
      <c r="Q9266" s="356" t="s">
        <v>154</v>
      </c>
    </row>
    <row r="9267" spans="1:17" ht="144" x14ac:dyDescent="0.25">
      <c r="A9267" s="314">
        <v>44697</v>
      </c>
      <c r="B9267" s="314">
        <v>44697</v>
      </c>
      <c r="C9267" s="315">
        <v>2022</v>
      </c>
      <c r="D9267" s="35" t="s">
        <v>28</v>
      </c>
      <c r="E9267" s="316" t="s">
        <v>149</v>
      </c>
      <c r="F9267" s="7" t="s">
        <v>53</v>
      </c>
      <c r="G9267" s="317" t="s">
        <v>4816</v>
      </c>
      <c r="H9267" s="318" t="s">
        <v>12496</v>
      </c>
      <c r="I9267" s="317">
        <v>0</v>
      </c>
      <c r="J9267" s="356">
        <v>7</v>
      </c>
      <c r="K9267" s="356">
        <v>0</v>
      </c>
      <c r="L9267" s="356">
        <v>0</v>
      </c>
      <c r="M9267" s="356">
        <v>0</v>
      </c>
      <c r="N9267" s="356">
        <v>1</v>
      </c>
      <c r="O9267" s="356">
        <v>0</v>
      </c>
      <c r="P9267" s="362">
        <v>0</v>
      </c>
      <c r="Q9267" s="356" t="s">
        <v>154</v>
      </c>
    </row>
    <row r="9268" spans="1:17" x14ac:dyDescent="0.25">
      <c r="A9268" s="314">
        <v>44697</v>
      </c>
      <c r="B9268" s="314">
        <v>44697</v>
      </c>
      <c r="C9268" s="315">
        <v>2022</v>
      </c>
      <c r="D9268" s="35" t="s">
        <v>28</v>
      </c>
      <c r="E9268" s="316" t="s">
        <v>133</v>
      </c>
      <c r="F9268" s="317" t="s">
        <v>30</v>
      </c>
      <c r="G9268" s="317" t="s">
        <v>901</v>
      </c>
      <c r="H9268" s="320" t="s">
        <v>12497</v>
      </c>
      <c r="I9268" s="317">
        <v>0</v>
      </c>
      <c r="J9268" s="356">
        <v>4</v>
      </c>
      <c r="K9268" s="356">
        <v>0</v>
      </c>
      <c r="L9268" s="356">
        <v>1</v>
      </c>
      <c r="M9268" s="356">
        <v>0</v>
      </c>
      <c r="N9268" s="356">
        <v>0</v>
      </c>
      <c r="O9268" s="356">
        <v>0</v>
      </c>
      <c r="P9268" s="362">
        <v>4.7916E-3</v>
      </c>
      <c r="Q9268" s="356" t="s">
        <v>154</v>
      </c>
    </row>
    <row r="9269" spans="1:17" ht="96" x14ac:dyDescent="0.25">
      <c r="A9269" s="314">
        <v>44697</v>
      </c>
      <c r="B9269" s="314">
        <v>44697</v>
      </c>
      <c r="C9269" s="315">
        <v>2022</v>
      </c>
      <c r="D9269" s="24" t="s">
        <v>141</v>
      </c>
      <c r="E9269" s="316" t="s">
        <v>142</v>
      </c>
      <c r="F9269" s="317" t="s">
        <v>62</v>
      </c>
      <c r="G9269" s="317" t="s">
        <v>1011</v>
      </c>
      <c r="H9269" s="318" t="s">
        <v>12498</v>
      </c>
      <c r="I9269" s="317">
        <v>3</v>
      </c>
      <c r="J9269" s="356">
        <v>12</v>
      </c>
      <c r="K9269" s="356">
        <v>0</v>
      </c>
      <c r="L9269" s="356">
        <v>0</v>
      </c>
      <c r="M9269" s="356">
        <v>0</v>
      </c>
      <c r="N9269" s="356">
        <v>0</v>
      </c>
      <c r="O9269" s="356">
        <v>0</v>
      </c>
      <c r="P9269" s="362">
        <v>9.7189620000000004E-2</v>
      </c>
      <c r="Q9269" s="356" t="s">
        <v>154</v>
      </c>
    </row>
    <row r="9270" spans="1:17" ht="60" x14ac:dyDescent="0.25">
      <c r="A9270" s="314">
        <v>44699</v>
      </c>
      <c r="B9270" s="314">
        <v>44699</v>
      </c>
      <c r="C9270" s="315">
        <v>2022</v>
      </c>
      <c r="D9270" s="35" t="s">
        <v>28</v>
      </c>
      <c r="E9270" s="316" t="s">
        <v>133</v>
      </c>
      <c r="F9270" s="7" t="s">
        <v>53</v>
      </c>
      <c r="G9270" s="317" t="s">
        <v>451</v>
      </c>
      <c r="H9270" s="318" t="s">
        <v>12499</v>
      </c>
      <c r="I9270" s="317">
        <v>0</v>
      </c>
      <c r="J9270" s="356">
        <v>3</v>
      </c>
      <c r="K9270" s="356">
        <v>1</v>
      </c>
      <c r="L9270" s="356">
        <v>0</v>
      </c>
      <c r="M9270" s="356">
        <v>0</v>
      </c>
      <c r="N9270" s="356">
        <v>0</v>
      </c>
      <c r="O9270" s="356">
        <v>0</v>
      </c>
      <c r="P9270" s="362">
        <v>0</v>
      </c>
      <c r="Q9270" s="356" t="s">
        <v>154</v>
      </c>
    </row>
    <row r="9271" spans="1:17" ht="144" x14ac:dyDescent="0.25">
      <c r="A9271" s="314">
        <v>44699</v>
      </c>
      <c r="B9271" s="314">
        <v>44699</v>
      </c>
      <c r="C9271" s="315">
        <v>2022</v>
      </c>
      <c r="D9271" s="24" t="s">
        <v>141</v>
      </c>
      <c r="E9271" s="316" t="s">
        <v>142</v>
      </c>
      <c r="F9271" s="317" t="s">
        <v>60</v>
      </c>
      <c r="G9271" s="317" t="s">
        <v>12500</v>
      </c>
      <c r="H9271" s="318" t="s">
        <v>12501</v>
      </c>
      <c r="I9271" s="317">
        <v>14</v>
      </c>
      <c r="J9271" s="356">
        <v>33</v>
      </c>
      <c r="K9271" s="356">
        <v>0</v>
      </c>
      <c r="L9271" s="356">
        <v>0</v>
      </c>
      <c r="M9271" s="356">
        <v>0</v>
      </c>
      <c r="N9271" s="356">
        <v>0</v>
      </c>
      <c r="O9271" s="356">
        <v>0</v>
      </c>
      <c r="P9271" s="362">
        <v>2.2760100000000002E-2</v>
      </c>
      <c r="Q9271" s="356" t="s">
        <v>154</v>
      </c>
    </row>
    <row r="9272" spans="1:17" ht="252" x14ac:dyDescent="0.25">
      <c r="A9272" s="314">
        <v>44697</v>
      </c>
      <c r="B9272" s="314">
        <v>44699</v>
      </c>
      <c r="C9272" s="315">
        <v>2022</v>
      </c>
      <c r="D9272" s="24" t="s">
        <v>141</v>
      </c>
      <c r="E9272" s="316" t="s">
        <v>1965</v>
      </c>
      <c r="F9272" s="317" t="s">
        <v>45</v>
      </c>
      <c r="G9272" s="317" t="s">
        <v>2866</v>
      </c>
      <c r="H9272" s="318" t="s">
        <v>12502</v>
      </c>
      <c r="I9272" s="317">
        <v>1</v>
      </c>
      <c r="J9272" s="356">
        <v>3</v>
      </c>
      <c r="K9272" s="356">
        <v>0</v>
      </c>
      <c r="L9272" s="356">
        <v>0</v>
      </c>
      <c r="M9272" s="356">
        <v>0</v>
      </c>
      <c r="N9272" s="356">
        <v>3</v>
      </c>
      <c r="O9272" s="356">
        <v>0</v>
      </c>
      <c r="P9272" s="362">
        <v>3.5937000000000005E-3</v>
      </c>
      <c r="Q9272" s="356" t="s">
        <v>154</v>
      </c>
    </row>
    <row r="9273" spans="1:17" ht="72" x14ac:dyDescent="0.25">
      <c r="A9273" s="314">
        <v>44700</v>
      </c>
      <c r="B9273" s="314">
        <v>44700</v>
      </c>
      <c r="C9273" s="315">
        <v>2022</v>
      </c>
      <c r="D9273" s="35" t="s">
        <v>28</v>
      </c>
      <c r="E9273" s="316" t="s">
        <v>133</v>
      </c>
      <c r="F9273" s="7" t="s">
        <v>75</v>
      </c>
      <c r="G9273" s="317" t="s">
        <v>12503</v>
      </c>
      <c r="H9273" s="318" t="s">
        <v>12504</v>
      </c>
      <c r="I9273" s="317">
        <v>4</v>
      </c>
      <c r="J9273" s="356">
        <v>7</v>
      </c>
      <c r="K9273" s="356">
        <v>0</v>
      </c>
      <c r="L9273" s="356">
        <v>0</v>
      </c>
      <c r="M9273" s="356">
        <v>0</v>
      </c>
      <c r="N9273" s="356">
        <v>0</v>
      </c>
      <c r="O9273" s="356">
        <v>0</v>
      </c>
      <c r="P9273" s="362">
        <v>3.5937000000000005E-3</v>
      </c>
      <c r="Q9273" s="356" t="s">
        <v>154</v>
      </c>
    </row>
    <row r="9274" spans="1:17" ht="84" x14ac:dyDescent="0.25">
      <c r="A9274" s="314">
        <v>44700</v>
      </c>
      <c r="B9274" s="314">
        <v>44700</v>
      </c>
      <c r="C9274" s="315">
        <v>2022</v>
      </c>
      <c r="D9274" s="35" t="s">
        <v>28</v>
      </c>
      <c r="E9274" s="316" t="s">
        <v>133</v>
      </c>
      <c r="F9274" s="7" t="s">
        <v>75</v>
      </c>
      <c r="G9274" s="317" t="s">
        <v>2781</v>
      </c>
      <c r="H9274" s="318" t="s">
        <v>12505</v>
      </c>
      <c r="I9274" s="317">
        <v>2</v>
      </c>
      <c r="J9274" s="356">
        <v>4</v>
      </c>
      <c r="K9274" s="356">
        <v>0</v>
      </c>
      <c r="L9274" s="356">
        <v>0</v>
      </c>
      <c r="M9274" s="356">
        <v>0</v>
      </c>
      <c r="N9274" s="356">
        <v>0</v>
      </c>
      <c r="O9274" s="356">
        <v>0</v>
      </c>
      <c r="P9274" s="362">
        <v>2.3958E-3</v>
      </c>
      <c r="Q9274" s="356" t="s">
        <v>154</v>
      </c>
    </row>
    <row r="9275" spans="1:17" ht="96" x14ac:dyDescent="0.25">
      <c r="A9275" s="314">
        <v>44700</v>
      </c>
      <c r="B9275" s="314">
        <v>44701</v>
      </c>
      <c r="C9275" s="315">
        <v>2022</v>
      </c>
      <c r="D9275" s="35" t="s">
        <v>28</v>
      </c>
      <c r="E9275" s="316" t="s">
        <v>149</v>
      </c>
      <c r="F9275" s="317" t="s">
        <v>56</v>
      </c>
      <c r="G9275" s="317" t="s">
        <v>9807</v>
      </c>
      <c r="H9275" s="318" t="s">
        <v>12506</v>
      </c>
      <c r="I9275" s="317">
        <v>0</v>
      </c>
      <c r="J9275" s="356">
        <v>9</v>
      </c>
      <c r="K9275" s="356">
        <v>1</v>
      </c>
      <c r="L9275" s="356">
        <v>0</v>
      </c>
      <c r="M9275" s="356">
        <v>0</v>
      </c>
      <c r="N9275" s="356">
        <v>0</v>
      </c>
      <c r="O9275" s="356">
        <v>0</v>
      </c>
      <c r="P9275" s="362">
        <v>1.07811E-2</v>
      </c>
      <c r="Q9275" s="356" t="s">
        <v>154</v>
      </c>
    </row>
    <row r="9276" spans="1:17" ht="108" x14ac:dyDescent="0.25">
      <c r="A9276" s="314">
        <v>44701</v>
      </c>
      <c r="B9276" s="314">
        <v>44701</v>
      </c>
      <c r="C9276" s="315">
        <v>2022</v>
      </c>
      <c r="D9276" s="24" t="s">
        <v>141</v>
      </c>
      <c r="E9276" s="316" t="s">
        <v>142</v>
      </c>
      <c r="F9276" s="7" t="s">
        <v>77</v>
      </c>
      <c r="G9276" s="317" t="s">
        <v>77</v>
      </c>
      <c r="H9276" s="318" t="s">
        <v>12507</v>
      </c>
      <c r="I9276" s="317">
        <v>0</v>
      </c>
      <c r="J9276" s="356">
        <v>23</v>
      </c>
      <c r="K9276" s="356">
        <v>0</v>
      </c>
      <c r="L9276" s="356">
        <v>0</v>
      </c>
      <c r="M9276" s="356">
        <v>0</v>
      </c>
      <c r="N9276" s="356">
        <v>0</v>
      </c>
      <c r="O9276" s="356">
        <v>0</v>
      </c>
      <c r="P9276" s="362">
        <v>2.3958E-3</v>
      </c>
      <c r="Q9276" s="356" t="s">
        <v>154</v>
      </c>
    </row>
    <row r="9277" spans="1:17" ht="72" x14ac:dyDescent="0.25">
      <c r="A9277" s="314">
        <v>44701</v>
      </c>
      <c r="B9277" s="314">
        <v>44702</v>
      </c>
      <c r="C9277" s="315">
        <v>2022</v>
      </c>
      <c r="D9277" s="24" t="s">
        <v>141</v>
      </c>
      <c r="E9277" s="316" t="s">
        <v>142</v>
      </c>
      <c r="F9277" s="317" t="s">
        <v>84</v>
      </c>
      <c r="G9277" s="317" t="s">
        <v>2844</v>
      </c>
      <c r="H9277" s="318" t="s">
        <v>12508</v>
      </c>
      <c r="I9277" s="317">
        <v>0</v>
      </c>
      <c r="J9277" s="356">
        <v>24</v>
      </c>
      <c r="K9277" s="356">
        <v>0</v>
      </c>
      <c r="L9277" s="356">
        <v>0</v>
      </c>
      <c r="M9277" s="356">
        <v>0</v>
      </c>
      <c r="N9277" s="356">
        <v>0</v>
      </c>
      <c r="O9277" s="356">
        <v>0</v>
      </c>
      <c r="P9277" s="362">
        <v>2.8749600000000004E-2</v>
      </c>
      <c r="Q9277" s="356" t="s">
        <v>154</v>
      </c>
    </row>
    <row r="9278" spans="1:17" ht="108" x14ac:dyDescent="0.25">
      <c r="A9278" s="314">
        <v>44701</v>
      </c>
      <c r="B9278" s="314">
        <v>44702</v>
      </c>
      <c r="C9278" s="315">
        <v>2022</v>
      </c>
      <c r="D9278" s="24" t="s">
        <v>141</v>
      </c>
      <c r="E9278" s="316" t="s">
        <v>142</v>
      </c>
      <c r="F9278" s="317" t="s">
        <v>56</v>
      </c>
      <c r="G9278" s="317" t="s">
        <v>1707</v>
      </c>
      <c r="H9278" s="318" t="s">
        <v>12509</v>
      </c>
      <c r="I9278" s="317">
        <v>4</v>
      </c>
      <c r="J9278" s="356">
        <v>9</v>
      </c>
      <c r="K9278" s="356">
        <v>0</v>
      </c>
      <c r="L9278" s="356">
        <v>0</v>
      </c>
      <c r="M9278" s="356">
        <v>0</v>
      </c>
      <c r="N9278" s="356">
        <v>0</v>
      </c>
      <c r="O9278" s="356">
        <v>0</v>
      </c>
      <c r="P9278" s="362">
        <v>1.66375E-2</v>
      </c>
      <c r="Q9278" s="356" t="s">
        <v>154</v>
      </c>
    </row>
    <row r="9279" spans="1:17" ht="144" x14ac:dyDescent="0.25">
      <c r="A9279" s="314">
        <v>44702</v>
      </c>
      <c r="B9279" s="314">
        <v>44702</v>
      </c>
      <c r="C9279" s="315">
        <v>2022</v>
      </c>
      <c r="D9279" s="35" t="s">
        <v>28</v>
      </c>
      <c r="E9279" s="316" t="s">
        <v>133</v>
      </c>
      <c r="F9279" s="317" t="s">
        <v>160</v>
      </c>
      <c r="G9279" s="317" t="s">
        <v>2903</v>
      </c>
      <c r="H9279" s="318" t="s">
        <v>12510</v>
      </c>
      <c r="I9279" s="317">
        <v>0</v>
      </c>
      <c r="J9279" s="356">
        <v>15</v>
      </c>
      <c r="K9279" s="356">
        <v>0</v>
      </c>
      <c r="L9279" s="356">
        <v>0</v>
      </c>
      <c r="M9279" s="356">
        <v>0</v>
      </c>
      <c r="N9279" s="356">
        <v>0</v>
      </c>
      <c r="O9279" s="356">
        <v>0</v>
      </c>
      <c r="P9279" s="362">
        <v>0.11256666299999998</v>
      </c>
      <c r="Q9279" s="356" t="s">
        <v>154</v>
      </c>
    </row>
    <row r="9280" spans="1:17" ht="96" x14ac:dyDescent="0.25">
      <c r="A9280" s="314">
        <v>44702</v>
      </c>
      <c r="B9280" s="314">
        <v>44703</v>
      </c>
      <c r="C9280" s="315">
        <v>2022</v>
      </c>
      <c r="D9280" s="24" t="s">
        <v>141</v>
      </c>
      <c r="E9280" s="316" t="s">
        <v>142</v>
      </c>
      <c r="F9280" s="317" t="s">
        <v>45</v>
      </c>
      <c r="G9280" s="317" t="s">
        <v>12511</v>
      </c>
      <c r="H9280" s="318" t="s">
        <v>12512</v>
      </c>
      <c r="I9280" s="317">
        <v>0</v>
      </c>
      <c r="J9280" s="356">
        <v>6</v>
      </c>
      <c r="K9280" s="356">
        <v>0</v>
      </c>
      <c r="L9280" s="356">
        <v>0</v>
      </c>
      <c r="M9280" s="356">
        <v>0</v>
      </c>
      <c r="N9280" s="356">
        <v>0</v>
      </c>
      <c r="O9280" s="356">
        <v>0</v>
      </c>
      <c r="P9280" s="362">
        <v>9.3595919999999999E-2</v>
      </c>
      <c r="Q9280" s="356" t="s">
        <v>154</v>
      </c>
    </row>
    <row r="9281" spans="1:17" ht="120" x14ac:dyDescent="0.25">
      <c r="A9281" s="314">
        <v>44702</v>
      </c>
      <c r="B9281" s="314">
        <v>44703</v>
      </c>
      <c r="C9281" s="315">
        <v>2022</v>
      </c>
      <c r="D9281" s="24" t="s">
        <v>141</v>
      </c>
      <c r="E9281" s="316" t="s">
        <v>142</v>
      </c>
      <c r="F9281" s="317" t="s">
        <v>36</v>
      </c>
      <c r="G9281" s="317" t="s">
        <v>6327</v>
      </c>
      <c r="H9281" s="318" t="s">
        <v>12513</v>
      </c>
      <c r="I9281" s="317">
        <v>2</v>
      </c>
      <c r="J9281" s="356">
        <v>18</v>
      </c>
      <c r="K9281" s="356">
        <v>0</v>
      </c>
      <c r="L9281" s="356">
        <v>0</v>
      </c>
      <c r="M9281" s="356">
        <v>0</v>
      </c>
      <c r="N9281" s="356">
        <v>0</v>
      </c>
      <c r="O9281" s="356">
        <v>0</v>
      </c>
      <c r="P9281" s="362">
        <v>1.91664E-2</v>
      </c>
      <c r="Q9281" s="356" t="s">
        <v>154</v>
      </c>
    </row>
    <row r="9282" spans="1:17" ht="120" x14ac:dyDescent="0.25">
      <c r="A9282" s="314">
        <v>44702</v>
      </c>
      <c r="B9282" s="314">
        <v>44703</v>
      </c>
      <c r="C9282" s="315">
        <v>2022</v>
      </c>
      <c r="D9282" s="351" t="s">
        <v>23</v>
      </c>
      <c r="E9282" s="316" t="s">
        <v>86</v>
      </c>
      <c r="F9282" s="317" t="s">
        <v>40</v>
      </c>
      <c r="G9282" s="317" t="s">
        <v>12514</v>
      </c>
      <c r="H9282" s="318" t="s">
        <v>12515</v>
      </c>
      <c r="I9282" s="317">
        <v>2</v>
      </c>
      <c r="J9282" s="356">
        <v>2</v>
      </c>
      <c r="K9282" s="356">
        <v>0</v>
      </c>
      <c r="L9282" s="356">
        <v>0</v>
      </c>
      <c r="M9282" s="356">
        <v>0</v>
      </c>
      <c r="N9282" s="356">
        <v>0</v>
      </c>
      <c r="O9282" s="356">
        <v>0</v>
      </c>
      <c r="P9282" s="362">
        <v>0</v>
      </c>
      <c r="Q9282" s="356" t="s">
        <v>154</v>
      </c>
    </row>
    <row r="9283" spans="1:17" ht="84" x14ac:dyDescent="0.25">
      <c r="A9283" s="314">
        <v>44702</v>
      </c>
      <c r="B9283" s="314">
        <v>44703</v>
      </c>
      <c r="C9283" s="315">
        <v>2022</v>
      </c>
      <c r="D9283" s="35" t="s">
        <v>28</v>
      </c>
      <c r="E9283" s="316" t="s">
        <v>149</v>
      </c>
      <c r="F9283" s="28" t="s">
        <v>157</v>
      </c>
      <c r="G9283" s="317" t="s">
        <v>206</v>
      </c>
      <c r="H9283" s="318" t="s">
        <v>12516</v>
      </c>
      <c r="I9283" s="317">
        <v>0</v>
      </c>
      <c r="J9283" s="356">
        <v>501</v>
      </c>
      <c r="K9283" s="356">
        <v>0</v>
      </c>
      <c r="L9283" s="356">
        <v>0</v>
      </c>
      <c r="M9283" s="356">
        <v>0</v>
      </c>
      <c r="N9283" s="356">
        <v>0</v>
      </c>
      <c r="O9283" s="356">
        <v>0</v>
      </c>
      <c r="P9283" s="362">
        <v>0</v>
      </c>
      <c r="Q9283" s="356" t="s">
        <v>154</v>
      </c>
    </row>
    <row r="9284" spans="1:17" ht="72" x14ac:dyDescent="0.25">
      <c r="A9284" s="314">
        <v>44703</v>
      </c>
      <c r="B9284" s="314">
        <v>44703</v>
      </c>
      <c r="C9284" s="315">
        <v>2022</v>
      </c>
      <c r="D9284" s="35" t="s">
        <v>28</v>
      </c>
      <c r="E9284" s="316" t="s">
        <v>149</v>
      </c>
      <c r="F9284" s="7" t="s">
        <v>53</v>
      </c>
      <c r="G9284" s="317" t="s">
        <v>2268</v>
      </c>
      <c r="H9284" s="318" t="s">
        <v>12517</v>
      </c>
      <c r="I9284" s="317">
        <v>0</v>
      </c>
      <c r="J9284" s="356">
        <v>300</v>
      </c>
      <c r="K9284" s="356">
        <v>6</v>
      </c>
      <c r="L9284" s="356">
        <v>0</v>
      </c>
      <c r="M9284" s="356">
        <v>0</v>
      </c>
      <c r="N9284" s="356">
        <v>1</v>
      </c>
      <c r="O9284" s="356">
        <v>0</v>
      </c>
      <c r="P9284" s="362">
        <v>3.7329831000000001E-2</v>
      </c>
      <c r="Q9284" s="356" t="s">
        <v>154</v>
      </c>
    </row>
    <row r="9285" spans="1:17" ht="72" x14ac:dyDescent="0.25">
      <c r="A9285" s="314">
        <v>44703</v>
      </c>
      <c r="B9285" s="314">
        <v>44703</v>
      </c>
      <c r="C9285" s="315">
        <v>2022</v>
      </c>
      <c r="D9285" s="351" t="s">
        <v>23</v>
      </c>
      <c r="E9285" s="316" t="s">
        <v>86</v>
      </c>
      <c r="F9285" s="7" t="s">
        <v>53</v>
      </c>
      <c r="G9285" s="317" t="s">
        <v>12518</v>
      </c>
      <c r="H9285" s="318" t="s">
        <v>12519</v>
      </c>
      <c r="I9285" s="317">
        <v>0</v>
      </c>
      <c r="J9285" s="356">
        <v>2</v>
      </c>
      <c r="K9285" s="356">
        <v>1</v>
      </c>
      <c r="L9285" s="356">
        <v>0</v>
      </c>
      <c r="M9285" s="356">
        <v>0</v>
      </c>
      <c r="N9285" s="356">
        <v>0</v>
      </c>
      <c r="O9285" s="356">
        <v>0</v>
      </c>
      <c r="P9285" s="362">
        <v>6.2216385000000004E-3</v>
      </c>
      <c r="Q9285" s="356" t="s">
        <v>154</v>
      </c>
    </row>
    <row r="9286" spans="1:17" ht="72" x14ac:dyDescent="0.25">
      <c r="A9286" s="314">
        <v>44703</v>
      </c>
      <c r="B9286" s="314">
        <v>44704</v>
      </c>
      <c r="C9286" s="315">
        <v>2022</v>
      </c>
      <c r="D9286" s="24" t="s">
        <v>141</v>
      </c>
      <c r="E9286" s="316" t="s">
        <v>142</v>
      </c>
      <c r="F9286" s="317" t="s">
        <v>210</v>
      </c>
      <c r="G9286" s="319" t="s">
        <v>12520</v>
      </c>
      <c r="H9286" s="318" t="s">
        <v>12521</v>
      </c>
      <c r="I9286" s="317">
        <v>0</v>
      </c>
      <c r="J9286" s="356">
        <v>5</v>
      </c>
      <c r="K9286" s="356"/>
      <c r="L9286" s="356">
        <v>0</v>
      </c>
      <c r="M9286" s="356">
        <v>0</v>
      </c>
      <c r="N9286" s="356">
        <v>0</v>
      </c>
      <c r="O9286" s="356">
        <v>0</v>
      </c>
      <c r="P9286" s="362">
        <v>5.9895E-3</v>
      </c>
      <c r="Q9286" s="356" t="s">
        <v>154</v>
      </c>
    </row>
    <row r="9287" spans="1:17" ht="132" x14ac:dyDescent="0.25">
      <c r="A9287" s="314">
        <v>44703</v>
      </c>
      <c r="B9287" s="314">
        <v>44703</v>
      </c>
      <c r="C9287" s="315">
        <v>2022</v>
      </c>
      <c r="D9287" s="351" t="s">
        <v>23</v>
      </c>
      <c r="E9287" s="316" t="s">
        <v>86</v>
      </c>
      <c r="F9287" s="317" t="s">
        <v>68</v>
      </c>
      <c r="G9287" s="317" t="s">
        <v>12522</v>
      </c>
      <c r="H9287" s="318" t="s">
        <v>12523</v>
      </c>
      <c r="I9287" s="317">
        <v>1</v>
      </c>
      <c r="J9287" s="356">
        <v>1</v>
      </c>
      <c r="K9287" s="356">
        <v>1</v>
      </c>
      <c r="L9287" s="356">
        <v>0</v>
      </c>
      <c r="M9287" s="356">
        <v>0</v>
      </c>
      <c r="N9287" s="356">
        <v>0</v>
      </c>
      <c r="O9287" s="356">
        <v>0</v>
      </c>
      <c r="P9287" s="362">
        <v>4.6585000000000002E-4</v>
      </c>
      <c r="Q9287" s="356" t="s">
        <v>154</v>
      </c>
    </row>
    <row r="9288" spans="1:17" ht="60" x14ac:dyDescent="0.25">
      <c r="A9288" s="314">
        <v>44704</v>
      </c>
      <c r="B9288" s="314">
        <v>44704</v>
      </c>
      <c r="C9288" s="315">
        <v>2022</v>
      </c>
      <c r="D9288" s="24" t="s">
        <v>141</v>
      </c>
      <c r="E9288" s="316" t="s">
        <v>142</v>
      </c>
      <c r="F9288" s="7" t="s">
        <v>49</v>
      </c>
      <c r="G9288" s="317" t="s">
        <v>12524</v>
      </c>
      <c r="H9288" s="318" t="s">
        <v>12525</v>
      </c>
      <c r="I9288" s="317">
        <v>2</v>
      </c>
      <c r="J9288" s="356">
        <v>2</v>
      </c>
      <c r="K9288" s="356">
        <v>0</v>
      </c>
      <c r="L9288" s="356">
        <v>0</v>
      </c>
      <c r="M9288" s="356">
        <v>0</v>
      </c>
      <c r="N9288" s="356">
        <v>0</v>
      </c>
      <c r="O9288" s="356">
        <v>0</v>
      </c>
      <c r="P9288" s="362">
        <v>1.9920535354057374</v>
      </c>
      <c r="Q9288" s="356" t="s">
        <v>154</v>
      </c>
    </row>
    <row r="9289" spans="1:17" ht="108" x14ac:dyDescent="0.25">
      <c r="A9289" s="314">
        <v>44706</v>
      </c>
      <c r="B9289" s="314">
        <v>44706</v>
      </c>
      <c r="C9289" s="315">
        <v>2022</v>
      </c>
      <c r="D9289" s="24" t="s">
        <v>141</v>
      </c>
      <c r="E9289" s="316" t="s">
        <v>142</v>
      </c>
      <c r="F9289" s="317" t="s">
        <v>82</v>
      </c>
      <c r="G9289" s="317" t="s">
        <v>12526</v>
      </c>
      <c r="H9289" s="318" t="s">
        <v>12527</v>
      </c>
      <c r="I9289" s="317">
        <v>0</v>
      </c>
      <c r="J9289" s="356">
        <v>36</v>
      </c>
      <c r="K9289" s="356">
        <v>0</v>
      </c>
      <c r="L9289" s="356">
        <v>0</v>
      </c>
      <c r="M9289" s="356">
        <v>0</v>
      </c>
      <c r="N9289" s="356">
        <v>0</v>
      </c>
      <c r="O9289" s="356">
        <v>0</v>
      </c>
      <c r="P9289" s="362">
        <v>0.86408520000000011</v>
      </c>
      <c r="Q9289" s="356" t="s">
        <v>154</v>
      </c>
    </row>
    <row r="9290" spans="1:17" ht="84" x14ac:dyDescent="0.25">
      <c r="A9290" s="314">
        <v>44706</v>
      </c>
      <c r="B9290" s="314">
        <v>44706</v>
      </c>
      <c r="C9290" s="315">
        <v>2022</v>
      </c>
      <c r="D9290" s="351" t="s">
        <v>23</v>
      </c>
      <c r="E9290" s="316" t="s">
        <v>86</v>
      </c>
      <c r="F9290" s="317" t="s">
        <v>36</v>
      </c>
      <c r="G9290" s="317" t="s">
        <v>854</v>
      </c>
      <c r="H9290" s="318" t="s">
        <v>12528</v>
      </c>
      <c r="I9290" s="317">
        <v>0</v>
      </c>
      <c r="J9290" s="356">
        <v>28</v>
      </c>
      <c r="K9290" s="356">
        <v>7</v>
      </c>
      <c r="L9290" s="356">
        <v>0</v>
      </c>
      <c r="M9290" s="356">
        <v>0</v>
      </c>
      <c r="N9290" s="356">
        <v>0</v>
      </c>
      <c r="O9290" s="356">
        <v>0</v>
      </c>
      <c r="P9290" s="362">
        <v>9.3381750000000006E-3</v>
      </c>
      <c r="Q9290" s="356" t="s">
        <v>154</v>
      </c>
    </row>
    <row r="9291" spans="1:17" x14ac:dyDescent="0.25">
      <c r="A9291" s="314">
        <v>44707</v>
      </c>
      <c r="B9291" s="314">
        <v>44707</v>
      </c>
      <c r="C9291" s="315">
        <v>2022</v>
      </c>
      <c r="D9291" s="35" t="s">
        <v>28</v>
      </c>
      <c r="E9291" s="316" t="s">
        <v>149</v>
      </c>
      <c r="F9291" s="317" t="s">
        <v>30</v>
      </c>
      <c r="G9291" s="317" t="s">
        <v>1078</v>
      </c>
      <c r="H9291" s="320" t="s">
        <v>12529</v>
      </c>
      <c r="I9291" s="317">
        <v>0</v>
      </c>
      <c r="J9291" s="356">
        <v>28</v>
      </c>
      <c r="K9291" s="356">
        <v>7</v>
      </c>
      <c r="L9291" s="356">
        <v>0</v>
      </c>
      <c r="M9291" s="356">
        <v>0</v>
      </c>
      <c r="N9291" s="356">
        <v>0</v>
      </c>
      <c r="O9291" s="356">
        <v>0</v>
      </c>
      <c r="P9291" s="362">
        <v>9.3381750000000006E-3</v>
      </c>
      <c r="Q9291" s="356" t="s">
        <v>154</v>
      </c>
    </row>
    <row r="9292" spans="1:17" ht="108" x14ac:dyDescent="0.25">
      <c r="A9292" s="314">
        <v>44707</v>
      </c>
      <c r="B9292" s="314">
        <v>44707</v>
      </c>
      <c r="C9292" s="315">
        <v>2022</v>
      </c>
      <c r="D9292" s="24" t="s">
        <v>141</v>
      </c>
      <c r="E9292" s="316" t="s">
        <v>142</v>
      </c>
      <c r="F9292" s="317" t="s">
        <v>62</v>
      </c>
      <c r="G9292" s="317" t="s">
        <v>12530</v>
      </c>
      <c r="H9292" s="318" t="s">
        <v>12531</v>
      </c>
      <c r="I9292" s="317">
        <v>0</v>
      </c>
      <c r="J9292" s="356">
        <v>6</v>
      </c>
      <c r="K9292" s="356">
        <v>0</v>
      </c>
      <c r="L9292" s="356">
        <v>0</v>
      </c>
      <c r="M9292" s="356">
        <v>0</v>
      </c>
      <c r="N9292" s="356">
        <v>0</v>
      </c>
      <c r="O9292" s="356">
        <v>0</v>
      </c>
      <c r="P9292" s="362">
        <v>0.86408520000000011</v>
      </c>
      <c r="Q9292" s="356" t="s">
        <v>154</v>
      </c>
    </row>
    <row r="9293" spans="1:17" ht="72" x14ac:dyDescent="0.25">
      <c r="A9293" s="314">
        <v>44708</v>
      </c>
      <c r="B9293" s="314">
        <v>44708</v>
      </c>
      <c r="C9293" s="315">
        <v>2022</v>
      </c>
      <c r="D9293" s="24" t="s">
        <v>141</v>
      </c>
      <c r="E9293" s="316" t="s">
        <v>142</v>
      </c>
      <c r="F9293" s="317" t="s">
        <v>67</v>
      </c>
      <c r="G9293" s="317" t="s">
        <v>5164</v>
      </c>
      <c r="H9293" s="318" t="s">
        <v>12532</v>
      </c>
      <c r="I9293" s="317">
        <v>0</v>
      </c>
      <c r="J9293" s="356">
        <v>9</v>
      </c>
      <c r="K9293" s="356">
        <v>0</v>
      </c>
      <c r="L9293" s="356">
        <v>0</v>
      </c>
      <c r="M9293" s="356">
        <v>0</v>
      </c>
      <c r="N9293" s="356">
        <v>0</v>
      </c>
      <c r="O9293" s="356">
        <v>0</v>
      </c>
      <c r="P9293" s="362">
        <v>9.7189620000000004E-2</v>
      </c>
      <c r="Q9293" s="356" t="s">
        <v>154</v>
      </c>
    </row>
    <row r="9294" spans="1:17" ht="144" x14ac:dyDescent="0.25">
      <c r="A9294" s="314">
        <v>44708</v>
      </c>
      <c r="B9294" s="314">
        <v>44708</v>
      </c>
      <c r="C9294" s="315">
        <v>2022</v>
      </c>
      <c r="D9294" s="35" t="s">
        <v>28</v>
      </c>
      <c r="E9294" s="316" t="s">
        <v>133</v>
      </c>
      <c r="F9294" s="7" t="s">
        <v>53</v>
      </c>
      <c r="G9294" s="317" t="s">
        <v>12533</v>
      </c>
      <c r="H9294" s="318" t="s">
        <v>12534</v>
      </c>
      <c r="I9294" s="317">
        <v>2</v>
      </c>
      <c r="J9294" s="356">
        <v>8</v>
      </c>
      <c r="K9294" s="356">
        <v>0</v>
      </c>
      <c r="L9294" s="356">
        <v>0</v>
      </c>
      <c r="M9294" s="356">
        <v>0</v>
      </c>
      <c r="N9294" s="356">
        <v>0</v>
      </c>
      <c r="O9294" s="356">
        <v>0</v>
      </c>
      <c r="P9294" s="362">
        <v>5.9895E-3</v>
      </c>
      <c r="Q9294" s="356" t="s">
        <v>154</v>
      </c>
    </row>
    <row r="9295" spans="1:17" ht="120" x14ac:dyDescent="0.25">
      <c r="A9295" s="314">
        <v>44709</v>
      </c>
      <c r="B9295" s="314">
        <v>44709</v>
      </c>
      <c r="C9295" s="315">
        <v>2022</v>
      </c>
      <c r="D9295" s="24" t="s">
        <v>141</v>
      </c>
      <c r="E9295" s="316" t="s">
        <v>142</v>
      </c>
      <c r="F9295" s="317" t="s">
        <v>84</v>
      </c>
      <c r="G9295" s="317" t="s">
        <v>7417</v>
      </c>
      <c r="H9295" s="318" t="s">
        <v>12535</v>
      </c>
      <c r="I9295" s="317">
        <v>4</v>
      </c>
      <c r="J9295" s="356">
        <v>50</v>
      </c>
      <c r="K9295" s="356">
        <v>0</v>
      </c>
      <c r="L9295" s="356">
        <v>0</v>
      </c>
      <c r="M9295" s="356">
        <v>0</v>
      </c>
      <c r="N9295" s="356">
        <v>0</v>
      </c>
      <c r="O9295" s="356">
        <v>0</v>
      </c>
      <c r="P9295" s="362">
        <v>5.5103400000000004E-2</v>
      </c>
      <c r="Q9295" s="356" t="s">
        <v>154</v>
      </c>
    </row>
    <row r="9296" spans="1:17" ht="180" x14ac:dyDescent="0.25">
      <c r="A9296" s="314">
        <v>44712</v>
      </c>
      <c r="B9296" s="314">
        <v>44712</v>
      </c>
      <c r="C9296" s="315">
        <v>2022</v>
      </c>
      <c r="D9296" s="24" t="s">
        <v>141</v>
      </c>
      <c r="E9296" s="316" t="s">
        <v>142</v>
      </c>
      <c r="F9296" s="317" t="s">
        <v>56</v>
      </c>
      <c r="G9296" s="317" t="s">
        <v>12536</v>
      </c>
      <c r="H9296" s="318" t="s">
        <v>12537</v>
      </c>
      <c r="I9296" s="317">
        <v>0</v>
      </c>
      <c r="J9296" s="356">
        <v>38</v>
      </c>
      <c r="K9296" s="356">
        <v>0</v>
      </c>
      <c r="L9296" s="356">
        <v>0</v>
      </c>
      <c r="M9296" s="356">
        <v>0</v>
      </c>
      <c r="N9296" s="356">
        <v>0</v>
      </c>
      <c r="O9296" s="356">
        <v>0</v>
      </c>
      <c r="P9296" s="362">
        <v>1.66375E-2</v>
      </c>
      <c r="Q9296" s="356" t="s">
        <v>154</v>
      </c>
    </row>
    <row r="9297" spans="1:17" ht="306" x14ac:dyDescent="0.25">
      <c r="A9297" s="314">
        <v>44711</v>
      </c>
      <c r="B9297" s="314">
        <v>44711</v>
      </c>
      <c r="C9297" s="315">
        <v>2022</v>
      </c>
      <c r="D9297" s="351" t="s">
        <v>23</v>
      </c>
      <c r="E9297" s="316" t="s">
        <v>32</v>
      </c>
      <c r="F9297" s="317" t="s">
        <v>72</v>
      </c>
      <c r="G9297" s="317" t="s">
        <v>12538</v>
      </c>
      <c r="H9297" s="326" t="s">
        <v>12539</v>
      </c>
      <c r="I9297" s="317">
        <v>11</v>
      </c>
      <c r="J9297" s="357">
        <v>25134</v>
      </c>
      <c r="K9297" s="358" t="s">
        <v>12540</v>
      </c>
      <c r="L9297" s="356">
        <v>338</v>
      </c>
      <c r="M9297" s="356">
        <f>7+43+3+30+12</f>
        <v>95</v>
      </c>
      <c r="N9297" s="356">
        <v>841</v>
      </c>
      <c r="O9297" s="356">
        <v>0</v>
      </c>
      <c r="P9297" s="362">
        <v>6385</v>
      </c>
      <c r="Q9297" s="356" t="s">
        <v>12541</v>
      </c>
    </row>
    <row r="9298" spans="1:17" ht="84" x14ac:dyDescent="0.25">
      <c r="A9298" s="314">
        <v>44716</v>
      </c>
      <c r="B9298" s="314">
        <v>44716</v>
      </c>
      <c r="C9298" s="315">
        <v>2022</v>
      </c>
      <c r="D9298" s="35" t="s">
        <v>28</v>
      </c>
      <c r="E9298" s="316" t="s">
        <v>149</v>
      </c>
      <c r="F9298" s="317" t="s">
        <v>56</v>
      </c>
      <c r="G9298" s="317" t="s">
        <v>12542</v>
      </c>
      <c r="H9298" s="318" t="s">
        <v>12543</v>
      </c>
      <c r="I9298" s="317">
        <v>1</v>
      </c>
      <c r="J9298" s="356">
        <v>2</v>
      </c>
      <c r="K9298" s="356">
        <v>0</v>
      </c>
      <c r="L9298" s="356">
        <v>0</v>
      </c>
      <c r="M9298" s="356">
        <v>0</v>
      </c>
      <c r="N9298" s="356">
        <v>0</v>
      </c>
      <c r="O9298" s="356">
        <v>0</v>
      </c>
      <c r="P9298" s="362">
        <v>1.1979E-3</v>
      </c>
      <c r="Q9298" s="356" t="s">
        <v>154</v>
      </c>
    </row>
    <row r="9299" spans="1:17" ht="60" x14ac:dyDescent="0.25">
      <c r="A9299" s="314">
        <v>44717</v>
      </c>
      <c r="B9299" s="314">
        <v>44717</v>
      </c>
      <c r="C9299" s="315">
        <v>2022</v>
      </c>
      <c r="D9299" s="24" t="s">
        <v>141</v>
      </c>
      <c r="E9299" s="316" t="s">
        <v>142</v>
      </c>
      <c r="F9299" s="317" t="s">
        <v>781</v>
      </c>
      <c r="G9299" s="317" t="s">
        <v>3061</v>
      </c>
      <c r="H9299" s="318" t="s">
        <v>12544</v>
      </c>
      <c r="I9299" s="317">
        <v>3</v>
      </c>
      <c r="J9299" s="356">
        <v>13</v>
      </c>
      <c r="K9299" s="356">
        <v>0</v>
      </c>
      <c r="L9299" s="356">
        <v>0</v>
      </c>
      <c r="M9299" s="356">
        <v>0</v>
      </c>
      <c r="N9299" s="356">
        <v>0</v>
      </c>
      <c r="O9299" s="356">
        <v>0</v>
      </c>
      <c r="P9299" s="362">
        <v>2.9468340000000003E-2</v>
      </c>
      <c r="Q9299" s="356" t="s">
        <v>154</v>
      </c>
    </row>
    <row r="9300" spans="1:17" ht="132" x14ac:dyDescent="0.25">
      <c r="A9300" s="314">
        <v>44717</v>
      </c>
      <c r="B9300" s="314">
        <v>44717</v>
      </c>
      <c r="C9300" s="315">
        <v>2022</v>
      </c>
      <c r="D9300" s="24" t="s">
        <v>141</v>
      </c>
      <c r="E9300" s="316" t="s">
        <v>142</v>
      </c>
      <c r="F9300" s="317" t="s">
        <v>160</v>
      </c>
      <c r="G9300" s="317" t="s">
        <v>2662</v>
      </c>
      <c r="H9300" s="318" t="s">
        <v>12545</v>
      </c>
      <c r="I9300" s="317">
        <v>0</v>
      </c>
      <c r="J9300" s="356">
        <v>5</v>
      </c>
      <c r="K9300" s="356">
        <v>0</v>
      </c>
      <c r="L9300" s="356">
        <v>0</v>
      </c>
      <c r="M9300" s="356">
        <v>0</v>
      </c>
      <c r="N9300" s="356">
        <v>0</v>
      </c>
      <c r="O9300" s="356">
        <v>0</v>
      </c>
      <c r="P9300" s="362">
        <v>2.7809635699999998E-2</v>
      </c>
      <c r="Q9300" s="356" t="s">
        <v>154</v>
      </c>
    </row>
    <row r="9301" spans="1:17" ht="108" x14ac:dyDescent="0.25">
      <c r="A9301" s="314">
        <v>44719</v>
      </c>
      <c r="B9301" s="314">
        <v>44720</v>
      </c>
      <c r="C9301" s="315">
        <v>2022</v>
      </c>
      <c r="D9301" s="24" t="s">
        <v>141</v>
      </c>
      <c r="E9301" s="316" t="s">
        <v>447</v>
      </c>
      <c r="F9301" s="317" t="s">
        <v>65</v>
      </c>
      <c r="G9301" s="317" t="s">
        <v>1632</v>
      </c>
      <c r="H9301" s="318" t="s">
        <v>12546</v>
      </c>
      <c r="I9301" s="317">
        <v>0</v>
      </c>
      <c r="J9301" s="356">
        <v>8</v>
      </c>
      <c r="K9301" s="356">
        <v>0</v>
      </c>
      <c r="L9301" s="356">
        <v>0</v>
      </c>
      <c r="M9301" s="356">
        <v>0</v>
      </c>
      <c r="N9301" s="356">
        <v>0</v>
      </c>
      <c r="O9301" s="356">
        <v>0</v>
      </c>
      <c r="P9301" s="362">
        <v>0</v>
      </c>
      <c r="Q9301" s="356" t="s">
        <v>154</v>
      </c>
    </row>
    <row r="9302" spans="1:17" ht="120.75" x14ac:dyDescent="0.25">
      <c r="A9302" s="314">
        <v>44720</v>
      </c>
      <c r="B9302" s="314">
        <v>44721</v>
      </c>
      <c r="C9302" s="315">
        <v>2022</v>
      </c>
      <c r="D9302" s="35" t="s">
        <v>28</v>
      </c>
      <c r="E9302" s="316" t="s">
        <v>133</v>
      </c>
      <c r="F9302" s="317" t="s">
        <v>65</v>
      </c>
      <c r="G9302" s="317" t="s">
        <v>2516</v>
      </c>
      <c r="H9302" s="348" t="s">
        <v>12547</v>
      </c>
      <c r="I9302" s="317">
        <v>0</v>
      </c>
      <c r="J9302" s="356">
        <v>4</v>
      </c>
      <c r="K9302" s="356">
        <v>0</v>
      </c>
      <c r="L9302" s="356">
        <v>0</v>
      </c>
      <c r="M9302" s="356">
        <v>0</v>
      </c>
      <c r="N9302" s="356">
        <v>0</v>
      </c>
      <c r="O9302" s="356">
        <v>0</v>
      </c>
      <c r="P9302" s="362">
        <v>0</v>
      </c>
      <c r="Q9302" s="356" t="s">
        <v>154</v>
      </c>
    </row>
    <row r="9303" spans="1:17" ht="168" x14ac:dyDescent="0.25">
      <c r="A9303" s="314">
        <v>44720</v>
      </c>
      <c r="B9303" s="314">
        <v>44721</v>
      </c>
      <c r="C9303" s="315">
        <v>2022</v>
      </c>
      <c r="D9303" s="351" t="s">
        <v>23</v>
      </c>
      <c r="E9303" s="316" t="s">
        <v>86</v>
      </c>
      <c r="F9303" s="317" t="s">
        <v>36</v>
      </c>
      <c r="G9303" s="317" t="s">
        <v>522</v>
      </c>
      <c r="H9303" s="318" t="s">
        <v>12548</v>
      </c>
      <c r="I9303" s="317">
        <v>0</v>
      </c>
      <c r="J9303" s="356">
        <v>295</v>
      </c>
      <c r="K9303" s="356">
        <v>70</v>
      </c>
      <c r="L9303" s="356">
        <v>2</v>
      </c>
      <c r="M9303" s="356">
        <v>0</v>
      </c>
      <c r="N9303" s="356">
        <v>0</v>
      </c>
      <c r="O9303" s="356">
        <v>0</v>
      </c>
      <c r="P9303" s="362">
        <v>0</v>
      </c>
      <c r="Q9303" s="356" t="s">
        <v>154</v>
      </c>
    </row>
    <row r="9304" spans="1:17" ht="108" x14ac:dyDescent="0.25">
      <c r="A9304" s="314">
        <v>44722</v>
      </c>
      <c r="B9304" s="314">
        <v>44722</v>
      </c>
      <c r="C9304" s="315">
        <v>2022</v>
      </c>
      <c r="D9304" s="24" t="s">
        <v>141</v>
      </c>
      <c r="E9304" s="316" t="s">
        <v>142</v>
      </c>
      <c r="F9304" s="317" t="s">
        <v>65</v>
      </c>
      <c r="G9304" s="317" t="s">
        <v>12549</v>
      </c>
      <c r="H9304" s="318" t="s">
        <v>12550</v>
      </c>
      <c r="I9304" s="317">
        <v>0</v>
      </c>
      <c r="J9304" s="356">
        <v>11</v>
      </c>
      <c r="K9304" s="356">
        <v>0</v>
      </c>
      <c r="L9304" s="356">
        <v>0</v>
      </c>
      <c r="M9304" s="356">
        <v>0</v>
      </c>
      <c r="N9304" s="356">
        <v>0</v>
      </c>
      <c r="O9304" s="356">
        <v>0</v>
      </c>
      <c r="P9304" s="362">
        <v>1.3176900000000002E-2</v>
      </c>
      <c r="Q9304" s="356" t="s">
        <v>154</v>
      </c>
    </row>
    <row r="9305" spans="1:17" ht="156" x14ac:dyDescent="0.25">
      <c r="A9305" s="314">
        <v>44722</v>
      </c>
      <c r="B9305" s="314">
        <v>44722</v>
      </c>
      <c r="C9305" s="315">
        <v>2022</v>
      </c>
      <c r="D9305" s="24" t="s">
        <v>141</v>
      </c>
      <c r="E9305" s="316" t="s">
        <v>142</v>
      </c>
      <c r="F9305" s="317" t="s">
        <v>67</v>
      </c>
      <c r="G9305" s="317" t="s">
        <v>12551</v>
      </c>
      <c r="H9305" s="318" t="s">
        <v>12552</v>
      </c>
      <c r="I9305" s="317">
        <v>1</v>
      </c>
      <c r="J9305" s="356">
        <v>2</v>
      </c>
      <c r="K9305" s="356">
        <v>0</v>
      </c>
      <c r="L9305" s="356">
        <v>0</v>
      </c>
      <c r="M9305" s="356">
        <v>0</v>
      </c>
      <c r="N9305" s="356">
        <v>0</v>
      </c>
      <c r="O9305" s="356">
        <v>0</v>
      </c>
      <c r="P9305" s="362">
        <v>5.7188184447058837E-2</v>
      </c>
      <c r="Q9305" s="356" t="s">
        <v>154</v>
      </c>
    </row>
    <row r="9306" spans="1:17" ht="156" x14ac:dyDescent="0.25">
      <c r="A9306" s="314">
        <v>44721</v>
      </c>
      <c r="B9306" s="314">
        <v>44722</v>
      </c>
      <c r="C9306" s="315">
        <v>2022</v>
      </c>
      <c r="D9306" s="35" t="s">
        <v>28</v>
      </c>
      <c r="E9306" s="316" t="s">
        <v>369</v>
      </c>
      <c r="F9306" s="317" t="s">
        <v>60</v>
      </c>
      <c r="G9306" s="317" t="s">
        <v>12553</v>
      </c>
      <c r="H9306" s="318" t="s">
        <v>12554</v>
      </c>
      <c r="I9306" s="317">
        <v>0</v>
      </c>
      <c r="J9306" s="356">
        <v>1</v>
      </c>
      <c r="K9306" s="356">
        <v>0</v>
      </c>
      <c r="L9306" s="356">
        <v>0</v>
      </c>
      <c r="M9306" s="356">
        <v>0</v>
      </c>
      <c r="N9306" s="356">
        <v>0</v>
      </c>
      <c r="O9306" s="356">
        <v>0</v>
      </c>
      <c r="P9306" s="362">
        <v>1.6363007444705884</v>
      </c>
      <c r="Q9306" s="356" t="s">
        <v>154</v>
      </c>
    </row>
    <row r="9307" spans="1:17" ht="72" x14ac:dyDescent="0.25">
      <c r="A9307" s="314">
        <v>44723</v>
      </c>
      <c r="B9307" s="314">
        <v>44723</v>
      </c>
      <c r="C9307" s="315">
        <v>2022</v>
      </c>
      <c r="D9307" s="24" t="s">
        <v>141</v>
      </c>
      <c r="E9307" s="316" t="s">
        <v>142</v>
      </c>
      <c r="F9307" s="317" t="s">
        <v>62</v>
      </c>
      <c r="G9307" s="317" t="s">
        <v>11357</v>
      </c>
      <c r="H9307" s="318" t="s">
        <v>12555</v>
      </c>
      <c r="I9307" s="317">
        <v>0</v>
      </c>
      <c r="J9307" s="356">
        <v>19</v>
      </c>
      <c r="K9307" s="356">
        <v>0</v>
      </c>
      <c r="L9307" s="356">
        <v>0</v>
      </c>
      <c r="M9307" s="356">
        <v>0</v>
      </c>
      <c r="N9307" s="356">
        <v>0</v>
      </c>
      <c r="O9307" s="356">
        <v>0</v>
      </c>
      <c r="P9307" s="362">
        <v>2.2760100000000002E-2</v>
      </c>
      <c r="Q9307" s="356" t="s">
        <v>154</v>
      </c>
    </row>
    <row r="9308" spans="1:17" ht="84" x14ac:dyDescent="0.25">
      <c r="A9308" s="314">
        <v>44722</v>
      </c>
      <c r="B9308" s="314">
        <v>44723</v>
      </c>
      <c r="C9308" s="315">
        <v>2022</v>
      </c>
      <c r="D9308" s="24" t="s">
        <v>141</v>
      </c>
      <c r="E9308" s="316" t="s">
        <v>142</v>
      </c>
      <c r="F9308" s="317" t="s">
        <v>80</v>
      </c>
      <c r="G9308" s="317" t="s">
        <v>11154</v>
      </c>
      <c r="H9308" s="318" t="s">
        <v>12556</v>
      </c>
      <c r="I9308" s="317">
        <v>1</v>
      </c>
      <c r="J9308" s="356">
        <v>8</v>
      </c>
      <c r="K9308" s="356">
        <v>0</v>
      </c>
      <c r="L9308" s="356">
        <v>0</v>
      </c>
      <c r="M9308" s="356">
        <v>0</v>
      </c>
      <c r="N9308" s="356">
        <v>0</v>
      </c>
      <c r="O9308" s="356">
        <v>0</v>
      </c>
      <c r="P9308" s="362">
        <v>8.3853000000000018E-3</v>
      </c>
      <c r="Q9308" s="356" t="s">
        <v>154</v>
      </c>
    </row>
    <row r="9309" spans="1:17" ht="84" x14ac:dyDescent="0.25">
      <c r="A9309" s="314">
        <v>44723</v>
      </c>
      <c r="B9309" s="314">
        <v>44724</v>
      </c>
      <c r="C9309" s="315">
        <v>2022</v>
      </c>
      <c r="D9309" s="351" t="s">
        <v>23</v>
      </c>
      <c r="E9309" s="316" t="s">
        <v>86</v>
      </c>
      <c r="F9309" s="7" t="s">
        <v>75</v>
      </c>
      <c r="G9309" s="317" t="s">
        <v>12557</v>
      </c>
      <c r="H9309" s="318" t="s">
        <v>12558</v>
      </c>
      <c r="I9309" s="317">
        <v>0</v>
      </c>
      <c r="J9309" s="356">
        <f>4*8</f>
        <v>32</v>
      </c>
      <c r="K9309" s="356">
        <v>8</v>
      </c>
      <c r="L9309" s="356">
        <v>0</v>
      </c>
      <c r="M9309" s="356">
        <v>0</v>
      </c>
      <c r="N9309" s="356">
        <v>0</v>
      </c>
      <c r="O9309" s="356">
        <v>0</v>
      </c>
      <c r="P9309" s="362">
        <v>1.0672200000000001E-2</v>
      </c>
      <c r="Q9309" s="356" t="s">
        <v>154</v>
      </c>
    </row>
    <row r="9310" spans="1:17" ht="72" x14ac:dyDescent="0.25">
      <c r="A9310" s="314">
        <v>44723</v>
      </c>
      <c r="B9310" s="314">
        <v>44723</v>
      </c>
      <c r="C9310" s="315">
        <v>2022</v>
      </c>
      <c r="D9310" s="35" t="s">
        <v>28</v>
      </c>
      <c r="E9310" s="316" t="s">
        <v>133</v>
      </c>
      <c r="F9310" s="7" t="s">
        <v>87</v>
      </c>
      <c r="G9310" s="317" t="s">
        <v>2608</v>
      </c>
      <c r="H9310" s="318" t="s">
        <v>12559</v>
      </c>
      <c r="I9310" s="317">
        <v>0</v>
      </c>
      <c r="J9310" s="356">
        <v>4</v>
      </c>
      <c r="K9310" s="356">
        <v>6</v>
      </c>
      <c r="L9310" s="356">
        <v>0</v>
      </c>
      <c r="M9310" s="356">
        <v>0</v>
      </c>
      <c r="N9310" s="356">
        <v>0</v>
      </c>
      <c r="O9310" s="356">
        <v>0</v>
      </c>
      <c r="P9310" s="362">
        <v>2.3958E-3</v>
      </c>
      <c r="Q9310" s="356" t="s">
        <v>154</v>
      </c>
    </row>
    <row r="9311" spans="1:17" ht="72" x14ac:dyDescent="0.25">
      <c r="A9311" s="314">
        <v>44724</v>
      </c>
      <c r="B9311" s="314">
        <v>44724</v>
      </c>
      <c r="C9311" s="315">
        <v>2022</v>
      </c>
      <c r="D9311" s="24" t="s">
        <v>141</v>
      </c>
      <c r="E9311" s="316" t="s">
        <v>142</v>
      </c>
      <c r="F9311" s="7" t="s">
        <v>101</v>
      </c>
      <c r="G9311" s="317" t="s">
        <v>3026</v>
      </c>
      <c r="H9311" s="318" t="s">
        <v>12560</v>
      </c>
      <c r="I9311" s="317">
        <v>5</v>
      </c>
      <c r="J9311" s="356">
        <v>15</v>
      </c>
      <c r="K9311" s="356">
        <v>0</v>
      </c>
      <c r="L9311" s="356">
        <v>0</v>
      </c>
      <c r="M9311" s="356">
        <v>0</v>
      </c>
      <c r="N9311" s="356">
        <v>0</v>
      </c>
      <c r="O9311" s="356">
        <v>0</v>
      </c>
      <c r="P9311" s="362">
        <v>1.1979E-2</v>
      </c>
      <c r="Q9311" s="356" t="s">
        <v>154</v>
      </c>
    </row>
    <row r="9312" spans="1:17" ht="144" x14ac:dyDescent="0.25">
      <c r="A9312" s="314">
        <v>44724</v>
      </c>
      <c r="B9312" s="314">
        <v>44725</v>
      </c>
      <c r="C9312" s="315">
        <v>2022</v>
      </c>
      <c r="D9312" s="351" t="s">
        <v>23</v>
      </c>
      <c r="E9312" s="316" t="s">
        <v>5893</v>
      </c>
      <c r="F9312" s="28" t="s">
        <v>157</v>
      </c>
      <c r="G9312" s="317" t="s">
        <v>1089</v>
      </c>
      <c r="H9312" s="318" t="s">
        <v>12561</v>
      </c>
      <c r="I9312" s="317">
        <v>0</v>
      </c>
      <c r="J9312" s="356">
        <v>1</v>
      </c>
      <c r="K9312" s="356">
        <v>0</v>
      </c>
      <c r="L9312" s="356">
        <v>0</v>
      </c>
      <c r="M9312" s="356">
        <v>0</v>
      </c>
      <c r="N9312" s="356">
        <v>1</v>
      </c>
      <c r="O9312" s="356">
        <v>0</v>
      </c>
      <c r="P9312" s="362">
        <v>1.1979E-3</v>
      </c>
      <c r="Q9312" s="356" t="s">
        <v>154</v>
      </c>
    </row>
    <row r="9313" spans="1:17" ht="120" x14ac:dyDescent="0.25">
      <c r="A9313" s="314">
        <v>44724</v>
      </c>
      <c r="B9313" s="314">
        <v>44725</v>
      </c>
      <c r="C9313" s="315">
        <v>2022</v>
      </c>
      <c r="D9313" s="35" t="s">
        <v>28</v>
      </c>
      <c r="E9313" s="316" t="s">
        <v>133</v>
      </c>
      <c r="F9313" s="7" t="s">
        <v>101</v>
      </c>
      <c r="G9313" s="317" t="s">
        <v>12562</v>
      </c>
      <c r="H9313" s="318" t="s">
        <v>12563</v>
      </c>
      <c r="I9313" s="317">
        <v>0</v>
      </c>
      <c r="J9313" s="356">
        <v>7</v>
      </c>
      <c r="K9313" s="356">
        <v>0</v>
      </c>
      <c r="L9313" s="356">
        <v>0</v>
      </c>
      <c r="M9313" s="356">
        <v>0</v>
      </c>
      <c r="N9313" s="356">
        <v>0</v>
      </c>
      <c r="O9313" s="356">
        <v>0</v>
      </c>
      <c r="P9313" s="362">
        <v>8.3853000000000018E-3</v>
      </c>
      <c r="Q9313" s="356" t="s">
        <v>154</v>
      </c>
    </row>
    <row r="9314" spans="1:17" ht="60" x14ac:dyDescent="0.25">
      <c r="A9314" s="314">
        <v>44725</v>
      </c>
      <c r="B9314" s="314">
        <v>44725</v>
      </c>
      <c r="C9314" s="315">
        <v>2022</v>
      </c>
      <c r="D9314" s="35" t="s">
        <v>28</v>
      </c>
      <c r="E9314" s="316" t="s">
        <v>149</v>
      </c>
      <c r="F9314" s="317" t="s">
        <v>210</v>
      </c>
      <c r="G9314" s="319" t="s">
        <v>2292</v>
      </c>
      <c r="H9314" s="318" t="s">
        <v>12564</v>
      </c>
      <c r="I9314" s="317">
        <v>3</v>
      </c>
      <c r="J9314" s="356">
        <v>5</v>
      </c>
      <c r="K9314" s="356">
        <v>1</v>
      </c>
      <c r="L9314" s="356">
        <v>0</v>
      </c>
      <c r="M9314" s="356">
        <v>0</v>
      </c>
      <c r="N9314" s="356">
        <v>0</v>
      </c>
      <c r="O9314" s="356">
        <v>0</v>
      </c>
      <c r="P9314" s="362">
        <v>2.3958E-3</v>
      </c>
      <c r="Q9314" s="356" t="s">
        <v>154</v>
      </c>
    </row>
    <row r="9315" spans="1:17" ht="108" x14ac:dyDescent="0.25">
      <c r="A9315" s="314" t="s">
        <v>12565</v>
      </c>
      <c r="B9315" s="314" t="s">
        <v>12565</v>
      </c>
      <c r="C9315" s="315">
        <v>2022</v>
      </c>
      <c r="D9315" s="24" t="s">
        <v>141</v>
      </c>
      <c r="E9315" s="316" t="s">
        <v>142</v>
      </c>
      <c r="F9315" s="317" t="s">
        <v>65</v>
      </c>
      <c r="G9315" s="317" t="s">
        <v>12566</v>
      </c>
      <c r="H9315" s="318" t="s">
        <v>12567</v>
      </c>
      <c r="I9315" s="317">
        <v>0</v>
      </c>
      <c r="J9315" s="356">
        <v>5</v>
      </c>
      <c r="K9315" s="356">
        <v>0</v>
      </c>
      <c r="L9315" s="356">
        <v>0</v>
      </c>
      <c r="M9315" s="356">
        <v>0</v>
      </c>
      <c r="N9315" s="356">
        <v>0</v>
      </c>
      <c r="O9315" s="356">
        <v>0</v>
      </c>
      <c r="P9315" s="362">
        <v>5.9895E-3</v>
      </c>
      <c r="Q9315" s="356" t="s">
        <v>154</v>
      </c>
    </row>
    <row r="9316" spans="1:17" ht="96" x14ac:dyDescent="0.25">
      <c r="A9316" s="314">
        <v>44726</v>
      </c>
      <c r="B9316" s="314">
        <v>44726</v>
      </c>
      <c r="C9316" s="315">
        <v>2022</v>
      </c>
      <c r="D9316" s="24" t="s">
        <v>141</v>
      </c>
      <c r="E9316" s="316" t="s">
        <v>1600</v>
      </c>
      <c r="F9316" s="317" t="s">
        <v>60</v>
      </c>
      <c r="G9316" s="317" t="s">
        <v>1605</v>
      </c>
      <c r="H9316" s="318" t="s">
        <v>12568</v>
      </c>
      <c r="I9316" s="317">
        <v>1</v>
      </c>
      <c r="J9316" s="356">
        <v>1</v>
      </c>
      <c r="K9316" s="356">
        <v>1</v>
      </c>
      <c r="L9316" s="356">
        <v>0</v>
      </c>
      <c r="M9316" s="356">
        <v>0</v>
      </c>
      <c r="N9316" s="356">
        <v>0</v>
      </c>
      <c r="O9316" s="356">
        <v>0</v>
      </c>
      <c r="P9316" s="362">
        <v>6.98775E-3</v>
      </c>
      <c r="Q9316" s="356" t="s">
        <v>154</v>
      </c>
    </row>
    <row r="9317" spans="1:17" ht="96" x14ac:dyDescent="0.25">
      <c r="A9317" s="314">
        <v>44725</v>
      </c>
      <c r="B9317" s="314">
        <v>44726</v>
      </c>
      <c r="C9317" s="315">
        <v>2022</v>
      </c>
      <c r="D9317" s="351" t="s">
        <v>23</v>
      </c>
      <c r="E9317" s="316" t="s">
        <v>5893</v>
      </c>
      <c r="F9317" s="317" t="s">
        <v>60</v>
      </c>
      <c r="G9317" s="317" t="s">
        <v>12569</v>
      </c>
      <c r="H9317" s="318" t="s">
        <v>12570</v>
      </c>
      <c r="I9317" s="317">
        <v>0</v>
      </c>
      <c r="J9317" s="356">
        <v>97</v>
      </c>
      <c r="K9317" s="356">
        <v>24</v>
      </c>
      <c r="L9317" s="356">
        <v>0</v>
      </c>
      <c r="M9317" s="356">
        <v>0</v>
      </c>
      <c r="N9317" s="356">
        <v>0</v>
      </c>
      <c r="O9317" s="356">
        <v>0</v>
      </c>
      <c r="P9317" s="362">
        <v>0</v>
      </c>
      <c r="Q9317" s="356" t="s">
        <v>154</v>
      </c>
    </row>
    <row r="9318" spans="1:17" ht="132" x14ac:dyDescent="0.25">
      <c r="A9318" s="314">
        <v>44728</v>
      </c>
      <c r="B9318" s="314">
        <v>44728</v>
      </c>
      <c r="C9318" s="315">
        <v>2022</v>
      </c>
      <c r="D9318" s="24" t="s">
        <v>141</v>
      </c>
      <c r="E9318" s="316" t="s">
        <v>142</v>
      </c>
      <c r="F9318" s="317" t="s">
        <v>36</v>
      </c>
      <c r="G9318" s="317" t="s">
        <v>854</v>
      </c>
      <c r="H9318" s="318" t="s">
        <v>12571</v>
      </c>
      <c r="I9318" s="317">
        <v>0</v>
      </c>
      <c r="J9318" s="356">
        <v>10</v>
      </c>
      <c r="K9318" s="356">
        <v>0</v>
      </c>
      <c r="L9318" s="356">
        <v>0</v>
      </c>
      <c r="M9318" s="356">
        <v>0</v>
      </c>
      <c r="N9318" s="356">
        <v>0</v>
      </c>
      <c r="O9318" s="356">
        <v>0</v>
      </c>
      <c r="P9318" s="362">
        <v>3.2742600000000004E-2</v>
      </c>
      <c r="Q9318" s="356" t="s">
        <v>154</v>
      </c>
    </row>
    <row r="9319" spans="1:17" ht="156" x14ac:dyDescent="0.25">
      <c r="A9319" s="314">
        <v>44728</v>
      </c>
      <c r="B9319" s="314">
        <v>44729</v>
      </c>
      <c r="C9319" s="315">
        <v>2022</v>
      </c>
      <c r="D9319" s="351" t="s">
        <v>23</v>
      </c>
      <c r="E9319" s="316" t="s">
        <v>86</v>
      </c>
      <c r="F9319" s="317" t="s">
        <v>67</v>
      </c>
      <c r="G9319" s="317" t="s">
        <v>2973</v>
      </c>
      <c r="H9319" s="318" t="s">
        <v>12572</v>
      </c>
      <c r="I9319" s="317">
        <v>0</v>
      </c>
      <c r="J9319" s="356">
        <v>124</v>
      </c>
      <c r="K9319" s="356">
        <v>31</v>
      </c>
      <c r="L9319" s="356">
        <v>0</v>
      </c>
      <c r="M9319" s="356">
        <v>0</v>
      </c>
      <c r="N9319" s="356">
        <v>0</v>
      </c>
      <c r="O9319" s="356">
        <v>0</v>
      </c>
      <c r="P9319" s="362">
        <v>4.1354775000000003E-2</v>
      </c>
      <c r="Q9319" s="356" t="s">
        <v>154</v>
      </c>
    </row>
    <row r="9320" spans="1:17" ht="96" x14ac:dyDescent="0.25">
      <c r="A9320" s="314">
        <v>44729</v>
      </c>
      <c r="B9320" s="314">
        <v>44729</v>
      </c>
      <c r="C9320" s="315">
        <v>2022</v>
      </c>
      <c r="D9320" s="24" t="s">
        <v>141</v>
      </c>
      <c r="E9320" s="316" t="s">
        <v>142</v>
      </c>
      <c r="F9320" s="317" t="s">
        <v>36</v>
      </c>
      <c r="G9320" s="317" t="s">
        <v>5980</v>
      </c>
      <c r="H9320" s="318" t="s">
        <v>12573</v>
      </c>
      <c r="I9320" s="317">
        <v>0</v>
      </c>
      <c r="J9320" s="356">
        <v>49</v>
      </c>
      <c r="K9320" s="356">
        <v>0</v>
      </c>
      <c r="L9320" s="356">
        <v>0</v>
      </c>
      <c r="M9320" s="356">
        <v>0</v>
      </c>
      <c r="N9320" s="356">
        <v>0</v>
      </c>
      <c r="O9320" s="356">
        <v>0</v>
      </c>
      <c r="P9320" s="362">
        <v>4.7916E-2</v>
      </c>
      <c r="Q9320" s="356" t="s">
        <v>154</v>
      </c>
    </row>
    <row r="9321" spans="1:17" ht="72" x14ac:dyDescent="0.25">
      <c r="A9321" s="314">
        <v>44730</v>
      </c>
      <c r="B9321" s="314">
        <v>44730</v>
      </c>
      <c r="C9321" s="315">
        <v>2022</v>
      </c>
      <c r="D9321" s="24" t="s">
        <v>141</v>
      </c>
      <c r="E9321" s="316" t="s">
        <v>142</v>
      </c>
      <c r="F9321" s="7" t="s">
        <v>53</v>
      </c>
      <c r="G9321" s="317" t="s">
        <v>11481</v>
      </c>
      <c r="H9321" s="318" t="s">
        <v>12574</v>
      </c>
      <c r="I9321" s="317">
        <v>0</v>
      </c>
      <c r="J9321" s="356">
        <v>19</v>
      </c>
      <c r="K9321" s="356">
        <v>0</v>
      </c>
      <c r="L9321" s="356">
        <v>0</v>
      </c>
      <c r="M9321" s="356">
        <v>0</v>
      </c>
      <c r="N9321" s="356">
        <v>0</v>
      </c>
      <c r="O9321" s="356">
        <v>0</v>
      </c>
      <c r="P9321" s="362">
        <v>1.07811E-2</v>
      </c>
      <c r="Q9321" s="356" t="s">
        <v>154</v>
      </c>
    </row>
    <row r="9322" spans="1:17" ht="300" x14ac:dyDescent="0.25">
      <c r="A9322" s="314">
        <v>44730</v>
      </c>
      <c r="B9322" s="314">
        <v>44730</v>
      </c>
      <c r="C9322" s="315">
        <v>2022</v>
      </c>
      <c r="D9322" s="351" t="s">
        <v>23</v>
      </c>
      <c r="E9322" s="316" t="s">
        <v>86</v>
      </c>
      <c r="F9322" s="317" t="s">
        <v>210</v>
      </c>
      <c r="G9322" s="319" t="s">
        <v>893</v>
      </c>
      <c r="H9322" s="318" t="s">
        <v>12575</v>
      </c>
      <c r="I9322" s="317">
        <v>0</v>
      </c>
      <c r="J9322" s="356">
        <v>80</v>
      </c>
      <c r="K9322" s="356">
        <v>20</v>
      </c>
      <c r="L9322" s="356">
        <v>0</v>
      </c>
      <c r="M9322" s="356">
        <v>0</v>
      </c>
      <c r="N9322" s="356">
        <v>0</v>
      </c>
      <c r="O9322" s="356">
        <v>0</v>
      </c>
      <c r="P9322" s="362">
        <v>2.6680499999999999E-2</v>
      </c>
      <c r="Q9322" s="356" t="s">
        <v>154</v>
      </c>
    </row>
    <row r="9323" spans="1:17" ht="204" x14ac:dyDescent="0.25">
      <c r="A9323" s="314">
        <v>44732</v>
      </c>
      <c r="B9323" s="314">
        <v>44732</v>
      </c>
      <c r="C9323" s="315">
        <v>2022</v>
      </c>
      <c r="D9323" s="351" t="s">
        <v>23</v>
      </c>
      <c r="E9323" s="316" t="s">
        <v>32</v>
      </c>
      <c r="F9323" s="317" t="s">
        <v>781</v>
      </c>
      <c r="G9323" s="317" t="s">
        <v>12576</v>
      </c>
      <c r="H9323" s="318" t="s">
        <v>12577</v>
      </c>
      <c r="I9323" s="317">
        <v>0</v>
      </c>
      <c r="J9323" s="356">
        <v>96</v>
      </c>
      <c r="K9323" s="356">
        <v>24</v>
      </c>
      <c r="L9323" s="356">
        <v>0</v>
      </c>
      <c r="M9323" s="356">
        <v>0</v>
      </c>
      <c r="N9323" s="356">
        <v>0</v>
      </c>
      <c r="O9323" s="356">
        <v>0</v>
      </c>
      <c r="P9323" s="362">
        <v>0.39201659999999999</v>
      </c>
      <c r="Q9323" s="356" t="s">
        <v>154</v>
      </c>
    </row>
    <row r="9324" spans="1:17" ht="60" x14ac:dyDescent="0.25">
      <c r="A9324" s="314">
        <v>44733</v>
      </c>
      <c r="B9324" s="314">
        <v>44733</v>
      </c>
      <c r="C9324" s="315">
        <v>2022</v>
      </c>
      <c r="D9324" s="35" t="s">
        <v>28</v>
      </c>
      <c r="E9324" s="316" t="s">
        <v>133</v>
      </c>
      <c r="F9324" s="28" t="s">
        <v>157</v>
      </c>
      <c r="G9324" s="317" t="s">
        <v>1089</v>
      </c>
      <c r="H9324" s="318" t="s">
        <v>12578</v>
      </c>
      <c r="I9324" s="317">
        <v>0</v>
      </c>
      <c r="J9324" s="356">
        <v>17</v>
      </c>
      <c r="K9324" s="356">
        <v>1</v>
      </c>
      <c r="L9324" s="356">
        <v>0</v>
      </c>
      <c r="M9324" s="356">
        <v>0</v>
      </c>
      <c r="N9324" s="356">
        <v>0</v>
      </c>
      <c r="O9324" s="356">
        <v>0</v>
      </c>
      <c r="P9324" s="362">
        <v>9.3835499999999992E-3</v>
      </c>
      <c r="Q9324" s="356" t="s">
        <v>154</v>
      </c>
    </row>
    <row r="9325" spans="1:17" ht="288" x14ac:dyDescent="0.25">
      <c r="A9325" s="327">
        <v>44733</v>
      </c>
      <c r="B9325" s="327">
        <v>44735</v>
      </c>
      <c r="C9325" s="315">
        <v>2022</v>
      </c>
      <c r="D9325" s="35" t="s">
        <v>17</v>
      </c>
      <c r="E9325" s="316" t="s">
        <v>328</v>
      </c>
      <c r="F9325" s="317" t="s">
        <v>60</v>
      </c>
      <c r="G9325" s="328" t="s">
        <v>12579</v>
      </c>
      <c r="H9325" s="134" t="s">
        <v>12580</v>
      </c>
      <c r="I9325" s="317">
        <v>0</v>
      </c>
      <c r="J9325" s="357">
        <v>200</v>
      </c>
      <c r="K9325" s="356">
        <v>78</v>
      </c>
      <c r="L9325" s="356">
        <v>0</v>
      </c>
      <c r="M9325" s="356">
        <v>0</v>
      </c>
      <c r="N9325" s="356">
        <v>0</v>
      </c>
      <c r="O9325" s="356">
        <v>0</v>
      </c>
      <c r="P9325" s="363">
        <v>3.7454339999999999</v>
      </c>
      <c r="Q9325" s="356" t="s">
        <v>154</v>
      </c>
    </row>
    <row r="9326" spans="1:17" ht="180" x14ac:dyDescent="0.25">
      <c r="A9326" s="314">
        <v>44733</v>
      </c>
      <c r="B9326" s="314">
        <v>44733</v>
      </c>
      <c r="C9326" s="315">
        <v>2022</v>
      </c>
      <c r="D9326" s="351" t="s">
        <v>23</v>
      </c>
      <c r="E9326" s="316" t="s">
        <v>86</v>
      </c>
      <c r="F9326" s="7" t="s">
        <v>53</v>
      </c>
      <c r="G9326" s="317" t="s">
        <v>12581</v>
      </c>
      <c r="H9326" s="318" t="s">
        <v>12582</v>
      </c>
      <c r="I9326" s="317">
        <v>0</v>
      </c>
      <c r="J9326" s="356">
        <v>196</v>
      </c>
      <c r="K9326" s="356">
        <v>49</v>
      </c>
      <c r="L9326" s="356">
        <v>0</v>
      </c>
      <c r="M9326" s="356">
        <v>0</v>
      </c>
      <c r="N9326" s="356">
        <v>0</v>
      </c>
      <c r="O9326" s="356">
        <v>0</v>
      </c>
      <c r="P9326" s="362">
        <v>6.5367225000000001E-2</v>
      </c>
      <c r="Q9326" s="356" t="s">
        <v>154</v>
      </c>
    </row>
    <row r="9327" spans="1:17" ht="132" x14ac:dyDescent="0.25">
      <c r="A9327" s="314" t="s">
        <v>12583</v>
      </c>
      <c r="B9327" s="314">
        <v>44734</v>
      </c>
      <c r="C9327" s="315">
        <v>2022</v>
      </c>
      <c r="D9327" s="351" t="s">
        <v>23</v>
      </c>
      <c r="E9327" s="316" t="s">
        <v>86</v>
      </c>
      <c r="F9327" s="317" t="s">
        <v>36</v>
      </c>
      <c r="G9327" s="317" t="s">
        <v>12584</v>
      </c>
      <c r="H9327" s="318" t="s">
        <v>12585</v>
      </c>
      <c r="I9327" s="317">
        <v>0</v>
      </c>
      <c r="J9327" s="356">
        <v>800</v>
      </c>
      <c r="K9327" s="356">
        <v>210</v>
      </c>
      <c r="L9327" s="356">
        <v>2</v>
      </c>
      <c r="M9327" s="356">
        <v>0</v>
      </c>
      <c r="N9327" s="356">
        <v>0</v>
      </c>
      <c r="O9327" s="356">
        <v>0</v>
      </c>
      <c r="P9327" s="362">
        <v>16.959826</v>
      </c>
      <c r="Q9327" s="356" t="s">
        <v>12586</v>
      </c>
    </row>
    <row r="9328" spans="1:17" ht="72" x14ac:dyDescent="0.25">
      <c r="A9328" s="314">
        <v>44734</v>
      </c>
      <c r="B9328" s="314">
        <v>44734</v>
      </c>
      <c r="C9328" s="315">
        <v>2022</v>
      </c>
      <c r="D9328" s="24" t="s">
        <v>141</v>
      </c>
      <c r="E9328" s="316" t="s">
        <v>142</v>
      </c>
      <c r="F9328" s="317" t="s">
        <v>56</v>
      </c>
      <c r="G9328" s="317" t="s">
        <v>495</v>
      </c>
      <c r="H9328" s="318" t="s">
        <v>12587</v>
      </c>
      <c r="I9328" s="317">
        <v>0</v>
      </c>
      <c r="J9328" s="356">
        <v>27</v>
      </c>
      <c r="K9328" s="356">
        <v>0</v>
      </c>
      <c r="L9328" s="356">
        <v>0</v>
      </c>
      <c r="M9328" s="356">
        <v>0</v>
      </c>
      <c r="N9328" s="356">
        <v>0</v>
      </c>
      <c r="O9328" s="356">
        <v>0</v>
      </c>
      <c r="P9328" s="362">
        <v>0.10822865570000001</v>
      </c>
      <c r="Q9328" s="356" t="s">
        <v>154</v>
      </c>
    </row>
    <row r="9329" spans="1:17" ht="409.5" x14ac:dyDescent="0.25">
      <c r="A9329" s="314">
        <v>44729</v>
      </c>
      <c r="B9329" s="314">
        <v>44735</v>
      </c>
      <c r="C9329" s="315">
        <v>2022</v>
      </c>
      <c r="D9329" s="351" t="s">
        <v>23</v>
      </c>
      <c r="E9329" s="316" t="s">
        <v>86</v>
      </c>
      <c r="F9329" s="317" t="s">
        <v>210</v>
      </c>
      <c r="G9329" s="319" t="s">
        <v>12588</v>
      </c>
      <c r="H9329" s="318" t="s">
        <v>12589</v>
      </c>
      <c r="I9329" s="317">
        <v>1</v>
      </c>
      <c r="J9329" s="356">
        <v>2184</v>
      </c>
      <c r="K9329" s="356">
        <v>546</v>
      </c>
      <c r="L9329" s="356">
        <v>21</v>
      </c>
      <c r="M9329" s="356">
        <v>0</v>
      </c>
      <c r="N9329" s="356">
        <v>0</v>
      </c>
      <c r="O9329" s="356">
        <v>0</v>
      </c>
      <c r="P9329" s="362">
        <v>650.29407000000003</v>
      </c>
      <c r="Q9329" s="356" t="s">
        <v>12586</v>
      </c>
    </row>
    <row r="9330" spans="1:17" ht="120" x14ac:dyDescent="0.25">
      <c r="A9330" s="314">
        <v>44734</v>
      </c>
      <c r="B9330" s="314">
        <v>44734</v>
      </c>
      <c r="C9330" s="315">
        <v>2022</v>
      </c>
      <c r="D9330" s="35" t="s">
        <v>28</v>
      </c>
      <c r="E9330" s="316" t="s">
        <v>149</v>
      </c>
      <c r="F9330" s="317" t="s">
        <v>60</v>
      </c>
      <c r="G9330" s="317" t="s">
        <v>1256</v>
      </c>
      <c r="H9330" s="318" t="s">
        <v>12590</v>
      </c>
      <c r="I9330" s="317">
        <v>0</v>
      </c>
      <c r="J9330" s="356">
        <v>207</v>
      </c>
      <c r="K9330" s="356">
        <v>0</v>
      </c>
      <c r="L9330" s="356">
        <v>0</v>
      </c>
      <c r="M9330" s="356">
        <v>0</v>
      </c>
      <c r="N9330" s="356">
        <v>1</v>
      </c>
      <c r="O9330" s="356">
        <v>0</v>
      </c>
      <c r="P9330" s="362">
        <v>0.17887442100000001</v>
      </c>
      <c r="Q9330" s="356" t="s">
        <v>154</v>
      </c>
    </row>
    <row r="9331" spans="1:17" ht="192" x14ac:dyDescent="0.25">
      <c r="A9331" s="314">
        <v>45465</v>
      </c>
      <c r="B9331" s="314">
        <v>44736</v>
      </c>
      <c r="C9331" s="315">
        <v>2022</v>
      </c>
      <c r="D9331" s="351" t="s">
        <v>23</v>
      </c>
      <c r="E9331" s="316" t="s">
        <v>86</v>
      </c>
      <c r="F9331" s="317" t="s">
        <v>72</v>
      </c>
      <c r="G9331" s="317" t="s">
        <v>12591</v>
      </c>
      <c r="H9331" s="318" t="s">
        <v>12592</v>
      </c>
      <c r="I9331" s="317">
        <v>1</v>
      </c>
      <c r="J9331" s="356">
        <v>1</v>
      </c>
      <c r="K9331" s="356">
        <v>133</v>
      </c>
      <c r="L9331" s="356">
        <v>0</v>
      </c>
      <c r="M9331" s="356">
        <v>0</v>
      </c>
      <c r="N9331" s="356">
        <v>0</v>
      </c>
      <c r="O9331" s="356">
        <v>0</v>
      </c>
      <c r="P9331" s="362">
        <v>0.82747792050000002</v>
      </c>
      <c r="Q9331" s="356" t="s">
        <v>154</v>
      </c>
    </row>
    <row r="9332" spans="1:17" ht="60" x14ac:dyDescent="0.25">
      <c r="A9332" s="314">
        <v>44739</v>
      </c>
      <c r="B9332" s="314">
        <v>44739</v>
      </c>
      <c r="C9332" s="315">
        <v>2022</v>
      </c>
      <c r="D9332" s="24" t="s">
        <v>141</v>
      </c>
      <c r="E9332" s="316" t="s">
        <v>142</v>
      </c>
      <c r="F9332" s="7" t="s">
        <v>77</v>
      </c>
      <c r="G9332" s="317" t="s">
        <v>77</v>
      </c>
      <c r="H9332" s="318" t="s">
        <v>12593</v>
      </c>
      <c r="I9332" s="317">
        <v>0</v>
      </c>
      <c r="J9332" s="356">
        <v>30</v>
      </c>
      <c r="K9332" s="356">
        <v>0</v>
      </c>
      <c r="L9332" s="356">
        <v>0</v>
      </c>
      <c r="M9332" s="356">
        <v>0</v>
      </c>
      <c r="N9332" s="356">
        <v>0</v>
      </c>
      <c r="O9332" s="356">
        <v>0</v>
      </c>
      <c r="P9332" s="362">
        <v>3.5937000000000005E-3</v>
      </c>
      <c r="Q9332" s="356" t="s">
        <v>154</v>
      </c>
    </row>
    <row r="9333" spans="1:17" ht="168" x14ac:dyDescent="0.25">
      <c r="A9333" s="314">
        <v>44733</v>
      </c>
      <c r="B9333" s="314">
        <v>44766</v>
      </c>
      <c r="C9333" s="315">
        <v>2022</v>
      </c>
      <c r="D9333" s="35" t="s">
        <v>28</v>
      </c>
      <c r="E9333" s="316" t="s">
        <v>369</v>
      </c>
      <c r="F9333" s="317" t="s">
        <v>91</v>
      </c>
      <c r="G9333" s="317" t="s">
        <v>12594</v>
      </c>
      <c r="H9333" s="318" t="s">
        <v>12595</v>
      </c>
      <c r="I9333" s="317">
        <v>0</v>
      </c>
      <c r="J9333" s="356">
        <v>0</v>
      </c>
      <c r="K9333" s="356">
        <v>0</v>
      </c>
      <c r="L9333" s="356">
        <v>0</v>
      </c>
      <c r="M9333" s="356">
        <v>0</v>
      </c>
      <c r="N9333" s="356">
        <v>0</v>
      </c>
      <c r="O9333" s="356">
        <v>0</v>
      </c>
      <c r="P9333" s="362">
        <v>5.8924999999999998E-2</v>
      </c>
      <c r="Q9333" s="356" t="s">
        <v>154</v>
      </c>
    </row>
    <row r="9334" spans="1:17" ht="156" x14ac:dyDescent="0.25">
      <c r="A9334" s="314">
        <v>44739</v>
      </c>
      <c r="B9334" s="314">
        <v>44739</v>
      </c>
      <c r="C9334" s="315">
        <v>2022</v>
      </c>
      <c r="D9334" s="24" t="s">
        <v>141</v>
      </c>
      <c r="E9334" s="316" t="s">
        <v>142</v>
      </c>
      <c r="F9334" s="317" t="s">
        <v>84</v>
      </c>
      <c r="G9334" s="317" t="s">
        <v>3161</v>
      </c>
      <c r="H9334" s="318" t="s">
        <v>12596</v>
      </c>
      <c r="I9334" s="317">
        <v>0</v>
      </c>
      <c r="J9334" s="356">
        <v>15</v>
      </c>
      <c r="K9334" s="356">
        <v>1</v>
      </c>
      <c r="L9334" s="356">
        <v>0</v>
      </c>
      <c r="M9334" s="356">
        <v>0</v>
      </c>
      <c r="N9334" s="356">
        <v>0</v>
      </c>
      <c r="O9334" s="356">
        <v>0</v>
      </c>
      <c r="P9334" s="362">
        <v>2.3958E-3</v>
      </c>
      <c r="Q9334" s="356" t="s">
        <v>154</v>
      </c>
    </row>
    <row r="9335" spans="1:17" ht="156" x14ac:dyDescent="0.25">
      <c r="A9335" s="314">
        <v>44740</v>
      </c>
      <c r="B9335" s="314">
        <v>44740</v>
      </c>
      <c r="C9335" s="315">
        <v>2022</v>
      </c>
      <c r="D9335" s="35" t="s">
        <v>28</v>
      </c>
      <c r="E9335" s="316" t="s">
        <v>149</v>
      </c>
      <c r="F9335" s="7" t="s">
        <v>75</v>
      </c>
      <c r="G9335" s="317" t="s">
        <v>6624</v>
      </c>
      <c r="H9335" s="318" t="s">
        <v>12597</v>
      </c>
      <c r="I9335" s="317">
        <v>0</v>
      </c>
      <c r="J9335" s="356">
        <v>9</v>
      </c>
      <c r="K9335" s="356">
        <v>0</v>
      </c>
      <c r="L9335" s="356">
        <v>0</v>
      </c>
      <c r="M9335" s="356">
        <v>0</v>
      </c>
      <c r="N9335" s="356">
        <v>0</v>
      </c>
      <c r="O9335" s="356">
        <v>0</v>
      </c>
      <c r="P9335" s="362">
        <v>1.07811E-2</v>
      </c>
      <c r="Q9335" s="356" t="s">
        <v>154</v>
      </c>
    </row>
    <row r="9336" spans="1:17" ht="120" x14ac:dyDescent="0.25">
      <c r="A9336" s="314">
        <v>44740</v>
      </c>
      <c r="B9336" s="314">
        <v>44741</v>
      </c>
      <c r="C9336" s="315">
        <v>2022</v>
      </c>
      <c r="D9336" s="24" t="s">
        <v>141</v>
      </c>
      <c r="E9336" s="316" t="s">
        <v>142</v>
      </c>
      <c r="F9336" s="317" t="s">
        <v>56</v>
      </c>
      <c r="G9336" s="317" t="s">
        <v>1426</v>
      </c>
      <c r="H9336" s="318" t="s">
        <v>12598</v>
      </c>
      <c r="I9336" s="317">
        <v>0</v>
      </c>
      <c r="J9336" s="356">
        <v>12</v>
      </c>
      <c r="K9336" s="356">
        <v>0</v>
      </c>
      <c r="L9336" s="356">
        <v>0</v>
      </c>
      <c r="M9336" s="356">
        <v>0</v>
      </c>
      <c r="N9336" s="356">
        <v>0</v>
      </c>
      <c r="O9336" s="356">
        <v>0</v>
      </c>
      <c r="P9336" s="362">
        <v>4.6842935700000005E-2</v>
      </c>
      <c r="Q9336" s="356" t="s">
        <v>154</v>
      </c>
    </row>
    <row r="9337" spans="1:17" ht="84" x14ac:dyDescent="0.25">
      <c r="A9337" s="314">
        <v>44740</v>
      </c>
      <c r="B9337" s="314">
        <v>44741</v>
      </c>
      <c r="C9337" s="315">
        <v>2022</v>
      </c>
      <c r="D9337" s="24" t="s">
        <v>141</v>
      </c>
      <c r="E9337" s="316" t="s">
        <v>142</v>
      </c>
      <c r="F9337" s="7" t="s">
        <v>49</v>
      </c>
      <c r="G9337" s="317" t="s">
        <v>12599</v>
      </c>
      <c r="H9337" s="318" t="s">
        <v>12600</v>
      </c>
      <c r="I9337" s="317">
        <v>0</v>
      </c>
      <c r="J9337" s="356">
        <v>3</v>
      </c>
      <c r="K9337" s="356">
        <v>0</v>
      </c>
      <c r="L9337" s="356">
        <v>0</v>
      </c>
      <c r="M9337" s="356">
        <v>0</v>
      </c>
      <c r="N9337" s="356">
        <v>0</v>
      </c>
      <c r="O9337" s="356">
        <v>0</v>
      </c>
      <c r="P9337" s="362">
        <v>3.5937000000000005E-3</v>
      </c>
      <c r="Q9337" s="356" t="s">
        <v>154</v>
      </c>
    </row>
    <row r="9338" spans="1:17" ht="132" x14ac:dyDescent="0.25">
      <c r="A9338" s="314">
        <v>44741</v>
      </c>
      <c r="B9338" s="314">
        <v>44741</v>
      </c>
      <c r="C9338" s="315">
        <v>2022</v>
      </c>
      <c r="D9338" s="351" t="s">
        <v>23</v>
      </c>
      <c r="E9338" s="316" t="s">
        <v>52</v>
      </c>
      <c r="F9338" s="317" t="s">
        <v>60</v>
      </c>
      <c r="G9338" s="317" t="s">
        <v>2508</v>
      </c>
      <c r="H9338" s="318" t="s">
        <v>12601</v>
      </c>
      <c r="I9338" s="317">
        <v>0</v>
      </c>
      <c r="J9338" s="356">
        <v>40</v>
      </c>
      <c r="K9338" s="356">
        <v>10</v>
      </c>
      <c r="L9338" s="356">
        <v>0</v>
      </c>
      <c r="M9338" s="356">
        <v>0</v>
      </c>
      <c r="N9338" s="356">
        <v>0</v>
      </c>
      <c r="O9338" s="356">
        <v>0</v>
      </c>
      <c r="P9338" s="362">
        <v>4.3340249999999997E-2</v>
      </c>
      <c r="Q9338" s="356" t="s">
        <v>154</v>
      </c>
    </row>
    <row r="9339" spans="1:17" ht="108" x14ac:dyDescent="0.25">
      <c r="A9339" s="314">
        <v>44741</v>
      </c>
      <c r="B9339" s="314">
        <v>44741</v>
      </c>
      <c r="C9339" s="315">
        <v>2022</v>
      </c>
      <c r="D9339" s="24" t="s">
        <v>141</v>
      </c>
      <c r="E9339" s="316" t="s">
        <v>142</v>
      </c>
      <c r="F9339" s="7" t="s">
        <v>53</v>
      </c>
      <c r="G9339" s="317" t="s">
        <v>2975</v>
      </c>
      <c r="H9339" s="318" t="s">
        <v>12602</v>
      </c>
      <c r="I9339" s="317">
        <v>4</v>
      </c>
      <c r="J9339" s="356">
        <v>3</v>
      </c>
      <c r="K9339" s="356">
        <v>0</v>
      </c>
      <c r="L9339" s="356">
        <v>0</v>
      </c>
      <c r="M9339" s="356">
        <v>0</v>
      </c>
      <c r="N9339" s="356">
        <v>0</v>
      </c>
      <c r="O9339" s="356">
        <v>0</v>
      </c>
      <c r="P9339" s="362">
        <v>0.21181050000000001</v>
      </c>
      <c r="Q9339" s="356" t="s">
        <v>154</v>
      </c>
    </row>
    <row r="9340" spans="1:17" ht="96" x14ac:dyDescent="0.25">
      <c r="A9340" s="314">
        <v>44743</v>
      </c>
      <c r="B9340" s="314">
        <v>44744</v>
      </c>
      <c r="C9340" s="315">
        <v>2022</v>
      </c>
      <c r="D9340" s="24" t="s">
        <v>141</v>
      </c>
      <c r="E9340" s="316" t="s">
        <v>142</v>
      </c>
      <c r="F9340" s="317" t="s">
        <v>160</v>
      </c>
      <c r="G9340" s="317" t="s">
        <v>7628</v>
      </c>
      <c r="H9340" s="318" t="s">
        <v>12603</v>
      </c>
      <c r="I9340" s="317">
        <v>0</v>
      </c>
      <c r="J9340" s="356">
        <v>13</v>
      </c>
      <c r="K9340" s="356">
        <v>0</v>
      </c>
      <c r="L9340" s="356">
        <v>0</v>
      </c>
      <c r="M9340" s="356">
        <v>0</v>
      </c>
      <c r="N9340" s="356">
        <v>0</v>
      </c>
      <c r="O9340" s="356">
        <v>0</v>
      </c>
      <c r="P9340" s="362">
        <v>5.9895E-3</v>
      </c>
      <c r="Q9340" s="356" t="s">
        <v>154</v>
      </c>
    </row>
    <row r="9341" spans="1:17" ht="144" x14ac:dyDescent="0.25">
      <c r="A9341" s="314">
        <v>44745</v>
      </c>
      <c r="B9341" s="314">
        <v>44745</v>
      </c>
      <c r="C9341" s="315">
        <v>2022</v>
      </c>
      <c r="D9341" s="351" t="s">
        <v>23</v>
      </c>
      <c r="E9341" s="316" t="s">
        <v>52</v>
      </c>
      <c r="F9341" s="317" t="s">
        <v>82</v>
      </c>
      <c r="G9341" s="317" t="s">
        <v>12604</v>
      </c>
      <c r="H9341" s="318" t="s">
        <v>12605</v>
      </c>
      <c r="I9341" s="317">
        <v>0</v>
      </c>
      <c r="J9341" s="356">
        <v>8</v>
      </c>
      <c r="K9341" s="356">
        <v>2</v>
      </c>
      <c r="L9341" s="356">
        <v>0</v>
      </c>
      <c r="M9341" s="356">
        <v>0</v>
      </c>
      <c r="N9341" s="356">
        <v>0</v>
      </c>
      <c r="O9341" s="356">
        <v>0</v>
      </c>
      <c r="P9341" s="362">
        <v>2.6680500000000004E-3</v>
      </c>
      <c r="Q9341" s="356" t="s">
        <v>154</v>
      </c>
    </row>
    <row r="9342" spans="1:17" ht="72" x14ac:dyDescent="0.25">
      <c r="A9342" s="314">
        <v>44744</v>
      </c>
      <c r="B9342" s="314">
        <v>44744</v>
      </c>
      <c r="C9342" s="315">
        <v>2022</v>
      </c>
      <c r="D9342" s="35" t="s">
        <v>28</v>
      </c>
      <c r="E9342" s="316" t="s">
        <v>369</v>
      </c>
      <c r="F9342" s="317" t="s">
        <v>84</v>
      </c>
      <c r="G9342" s="317" t="s">
        <v>4988</v>
      </c>
      <c r="H9342" s="318" t="s">
        <v>12606</v>
      </c>
      <c r="I9342" s="317">
        <v>0</v>
      </c>
      <c r="J9342" s="356">
        <v>1</v>
      </c>
      <c r="K9342" s="356">
        <v>0</v>
      </c>
      <c r="L9342" s="356">
        <v>0</v>
      </c>
      <c r="M9342" s="356">
        <v>0</v>
      </c>
      <c r="N9342" s="356">
        <v>0</v>
      </c>
      <c r="O9342" s="356">
        <v>0</v>
      </c>
      <c r="P9342" s="362">
        <v>4.5179999999999998E-2</v>
      </c>
      <c r="Q9342" s="356" t="s">
        <v>154</v>
      </c>
    </row>
    <row r="9343" spans="1:17" ht="120" x14ac:dyDescent="0.25">
      <c r="A9343" s="314">
        <v>44746</v>
      </c>
      <c r="B9343" s="314">
        <v>44747</v>
      </c>
      <c r="C9343" s="315">
        <v>2022</v>
      </c>
      <c r="D9343" s="351" t="s">
        <v>23</v>
      </c>
      <c r="E9343" s="316" t="s">
        <v>86</v>
      </c>
      <c r="F9343" s="317" t="s">
        <v>60</v>
      </c>
      <c r="G9343" s="317" t="s">
        <v>12579</v>
      </c>
      <c r="H9343" s="318" t="s">
        <v>12607</v>
      </c>
      <c r="I9343" s="317">
        <v>0</v>
      </c>
      <c r="J9343" s="356">
        <v>60</v>
      </c>
      <c r="K9343" s="356">
        <v>15</v>
      </c>
      <c r="L9343" s="356">
        <v>0</v>
      </c>
      <c r="M9343" s="356">
        <v>0</v>
      </c>
      <c r="N9343" s="356">
        <v>0</v>
      </c>
      <c r="O9343" s="356">
        <v>0</v>
      </c>
      <c r="P9343" s="362">
        <v>2.0010449999999999E-2</v>
      </c>
      <c r="Q9343" s="356" t="s">
        <v>154</v>
      </c>
    </row>
    <row r="9344" spans="1:17" ht="108" x14ac:dyDescent="0.25">
      <c r="A9344" s="314">
        <v>44747</v>
      </c>
      <c r="B9344" s="314">
        <v>44747</v>
      </c>
      <c r="C9344" s="315">
        <v>2022</v>
      </c>
      <c r="D9344" s="24" t="s">
        <v>141</v>
      </c>
      <c r="E9344" s="316" t="s">
        <v>142</v>
      </c>
      <c r="F9344" s="7" t="s">
        <v>77</v>
      </c>
      <c r="G9344" s="317" t="s">
        <v>9607</v>
      </c>
      <c r="H9344" s="318" t="s">
        <v>12608</v>
      </c>
      <c r="I9344" s="317">
        <v>2</v>
      </c>
      <c r="J9344" s="356">
        <v>18</v>
      </c>
      <c r="K9344" s="356">
        <v>0</v>
      </c>
      <c r="L9344" s="356">
        <v>0</v>
      </c>
      <c r="M9344" s="356">
        <v>0</v>
      </c>
      <c r="N9344" s="356">
        <v>0</v>
      </c>
      <c r="O9344" s="356">
        <v>0</v>
      </c>
      <c r="P9344" s="362">
        <v>0.11622292000000001</v>
      </c>
      <c r="Q9344" s="356" t="s">
        <v>154</v>
      </c>
    </row>
    <row r="9345" spans="1:17" ht="84" x14ac:dyDescent="0.25">
      <c r="A9345" s="314">
        <v>44749</v>
      </c>
      <c r="B9345" s="314">
        <v>44749</v>
      </c>
      <c r="C9345" s="315">
        <v>2022</v>
      </c>
      <c r="D9345" s="24" t="s">
        <v>141</v>
      </c>
      <c r="E9345" s="316" t="s">
        <v>142</v>
      </c>
      <c r="F9345" s="317" t="s">
        <v>84</v>
      </c>
      <c r="G9345" s="317" t="s">
        <v>1559</v>
      </c>
      <c r="H9345" s="318" t="s">
        <v>12609</v>
      </c>
      <c r="I9345" s="317">
        <v>0</v>
      </c>
      <c r="J9345" s="356">
        <v>8</v>
      </c>
      <c r="K9345" s="356">
        <v>0</v>
      </c>
      <c r="L9345" s="356">
        <v>0</v>
      </c>
      <c r="M9345" s="356">
        <v>0</v>
      </c>
      <c r="N9345" s="356">
        <v>0</v>
      </c>
      <c r="O9345" s="356">
        <v>0</v>
      </c>
      <c r="P9345" s="362">
        <v>0.18240024000000002</v>
      </c>
      <c r="Q9345" s="356" t="s">
        <v>154</v>
      </c>
    </row>
    <row r="9346" spans="1:17" ht="96" x14ac:dyDescent="0.25">
      <c r="A9346" s="314">
        <v>44750</v>
      </c>
      <c r="B9346" s="314">
        <v>44750</v>
      </c>
      <c r="C9346" s="315">
        <v>2022</v>
      </c>
      <c r="D9346" s="35" t="s">
        <v>28</v>
      </c>
      <c r="E9346" s="316" t="s">
        <v>133</v>
      </c>
      <c r="F9346" s="317" t="s">
        <v>160</v>
      </c>
      <c r="G9346" s="317" t="s">
        <v>3424</v>
      </c>
      <c r="H9346" s="318" t="s">
        <v>12610</v>
      </c>
      <c r="I9346" s="317">
        <v>0</v>
      </c>
      <c r="J9346" s="356">
        <v>2</v>
      </c>
      <c r="K9346" s="356">
        <v>0</v>
      </c>
      <c r="L9346" s="356">
        <v>0</v>
      </c>
      <c r="M9346" s="356">
        <v>0</v>
      </c>
      <c r="N9346" s="356">
        <v>0</v>
      </c>
      <c r="O9346" s="356">
        <v>0</v>
      </c>
      <c r="P9346" s="362">
        <v>2.3958E-3</v>
      </c>
      <c r="Q9346" s="356" t="s">
        <v>154</v>
      </c>
    </row>
    <row r="9347" spans="1:17" ht="84" x14ac:dyDescent="0.25">
      <c r="A9347" s="314">
        <v>44750</v>
      </c>
      <c r="B9347" s="314">
        <v>44750</v>
      </c>
      <c r="C9347" s="315">
        <v>2022</v>
      </c>
      <c r="D9347" s="35" t="s">
        <v>28</v>
      </c>
      <c r="E9347" s="316" t="s">
        <v>369</v>
      </c>
      <c r="F9347" s="7" t="s">
        <v>87</v>
      </c>
      <c r="G9347" s="317" t="s">
        <v>12611</v>
      </c>
      <c r="H9347" s="318" t="s">
        <v>12612</v>
      </c>
      <c r="I9347" s="317">
        <v>0</v>
      </c>
      <c r="J9347" s="356">
        <v>0</v>
      </c>
      <c r="K9347" s="356">
        <v>0</v>
      </c>
      <c r="L9347" s="356">
        <v>0</v>
      </c>
      <c r="M9347" s="356">
        <v>0</v>
      </c>
      <c r="N9347" s="356">
        <v>0</v>
      </c>
      <c r="O9347" s="356">
        <v>0</v>
      </c>
      <c r="P9347" s="362">
        <v>1.2449999999999999E-2</v>
      </c>
      <c r="Q9347" s="356" t="s">
        <v>154</v>
      </c>
    </row>
    <row r="9348" spans="1:17" ht="72" x14ac:dyDescent="0.25">
      <c r="A9348" s="314">
        <v>44750</v>
      </c>
      <c r="B9348" s="314">
        <v>44750</v>
      </c>
      <c r="C9348" s="315">
        <v>2022</v>
      </c>
      <c r="D9348" s="35" t="s">
        <v>28</v>
      </c>
      <c r="E9348" s="316" t="s">
        <v>369</v>
      </c>
      <c r="F9348" s="317" t="s">
        <v>40</v>
      </c>
      <c r="G9348" s="317" t="s">
        <v>12613</v>
      </c>
      <c r="H9348" s="318" t="s">
        <v>12614</v>
      </c>
      <c r="I9348" s="317">
        <v>0</v>
      </c>
      <c r="J9348" s="356">
        <v>2</v>
      </c>
      <c r="K9348" s="356">
        <v>0</v>
      </c>
      <c r="L9348" s="356">
        <v>0</v>
      </c>
      <c r="M9348" s="356">
        <v>0</v>
      </c>
      <c r="N9348" s="356">
        <v>0</v>
      </c>
      <c r="O9348" s="356">
        <v>0</v>
      </c>
      <c r="P9348" s="362">
        <v>0.55990284447058802</v>
      </c>
      <c r="Q9348" s="356" t="s">
        <v>154</v>
      </c>
    </row>
    <row r="9349" spans="1:17" ht="48" x14ac:dyDescent="0.25">
      <c r="A9349" s="314">
        <v>44751</v>
      </c>
      <c r="B9349" s="314">
        <v>44752</v>
      </c>
      <c r="C9349" s="315">
        <v>2022</v>
      </c>
      <c r="D9349" s="351" t="s">
        <v>23</v>
      </c>
      <c r="E9349" s="316" t="s">
        <v>5893</v>
      </c>
      <c r="F9349" s="7" t="s">
        <v>53</v>
      </c>
      <c r="G9349" s="317" t="s">
        <v>12615</v>
      </c>
      <c r="H9349" s="329" t="s">
        <v>12616</v>
      </c>
      <c r="I9349" s="317">
        <v>0</v>
      </c>
      <c r="J9349" s="356">
        <v>8</v>
      </c>
      <c r="K9349" s="356">
        <v>2</v>
      </c>
      <c r="L9349" s="356">
        <v>0</v>
      </c>
      <c r="M9349" s="356">
        <v>0</v>
      </c>
      <c r="N9349" s="356">
        <v>0</v>
      </c>
      <c r="O9349" s="356">
        <v>0</v>
      </c>
      <c r="P9349" s="362">
        <v>2.6680599999999999E-3</v>
      </c>
      <c r="Q9349" s="356" t="s">
        <v>154</v>
      </c>
    </row>
    <row r="9350" spans="1:17" ht="168" x14ac:dyDescent="0.25">
      <c r="A9350" s="314">
        <v>44752</v>
      </c>
      <c r="B9350" s="314">
        <v>44753</v>
      </c>
      <c r="C9350" s="315">
        <v>2022</v>
      </c>
      <c r="D9350" s="351" t="s">
        <v>23</v>
      </c>
      <c r="E9350" s="316" t="s">
        <v>323</v>
      </c>
      <c r="F9350" s="317" t="s">
        <v>60</v>
      </c>
      <c r="G9350" s="317" t="s">
        <v>924</v>
      </c>
      <c r="H9350" s="318" t="s">
        <v>12617</v>
      </c>
      <c r="I9350" s="317">
        <v>2</v>
      </c>
      <c r="J9350" s="356">
        <v>4</v>
      </c>
      <c r="K9350" s="356">
        <v>0</v>
      </c>
      <c r="L9350" s="356">
        <v>0</v>
      </c>
      <c r="M9350" s="356">
        <v>0</v>
      </c>
      <c r="N9350" s="356">
        <v>0</v>
      </c>
      <c r="O9350" s="356">
        <v>0</v>
      </c>
      <c r="P9350" s="362">
        <v>0</v>
      </c>
      <c r="Q9350" s="356" t="s">
        <v>12471</v>
      </c>
    </row>
    <row r="9351" spans="1:17" ht="240" x14ac:dyDescent="0.25">
      <c r="A9351" s="314">
        <v>44751</v>
      </c>
      <c r="B9351" s="314">
        <v>44751</v>
      </c>
      <c r="C9351" s="315">
        <v>2022</v>
      </c>
      <c r="D9351" s="351" t="s">
        <v>23</v>
      </c>
      <c r="E9351" s="316" t="s">
        <v>5893</v>
      </c>
      <c r="F9351" s="317" t="s">
        <v>60</v>
      </c>
      <c r="G9351" s="317" t="s">
        <v>12618</v>
      </c>
      <c r="H9351" s="318" t="s">
        <v>12619</v>
      </c>
      <c r="I9351" s="317">
        <v>0</v>
      </c>
      <c r="J9351" s="356">
        <f>17*4</f>
        <v>68</v>
      </c>
      <c r="K9351" s="356">
        <v>17</v>
      </c>
      <c r="L9351" s="356">
        <v>0</v>
      </c>
      <c r="M9351" s="356">
        <v>0</v>
      </c>
      <c r="N9351" s="356">
        <v>0</v>
      </c>
      <c r="O9351" s="356">
        <v>0</v>
      </c>
      <c r="P9351" s="362">
        <v>2.2678509999999999E-2</v>
      </c>
      <c r="Q9351" s="356" t="s">
        <v>154</v>
      </c>
    </row>
    <row r="9352" spans="1:17" ht="84" x14ac:dyDescent="0.25">
      <c r="A9352" s="314">
        <v>44754</v>
      </c>
      <c r="B9352" s="314">
        <v>44754</v>
      </c>
      <c r="C9352" s="315">
        <v>2022</v>
      </c>
      <c r="D9352" s="24" t="s">
        <v>141</v>
      </c>
      <c r="E9352" s="316" t="s">
        <v>142</v>
      </c>
      <c r="F9352" s="7" t="s">
        <v>77</v>
      </c>
      <c r="G9352" s="317" t="s">
        <v>2954</v>
      </c>
      <c r="H9352" s="318" t="s">
        <v>12620</v>
      </c>
      <c r="I9352" s="317">
        <v>2</v>
      </c>
      <c r="J9352" s="356">
        <v>2</v>
      </c>
      <c r="K9352" s="356">
        <v>0</v>
      </c>
      <c r="L9352" s="356">
        <v>0</v>
      </c>
      <c r="M9352" s="356">
        <v>0</v>
      </c>
      <c r="N9352" s="356">
        <v>0</v>
      </c>
      <c r="O9352" s="356">
        <v>0</v>
      </c>
      <c r="P9352" s="362">
        <v>1.9920535354057374</v>
      </c>
      <c r="Q9352" s="356" t="s">
        <v>154</v>
      </c>
    </row>
    <row r="9353" spans="1:17" ht="48" x14ac:dyDescent="0.25">
      <c r="A9353" s="314">
        <v>44754</v>
      </c>
      <c r="B9353" s="314">
        <v>44754</v>
      </c>
      <c r="C9353" s="315">
        <v>2022</v>
      </c>
      <c r="D9353" s="35" t="s">
        <v>28</v>
      </c>
      <c r="E9353" s="316" t="s">
        <v>149</v>
      </c>
      <c r="F9353" s="28" t="s">
        <v>157</v>
      </c>
      <c r="G9353" s="317" t="s">
        <v>1089</v>
      </c>
      <c r="H9353" s="318" t="s">
        <v>12621</v>
      </c>
      <c r="I9353" s="317">
        <v>0</v>
      </c>
      <c r="J9353" s="356">
        <v>50</v>
      </c>
      <c r="K9353" s="356">
        <v>1</v>
      </c>
      <c r="L9353" s="356">
        <v>0</v>
      </c>
      <c r="M9353" s="356">
        <v>0</v>
      </c>
      <c r="N9353" s="356">
        <v>0</v>
      </c>
      <c r="O9353" s="356">
        <v>0</v>
      </c>
      <c r="P9353" s="362">
        <v>6.9877500000000018E-3</v>
      </c>
      <c r="Q9353" s="356" t="s">
        <v>154</v>
      </c>
    </row>
    <row r="9354" spans="1:17" ht="168" x14ac:dyDescent="0.25">
      <c r="A9354" s="314">
        <v>44753</v>
      </c>
      <c r="B9354" s="314">
        <v>44753</v>
      </c>
      <c r="C9354" s="315">
        <v>2022</v>
      </c>
      <c r="D9354" s="351" t="s">
        <v>23</v>
      </c>
      <c r="E9354" s="316" t="s">
        <v>323</v>
      </c>
      <c r="F9354" s="28" t="s">
        <v>157</v>
      </c>
      <c r="G9354" s="317" t="s">
        <v>12622</v>
      </c>
      <c r="H9354" s="318" t="s">
        <v>12623</v>
      </c>
      <c r="I9354" s="317">
        <v>0</v>
      </c>
      <c r="J9354" s="356">
        <f>61*4</f>
        <v>244</v>
      </c>
      <c r="K9354" s="356">
        <v>61</v>
      </c>
      <c r="L9354" s="356">
        <v>2</v>
      </c>
      <c r="M9354" s="356">
        <v>1</v>
      </c>
      <c r="N9354" s="356">
        <v>0</v>
      </c>
      <c r="O9354" s="356">
        <v>0</v>
      </c>
      <c r="P9354" s="362">
        <v>8.1375829999999996E-2</v>
      </c>
      <c r="Q9354" s="356" t="s">
        <v>154</v>
      </c>
    </row>
    <row r="9355" spans="1:17" ht="409.5" x14ac:dyDescent="0.25">
      <c r="A9355" s="314">
        <v>44754</v>
      </c>
      <c r="B9355" s="314">
        <v>44755</v>
      </c>
      <c r="C9355" s="315">
        <v>2022</v>
      </c>
      <c r="D9355" s="351" t="s">
        <v>23</v>
      </c>
      <c r="E9355" s="316" t="s">
        <v>5893</v>
      </c>
      <c r="F9355" s="317" t="s">
        <v>60</v>
      </c>
      <c r="G9355" s="317" t="s">
        <v>12624</v>
      </c>
      <c r="H9355" s="318" t="s">
        <v>12625</v>
      </c>
      <c r="I9355" s="317">
        <v>0</v>
      </c>
      <c r="J9355" s="356">
        <v>40</v>
      </c>
      <c r="K9355" s="356">
        <v>10</v>
      </c>
      <c r="L9355" s="356">
        <v>0</v>
      </c>
      <c r="M9355" s="356">
        <v>0</v>
      </c>
      <c r="N9355" s="356">
        <v>0</v>
      </c>
      <c r="O9355" s="356">
        <v>0</v>
      </c>
      <c r="P9355" s="362">
        <v>6.2216399999999998E-2</v>
      </c>
      <c r="Q9355" s="356" t="s">
        <v>154</v>
      </c>
    </row>
    <row r="9356" spans="1:17" ht="108" x14ac:dyDescent="0.25">
      <c r="A9356" s="314">
        <v>44756</v>
      </c>
      <c r="B9356" s="314">
        <v>44756</v>
      </c>
      <c r="C9356" s="315">
        <v>2022</v>
      </c>
      <c r="D9356" s="351" t="s">
        <v>23</v>
      </c>
      <c r="E9356" s="316" t="s">
        <v>86</v>
      </c>
      <c r="F9356" s="317" t="s">
        <v>62</v>
      </c>
      <c r="G9356" s="317" t="s">
        <v>12626</v>
      </c>
      <c r="H9356" s="318" t="s">
        <v>12627</v>
      </c>
      <c r="I9356" s="317">
        <v>0</v>
      </c>
      <c r="J9356" s="356">
        <v>5</v>
      </c>
      <c r="K9356" s="356">
        <v>1</v>
      </c>
      <c r="L9356" s="356">
        <v>0</v>
      </c>
      <c r="M9356" s="356">
        <v>0</v>
      </c>
      <c r="N9356" s="356">
        <v>0</v>
      </c>
      <c r="O9356" s="356">
        <v>0</v>
      </c>
      <c r="P9356" s="362">
        <v>1.3340299999999999E-3</v>
      </c>
      <c r="Q9356" s="356" t="s">
        <v>154</v>
      </c>
    </row>
    <row r="9357" spans="1:17" ht="24" x14ac:dyDescent="0.25">
      <c r="A9357" s="314">
        <v>44732</v>
      </c>
      <c r="B9357" s="314">
        <v>44735</v>
      </c>
      <c r="C9357" s="315">
        <v>2022</v>
      </c>
      <c r="D9357" s="35" t="s">
        <v>17</v>
      </c>
      <c r="E9357" s="316" t="s">
        <v>328</v>
      </c>
      <c r="F9357" s="317" t="s">
        <v>210</v>
      </c>
      <c r="G9357" s="319" t="s">
        <v>12628</v>
      </c>
      <c r="H9357" s="330" t="s">
        <v>12629</v>
      </c>
      <c r="I9357" s="317">
        <v>0</v>
      </c>
      <c r="J9357" s="356">
        <v>200</v>
      </c>
      <c r="K9357" s="356">
        <v>0</v>
      </c>
      <c r="L9357" s="356">
        <v>0</v>
      </c>
      <c r="M9357" s="356">
        <v>0</v>
      </c>
      <c r="N9357" s="356">
        <v>0</v>
      </c>
      <c r="O9357" s="356">
        <v>0</v>
      </c>
      <c r="P9357" s="362">
        <v>32.659253999999997</v>
      </c>
      <c r="Q9357" s="356" t="s">
        <v>12447</v>
      </c>
    </row>
    <row r="9358" spans="1:17" ht="204" x14ac:dyDescent="0.25">
      <c r="A9358" s="314">
        <v>44755</v>
      </c>
      <c r="B9358" s="314">
        <v>44756</v>
      </c>
      <c r="C9358" s="315">
        <v>2022</v>
      </c>
      <c r="D9358" s="351" t="s">
        <v>23</v>
      </c>
      <c r="E9358" s="316" t="s">
        <v>323</v>
      </c>
      <c r="F9358" s="317" t="s">
        <v>210</v>
      </c>
      <c r="G9358" s="319" t="s">
        <v>12630</v>
      </c>
      <c r="H9358" s="318" t="s">
        <v>12631</v>
      </c>
      <c r="I9358" s="317">
        <v>1</v>
      </c>
      <c r="J9358" s="356">
        <v>185</v>
      </c>
      <c r="K9358" s="356">
        <v>46</v>
      </c>
      <c r="L9358" s="356">
        <v>0</v>
      </c>
      <c r="M9358" s="356">
        <v>0</v>
      </c>
      <c r="N9358" s="356">
        <v>0</v>
      </c>
      <c r="O9358" s="356">
        <v>0</v>
      </c>
      <c r="P9358" s="362">
        <v>0</v>
      </c>
      <c r="Q9358" s="356" t="s">
        <v>154</v>
      </c>
    </row>
    <row r="9359" spans="1:17" ht="132" x14ac:dyDescent="0.25">
      <c r="A9359" s="314">
        <v>44756</v>
      </c>
      <c r="B9359" s="314">
        <v>44756</v>
      </c>
      <c r="C9359" s="315">
        <v>2022</v>
      </c>
      <c r="D9359" s="24" t="s">
        <v>141</v>
      </c>
      <c r="E9359" s="316" t="s">
        <v>1965</v>
      </c>
      <c r="F9359" s="317" t="s">
        <v>60</v>
      </c>
      <c r="G9359" s="317" t="s">
        <v>1605</v>
      </c>
      <c r="H9359" s="318" t="s">
        <v>12632</v>
      </c>
      <c r="I9359" s="317">
        <v>2</v>
      </c>
      <c r="J9359" s="356">
        <v>6</v>
      </c>
      <c r="K9359" s="356"/>
      <c r="L9359" s="356">
        <v>0</v>
      </c>
      <c r="M9359" s="356">
        <v>0</v>
      </c>
      <c r="N9359" s="356">
        <v>0</v>
      </c>
      <c r="O9359" s="356">
        <v>0</v>
      </c>
      <c r="P9359" s="362">
        <v>4.7916E-3</v>
      </c>
      <c r="Q9359" s="356" t="s">
        <v>154</v>
      </c>
    </row>
    <row r="9360" spans="1:17" ht="108" x14ac:dyDescent="0.25">
      <c r="A9360" s="314">
        <v>44756</v>
      </c>
      <c r="B9360" s="314">
        <v>44756</v>
      </c>
      <c r="C9360" s="315">
        <v>2022</v>
      </c>
      <c r="D9360" s="351" t="s">
        <v>23</v>
      </c>
      <c r="E9360" s="316" t="s">
        <v>323</v>
      </c>
      <c r="F9360" s="317" t="s">
        <v>210</v>
      </c>
      <c r="G9360" s="319" t="s">
        <v>12633</v>
      </c>
      <c r="H9360" s="318" t="s">
        <v>12634</v>
      </c>
      <c r="I9360" s="317">
        <v>0</v>
      </c>
      <c r="J9360" s="356">
        <f>13*4</f>
        <v>52</v>
      </c>
      <c r="K9360" s="356">
        <v>13</v>
      </c>
      <c r="L9360" s="356">
        <v>0</v>
      </c>
      <c r="M9360" s="356">
        <v>0</v>
      </c>
      <c r="N9360" s="356">
        <v>0</v>
      </c>
      <c r="O9360" s="356">
        <v>0</v>
      </c>
      <c r="P9360" s="362">
        <v>6.0560500000000003E-3</v>
      </c>
      <c r="Q9360" s="356" t="s">
        <v>154</v>
      </c>
    </row>
    <row r="9361" spans="1:17" ht="180" x14ac:dyDescent="0.25">
      <c r="A9361" s="314">
        <v>44756</v>
      </c>
      <c r="B9361" s="314">
        <v>44757</v>
      </c>
      <c r="C9361" s="315">
        <v>2022</v>
      </c>
      <c r="D9361" s="351" t="s">
        <v>23</v>
      </c>
      <c r="E9361" s="316" t="s">
        <v>86</v>
      </c>
      <c r="F9361" s="317" t="s">
        <v>60</v>
      </c>
      <c r="G9361" s="317" t="s">
        <v>12635</v>
      </c>
      <c r="H9361" s="318" t="s">
        <v>12636</v>
      </c>
      <c r="I9361" s="317">
        <v>0</v>
      </c>
      <c r="J9361" s="356">
        <v>32</v>
      </c>
      <c r="K9361" s="356">
        <v>8</v>
      </c>
      <c r="L9361" s="356">
        <v>0</v>
      </c>
      <c r="M9361" s="356">
        <v>0</v>
      </c>
      <c r="N9361" s="356">
        <v>0</v>
      </c>
      <c r="O9361" s="356">
        <v>0</v>
      </c>
      <c r="P9361" s="362">
        <v>1.067224E-2</v>
      </c>
      <c r="Q9361" s="356" t="s">
        <v>154</v>
      </c>
    </row>
    <row r="9362" spans="1:17" ht="84" x14ac:dyDescent="0.25">
      <c r="A9362" s="314">
        <v>44757</v>
      </c>
      <c r="B9362" s="314">
        <v>44758</v>
      </c>
      <c r="C9362" s="315">
        <v>2022</v>
      </c>
      <c r="D9362" s="24" t="s">
        <v>141</v>
      </c>
      <c r="E9362" s="316" t="s">
        <v>142</v>
      </c>
      <c r="F9362" s="317" t="s">
        <v>84</v>
      </c>
      <c r="G9362" s="317" t="s">
        <v>4988</v>
      </c>
      <c r="H9362" s="318" t="s">
        <v>12637</v>
      </c>
      <c r="I9362" s="317">
        <v>14</v>
      </c>
      <c r="J9362" s="356">
        <v>15</v>
      </c>
      <c r="K9362" s="356"/>
      <c r="L9362" s="356">
        <v>0</v>
      </c>
      <c r="M9362" s="356">
        <v>0</v>
      </c>
      <c r="N9362" s="356">
        <v>0</v>
      </c>
      <c r="O9362" s="356">
        <v>0</v>
      </c>
      <c r="P9362" s="362">
        <v>1.9920535354057374</v>
      </c>
      <c r="Q9362" s="356" t="s">
        <v>154</v>
      </c>
    </row>
    <row r="9363" spans="1:17" ht="409.5" x14ac:dyDescent="0.25">
      <c r="A9363" s="314">
        <v>44758</v>
      </c>
      <c r="B9363" s="314">
        <v>44759</v>
      </c>
      <c r="C9363" s="315">
        <v>2022</v>
      </c>
      <c r="D9363" s="351" t="s">
        <v>23</v>
      </c>
      <c r="E9363" s="316" t="s">
        <v>86</v>
      </c>
      <c r="F9363" s="317" t="s">
        <v>56</v>
      </c>
      <c r="G9363" s="317" t="s">
        <v>12638</v>
      </c>
      <c r="H9363" s="318" t="s">
        <v>12639</v>
      </c>
      <c r="I9363" s="317">
        <v>0</v>
      </c>
      <c r="J9363" s="356">
        <v>25</v>
      </c>
      <c r="K9363" s="356">
        <v>4</v>
      </c>
      <c r="L9363" s="356">
        <v>0</v>
      </c>
      <c r="M9363" s="356">
        <v>0</v>
      </c>
      <c r="N9363" s="356">
        <v>4</v>
      </c>
      <c r="O9363" s="356">
        <v>0</v>
      </c>
      <c r="P9363" s="362">
        <v>5.3361199999999998E-3</v>
      </c>
      <c r="Q9363" s="356" t="s">
        <v>154</v>
      </c>
    </row>
    <row r="9364" spans="1:17" ht="96" x14ac:dyDescent="0.25">
      <c r="A9364" s="314">
        <v>44758</v>
      </c>
      <c r="B9364" s="314">
        <v>44758</v>
      </c>
      <c r="C9364" s="315">
        <v>2022</v>
      </c>
      <c r="D9364" s="24" t="s">
        <v>141</v>
      </c>
      <c r="E9364" s="316" t="s">
        <v>142</v>
      </c>
      <c r="F9364" s="7" t="s">
        <v>75</v>
      </c>
      <c r="G9364" s="317" t="s">
        <v>12557</v>
      </c>
      <c r="H9364" s="318" t="s">
        <v>12640</v>
      </c>
      <c r="I9364" s="317">
        <v>0</v>
      </c>
      <c r="J9364" s="356">
        <v>17</v>
      </c>
      <c r="K9364" s="356">
        <v>0</v>
      </c>
      <c r="L9364" s="356">
        <v>0</v>
      </c>
      <c r="M9364" s="356">
        <v>0</v>
      </c>
      <c r="N9364" s="356">
        <v>0</v>
      </c>
      <c r="O9364" s="356">
        <v>0</v>
      </c>
      <c r="P9364" s="362">
        <v>0.45676658000000003</v>
      </c>
      <c r="Q9364" s="356" t="s">
        <v>154</v>
      </c>
    </row>
    <row r="9365" spans="1:17" ht="60" x14ac:dyDescent="0.25">
      <c r="A9365" s="314">
        <v>44760</v>
      </c>
      <c r="B9365" s="314">
        <v>44760</v>
      </c>
      <c r="C9365" s="315">
        <v>2022</v>
      </c>
      <c r="D9365" s="24" t="s">
        <v>141</v>
      </c>
      <c r="E9365" s="316" t="s">
        <v>142</v>
      </c>
      <c r="F9365" s="317" t="s">
        <v>40</v>
      </c>
      <c r="G9365" s="317" t="s">
        <v>2097</v>
      </c>
      <c r="H9365" s="318" t="s">
        <v>12641</v>
      </c>
      <c r="I9365" s="317">
        <v>0</v>
      </c>
      <c r="J9365" s="356">
        <v>26</v>
      </c>
      <c r="K9365" s="356">
        <v>0</v>
      </c>
      <c r="L9365" s="356">
        <v>0</v>
      </c>
      <c r="M9365" s="356">
        <v>0</v>
      </c>
      <c r="N9365" s="356">
        <v>0</v>
      </c>
      <c r="O9365" s="356">
        <v>0</v>
      </c>
      <c r="P9365" s="362">
        <v>9.5832000000000001E-3</v>
      </c>
      <c r="Q9365" s="356" t="s">
        <v>154</v>
      </c>
    </row>
    <row r="9366" spans="1:17" ht="120" x14ac:dyDescent="0.25">
      <c r="A9366" s="314">
        <v>44762</v>
      </c>
      <c r="B9366" s="314">
        <v>44763</v>
      </c>
      <c r="C9366" s="315">
        <v>2022</v>
      </c>
      <c r="D9366" s="24" t="s">
        <v>141</v>
      </c>
      <c r="E9366" s="316" t="s">
        <v>142</v>
      </c>
      <c r="F9366" s="317" t="s">
        <v>97</v>
      </c>
      <c r="G9366" s="317" t="s">
        <v>97</v>
      </c>
      <c r="H9366" s="318" t="s">
        <v>12642</v>
      </c>
      <c r="I9366" s="317">
        <v>0</v>
      </c>
      <c r="J9366" s="356">
        <v>14</v>
      </c>
      <c r="K9366" s="356">
        <v>0</v>
      </c>
      <c r="L9366" s="356">
        <v>0</v>
      </c>
      <c r="M9366" s="356">
        <v>0</v>
      </c>
      <c r="N9366" s="356">
        <v>0</v>
      </c>
      <c r="O9366" s="356">
        <v>0</v>
      </c>
      <c r="P9366" s="362">
        <v>9.5832000000000001E-3</v>
      </c>
      <c r="Q9366" s="356" t="s">
        <v>154</v>
      </c>
    </row>
    <row r="9367" spans="1:17" ht="108" x14ac:dyDescent="0.25">
      <c r="A9367" s="314">
        <v>44763</v>
      </c>
      <c r="B9367" s="314">
        <v>44766</v>
      </c>
      <c r="C9367" s="315">
        <v>2022</v>
      </c>
      <c r="D9367" s="35" t="s">
        <v>28</v>
      </c>
      <c r="E9367" s="316" t="s">
        <v>125</v>
      </c>
      <c r="F9367" s="317" t="s">
        <v>210</v>
      </c>
      <c r="G9367" s="319" t="s">
        <v>12643</v>
      </c>
      <c r="H9367" s="318" t="s">
        <v>12644</v>
      </c>
      <c r="I9367" s="317">
        <v>1</v>
      </c>
      <c r="J9367" s="356">
        <v>271</v>
      </c>
      <c r="K9367" s="356">
        <v>0</v>
      </c>
      <c r="L9367" s="356">
        <v>0</v>
      </c>
      <c r="M9367" s="356">
        <v>0</v>
      </c>
      <c r="N9367" s="356">
        <v>0</v>
      </c>
      <c r="O9367" s="356">
        <v>0</v>
      </c>
      <c r="P9367" s="362">
        <v>1.121003588941176</v>
      </c>
      <c r="Q9367" s="356" t="s">
        <v>154</v>
      </c>
    </row>
    <row r="9368" spans="1:17" ht="96" x14ac:dyDescent="0.25">
      <c r="A9368" s="314">
        <v>44767</v>
      </c>
      <c r="B9368" s="314">
        <v>44767</v>
      </c>
      <c r="C9368" s="315">
        <v>2022</v>
      </c>
      <c r="D9368" s="24" t="s">
        <v>141</v>
      </c>
      <c r="E9368" s="316" t="s">
        <v>142</v>
      </c>
      <c r="F9368" s="317" t="s">
        <v>84</v>
      </c>
      <c r="G9368" s="317" t="s">
        <v>939</v>
      </c>
      <c r="H9368" s="318" t="s">
        <v>12645</v>
      </c>
      <c r="I9368" s="317">
        <v>0</v>
      </c>
      <c r="J9368" s="356">
        <v>14</v>
      </c>
      <c r="K9368" s="356">
        <v>0</v>
      </c>
      <c r="L9368" s="356">
        <v>0</v>
      </c>
      <c r="M9368" s="356">
        <v>0</v>
      </c>
      <c r="N9368" s="356">
        <v>0</v>
      </c>
      <c r="O9368" s="356">
        <v>0</v>
      </c>
      <c r="P9368" s="362">
        <v>1.6770600000000004E-2</v>
      </c>
      <c r="Q9368" s="356" t="s">
        <v>154</v>
      </c>
    </row>
    <row r="9369" spans="1:17" ht="24" x14ac:dyDescent="0.25">
      <c r="A9369" s="314">
        <v>44768</v>
      </c>
      <c r="B9369" s="314">
        <v>44768</v>
      </c>
      <c r="C9369" s="315">
        <v>2022</v>
      </c>
      <c r="D9369" s="24" t="s">
        <v>141</v>
      </c>
      <c r="E9369" s="316" t="s">
        <v>142</v>
      </c>
      <c r="F9369" s="317" t="s">
        <v>30</v>
      </c>
      <c r="G9369" s="317" t="s">
        <v>1078</v>
      </c>
      <c r="H9369" s="320" t="s">
        <v>12646</v>
      </c>
      <c r="I9369" s="317">
        <v>0</v>
      </c>
      <c r="J9369" s="356">
        <v>33</v>
      </c>
      <c r="K9369" s="356">
        <v>0</v>
      </c>
      <c r="L9369" s="356">
        <v>0</v>
      </c>
      <c r="M9369" s="356">
        <v>0</v>
      </c>
      <c r="N9369" s="356">
        <v>0</v>
      </c>
      <c r="O9369" s="356">
        <v>0</v>
      </c>
      <c r="P9369" s="362">
        <v>3.9530700000000002E-2</v>
      </c>
      <c r="Q9369" s="356" t="s">
        <v>154</v>
      </c>
    </row>
    <row r="9370" spans="1:17" ht="72" x14ac:dyDescent="0.25">
      <c r="A9370" s="314">
        <v>44769</v>
      </c>
      <c r="B9370" s="314">
        <v>44769</v>
      </c>
      <c r="C9370" s="315">
        <v>2022</v>
      </c>
      <c r="D9370" s="35" t="s">
        <v>28</v>
      </c>
      <c r="E9370" s="316" t="s">
        <v>149</v>
      </c>
      <c r="F9370" s="7" t="s">
        <v>75</v>
      </c>
      <c r="G9370" s="317" t="s">
        <v>75</v>
      </c>
      <c r="H9370" s="318" t="s">
        <v>12647</v>
      </c>
      <c r="I9370" s="317">
        <v>1</v>
      </c>
      <c r="J9370" s="356">
        <v>143</v>
      </c>
      <c r="K9370" s="356">
        <v>0</v>
      </c>
      <c r="L9370" s="356">
        <v>0</v>
      </c>
      <c r="M9370" s="356">
        <v>0</v>
      </c>
      <c r="N9370" s="356">
        <v>1</v>
      </c>
      <c r="O9370" s="356">
        <v>0</v>
      </c>
      <c r="P9370" s="362">
        <v>0.56110074447058833</v>
      </c>
      <c r="Q9370" s="356" t="s">
        <v>154</v>
      </c>
    </row>
    <row r="9371" spans="1:17" ht="192" x14ac:dyDescent="0.25">
      <c r="A9371" s="314">
        <v>44768</v>
      </c>
      <c r="B9371" s="314">
        <v>44769</v>
      </c>
      <c r="C9371" s="315">
        <v>2022</v>
      </c>
      <c r="D9371" s="35" t="s">
        <v>17</v>
      </c>
      <c r="E9371" s="316" t="s">
        <v>328</v>
      </c>
      <c r="F9371" s="317" t="s">
        <v>210</v>
      </c>
      <c r="G9371" s="319" t="s">
        <v>12648</v>
      </c>
      <c r="H9371" s="318" t="s">
        <v>12649</v>
      </c>
      <c r="I9371" s="317">
        <v>1</v>
      </c>
      <c r="J9371" s="356">
        <v>3</v>
      </c>
      <c r="K9371" s="356">
        <v>21</v>
      </c>
      <c r="L9371" s="356">
        <v>0</v>
      </c>
      <c r="M9371" s="356">
        <v>0</v>
      </c>
      <c r="N9371" s="356">
        <v>0</v>
      </c>
      <c r="O9371" s="356">
        <v>0</v>
      </c>
      <c r="P9371" s="362">
        <v>0.747054</v>
      </c>
      <c r="Q9371" s="356" t="s">
        <v>12586</v>
      </c>
    </row>
    <row r="9372" spans="1:17" ht="108" x14ac:dyDescent="0.25">
      <c r="A9372" s="314">
        <v>44770</v>
      </c>
      <c r="B9372" s="314">
        <v>44770</v>
      </c>
      <c r="C9372" s="315">
        <v>2022</v>
      </c>
      <c r="D9372" s="24" t="s">
        <v>141</v>
      </c>
      <c r="E9372" s="316" t="s">
        <v>142</v>
      </c>
      <c r="F9372" s="317" t="s">
        <v>62</v>
      </c>
      <c r="G9372" s="317" t="s">
        <v>5413</v>
      </c>
      <c r="H9372" s="318" t="s">
        <v>12650</v>
      </c>
      <c r="I9372" s="317">
        <v>1</v>
      </c>
      <c r="J9372" s="356">
        <v>2</v>
      </c>
      <c r="K9372" s="356">
        <v>0</v>
      </c>
      <c r="L9372" s="356">
        <v>0</v>
      </c>
      <c r="M9372" s="356">
        <v>0</v>
      </c>
      <c r="N9372" s="356">
        <v>0</v>
      </c>
      <c r="O9372" s="356">
        <v>0</v>
      </c>
      <c r="P9372" s="362">
        <v>1.1845899999999999E-2</v>
      </c>
      <c r="Q9372" s="356" t="s">
        <v>154</v>
      </c>
    </row>
    <row r="9373" spans="1:17" ht="84" x14ac:dyDescent="0.25">
      <c r="A9373" s="314">
        <v>44770</v>
      </c>
      <c r="B9373" s="314">
        <v>44770</v>
      </c>
      <c r="C9373" s="315">
        <v>2022</v>
      </c>
      <c r="D9373" s="24" t="s">
        <v>141</v>
      </c>
      <c r="E9373" s="316" t="s">
        <v>142</v>
      </c>
      <c r="F9373" s="7" t="s">
        <v>101</v>
      </c>
      <c r="G9373" s="317" t="s">
        <v>12651</v>
      </c>
      <c r="H9373" s="318" t="s">
        <v>12652</v>
      </c>
      <c r="I9373" s="317">
        <v>3</v>
      </c>
      <c r="J9373" s="356">
        <v>14</v>
      </c>
      <c r="K9373" s="356">
        <v>0</v>
      </c>
      <c r="L9373" s="356">
        <v>0</v>
      </c>
      <c r="M9373" s="356">
        <v>0</v>
      </c>
      <c r="N9373" s="356">
        <v>0</v>
      </c>
      <c r="O9373" s="356">
        <v>0</v>
      </c>
      <c r="P9373" s="362">
        <v>4.5644900000000002E-2</v>
      </c>
      <c r="Q9373" s="356" t="s">
        <v>154</v>
      </c>
    </row>
    <row r="9374" spans="1:17" ht="288" x14ac:dyDescent="0.25">
      <c r="A9374" s="314">
        <v>44769</v>
      </c>
      <c r="B9374" s="314">
        <v>44770</v>
      </c>
      <c r="C9374" s="315">
        <v>2022</v>
      </c>
      <c r="D9374" s="351" t="s">
        <v>23</v>
      </c>
      <c r="E9374" s="316" t="s">
        <v>86</v>
      </c>
      <c r="F9374" s="317" t="s">
        <v>62</v>
      </c>
      <c r="G9374" s="317" t="s">
        <v>165</v>
      </c>
      <c r="H9374" s="318" t="s">
        <v>12653</v>
      </c>
      <c r="I9374" s="317">
        <v>0</v>
      </c>
      <c r="J9374" s="356">
        <v>30</v>
      </c>
      <c r="K9374" s="356">
        <v>9</v>
      </c>
      <c r="L9374" s="356">
        <v>0</v>
      </c>
      <c r="M9374" s="356">
        <v>0</v>
      </c>
      <c r="N9374" s="356">
        <v>0</v>
      </c>
      <c r="O9374" s="356">
        <v>0</v>
      </c>
      <c r="P9374" s="362">
        <v>5.5994760000000005E-2</v>
      </c>
      <c r="Q9374" s="356" t="s">
        <v>154</v>
      </c>
    </row>
    <row r="9375" spans="1:17" ht="132" x14ac:dyDescent="0.25">
      <c r="A9375" s="314">
        <v>44770</v>
      </c>
      <c r="B9375" s="314">
        <v>44770</v>
      </c>
      <c r="C9375" s="315">
        <v>2022</v>
      </c>
      <c r="D9375" s="24" t="s">
        <v>141</v>
      </c>
      <c r="E9375" s="316" t="s">
        <v>142</v>
      </c>
      <c r="F9375" s="7" t="s">
        <v>101</v>
      </c>
      <c r="G9375" s="317" t="s">
        <v>5581</v>
      </c>
      <c r="H9375" s="318" t="s">
        <v>12654</v>
      </c>
      <c r="I9375" s="317">
        <v>0</v>
      </c>
      <c r="J9375" s="356">
        <v>20</v>
      </c>
      <c r="K9375" s="356">
        <v>0</v>
      </c>
      <c r="L9375" s="356">
        <v>0</v>
      </c>
      <c r="M9375" s="356">
        <v>0</v>
      </c>
      <c r="N9375" s="356">
        <v>0</v>
      </c>
      <c r="O9375" s="356">
        <v>0</v>
      </c>
      <c r="P9375" s="362">
        <v>9.5991720000000003E-2</v>
      </c>
      <c r="Q9375" s="356" t="s">
        <v>154</v>
      </c>
    </row>
    <row r="9376" spans="1:17" ht="144" x14ac:dyDescent="0.25">
      <c r="A9376" s="314">
        <v>44770</v>
      </c>
      <c r="B9376" s="314">
        <v>44771</v>
      </c>
      <c r="C9376" s="315">
        <v>2022</v>
      </c>
      <c r="D9376" s="351" t="s">
        <v>23</v>
      </c>
      <c r="E9376" s="316" t="s">
        <v>86</v>
      </c>
      <c r="F9376" s="317" t="s">
        <v>84</v>
      </c>
      <c r="G9376" s="317" t="s">
        <v>3161</v>
      </c>
      <c r="H9376" s="318" t="s">
        <v>12655</v>
      </c>
      <c r="I9376" s="317">
        <v>0</v>
      </c>
      <c r="J9376" s="356">
        <f>247*4</f>
        <v>988</v>
      </c>
      <c r="K9376" s="356">
        <v>247</v>
      </c>
      <c r="L9376" s="356">
        <v>0</v>
      </c>
      <c r="M9376" s="356">
        <v>0</v>
      </c>
      <c r="N9376" s="356">
        <v>0</v>
      </c>
      <c r="O9376" s="356">
        <v>0</v>
      </c>
      <c r="P9376" s="362">
        <v>0.32950541</v>
      </c>
      <c r="Q9376" s="356" t="s">
        <v>154</v>
      </c>
    </row>
    <row r="9377" spans="1:17" ht="60" x14ac:dyDescent="0.25">
      <c r="A9377" s="314">
        <v>44771</v>
      </c>
      <c r="B9377" s="314">
        <v>44771</v>
      </c>
      <c r="C9377" s="315">
        <v>2022</v>
      </c>
      <c r="D9377" s="24" t="s">
        <v>141</v>
      </c>
      <c r="E9377" s="316" t="s">
        <v>142</v>
      </c>
      <c r="F9377" s="7" t="s">
        <v>75</v>
      </c>
      <c r="G9377" s="317" t="s">
        <v>12557</v>
      </c>
      <c r="H9377" s="318" t="s">
        <v>12656</v>
      </c>
      <c r="I9377" s="317">
        <v>1</v>
      </c>
      <c r="J9377" s="356">
        <v>10</v>
      </c>
      <c r="K9377" s="356">
        <v>0</v>
      </c>
      <c r="L9377" s="356">
        <v>0</v>
      </c>
      <c r="M9377" s="356">
        <v>0</v>
      </c>
      <c r="N9377" s="356">
        <v>0</v>
      </c>
      <c r="O9377" s="356">
        <v>0</v>
      </c>
      <c r="P9377" s="362">
        <v>0.10783762000000001</v>
      </c>
      <c r="Q9377" s="356" t="s">
        <v>154</v>
      </c>
    </row>
    <row r="9378" spans="1:17" ht="120" x14ac:dyDescent="0.25">
      <c r="A9378" s="314">
        <v>44771</v>
      </c>
      <c r="B9378" s="314">
        <v>44771</v>
      </c>
      <c r="C9378" s="315">
        <v>2022</v>
      </c>
      <c r="D9378" s="24" t="s">
        <v>141</v>
      </c>
      <c r="E9378" s="316" t="s">
        <v>142</v>
      </c>
      <c r="F9378" s="317" t="s">
        <v>160</v>
      </c>
      <c r="G9378" s="317" t="s">
        <v>3662</v>
      </c>
      <c r="H9378" s="318" t="s">
        <v>12657</v>
      </c>
      <c r="I9378" s="317">
        <v>0</v>
      </c>
      <c r="J9378" s="356">
        <v>22</v>
      </c>
      <c r="K9378" s="356">
        <v>0</v>
      </c>
      <c r="L9378" s="356">
        <v>0</v>
      </c>
      <c r="M9378" s="356">
        <v>0</v>
      </c>
      <c r="N9378" s="356">
        <v>0</v>
      </c>
      <c r="O9378" s="356">
        <v>0</v>
      </c>
      <c r="P9378" s="362">
        <v>2.6353800000000004E-2</v>
      </c>
      <c r="Q9378" s="356" t="s">
        <v>154</v>
      </c>
    </row>
    <row r="9379" spans="1:17" ht="96" x14ac:dyDescent="0.25">
      <c r="A9379" s="314">
        <v>44771</v>
      </c>
      <c r="B9379" s="314">
        <v>44771</v>
      </c>
      <c r="C9379" s="315">
        <v>2022</v>
      </c>
      <c r="D9379" s="24" t="s">
        <v>141</v>
      </c>
      <c r="E9379" s="316" t="s">
        <v>142</v>
      </c>
      <c r="F9379" s="317" t="s">
        <v>45</v>
      </c>
      <c r="G9379" s="317" t="s">
        <v>3124</v>
      </c>
      <c r="H9379" s="318" t="s">
        <v>12658</v>
      </c>
      <c r="I9379" s="317">
        <v>2</v>
      </c>
      <c r="J9379" s="356">
        <v>19</v>
      </c>
      <c r="K9379" s="356">
        <v>0</v>
      </c>
      <c r="L9379" s="356">
        <v>0</v>
      </c>
      <c r="M9379" s="356">
        <v>0</v>
      </c>
      <c r="N9379" s="356">
        <v>0</v>
      </c>
      <c r="O9379" s="356">
        <v>0</v>
      </c>
      <c r="P9379" s="362">
        <v>0.53865570000000007</v>
      </c>
      <c r="Q9379" s="356" t="s">
        <v>154</v>
      </c>
    </row>
    <row r="9380" spans="1:17" ht="216" x14ac:dyDescent="0.25">
      <c r="A9380" s="314">
        <v>44771</v>
      </c>
      <c r="B9380" s="314">
        <v>44771</v>
      </c>
      <c r="C9380" s="315">
        <v>2022</v>
      </c>
      <c r="D9380" s="35" t="s">
        <v>28</v>
      </c>
      <c r="E9380" s="316" t="s">
        <v>149</v>
      </c>
      <c r="F9380" s="317" t="s">
        <v>91</v>
      </c>
      <c r="G9380" s="331" t="s">
        <v>12659</v>
      </c>
      <c r="H9380" s="318" t="s">
        <v>12660</v>
      </c>
      <c r="I9380" s="317">
        <v>1</v>
      </c>
      <c r="J9380" s="356">
        <v>1</v>
      </c>
      <c r="K9380" s="356">
        <v>0</v>
      </c>
      <c r="L9380" s="356">
        <v>0</v>
      </c>
      <c r="M9380" s="356">
        <v>0</v>
      </c>
      <c r="N9380" s="356">
        <v>0</v>
      </c>
      <c r="O9380" s="356">
        <v>0</v>
      </c>
      <c r="P9380" s="362">
        <v>0</v>
      </c>
      <c r="Q9380" s="356" t="s">
        <v>154</v>
      </c>
    </row>
    <row r="9381" spans="1:17" ht="120" x14ac:dyDescent="0.25">
      <c r="A9381" s="314">
        <v>44773</v>
      </c>
      <c r="B9381" s="314">
        <v>44773</v>
      </c>
      <c r="C9381" s="315">
        <v>2022</v>
      </c>
      <c r="D9381" s="24" t="s">
        <v>141</v>
      </c>
      <c r="E9381" s="316" t="s">
        <v>142</v>
      </c>
      <c r="F9381" s="317" t="s">
        <v>58</v>
      </c>
      <c r="G9381" s="317" t="s">
        <v>5825</v>
      </c>
      <c r="H9381" s="318" t="s">
        <v>12661</v>
      </c>
      <c r="I9381" s="317">
        <v>3</v>
      </c>
      <c r="J9381" s="356">
        <v>42</v>
      </c>
      <c r="K9381" s="356">
        <v>0</v>
      </c>
      <c r="L9381" s="356">
        <v>0</v>
      </c>
      <c r="M9381" s="356">
        <v>0</v>
      </c>
      <c r="N9381" s="356">
        <v>0</v>
      </c>
      <c r="O9381" s="356">
        <v>0</v>
      </c>
      <c r="P9381" s="362">
        <v>4.6718100000000005E-2</v>
      </c>
      <c r="Q9381" s="356" t="s">
        <v>154</v>
      </c>
    </row>
    <row r="9382" spans="1:17" ht="132" x14ac:dyDescent="0.25">
      <c r="A9382" s="314">
        <v>44773</v>
      </c>
      <c r="B9382" s="314">
        <v>44773</v>
      </c>
      <c r="C9382" s="315">
        <v>2022</v>
      </c>
      <c r="D9382" s="24" t="s">
        <v>141</v>
      </c>
      <c r="E9382" s="316" t="s">
        <v>142</v>
      </c>
      <c r="F9382" s="317" t="s">
        <v>82</v>
      </c>
      <c r="G9382" s="317" t="s">
        <v>12662</v>
      </c>
      <c r="H9382" s="318" t="s">
        <v>12663</v>
      </c>
      <c r="I9382" s="317">
        <v>0</v>
      </c>
      <c r="J9382" s="356">
        <v>15</v>
      </c>
      <c r="K9382" s="356">
        <v>0</v>
      </c>
      <c r="L9382" s="356">
        <v>0</v>
      </c>
      <c r="M9382" s="356">
        <v>0</v>
      </c>
      <c r="N9382" s="356">
        <v>0</v>
      </c>
      <c r="O9382" s="356">
        <v>0</v>
      </c>
      <c r="P9382" s="362">
        <v>0.86408520000000011</v>
      </c>
      <c r="Q9382" s="356" t="s">
        <v>154</v>
      </c>
    </row>
    <row r="9383" spans="1:17" ht="180" x14ac:dyDescent="0.25">
      <c r="A9383" s="314">
        <v>44773</v>
      </c>
      <c r="B9383" s="314">
        <v>44773</v>
      </c>
      <c r="C9383" s="315">
        <v>2022</v>
      </c>
      <c r="D9383" s="351" t="s">
        <v>23</v>
      </c>
      <c r="E9383" s="316" t="s">
        <v>86</v>
      </c>
      <c r="F9383" s="7" t="s">
        <v>87</v>
      </c>
      <c r="G9383" s="317" t="s">
        <v>12664</v>
      </c>
      <c r="H9383" s="318" t="s">
        <v>12665</v>
      </c>
      <c r="I9383" s="317">
        <v>0</v>
      </c>
      <c r="J9383" s="356">
        <v>100</v>
      </c>
      <c r="K9383" s="356">
        <v>25</v>
      </c>
      <c r="L9383" s="356">
        <v>0</v>
      </c>
      <c r="M9383" s="356">
        <v>0</v>
      </c>
      <c r="N9383" s="356">
        <v>0</v>
      </c>
      <c r="O9383" s="356">
        <v>0</v>
      </c>
      <c r="P9383" s="362">
        <v>3.3350749999999998E-2</v>
      </c>
      <c r="Q9383" s="356" t="s">
        <v>154</v>
      </c>
    </row>
    <row r="9384" spans="1:17" ht="108" x14ac:dyDescent="0.25">
      <c r="A9384" s="314">
        <v>44775</v>
      </c>
      <c r="B9384" s="314">
        <v>44775</v>
      </c>
      <c r="C9384" s="315">
        <v>2022</v>
      </c>
      <c r="D9384" s="35" t="s">
        <v>28</v>
      </c>
      <c r="E9384" s="316" t="s">
        <v>149</v>
      </c>
      <c r="F9384" s="28" t="s">
        <v>157</v>
      </c>
      <c r="G9384" s="317" t="s">
        <v>1062</v>
      </c>
      <c r="H9384" s="318" t="s">
        <v>12666</v>
      </c>
      <c r="I9384" s="317">
        <v>0</v>
      </c>
      <c r="J9384" s="356">
        <v>31</v>
      </c>
      <c r="K9384" s="356">
        <v>1</v>
      </c>
      <c r="L9384" s="356">
        <v>0</v>
      </c>
      <c r="M9384" s="356">
        <v>0</v>
      </c>
      <c r="N9384" s="356">
        <v>0</v>
      </c>
      <c r="O9384" s="356">
        <v>0</v>
      </c>
      <c r="P9384" s="362">
        <v>9.0641100000000002E-3</v>
      </c>
      <c r="Q9384" s="356" t="s">
        <v>154</v>
      </c>
    </row>
    <row r="9385" spans="1:17" ht="120" x14ac:dyDescent="0.25">
      <c r="A9385" s="314">
        <v>44775</v>
      </c>
      <c r="B9385" s="314">
        <v>44776</v>
      </c>
      <c r="C9385" s="315">
        <v>2022</v>
      </c>
      <c r="D9385" s="351" t="s">
        <v>23</v>
      </c>
      <c r="E9385" s="316" t="s">
        <v>323</v>
      </c>
      <c r="F9385" s="317" t="s">
        <v>36</v>
      </c>
      <c r="G9385" s="317" t="s">
        <v>12667</v>
      </c>
      <c r="H9385" s="318" t="s">
        <v>12668</v>
      </c>
      <c r="I9385" s="317">
        <v>0</v>
      </c>
      <c r="J9385" s="356">
        <v>3</v>
      </c>
      <c r="K9385" s="356">
        <v>2</v>
      </c>
      <c r="L9385" s="356">
        <v>0</v>
      </c>
      <c r="M9385" s="356">
        <v>0</v>
      </c>
      <c r="N9385" s="356">
        <v>0</v>
      </c>
      <c r="O9385" s="356">
        <v>0</v>
      </c>
      <c r="P9385" s="362">
        <v>9.3170000000000004E-4</v>
      </c>
      <c r="Q9385" s="356" t="s">
        <v>154</v>
      </c>
    </row>
    <row r="9386" spans="1:17" ht="48" x14ac:dyDescent="0.25">
      <c r="A9386" s="314">
        <v>44776</v>
      </c>
      <c r="B9386" s="314">
        <v>44776</v>
      </c>
      <c r="C9386" s="315">
        <v>2022</v>
      </c>
      <c r="D9386" s="24" t="s">
        <v>141</v>
      </c>
      <c r="E9386" s="316" t="s">
        <v>1965</v>
      </c>
      <c r="F9386" s="317" t="s">
        <v>45</v>
      </c>
      <c r="G9386" s="317" t="s">
        <v>12669</v>
      </c>
      <c r="H9386" s="318" t="s">
        <v>12670</v>
      </c>
      <c r="I9386" s="317">
        <v>10</v>
      </c>
      <c r="J9386" s="356">
        <v>10</v>
      </c>
      <c r="K9386" s="356"/>
      <c r="L9386" s="356">
        <v>0</v>
      </c>
      <c r="M9386" s="356">
        <v>0</v>
      </c>
      <c r="N9386" s="356">
        <v>0</v>
      </c>
      <c r="O9386" s="356">
        <v>0</v>
      </c>
      <c r="P9386" s="362">
        <v>69</v>
      </c>
      <c r="Q9386" s="356" t="s">
        <v>154</v>
      </c>
    </row>
    <row r="9387" spans="1:17" ht="108" x14ac:dyDescent="0.25">
      <c r="A9387" s="314">
        <v>44776</v>
      </c>
      <c r="B9387" s="314">
        <v>44776</v>
      </c>
      <c r="C9387" s="315">
        <v>2022</v>
      </c>
      <c r="D9387" s="351" t="s">
        <v>23</v>
      </c>
      <c r="E9387" s="316" t="s">
        <v>86</v>
      </c>
      <c r="F9387" s="317" t="s">
        <v>40</v>
      </c>
      <c r="G9387" s="317" t="s">
        <v>12671</v>
      </c>
      <c r="H9387" s="318" t="s">
        <v>12672</v>
      </c>
      <c r="I9387" s="317">
        <v>0</v>
      </c>
      <c r="J9387" s="356">
        <v>42</v>
      </c>
      <c r="K9387" s="356">
        <v>10</v>
      </c>
      <c r="L9387" s="356">
        <v>0</v>
      </c>
      <c r="M9387" s="356">
        <v>0</v>
      </c>
      <c r="N9387" s="356">
        <v>0</v>
      </c>
      <c r="O9387" s="356">
        <v>0</v>
      </c>
      <c r="P9387" s="362">
        <v>3.4636300000000002E-2</v>
      </c>
      <c r="Q9387" s="356" t="s">
        <v>154</v>
      </c>
    </row>
    <row r="9388" spans="1:17" ht="156" x14ac:dyDescent="0.25">
      <c r="A9388" s="314">
        <v>44776</v>
      </c>
      <c r="B9388" s="314">
        <v>44776</v>
      </c>
      <c r="C9388" s="315">
        <v>2022</v>
      </c>
      <c r="D9388" s="351" t="s">
        <v>23</v>
      </c>
      <c r="E9388" s="316" t="s">
        <v>86</v>
      </c>
      <c r="F9388" s="317" t="s">
        <v>58</v>
      </c>
      <c r="G9388" s="317" t="s">
        <v>168</v>
      </c>
      <c r="H9388" s="318" t="s">
        <v>12673</v>
      </c>
      <c r="I9388" s="317">
        <v>1</v>
      </c>
      <c r="J9388" s="356">
        <v>1</v>
      </c>
      <c r="K9388" s="356">
        <v>0</v>
      </c>
      <c r="L9388" s="356">
        <v>0</v>
      </c>
      <c r="M9388" s="356">
        <v>0</v>
      </c>
      <c r="N9388" s="356">
        <v>0</v>
      </c>
      <c r="O9388" s="356">
        <v>0</v>
      </c>
      <c r="P9388" s="362">
        <v>0</v>
      </c>
      <c r="Q9388" s="356" t="s">
        <v>154</v>
      </c>
    </row>
    <row r="9389" spans="1:17" ht="96" x14ac:dyDescent="0.25">
      <c r="A9389" s="314">
        <v>44776</v>
      </c>
      <c r="B9389" s="314">
        <v>44776</v>
      </c>
      <c r="C9389" s="315">
        <v>2022</v>
      </c>
      <c r="D9389" s="24" t="s">
        <v>141</v>
      </c>
      <c r="E9389" s="316" t="s">
        <v>142</v>
      </c>
      <c r="F9389" s="317" t="s">
        <v>210</v>
      </c>
      <c r="G9389" s="319" t="s">
        <v>7081</v>
      </c>
      <c r="H9389" s="318" t="s">
        <v>12674</v>
      </c>
      <c r="I9389" s="317">
        <v>3</v>
      </c>
      <c r="J9389" s="356">
        <v>8</v>
      </c>
      <c r="K9389" s="356">
        <v>0</v>
      </c>
      <c r="L9389" s="356">
        <v>0</v>
      </c>
      <c r="M9389" s="356">
        <v>0</v>
      </c>
      <c r="N9389" s="356">
        <v>0</v>
      </c>
      <c r="O9389" s="356">
        <v>0</v>
      </c>
      <c r="P9389" s="362">
        <v>0.7135370000000002</v>
      </c>
      <c r="Q9389" s="356" t="s">
        <v>154</v>
      </c>
    </row>
    <row r="9390" spans="1:17" ht="120" x14ac:dyDescent="0.25">
      <c r="A9390" s="314">
        <v>44778</v>
      </c>
      <c r="B9390" s="314">
        <v>44778</v>
      </c>
      <c r="C9390" s="315">
        <v>2022</v>
      </c>
      <c r="D9390" s="24" t="s">
        <v>141</v>
      </c>
      <c r="E9390" s="316" t="s">
        <v>142</v>
      </c>
      <c r="F9390" s="7" t="s">
        <v>87</v>
      </c>
      <c r="G9390" s="317" t="s">
        <v>2168</v>
      </c>
      <c r="H9390" s="318" t="s">
        <v>12675</v>
      </c>
      <c r="I9390" s="317">
        <v>1</v>
      </c>
      <c r="J9390" s="356">
        <v>23</v>
      </c>
      <c r="K9390" s="356">
        <v>0</v>
      </c>
      <c r="L9390" s="356">
        <v>0</v>
      </c>
      <c r="M9390" s="356">
        <v>0</v>
      </c>
      <c r="N9390" s="356">
        <v>0</v>
      </c>
      <c r="O9390" s="356">
        <v>0</v>
      </c>
      <c r="P9390" s="362">
        <v>0.88590533570000007</v>
      </c>
      <c r="Q9390" s="356" t="s">
        <v>154</v>
      </c>
    </row>
    <row r="9391" spans="1:17" ht="132" x14ac:dyDescent="0.25">
      <c r="A9391" s="314">
        <v>44778</v>
      </c>
      <c r="B9391" s="314">
        <v>44778</v>
      </c>
      <c r="C9391" s="315">
        <v>2022</v>
      </c>
      <c r="D9391" s="35" t="s">
        <v>28</v>
      </c>
      <c r="E9391" s="316" t="s">
        <v>133</v>
      </c>
      <c r="F9391" s="317" t="s">
        <v>65</v>
      </c>
      <c r="G9391" s="317" t="s">
        <v>1632</v>
      </c>
      <c r="H9391" s="318" t="s">
        <v>12676</v>
      </c>
      <c r="I9391" s="317"/>
      <c r="J9391" s="356">
        <v>9006</v>
      </c>
      <c r="K9391" s="356">
        <v>0</v>
      </c>
      <c r="L9391" s="356">
        <v>0</v>
      </c>
      <c r="M9391" s="356">
        <v>0</v>
      </c>
      <c r="N9391" s="356">
        <v>0</v>
      </c>
      <c r="O9391" s="356">
        <v>0</v>
      </c>
      <c r="P9391" s="362">
        <v>4.7916E-3</v>
      </c>
      <c r="Q9391" s="356" t="s">
        <v>154</v>
      </c>
    </row>
    <row r="9392" spans="1:17" ht="252" x14ac:dyDescent="0.25">
      <c r="A9392" s="314">
        <v>44778</v>
      </c>
      <c r="B9392" s="314">
        <v>44779</v>
      </c>
      <c r="C9392" s="315">
        <v>2022</v>
      </c>
      <c r="D9392" s="351" t="s">
        <v>23</v>
      </c>
      <c r="E9392" s="316" t="s">
        <v>86</v>
      </c>
      <c r="F9392" s="317" t="s">
        <v>58</v>
      </c>
      <c r="G9392" s="317" t="s">
        <v>12677</v>
      </c>
      <c r="H9392" s="318" t="s">
        <v>12678</v>
      </c>
      <c r="I9392" s="317"/>
      <c r="J9392" s="356">
        <v>7</v>
      </c>
      <c r="K9392" s="356">
        <v>0</v>
      </c>
      <c r="L9392" s="356">
        <v>0</v>
      </c>
      <c r="M9392" s="356">
        <v>0</v>
      </c>
      <c r="N9392" s="356">
        <v>0</v>
      </c>
      <c r="O9392" s="356">
        <v>0</v>
      </c>
      <c r="P9392" s="362">
        <v>0.74536000000000002</v>
      </c>
      <c r="Q9392" s="356" t="s">
        <v>154</v>
      </c>
    </row>
    <row r="9393" spans="1:17" ht="132" x14ac:dyDescent="0.25">
      <c r="A9393" s="314">
        <v>44779</v>
      </c>
      <c r="B9393" s="314">
        <v>44779</v>
      </c>
      <c r="C9393" s="315">
        <v>2022</v>
      </c>
      <c r="D9393" s="24" t="s">
        <v>141</v>
      </c>
      <c r="E9393" s="316" t="s">
        <v>142</v>
      </c>
      <c r="F9393" s="317" t="s">
        <v>56</v>
      </c>
      <c r="G9393" s="317" t="s">
        <v>646</v>
      </c>
      <c r="H9393" s="318" t="s">
        <v>12679</v>
      </c>
      <c r="I9393" s="317"/>
      <c r="J9393" s="356">
        <v>6</v>
      </c>
      <c r="K9393" s="356">
        <v>0</v>
      </c>
      <c r="L9393" s="356">
        <v>0</v>
      </c>
      <c r="M9393" s="356">
        <v>0</v>
      </c>
      <c r="N9393" s="356">
        <v>0</v>
      </c>
      <c r="O9393" s="356">
        <v>0</v>
      </c>
      <c r="P9393" s="362">
        <v>0.10822865570000001</v>
      </c>
      <c r="Q9393" s="356" t="s">
        <v>154</v>
      </c>
    </row>
    <row r="9394" spans="1:17" ht="132" x14ac:dyDescent="0.25">
      <c r="A9394" s="314">
        <v>44779</v>
      </c>
      <c r="B9394" s="314">
        <v>44779</v>
      </c>
      <c r="C9394" s="315">
        <v>2022</v>
      </c>
      <c r="D9394" s="35" t="s">
        <v>28</v>
      </c>
      <c r="E9394" s="316" t="s">
        <v>133</v>
      </c>
      <c r="F9394" s="317" t="s">
        <v>58</v>
      </c>
      <c r="G9394" s="317" t="s">
        <v>12680</v>
      </c>
      <c r="H9394" s="318" t="s">
        <v>12681</v>
      </c>
      <c r="I9394" s="317"/>
      <c r="J9394" s="356">
        <v>2</v>
      </c>
      <c r="K9394" s="356">
        <v>0</v>
      </c>
      <c r="L9394" s="356">
        <v>0</v>
      </c>
      <c r="M9394" s="356">
        <v>0</v>
      </c>
      <c r="N9394" s="356">
        <v>0</v>
      </c>
      <c r="O9394" s="356">
        <v>0</v>
      </c>
      <c r="P9394" s="362">
        <v>2.0763600000000002E-3</v>
      </c>
      <c r="Q9394" s="356" t="s">
        <v>154</v>
      </c>
    </row>
    <row r="9395" spans="1:17" ht="96" x14ac:dyDescent="0.25">
      <c r="A9395" s="314">
        <v>44780</v>
      </c>
      <c r="B9395" s="314">
        <v>44781</v>
      </c>
      <c r="C9395" s="315">
        <v>2022</v>
      </c>
      <c r="D9395" s="24" t="s">
        <v>141</v>
      </c>
      <c r="E9395" s="316" t="s">
        <v>1965</v>
      </c>
      <c r="F9395" s="317" t="s">
        <v>68</v>
      </c>
      <c r="G9395" s="317" t="s">
        <v>2581</v>
      </c>
      <c r="H9395" s="318" t="s">
        <v>12682</v>
      </c>
      <c r="I9395" s="317">
        <v>1</v>
      </c>
      <c r="J9395" s="356">
        <v>5</v>
      </c>
      <c r="K9395" s="356">
        <v>0</v>
      </c>
      <c r="L9395" s="356">
        <v>0</v>
      </c>
      <c r="M9395" s="356">
        <v>0</v>
      </c>
      <c r="N9395" s="356">
        <v>0</v>
      </c>
      <c r="O9395" s="356">
        <v>0</v>
      </c>
      <c r="P9395" s="362">
        <v>0</v>
      </c>
      <c r="Q9395" s="356" t="s">
        <v>154</v>
      </c>
    </row>
    <row r="9396" spans="1:17" ht="96" x14ac:dyDescent="0.25">
      <c r="A9396" s="314">
        <v>44780</v>
      </c>
      <c r="B9396" s="314">
        <v>44781</v>
      </c>
      <c r="C9396" s="315">
        <v>2022</v>
      </c>
      <c r="D9396" s="351" t="s">
        <v>23</v>
      </c>
      <c r="E9396" s="316" t="s">
        <v>86</v>
      </c>
      <c r="F9396" s="7" t="s">
        <v>87</v>
      </c>
      <c r="G9396" s="317" t="s">
        <v>12683</v>
      </c>
      <c r="H9396" s="318" t="s">
        <v>12684</v>
      </c>
      <c r="I9396" s="317"/>
      <c r="J9396" s="356">
        <v>264</v>
      </c>
      <c r="K9396" s="356">
        <v>0</v>
      </c>
      <c r="L9396" s="356">
        <v>0</v>
      </c>
      <c r="M9396" s="356">
        <v>0</v>
      </c>
      <c r="N9396" s="356">
        <v>0</v>
      </c>
      <c r="O9396" s="356">
        <v>0</v>
      </c>
      <c r="P9396" s="362">
        <v>0.42592000000000002</v>
      </c>
      <c r="Q9396" s="356" t="s">
        <v>154</v>
      </c>
    </row>
    <row r="9397" spans="1:17" ht="84" x14ac:dyDescent="0.25">
      <c r="A9397" s="314">
        <v>44780</v>
      </c>
      <c r="B9397" s="314">
        <v>44782</v>
      </c>
      <c r="C9397" s="315">
        <v>2022</v>
      </c>
      <c r="D9397" s="35" t="s">
        <v>28</v>
      </c>
      <c r="E9397" s="316" t="s">
        <v>369</v>
      </c>
      <c r="F9397" s="317" t="s">
        <v>210</v>
      </c>
      <c r="G9397" s="319" t="s">
        <v>2076</v>
      </c>
      <c r="H9397" s="318" t="s">
        <v>12685</v>
      </c>
      <c r="I9397" s="317">
        <v>1</v>
      </c>
      <c r="J9397" s="356">
        <v>1</v>
      </c>
      <c r="K9397" s="356">
        <v>0</v>
      </c>
      <c r="L9397" s="356">
        <v>0</v>
      </c>
      <c r="M9397" s="356">
        <v>0</v>
      </c>
      <c r="N9397" s="356">
        <v>0</v>
      </c>
      <c r="O9397" s="356">
        <v>0</v>
      </c>
      <c r="P9397" s="362">
        <v>5.5990284447058836E-2</v>
      </c>
      <c r="Q9397" s="356" t="s">
        <v>154</v>
      </c>
    </row>
    <row r="9398" spans="1:17" ht="132" x14ac:dyDescent="0.25">
      <c r="A9398" s="314">
        <v>44782</v>
      </c>
      <c r="B9398" s="314">
        <v>44782</v>
      </c>
      <c r="C9398" s="315">
        <v>2022</v>
      </c>
      <c r="D9398" s="24" t="s">
        <v>141</v>
      </c>
      <c r="E9398" s="316" t="s">
        <v>142</v>
      </c>
      <c r="F9398" s="317" t="s">
        <v>84</v>
      </c>
      <c r="G9398" s="317" t="s">
        <v>939</v>
      </c>
      <c r="H9398" s="318" t="s">
        <v>12686</v>
      </c>
      <c r="I9398" s="317">
        <v>1</v>
      </c>
      <c r="J9398" s="356">
        <v>15</v>
      </c>
      <c r="K9398" s="356">
        <v>0</v>
      </c>
      <c r="L9398" s="356">
        <v>0</v>
      </c>
      <c r="M9398" s="356">
        <v>0</v>
      </c>
      <c r="N9398" s="356">
        <v>0</v>
      </c>
      <c r="O9398" s="356">
        <v>0</v>
      </c>
      <c r="P9398" s="362">
        <v>8.6408520000000003E-2</v>
      </c>
      <c r="Q9398" s="356" t="s">
        <v>154</v>
      </c>
    </row>
    <row r="9399" spans="1:17" x14ac:dyDescent="0.25">
      <c r="A9399" s="314">
        <v>44782</v>
      </c>
      <c r="B9399" s="314">
        <v>44782</v>
      </c>
      <c r="C9399" s="315">
        <v>2022</v>
      </c>
      <c r="D9399" s="351" t="s">
        <v>23</v>
      </c>
      <c r="E9399" s="316" t="s">
        <v>86</v>
      </c>
      <c r="F9399" s="317" t="s">
        <v>30</v>
      </c>
      <c r="G9399" s="317" t="s">
        <v>247</v>
      </c>
      <c r="H9399" s="320" t="s">
        <v>12687</v>
      </c>
      <c r="I9399" s="317"/>
      <c r="J9399" s="356">
        <v>3</v>
      </c>
      <c r="K9399" s="356">
        <v>1</v>
      </c>
      <c r="L9399" s="356">
        <v>0</v>
      </c>
      <c r="M9399" s="356">
        <v>0</v>
      </c>
      <c r="N9399" s="356">
        <v>0</v>
      </c>
      <c r="O9399" s="356">
        <v>0</v>
      </c>
      <c r="P9399" s="362">
        <v>0</v>
      </c>
      <c r="Q9399" s="356" t="s">
        <v>154</v>
      </c>
    </row>
    <row r="9400" spans="1:17" ht="144" x14ac:dyDescent="0.25">
      <c r="A9400" s="314">
        <v>44781</v>
      </c>
      <c r="B9400" s="314">
        <v>44783</v>
      </c>
      <c r="C9400" s="315">
        <v>2022</v>
      </c>
      <c r="D9400" s="351" t="s">
        <v>23</v>
      </c>
      <c r="E9400" s="316" t="s">
        <v>86</v>
      </c>
      <c r="F9400" s="317" t="s">
        <v>62</v>
      </c>
      <c r="G9400" s="317" t="s">
        <v>10608</v>
      </c>
      <c r="H9400" s="318" t="s">
        <v>12688</v>
      </c>
      <c r="I9400" s="317"/>
      <c r="J9400" s="356">
        <v>120</v>
      </c>
      <c r="K9400" s="356">
        <v>25</v>
      </c>
      <c r="L9400" s="356">
        <v>0</v>
      </c>
      <c r="M9400" s="356">
        <v>0</v>
      </c>
      <c r="N9400" s="356">
        <v>5</v>
      </c>
      <c r="O9400" s="356">
        <v>0</v>
      </c>
      <c r="P9400" s="362">
        <v>3.3350625000000002E-2</v>
      </c>
      <c r="Q9400" s="356" t="s">
        <v>154</v>
      </c>
    </row>
    <row r="9401" spans="1:17" ht="96" x14ac:dyDescent="0.25">
      <c r="A9401" s="314">
        <v>44782</v>
      </c>
      <c r="B9401" s="314">
        <v>44782</v>
      </c>
      <c r="C9401" s="315">
        <v>2022</v>
      </c>
      <c r="D9401" s="24" t="s">
        <v>141</v>
      </c>
      <c r="E9401" s="316" t="s">
        <v>142</v>
      </c>
      <c r="F9401" s="7" t="s">
        <v>53</v>
      </c>
      <c r="G9401" s="317" t="s">
        <v>6691</v>
      </c>
      <c r="H9401" s="318" t="s">
        <v>12689</v>
      </c>
      <c r="I9401" s="317">
        <v>1</v>
      </c>
      <c r="J9401" s="356">
        <v>1</v>
      </c>
      <c r="K9401" s="356">
        <v>0</v>
      </c>
      <c r="L9401" s="356">
        <v>0</v>
      </c>
      <c r="M9401" s="356">
        <v>0</v>
      </c>
      <c r="N9401" s="356">
        <v>0</v>
      </c>
      <c r="O9401" s="356">
        <v>0</v>
      </c>
      <c r="P9401" s="362">
        <v>0</v>
      </c>
      <c r="Q9401" s="356" t="s">
        <v>154</v>
      </c>
    </row>
    <row r="9402" spans="1:17" ht="72" x14ac:dyDescent="0.25">
      <c r="A9402" s="314">
        <v>44783</v>
      </c>
      <c r="B9402" s="314">
        <v>44783</v>
      </c>
      <c r="C9402" s="315">
        <v>2022</v>
      </c>
      <c r="D9402" s="24" t="s">
        <v>141</v>
      </c>
      <c r="E9402" s="316" t="s">
        <v>142</v>
      </c>
      <c r="F9402" s="317" t="s">
        <v>58</v>
      </c>
      <c r="G9402" s="317" t="s">
        <v>4232</v>
      </c>
      <c r="H9402" s="318" t="s">
        <v>12690</v>
      </c>
      <c r="I9402" s="317">
        <v>0</v>
      </c>
      <c r="J9402" s="356">
        <v>14</v>
      </c>
      <c r="K9402" s="356">
        <v>0</v>
      </c>
      <c r="L9402" s="356">
        <v>0</v>
      </c>
      <c r="M9402" s="356">
        <v>0</v>
      </c>
      <c r="N9402" s="356">
        <v>0</v>
      </c>
      <c r="O9402" s="356">
        <v>0</v>
      </c>
      <c r="P9402" s="362">
        <v>0</v>
      </c>
      <c r="Q9402" s="356" t="s">
        <v>154</v>
      </c>
    </row>
    <row r="9403" spans="1:17" ht="168" x14ac:dyDescent="0.25">
      <c r="A9403" s="314">
        <v>44783</v>
      </c>
      <c r="B9403" s="314">
        <v>44783</v>
      </c>
      <c r="C9403" s="315">
        <v>2022</v>
      </c>
      <c r="D9403" s="351" t="s">
        <v>23</v>
      </c>
      <c r="E9403" s="316" t="s">
        <v>86</v>
      </c>
      <c r="F9403" s="317" t="s">
        <v>60</v>
      </c>
      <c r="G9403" s="317" t="s">
        <v>12691</v>
      </c>
      <c r="H9403" s="318" t="s">
        <v>12692</v>
      </c>
      <c r="I9403" s="317">
        <v>0</v>
      </c>
      <c r="J9403" s="356">
        <v>250</v>
      </c>
      <c r="K9403" s="356">
        <v>50</v>
      </c>
      <c r="L9403" s="356">
        <v>0</v>
      </c>
      <c r="M9403" s="356">
        <v>0</v>
      </c>
      <c r="N9403" s="356">
        <v>0</v>
      </c>
      <c r="O9403" s="356">
        <v>0</v>
      </c>
      <c r="P9403" s="362">
        <v>0.31108192499999998</v>
      </c>
      <c r="Q9403" s="356" t="s">
        <v>154</v>
      </c>
    </row>
    <row r="9404" spans="1:17" ht="72" x14ac:dyDescent="0.25">
      <c r="A9404" s="314">
        <v>44784</v>
      </c>
      <c r="B9404" s="314">
        <v>44785</v>
      </c>
      <c r="C9404" s="315">
        <v>2022</v>
      </c>
      <c r="D9404" s="24" t="s">
        <v>141</v>
      </c>
      <c r="E9404" s="316" t="s">
        <v>142</v>
      </c>
      <c r="F9404" s="7" t="s">
        <v>77</v>
      </c>
      <c r="G9404" s="317" t="s">
        <v>9607</v>
      </c>
      <c r="H9404" s="318" t="s">
        <v>12693</v>
      </c>
      <c r="I9404" s="317">
        <v>0</v>
      </c>
      <c r="J9404" s="356">
        <v>14</v>
      </c>
      <c r="K9404" s="356">
        <v>0</v>
      </c>
      <c r="L9404" s="356">
        <v>0</v>
      </c>
      <c r="M9404" s="356">
        <v>0</v>
      </c>
      <c r="N9404" s="356">
        <v>0</v>
      </c>
      <c r="O9404" s="356">
        <v>0</v>
      </c>
      <c r="P9404" s="362">
        <v>0.22157560943023255</v>
      </c>
      <c r="Q9404" s="356" t="s">
        <v>154</v>
      </c>
    </row>
    <row r="9405" spans="1:17" ht="120" x14ac:dyDescent="0.25">
      <c r="A9405" s="314">
        <v>44785</v>
      </c>
      <c r="B9405" s="314">
        <v>44785</v>
      </c>
      <c r="C9405" s="315">
        <v>2022</v>
      </c>
      <c r="D9405" s="35" t="s">
        <v>28</v>
      </c>
      <c r="E9405" s="316" t="s">
        <v>149</v>
      </c>
      <c r="F9405" s="28" t="s">
        <v>157</v>
      </c>
      <c r="G9405" s="317" t="s">
        <v>5443</v>
      </c>
      <c r="H9405" s="318" t="s">
        <v>12694</v>
      </c>
      <c r="I9405" s="317">
        <v>0</v>
      </c>
      <c r="J9405" s="356">
        <v>2</v>
      </c>
      <c r="K9405" s="356">
        <v>0</v>
      </c>
      <c r="L9405" s="356">
        <v>0</v>
      </c>
      <c r="M9405" s="356">
        <v>0</v>
      </c>
      <c r="N9405" s="356">
        <v>0</v>
      </c>
      <c r="O9405" s="356">
        <v>0</v>
      </c>
      <c r="P9405" s="362">
        <v>0.41645320200000002</v>
      </c>
      <c r="Q9405" s="356" t="s">
        <v>154</v>
      </c>
    </row>
    <row r="9406" spans="1:17" ht="108" x14ac:dyDescent="0.25">
      <c r="A9406" s="314">
        <v>44785</v>
      </c>
      <c r="B9406" s="314">
        <v>44785</v>
      </c>
      <c r="C9406" s="315">
        <v>2022</v>
      </c>
      <c r="D9406" s="24" t="s">
        <v>141</v>
      </c>
      <c r="E9406" s="316" t="s">
        <v>142</v>
      </c>
      <c r="F9406" s="317" t="s">
        <v>56</v>
      </c>
      <c r="G9406" s="317" t="s">
        <v>358</v>
      </c>
      <c r="H9406" s="318" t="s">
        <v>12695</v>
      </c>
      <c r="I9406" s="317">
        <v>0</v>
      </c>
      <c r="J9406" s="356">
        <v>9</v>
      </c>
      <c r="K9406" s="356">
        <v>0</v>
      </c>
      <c r="L9406" s="356">
        <v>0</v>
      </c>
      <c r="M9406" s="356">
        <v>0</v>
      </c>
      <c r="N9406" s="356">
        <v>0</v>
      </c>
      <c r="O9406" s="356">
        <v>0</v>
      </c>
      <c r="P9406" s="362">
        <v>0.10783762000000001</v>
      </c>
      <c r="Q9406" s="356" t="s">
        <v>154</v>
      </c>
    </row>
    <row r="9407" spans="1:17" ht="108" x14ac:dyDescent="0.25">
      <c r="A9407" s="314">
        <v>44785</v>
      </c>
      <c r="B9407" s="314">
        <v>44786</v>
      </c>
      <c r="C9407" s="315">
        <v>2022</v>
      </c>
      <c r="D9407" s="24" t="s">
        <v>141</v>
      </c>
      <c r="E9407" s="316" t="s">
        <v>142</v>
      </c>
      <c r="F9407" s="7" t="s">
        <v>75</v>
      </c>
      <c r="G9407" s="317" t="s">
        <v>3307</v>
      </c>
      <c r="H9407" s="318" t="s">
        <v>12696</v>
      </c>
      <c r="I9407" s="317">
        <v>6</v>
      </c>
      <c r="J9407" s="356">
        <v>16</v>
      </c>
      <c r="K9407" s="356">
        <v>0</v>
      </c>
      <c r="L9407" s="356">
        <v>0</v>
      </c>
      <c r="M9407" s="356">
        <v>0</v>
      </c>
      <c r="N9407" s="356">
        <v>0</v>
      </c>
      <c r="O9407" s="356">
        <v>0</v>
      </c>
      <c r="P9407" s="362">
        <v>3.4997035699999998E-2</v>
      </c>
      <c r="Q9407" s="356" t="s">
        <v>154</v>
      </c>
    </row>
    <row r="9408" spans="1:17" x14ac:dyDescent="0.25">
      <c r="A9408" s="314">
        <v>44785</v>
      </c>
      <c r="B9408" s="314">
        <v>44785</v>
      </c>
      <c r="C9408" s="315">
        <v>2022</v>
      </c>
      <c r="D9408" s="35" t="s">
        <v>28</v>
      </c>
      <c r="E9408" s="316" t="s">
        <v>133</v>
      </c>
      <c r="F9408" s="317" t="s">
        <v>30</v>
      </c>
      <c r="G9408" s="317" t="s">
        <v>1078</v>
      </c>
      <c r="H9408" s="320" t="s">
        <v>12697</v>
      </c>
      <c r="I9408" s="317">
        <v>0</v>
      </c>
      <c r="J9408" s="356">
        <v>24</v>
      </c>
      <c r="K9408" s="356">
        <v>14</v>
      </c>
      <c r="L9408" s="356">
        <v>0</v>
      </c>
      <c r="M9408" s="356">
        <v>0</v>
      </c>
      <c r="N9408" s="356">
        <v>0</v>
      </c>
      <c r="O9408" s="356">
        <v>0</v>
      </c>
      <c r="P9408" s="362">
        <v>1.2616065000000001</v>
      </c>
      <c r="Q9408" s="356" t="s">
        <v>154</v>
      </c>
    </row>
    <row r="9409" spans="1:17" ht="288" x14ac:dyDescent="0.25">
      <c r="A9409" s="314">
        <v>44786</v>
      </c>
      <c r="B9409" s="314">
        <v>44787</v>
      </c>
      <c r="C9409" s="315">
        <v>2022</v>
      </c>
      <c r="D9409" s="351" t="s">
        <v>23</v>
      </c>
      <c r="E9409" s="316" t="s">
        <v>86</v>
      </c>
      <c r="F9409" s="7" t="s">
        <v>87</v>
      </c>
      <c r="G9409" s="317" t="s">
        <v>567</v>
      </c>
      <c r="H9409" s="318" t="s">
        <v>12698</v>
      </c>
      <c r="I9409" s="317">
        <v>3</v>
      </c>
      <c r="J9409" s="356">
        <v>22</v>
      </c>
      <c r="K9409" s="356">
        <v>7</v>
      </c>
      <c r="L9409" s="356">
        <v>0</v>
      </c>
      <c r="M9409" s="356">
        <v>0</v>
      </c>
      <c r="N9409" s="356">
        <v>0</v>
      </c>
      <c r="O9409" s="356">
        <v>0</v>
      </c>
      <c r="P9409" s="362">
        <v>0</v>
      </c>
      <c r="Q9409" s="356" t="s">
        <v>154</v>
      </c>
    </row>
    <row r="9410" spans="1:17" ht="228" x14ac:dyDescent="0.25">
      <c r="A9410" s="314">
        <v>44786</v>
      </c>
      <c r="B9410" s="314">
        <v>44787</v>
      </c>
      <c r="C9410" s="315">
        <v>2022</v>
      </c>
      <c r="D9410" s="351" t="s">
        <v>23</v>
      </c>
      <c r="E9410" s="316" t="s">
        <v>86</v>
      </c>
      <c r="F9410" s="317" t="s">
        <v>56</v>
      </c>
      <c r="G9410" s="317" t="s">
        <v>12699</v>
      </c>
      <c r="H9410" s="318" t="s">
        <v>12700</v>
      </c>
      <c r="I9410" s="317">
        <v>0</v>
      </c>
      <c r="J9410" s="356">
        <v>20</v>
      </c>
      <c r="K9410" s="356">
        <v>8</v>
      </c>
      <c r="L9410" s="356">
        <v>0</v>
      </c>
      <c r="M9410" s="356">
        <v>0</v>
      </c>
      <c r="N9410" s="356">
        <v>0</v>
      </c>
      <c r="O9410" s="356">
        <v>0</v>
      </c>
      <c r="P9410" s="362">
        <v>5.2441158000000002E-2</v>
      </c>
      <c r="Q9410" s="356" t="s">
        <v>154</v>
      </c>
    </row>
    <row r="9411" spans="1:17" ht="288" x14ac:dyDescent="0.25">
      <c r="A9411" s="314">
        <v>44788</v>
      </c>
      <c r="B9411" s="314">
        <v>44788</v>
      </c>
      <c r="C9411" s="315">
        <v>2022</v>
      </c>
      <c r="D9411" s="35" t="s">
        <v>28</v>
      </c>
      <c r="E9411" s="316" t="s">
        <v>133</v>
      </c>
      <c r="F9411" s="317" t="s">
        <v>58</v>
      </c>
      <c r="G9411" s="317" t="s">
        <v>9987</v>
      </c>
      <c r="H9411" s="318" t="s">
        <v>12701</v>
      </c>
      <c r="I9411" s="317">
        <v>1</v>
      </c>
      <c r="J9411" s="356">
        <v>4</v>
      </c>
      <c r="K9411" s="356">
        <v>0</v>
      </c>
      <c r="L9411" s="356">
        <v>0</v>
      </c>
      <c r="M9411" s="356">
        <v>0</v>
      </c>
      <c r="N9411" s="356">
        <v>0</v>
      </c>
      <c r="O9411" s="356">
        <v>0</v>
      </c>
      <c r="P9411" s="362">
        <v>0</v>
      </c>
      <c r="Q9411" s="356" t="s">
        <v>154</v>
      </c>
    </row>
    <row r="9412" spans="1:17" ht="204" x14ac:dyDescent="0.25">
      <c r="A9412" s="314">
        <v>44788</v>
      </c>
      <c r="B9412" s="314">
        <v>44788</v>
      </c>
      <c r="C9412" s="315">
        <v>2022</v>
      </c>
      <c r="D9412" s="351" t="s">
        <v>23</v>
      </c>
      <c r="E9412" s="316" t="s">
        <v>86</v>
      </c>
      <c r="F9412" s="7" t="s">
        <v>87</v>
      </c>
      <c r="G9412" s="317" t="s">
        <v>12611</v>
      </c>
      <c r="H9412" s="318" t="s">
        <v>12702</v>
      </c>
      <c r="I9412" s="317">
        <v>0</v>
      </c>
      <c r="J9412" s="356">
        <v>89</v>
      </c>
      <c r="K9412" s="356">
        <v>6</v>
      </c>
      <c r="L9412" s="356">
        <v>0</v>
      </c>
      <c r="M9412" s="356">
        <v>0</v>
      </c>
      <c r="N9412" s="356">
        <v>0</v>
      </c>
      <c r="O9412" s="356">
        <v>0</v>
      </c>
      <c r="P9412" s="362">
        <v>4.1926499999999998E-2</v>
      </c>
      <c r="Q9412" s="356" t="s">
        <v>154</v>
      </c>
    </row>
    <row r="9413" spans="1:17" ht="192" x14ac:dyDescent="0.25">
      <c r="A9413" s="314">
        <v>44788</v>
      </c>
      <c r="B9413" s="314">
        <v>44789</v>
      </c>
      <c r="C9413" s="315">
        <v>2022</v>
      </c>
      <c r="D9413" s="351" t="s">
        <v>23</v>
      </c>
      <c r="E9413" s="316" t="s">
        <v>52</v>
      </c>
      <c r="F9413" s="317" t="s">
        <v>82</v>
      </c>
      <c r="G9413" s="317" t="s">
        <v>742</v>
      </c>
      <c r="H9413" s="318" t="s">
        <v>12703</v>
      </c>
      <c r="I9413" s="317">
        <v>1</v>
      </c>
      <c r="J9413" s="356">
        <v>1</v>
      </c>
      <c r="K9413" s="356">
        <v>0</v>
      </c>
      <c r="L9413" s="356">
        <v>0</v>
      </c>
      <c r="M9413" s="356">
        <v>0</v>
      </c>
      <c r="N9413" s="356">
        <v>0</v>
      </c>
      <c r="O9413" s="356">
        <v>0</v>
      </c>
      <c r="P9413" s="362">
        <v>0.21820135700000004</v>
      </c>
      <c r="Q9413" s="356" t="s">
        <v>154</v>
      </c>
    </row>
    <row r="9414" spans="1:17" ht="252" x14ac:dyDescent="0.25">
      <c r="A9414" s="314">
        <v>44788</v>
      </c>
      <c r="B9414" s="314">
        <v>44788</v>
      </c>
      <c r="C9414" s="315">
        <v>2022</v>
      </c>
      <c r="D9414" s="351" t="s">
        <v>23</v>
      </c>
      <c r="E9414" s="316" t="s">
        <v>86</v>
      </c>
      <c r="F9414" s="317" t="s">
        <v>56</v>
      </c>
      <c r="G9414" s="317" t="s">
        <v>12704</v>
      </c>
      <c r="H9414" s="318" t="s">
        <v>12705</v>
      </c>
      <c r="I9414" s="317">
        <v>0</v>
      </c>
      <c r="J9414" s="356">
        <v>208</v>
      </c>
      <c r="K9414" s="356">
        <v>52</v>
      </c>
      <c r="L9414" s="356">
        <v>0</v>
      </c>
      <c r="M9414" s="356">
        <v>0</v>
      </c>
      <c r="N9414" s="356">
        <v>0</v>
      </c>
      <c r="O9414" s="356">
        <v>0</v>
      </c>
      <c r="P9414" s="362">
        <v>6.9369E-2</v>
      </c>
      <c r="Q9414" s="356" t="s">
        <v>154</v>
      </c>
    </row>
    <row r="9415" spans="1:17" ht="240" x14ac:dyDescent="0.25">
      <c r="A9415" s="314">
        <v>44788</v>
      </c>
      <c r="B9415" s="314">
        <v>44789</v>
      </c>
      <c r="C9415" s="315">
        <v>2022</v>
      </c>
      <c r="D9415" s="351" t="s">
        <v>23</v>
      </c>
      <c r="E9415" s="316" t="s">
        <v>86</v>
      </c>
      <c r="F9415" s="7" t="s">
        <v>77</v>
      </c>
      <c r="G9415" s="317" t="s">
        <v>12706</v>
      </c>
      <c r="H9415" s="318" t="s">
        <v>12707</v>
      </c>
      <c r="I9415" s="317">
        <v>0</v>
      </c>
      <c r="J9415" s="356">
        <v>25</v>
      </c>
      <c r="K9415" s="356">
        <v>7</v>
      </c>
      <c r="L9415" s="356">
        <v>0</v>
      </c>
      <c r="M9415" s="356">
        <v>0</v>
      </c>
      <c r="N9415" s="356">
        <v>0</v>
      </c>
      <c r="O9415" s="356">
        <v>0</v>
      </c>
      <c r="P9415" s="362">
        <v>4.1282175000000004E-2</v>
      </c>
      <c r="Q9415" s="356" t="s">
        <v>154</v>
      </c>
    </row>
    <row r="9416" spans="1:17" ht="300" x14ac:dyDescent="0.25">
      <c r="A9416" s="314">
        <v>44789</v>
      </c>
      <c r="B9416" s="314">
        <v>44789</v>
      </c>
      <c r="C9416" s="315">
        <v>2022</v>
      </c>
      <c r="D9416" s="351" t="s">
        <v>23</v>
      </c>
      <c r="E9416" s="316" t="s">
        <v>5893</v>
      </c>
      <c r="F9416" s="7" t="s">
        <v>77</v>
      </c>
      <c r="G9416" s="317" t="s">
        <v>12708</v>
      </c>
      <c r="H9416" s="318" t="s">
        <v>12709</v>
      </c>
      <c r="I9416" s="317">
        <v>1</v>
      </c>
      <c r="J9416" s="356">
        <v>9</v>
      </c>
      <c r="K9416" s="356">
        <v>2</v>
      </c>
      <c r="L9416" s="356">
        <v>0</v>
      </c>
      <c r="M9416" s="356">
        <v>0</v>
      </c>
      <c r="N9416" s="356">
        <v>0</v>
      </c>
      <c r="O9416" s="356">
        <v>0</v>
      </c>
      <c r="P9416" s="362">
        <v>0</v>
      </c>
      <c r="Q9416" s="356" t="s">
        <v>154</v>
      </c>
    </row>
    <row r="9417" spans="1:17" ht="168" x14ac:dyDescent="0.25">
      <c r="A9417" s="314">
        <v>44788</v>
      </c>
      <c r="B9417" s="314">
        <v>44790</v>
      </c>
      <c r="C9417" s="315">
        <v>2022</v>
      </c>
      <c r="D9417" s="351" t="s">
        <v>23</v>
      </c>
      <c r="E9417" s="316" t="s">
        <v>52</v>
      </c>
      <c r="F9417" s="7" t="s">
        <v>101</v>
      </c>
      <c r="G9417" s="317" t="s">
        <v>12710</v>
      </c>
      <c r="H9417" s="318" t="s">
        <v>12711</v>
      </c>
      <c r="I9417" s="317">
        <v>0</v>
      </c>
      <c r="J9417" s="356">
        <v>60</v>
      </c>
      <c r="K9417" s="356">
        <v>15</v>
      </c>
      <c r="L9417" s="356">
        <v>0</v>
      </c>
      <c r="M9417" s="356">
        <v>0</v>
      </c>
      <c r="N9417" s="356">
        <v>2</v>
      </c>
      <c r="O9417" s="356">
        <v>0</v>
      </c>
      <c r="P9417" s="362">
        <v>3.0658375000000002E-2</v>
      </c>
      <c r="Q9417" s="356" t="s">
        <v>154</v>
      </c>
    </row>
    <row r="9418" spans="1:17" ht="96" x14ac:dyDescent="0.25">
      <c r="A9418" s="314">
        <v>44790</v>
      </c>
      <c r="B9418" s="314">
        <v>44790</v>
      </c>
      <c r="C9418" s="315">
        <v>2022</v>
      </c>
      <c r="D9418" s="24" t="s">
        <v>141</v>
      </c>
      <c r="E9418" s="316" t="s">
        <v>142</v>
      </c>
      <c r="F9418" s="317" t="s">
        <v>210</v>
      </c>
      <c r="G9418" s="319" t="s">
        <v>921</v>
      </c>
      <c r="H9418" s="318" t="s">
        <v>12712</v>
      </c>
      <c r="I9418" s="317">
        <v>0</v>
      </c>
      <c r="J9418" s="356">
        <v>5</v>
      </c>
      <c r="K9418" s="356">
        <v>0</v>
      </c>
      <c r="L9418" s="356">
        <v>0</v>
      </c>
      <c r="M9418" s="356">
        <v>0</v>
      </c>
      <c r="N9418" s="356">
        <v>0</v>
      </c>
      <c r="O9418" s="356">
        <v>0</v>
      </c>
      <c r="P9418" s="362">
        <v>0.17281704000000001</v>
      </c>
      <c r="Q9418" s="356" t="s">
        <v>154</v>
      </c>
    </row>
    <row r="9419" spans="1:17" ht="228" x14ac:dyDescent="0.25">
      <c r="A9419" s="314">
        <v>44791</v>
      </c>
      <c r="B9419" s="314">
        <v>44791</v>
      </c>
      <c r="C9419" s="315">
        <v>2022</v>
      </c>
      <c r="D9419" s="351" t="s">
        <v>23</v>
      </c>
      <c r="E9419" s="316" t="s">
        <v>86</v>
      </c>
      <c r="F9419" s="7" t="s">
        <v>87</v>
      </c>
      <c r="G9419" s="317" t="s">
        <v>12713</v>
      </c>
      <c r="H9419" s="318" t="s">
        <v>12714</v>
      </c>
      <c r="I9419" s="317">
        <v>1</v>
      </c>
      <c r="J9419" s="356">
        <v>6</v>
      </c>
      <c r="K9419" s="356">
        <v>0</v>
      </c>
      <c r="L9419" s="356">
        <v>0</v>
      </c>
      <c r="M9419" s="356">
        <v>0</v>
      </c>
      <c r="N9419" s="356">
        <v>0</v>
      </c>
      <c r="O9419" s="356">
        <v>0</v>
      </c>
      <c r="P9419" s="362">
        <v>0</v>
      </c>
      <c r="Q9419" s="356" t="s">
        <v>154</v>
      </c>
    </row>
    <row r="9420" spans="1:17" ht="409.5" x14ac:dyDescent="0.25">
      <c r="A9420" s="314">
        <v>44791</v>
      </c>
      <c r="B9420" s="314">
        <v>44791</v>
      </c>
      <c r="C9420" s="315">
        <v>2022</v>
      </c>
      <c r="D9420" s="351" t="s">
        <v>23</v>
      </c>
      <c r="E9420" s="316" t="s">
        <v>86</v>
      </c>
      <c r="F9420" s="317" t="s">
        <v>80</v>
      </c>
      <c r="G9420" s="317" t="s">
        <v>12715</v>
      </c>
      <c r="H9420" s="318" t="s">
        <v>12716</v>
      </c>
      <c r="I9420" s="317">
        <v>0</v>
      </c>
      <c r="J9420" s="356">
        <v>120</v>
      </c>
      <c r="K9420" s="356">
        <v>30</v>
      </c>
      <c r="L9420" s="356">
        <v>0</v>
      </c>
      <c r="M9420" s="356">
        <v>0</v>
      </c>
      <c r="N9420" s="356">
        <v>0</v>
      </c>
      <c r="O9420" s="356">
        <v>0</v>
      </c>
      <c r="P9420" s="362">
        <v>1.3177808999999998</v>
      </c>
      <c r="Q9420" s="356" t="s">
        <v>154</v>
      </c>
    </row>
    <row r="9421" spans="1:17" ht="96" x14ac:dyDescent="0.25">
      <c r="A9421" s="314">
        <v>44790</v>
      </c>
      <c r="B9421" s="314">
        <v>44791</v>
      </c>
      <c r="C9421" s="315">
        <v>2022</v>
      </c>
      <c r="D9421" s="351" t="s">
        <v>23</v>
      </c>
      <c r="E9421" s="316" t="s">
        <v>86</v>
      </c>
      <c r="F9421" s="317" t="s">
        <v>84</v>
      </c>
      <c r="G9421" s="317" t="s">
        <v>939</v>
      </c>
      <c r="H9421" s="318" t="s">
        <v>12717</v>
      </c>
      <c r="I9421" s="317">
        <v>0</v>
      </c>
      <c r="J9421" s="356">
        <v>18</v>
      </c>
      <c r="K9421" s="356">
        <v>3</v>
      </c>
      <c r="L9421" s="356">
        <v>0</v>
      </c>
      <c r="M9421" s="356">
        <v>0</v>
      </c>
      <c r="N9421" s="356">
        <v>0</v>
      </c>
      <c r="O9421" s="356">
        <v>0</v>
      </c>
      <c r="P9421" s="362">
        <v>4.0020749999999999E-3</v>
      </c>
      <c r="Q9421" s="356" t="s">
        <v>154</v>
      </c>
    </row>
    <row r="9422" spans="1:17" ht="120" x14ac:dyDescent="0.25">
      <c r="A9422" s="314">
        <v>44792</v>
      </c>
      <c r="B9422" s="314">
        <v>44792</v>
      </c>
      <c r="C9422" s="315">
        <v>2022</v>
      </c>
      <c r="D9422" s="24" t="s">
        <v>141</v>
      </c>
      <c r="E9422" s="316" t="s">
        <v>142</v>
      </c>
      <c r="F9422" s="28" t="s">
        <v>157</v>
      </c>
      <c r="G9422" s="317" t="s">
        <v>1062</v>
      </c>
      <c r="H9422" s="318" t="s">
        <v>12718</v>
      </c>
      <c r="I9422" s="317">
        <v>0</v>
      </c>
      <c r="J9422" s="356">
        <v>6</v>
      </c>
      <c r="K9422" s="356">
        <v>0</v>
      </c>
      <c r="L9422" s="356">
        <v>0</v>
      </c>
      <c r="M9422" s="356">
        <v>0</v>
      </c>
      <c r="N9422" s="356">
        <v>0</v>
      </c>
      <c r="O9422" s="356">
        <v>0</v>
      </c>
      <c r="P9422" s="362">
        <v>0.14324222000000003</v>
      </c>
      <c r="Q9422" s="356" t="s">
        <v>154</v>
      </c>
    </row>
    <row r="9423" spans="1:17" ht="288" x14ac:dyDescent="0.25">
      <c r="A9423" s="314">
        <v>44792</v>
      </c>
      <c r="B9423" s="314">
        <v>44792</v>
      </c>
      <c r="C9423" s="315">
        <v>2022</v>
      </c>
      <c r="D9423" s="351" t="s">
        <v>23</v>
      </c>
      <c r="E9423" s="316" t="s">
        <v>86</v>
      </c>
      <c r="F9423" s="317" t="s">
        <v>36</v>
      </c>
      <c r="G9423" s="317" t="s">
        <v>12719</v>
      </c>
      <c r="H9423" s="318" t="s">
        <v>12720</v>
      </c>
      <c r="I9423" s="317">
        <v>0</v>
      </c>
      <c r="J9423" s="356">
        <v>96</v>
      </c>
      <c r="K9423" s="356">
        <v>24</v>
      </c>
      <c r="L9423" s="356">
        <v>0</v>
      </c>
      <c r="M9423" s="356">
        <v>0</v>
      </c>
      <c r="N9423" s="356">
        <v>0</v>
      </c>
      <c r="O9423" s="356">
        <v>0</v>
      </c>
      <c r="P9423" s="362">
        <v>3.2016719999999999E-2</v>
      </c>
      <c r="Q9423" s="356" t="s">
        <v>154</v>
      </c>
    </row>
    <row r="9424" spans="1:17" ht="108" x14ac:dyDescent="0.25">
      <c r="A9424" s="314">
        <v>44793</v>
      </c>
      <c r="B9424" s="314">
        <v>44794</v>
      </c>
      <c r="C9424" s="315">
        <v>2022</v>
      </c>
      <c r="D9424" s="35" t="s">
        <v>28</v>
      </c>
      <c r="E9424" s="316" t="s">
        <v>149</v>
      </c>
      <c r="F9424" s="317" t="s">
        <v>56</v>
      </c>
      <c r="G9424" s="317" t="s">
        <v>10469</v>
      </c>
      <c r="H9424" s="318" t="s">
        <v>12721</v>
      </c>
      <c r="I9424" s="317">
        <v>1</v>
      </c>
      <c r="J9424" s="356">
        <v>11</v>
      </c>
      <c r="K9424" s="356">
        <v>0</v>
      </c>
      <c r="L9424" s="356">
        <v>0</v>
      </c>
      <c r="M9424" s="356">
        <v>0</v>
      </c>
      <c r="N9424" s="356">
        <v>0</v>
      </c>
      <c r="O9424" s="356">
        <v>0</v>
      </c>
      <c r="P9424" s="362">
        <v>1.1979E-2</v>
      </c>
      <c r="Q9424" s="356" t="s">
        <v>154</v>
      </c>
    </row>
    <row r="9425" spans="1:17" ht="144" x14ac:dyDescent="0.25">
      <c r="A9425" s="314">
        <v>44794</v>
      </c>
      <c r="B9425" s="314">
        <v>44794</v>
      </c>
      <c r="C9425" s="315">
        <v>2022</v>
      </c>
      <c r="D9425" s="351" t="s">
        <v>23</v>
      </c>
      <c r="E9425" s="316" t="s">
        <v>86</v>
      </c>
      <c r="F9425" s="317" t="s">
        <v>62</v>
      </c>
      <c r="G9425" s="317" t="s">
        <v>924</v>
      </c>
      <c r="H9425" s="318" t="s">
        <v>12722</v>
      </c>
      <c r="I9425" s="317">
        <v>0</v>
      </c>
      <c r="J9425" s="356">
        <v>16</v>
      </c>
      <c r="K9425" s="356">
        <v>4</v>
      </c>
      <c r="L9425" s="356">
        <v>0</v>
      </c>
      <c r="M9425" s="356">
        <v>0</v>
      </c>
      <c r="N9425" s="356">
        <v>0</v>
      </c>
      <c r="O9425" s="356">
        <v>0</v>
      </c>
      <c r="P9425" s="362">
        <v>5.3361000000000007E-3</v>
      </c>
      <c r="Q9425" s="356" t="s">
        <v>154</v>
      </c>
    </row>
    <row r="9426" spans="1:17" ht="96" x14ac:dyDescent="0.25">
      <c r="A9426" s="314">
        <v>44794</v>
      </c>
      <c r="B9426" s="314">
        <v>44795</v>
      </c>
      <c r="C9426" s="315">
        <v>2022</v>
      </c>
      <c r="D9426" s="351" t="s">
        <v>23</v>
      </c>
      <c r="E9426" s="316" t="s">
        <v>323</v>
      </c>
      <c r="F9426" s="317" t="s">
        <v>56</v>
      </c>
      <c r="G9426" s="317" t="s">
        <v>5519</v>
      </c>
      <c r="H9426" s="318" t="s">
        <v>12723</v>
      </c>
      <c r="I9426" s="317">
        <v>1</v>
      </c>
      <c r="J9426" s="356">
        <v>5</v>
      </c>
      <c r="K9426" s="356">
        <v>1</v>
      </c>
      <c r="L9426" s="356">
        <v>0</v>
      </c>
      <c r="M9426" s="356">
        <v>0</v>
      </c>
      <c r="N9426" s="356">
        <v>0</v>
      </c>
      <c r="O9426" s="356">
        <v>0</v>
      </c>
      <c r="P9426" s="362">
        <v>3.5574000000000001E-2</v>
      </c>
      <c r="Q9426" s="356" t="s">
        <v>154</v>
      </c>
    </row>
    <row r="9427" spans="1:17" ht="84" x14ac:dyDescent="0.25">
      <c r="A9427" s="314">
        <v>44795</v>
      </c>
      <c r="B9427" s="314">
        <v>44795</v>
      </c>
      <c r="C9427" s="315">
        <v>2022</v>
      </c>
      <c r="D9427" s="24" t="s">
        <v>141</v>
      </c>
      <c r="E9427" s="316" t="s">
        <v>142</v>
      </c>
      <c r="F9427" s="317" t="s">
        <v>36</v>
      </c>
      <c r="G9427" s="317" t="s">
        <v>3747</v>
      </c>
      <c r="H9427" s="318" t="s">
        <v>12724</v>
      </c>
      <c r="I9427" s="317">
        <v>2</v>
      </c>
      <c r="J9427" s="356">
        <v>14</v>
      </c>
      <c r="K9427" s="356">
        <v>0</v>
      </c>
      <c r="L9427" s="356">
        <v>0</v>
      </c>
      <c r="M9427" s="356">
        <v>0</v>
      </c>
      <c r="N9427" s="356">
        <v>0</v>
      </c>
      <c r="O9427" s="356">
        <v>0</v>
      </c>
      <c r="P9427" s="362">
        <v>2.7809635699999998E-2</v>
      </c>
      <c r="Q9427" s="356" t="s">
        <v>154</v>
      </c>
    </row>
    <row r="9428" spans="1:17" ht="108" x14ac:dyDescent="0.25">
      <c r="A9428" s="314">
        <v>44794</v>
      </c>
      <c r="B9428" s="314">
        <v>44795</v>
      </c>
      <c r="C9428" s="315">
        <v>2022</v>
      </c>
      <c r="D9428" s="351" t="s">
        <v>23</v>
      </c>
      <c r="E9428" s="316" t="s">
        <v>5893</v>
      </c>
      <c r="F9428" s="317" t="s">
        <v>36</v>
      </c>
      <c r="G9428" s="317" t="s">
        <v>1830</v>
      </c>
      <c r="H9428" s="318" t="s">
        <v>12725</v>
      </c>
      <c r="I9428" s="317">
        <v>1</v>
      </c>
      <c r="J9428" s="356">
        <v>6</v>
      </c>
      <c r="K9428" s="356">
        <v>0</v>
      </c>
      <c r="L9428" s="356">
        <v>0</v>
      </c>
      <c r="M9428" s="356">
        <v>0</v>
      </c>
      <c r="N9428" s="356">
        <v>0</v>
      </c>
      <c r="O9428" s="356">
        <v>0</v>
      </c>
      <c r="P9428" s="362">
        <v>5.9895E-3</v>
      </c>
      <c r="Q9428" s="356" t="s">
        <v>154</v>
      </c>
    </row>
    <row r="9429" spans="1:17" ht="409.5" x14ac:dyDescent="0.25">
      <c r="A9429" s="314">
        <v>44793</v>
      </c>
      <c r="B9429" s="314">
        <v>44793</v>
      </c>
      <c r="C9429" s="315">
        <v>2022</v>
      </c>
      <c r="D9429" s="351" t="s">
        <v>23</v>
      </c>
      <c r="E9429" s="316" t="s">
        <v>52</v>
      </c>
      <c r="F9429" s="317" t="s">
        <v>84</v>
      </c>
      <c r="G9429" s="317" t="s">
        <v>939</v>
      </c>
      <c r="H9429" s="318" t="s">
        <v>12726</v>
      </c>
      <c r="I9429" s="317">
        <v>1</v>
      </c>
      <c r="J9429" s="356">
        <v>1</v>
      </c>
      <c r="K9429" s="356">
        <v>0</v>
      </c>
      <c r="L9429" s="356">
        <v>0</v>
      </c>
      <c r="M9429" s="356">
        <v>0</v>
      </c>
      <c r="N9429" s="356">
        <v>0</v>
      </c>
      <c r="O9429" s="356">
        <v>0</v>
      </c>
      <c r="P9429" s="362">
        <v>0</v>
      </c>
      <c r="Q9429" s="356" t="s">
        <v>154</v>
      </c>
    </row>
    <row r="9430" spans="1:17" ht="180" x14ac:dyDescent="0.25">
      <c r="A9430" s="314">
        <v>44796</v>
      </c>
      <c r="B9430" s="314">
        <v>44796</v>
      </c>
      <c r="C9430" s="315">
        <v>2022</v>
      </c>
      <c r="D9430" s="35" t="s">
        <v>28</v>
      </c>
      <c r="E9430" s="316" t="s">
        <v>133</v>
      </c>
      <c r="F9430" s="317" t="s">
        <v>58</v>
      </c>
      <c r="G9430" s="317" t="s">
        <v>4433</v>
      </c>
      <c r="H9430" s="318" t="s">
        <v>12727</v>
      </c>
      <c r="I9430" s="317">
        <v>1</v>
      </c>
      <c r="J9430" s="356">
        <v>6</v>
      </c>
      <c r="K9430" s="356">
        <v>0</v>
      </c>
      <c r="L9430" s="356">
        <v>0</v>
      </c>
      <c r="M9430" s="356">
        <v>0</v>
      </c>
      <c r="N9430" s="356">
        <v>0</v>
      </c>
      <c r="O9430" s="356">
        <v>0</v>
      </c>
      <c r="P9430" s="362">
        <v>0</v>
      </c>
      <c r="Q9430" s="356" t="s">
        <v>154</v>
      </c>
    </row>
    <row r="9431" spans="1:17" ht="384" x14ac:dyDescent="0.25">
      <c r="A9431" s="314">
        <v>44796</v>
      </c>
      <c r="B9431" s="314">
        <v>44797</v>
      </c>
      <c r="C9431" s="315">
        <v>2022</v>
      </c>
      <c r="D9431" s="351" t="s">
        <v>23</v>
      </c>
      <c r="E9431" s="316" t="s">
        <v>86</v>
      </c>
      <c r="F9431" s="317" t="s">
        <v>84</v>
      </c>
      <c r="G9431" s="317" t="s">
        <v>12728</v>
      </c>
      <c r="H9431" s="318" t="s">
        <v>12729</v>
      </c>
      <c r="I9431" s="317">
        <v>0</v>
      </c>
      <c r="J9431" s="356">
        <v>172</v>
      </c>
      <c r="K9431" s="356">
        <v>43</v>
      </c>
      <c r="L9431" s="356">
        <v>1</v>
      </c>
      <c r="M9431" s="356">
        <v>0</v>
      </c>
      <c r="N9431" s="356">
        <v>0</v>
      </c>
      <c r="O9431" s="356">
        <v>0</v>
      </c>
      <c r="P9431" s="362">
        <v>5.7363075000000006E-2</v>
      </c>
      <c r="Q9431" s="356" t="s">
        <v>154</v>
      </c>
    </row>
    <row r="9432" spans="1:17" ht="228" x14ac:dyDescent="0.25">
      <c r="A9432" s="314">
        <v>44797</v>
      </c>
      <c r="B9432" s="314">
        <v>44797</v>
      </c>
      <c r="C9432" s="315">
        <v>2022</v>
      </c>
      <c r="D9432" s="351" t="s">
        <v>23</v>
      </c>
      <c r="E9432" s="316" t="s">
        <v>86</v>
      </c>
      <c r="F9432" s="317" t="s">
        <v>60</v>
      </c>
      <c r="G9432" s="317" t="s">
        <v>1605</v>
      </c>
      <c r="H9432" s="318" t="s">
        <v>12730</v>
      </c>
      <c r="I9432" s="317">
        <v>0</v>
      </c>
      <c r="J9432" s="356">
        <v>39</v>
      </c>
      <c r="K9432" s="356">
        <v>6</v>
      </c>
      <c r="L9432" s="356">
        <v>0</v>
      </c>
      <c r="M9432" s="356">
        <v>0</v>
      </c>
      <c r="N9432" s="356">
        <v>2</v>
      </c>
      <c r="O9432" s="356">
        <v>0</v>
      </c>
      <c r="P9432" s="362">
        <v>0.42258672829999999</v>
      </c>
      <c r="Q9432" s="356" t="s">
        <v>154</v>
      </c>
    </row>
    <row r="9433" spans="1:17" ht="36" x14ac:dyDescent="0.25">
      <c r="A9433" s="314">
        <v>44798</v>
      </c>
      <c r="B9433" s="314">
        <v>44798</v>
      </c>
      <c r="C9433" s="315">
        <v>2022</v>
      </c>
      <c r="D9433" s="35" t="s">
        <v>28</v>
      </c>
      <c r="E9433" s="316" t="s">
        <v>133</v>
      </c>
      <c r="F9433" s="7" t="s">
        <v>77</v>
      </c>
      <c r="G9433" s="317" t="s">
        <v>77</v>
      </c>
      <c r="H9433" s="318" t="s">
        <v>12731</v>
      </c>
      <c r="I9433" s="317">
        <v>0</v>
      </c>
      <c r="J9433" s="356">
        <v>5</v>
      </c>
      <c r="K9433" s="356">
        <v>1</v>
      </c>
      <c r="L9433" s="356">
        <v>0</v>
      </c>
      <c r="M9433" s="356">
        <v>0</v>
      </c>
      <c r="N9433" s="356">
        <v>0</v>
      </c>
      <c r="O9433" s="356">
        <v>0</v>
      </c>
      <c r="P9433" s="362">
        <v>1.8510216999999999E-2</v>
      </c>
      <c r="Q9433" s="356" t="s">
        <v>154</v>
      </c>
    </row>
    <row r="9434" spans="1:17" ht="360" x14ac:dyDescent="0.25">
      <c r="A9434" s="314">
        <v>44791</v>
      </c>
      <c r="B9434" s="314">
        <v>44798</v>
      </c>
      <c r="C9434" s="315">
        <v>2022</v>
      </c>
      <c r="D9434" s="351" t="s">
        <v>23</v>
      </c>
      <c r="E9434" s="316" t="s">
        <v>86</v>
      </c>
      <c r="F9434" s="7" t="s">
        <v>87</v>
      </c>
      <c r="G9434" s="317" t="s">
        <v>12732</v>
      </c>
      <c r="H9434" s="318" t="s">
        <v>12733</v>
      </c>
      <c r="I9434" s="317">
        <v>2</v>
      </c>
      <c r="J9434" s="356">
        <v>6500</v>
      </c>
      <c r="K9434" s="356">
        <v>1500</v>
      </c>
      <c r="L9434" s="356">
        <v>0</v>
      </c>
      <c r="M9434" s="356">
        <v>0</v>
      </c>
      <c r="N9434" s="356">
        <v>0</v>
      </c>
      <c r="O9434" s="356">
        <v>0</v>
      </c>
      <c r="P9434" s="362">
        <v>2.25</v>
      </c>
      <c r="Q9434" s="356" t="s">
        <v>154</v>
      </c>
    </row>
    <row r="9435" spans="1:17" ht="132" x14ac:dyDescent="0.25">
      <c r="A9435" s="314">
        <v>44798</v>
      </c>
      <c r="B9435" s="314">
        <v>44798</v>
      </c>
      <c r="C9435" s="315">
        <v>2022</v>
      </c>
      <c r="D9435" s="351" t="s">
        <v>23</v>
      </c>
      <c r="E9435" s="316" t="s">
        <v>86</v>
      </c>
      <c r="F9435" s="317" t="s">
        <v>40</v>
      </c>
      <c r="G9435" s="317" t="s">
        <v>12734</v>
      </c>
      <c r="H9435" s="318" t="s">
        <v>12735</v>
      </c>
      <c r="I9435" s="317">
        <v>0</v>
      </c>
      <c r="J9435" s="356">
        <v>160</v>
      </c>
      <c r="K9435" s="356">
        <v>40</v>
      </c>
      <c r="L9435" s="356">
        <v>0</v>
      </c>
      <c r="M9435" s="356">
        <v>1</v>
      </c>
      <c r="N9435" s="356">
        <v>0</v>
      </c>
      <c r="O9435" s="356">
        <v>0</v>
      </c>
      <c r="P9435" s="362">
        <v>5.3360999999999999E-2</v>
      </c>
      <c r="Q9435" s="356" t="s">
        <v>154</v>
      </c>
    </row>
    <row r="9436" spans="1:17" ht="180" x14ac:dyDescent="0.25">
      <c r="A9436" s="314">
        <v>44799</v>
      </c>
      <c r="B9436" s="314">
        <v>44799</v>
      </c>
      <c r="C9436" s="315">
        <v>2022</v>
      </c>
      <c r="D9436" s="24" t="s">
        <v>141</v>
      </c>
      <c r="E9436" s="316" t="s">
        <v>142</v>
      </c>
      <c r="F9436" s="317" t="s">
        <v>56</v>
      </c>
      <c r="G9436" s="317" t="s">
        <v>495</v>
      </c>
      <c r="H9436" s="318" t="s">
        <v>12736</v>
      </c>
      <c r="I9436" s="317">
        <v>0</v>
      </c>
      <c r="J9436" s="356">
        <v>31</v>
      </c>
      <c r="K9436" s="356">
        <v>0</v>
      </c>
      <c r="L9436" s="356">
        <v>0</v>
      </c>
      <c r="M9436" s="356">
        <v>0</v>
      </c>
      <c r="N9436" s="356">
        <v>0</v>
      </c>
      <c r="O9436" s="356">
        <v>0</v>
      </c>
      <c r="P9436" s="362">
        <v>0.14581508943023255</v>
      </c>
      <c r="Q9436" s="356" t="s">
        <v>154</v>
      </c>
    </row>
    <row r="9437" spans="1:17" ht="132" x14ac:dyDescent="0.25">
      <c r="A9437" s="314">
        <v>44798</v>
      </c>
      <c r="B9437" s="314">
        <v>44798</v>
      </c>
      <c r="C9437" s="315">
        <v>2022</v>
      </c>
      <c r="D9437" s="351" t="s">
        <v>23</v>
      </c>
      <c r="E9437" s="316" t="s">
        <v>86</v>
      </c>
      <c r="F9437" s="317" t="s">
        <v>210</v>
      </c>
      <c r="G9437" s="319" t="s">
        <v>12737</v>
      </c>
      <c r="H9437" s="318" t="s">
        <v>12738</v>
      </c>
      <c r="I9437" s="317">
        <v>0</v>
      </c>
      <c r="J9437" s="356">
        <f>88*4</f>
        <v>352</v>
      </c>
      <c r="K9437" s="356">
        <v>88</v>
      </c>
      <c r="L9437" s="356">
        <v>0</v>
      </c>
      <c r="M9437" s="356">
        <v>0</v>
      </c>
      <c r="N9437" s="356">
        <v>0</v>
      </c>
      <c r="O9437" s="356">
        <v>0</v>
      </c>
      <c r="P9437" s="362">
        <v>1.3340250000000002E-3</v>
      </c>
      <c r="Q9437" s="356" t="s">
        <v>154</v>
      </c>
    </row>
    <row r="9438" spans="1:17" ht="48" x14ac:dyDescent="0.25">
      <c r="A9438" s="314">
        <v>44799</v>
      </c>
      <c r="B9438" s="314">
        <v>44799</v>
      </c>
      <c r="C9438" s="315">
        <v>2022</v>
      </c>
      <c r="D9438" s="35" t="s">
        <v>28</v>
      </c>
      <c r="E9438" s="316" t="s">
        <v>149</v>
      </c>
      <c r="F9438" s="28" t="s">
        <v>157</v>
      </c>
      <c r="G9438" s="317" t="s">
        <v>1062</v>
      </c>
      <c r="H9438" s="318" t="s">
        <v>12739</v>
      </c>
      <c r="I9438" s="317">
        <v>0</v>
      </c>
      <c r="J9438" s="356">
        <v>50</v>
      </c>
      <c r="K9438" s="356">
        <v>1</v>
      </c>
      <c r="L9438" s="356">
        <v>0</v>
      </c>
      <c r="M9438" s="356">
        <v>0</v>
      </c>
      <c r="N9438" s="356">
        <v>0</v>
      </c>
      <c r="O9438" s="356">
        <v>0</v>
      </c>
      <c r="P9438" s="362">
        <v>3.5574000000000001E-2</v>
      </c>
      <c r="Q9438" s="356" t="s">
        <v>154</v>
      </c>
    </row>
    <row r="9439" spans="1:17" ht="132" x14ac:dyDescent="0.25">
      <c r="A9439" s="314">
        <v>44800</v>
      </c>
      <c r="B9439" s="314">
        <v>44800</v>
      </c>
      <c r="C9439" s="315">
        <v>2022</v>
      </c>
      <c r="D9439" s="351" t="s">
        <v>23</v>
      </c>
      <c r="E9439" s="316" t="s">
        <v>86</v>
      </c>
      <c r="F9439" s="317" t="s">
        <v>84</v>
      </c>
      <c r="G9439" s="317" t="s">
        <v>12740</v>
      </c>
      <c r="H9439" s="318" t="s">
        <v>12741</v>
      </c>
      <c r="I9439" s="317">
        <v>0</v>
      </c>
      <c r="J9439" s="356">
        <v>73</v>
      </c>
      <c r="K9439" s="356">
        <v>33</v>
      </c>
      <c r="L9439" s="356">
        <v>0</v>
      </c>
      <c r="M9439" s="356">
        <v>0</v>
      </c>
      <c r="N9439" s="356">
        <v>0</v>
      </c>
      <c r="O9439" s="356">
        <v>0</v>
      </c>
      <c r="P9439" s="362">
        <v>4.4022825000000002E-2</v>
      </c>
      <c r="Q9439" s="356" t="s">
        <v>154</v>
      </c>
    </row>
    <row r="9440" spans="1:17" ht="84" x14ac:dyDescent="0.25">
      <c r="A9440" s="314" t="s">
        <v>12742</v>
      </c>
      <c r="B9440" s="314">
        <v>44800</v>
      </c>
      <c r="C9440" s="315">
        <v>2022</v>
      </c>
      <c r="D9440" s="351" t="s">
        <v>23</v>
      </c>
      <c r="E9440" s="316" t="s">
        <v>86</v>
      </c>
      <c r="F9440" s="317" t="s">
        <v>36</v>
      </c>
      <c r="G9440" s="317" t="s">
        <v>12743</v>
      </c>
      <c r="H9440" s="318" t="s">
        <v>12744</v>
      </c>
      <c r="I9440" s="317">
        <v>0</v>
      </c>
      <c r="J9440" s="356">
        <v>132</v>
      </c>
      <c r="K9440" s="356">
        <v>8</v>
      </c>
      <c r="L9440" s="356">
        <v>0</v>
      </c>
      <c r="M9440" s="356">
        <v>0</v>
      </c>
      <c r="N9440" s="356">
        <v>0</v>
      </c>
      <c r="O9440" s="356">
        <v>0</v>
      </c>
      <c r="P9440" s="362">
        <v>1.0672200000000001E-2</v>
      </c>
      <c r="Q9440" s="356" t="s">
        <v>154</v>
      </c>
    </row>
    <row r="9441" spans="1:17" ht="108" x14ac:dyDescent="0.25">
      <c r="A9441" s="314">
        <v>44800</v>
      </c>
      <c r="B9441" s="314">
        <v>44801</v>
      </c>
      <c r="C9441" s="315">
        <v>2022</v>
      </c>
      <c r="D9441" s="351" t="s">
        <v>23</v>
      </c>
      <c r="E9441" s="316" t="s">
        <v>86</v>
      </c>
      <c r="F9441" s="317" t="s">
        <v>160</v>
      </c>
      <c r="G9441" s="317" t="s">
        <v>12745</v>
      </c>
      <c r="H9441" s="318" t="s">
        <v>12746</v>
      </c>
      <c r="I9441" s="317">
        <v>0</v>
      </c>
      <c r="J9441" s="356">
        <v>120</v>
      </c>
      <c r="K9441" s="356">
        <v>30</v>
      </c>
      <c r="L9441" s="356">
        <v>0</v>
      </c>
      <c r="M9441" s="356">
        <v>0</v>
      </c>
      <c r="N9441" s="356">
        <v>0</v>
      </c>
      <c r="O9441" s="356">
        <v>0</v>
      </c>
      <c r="P9441" s="362">
        <v>0.18664915500000001</v>
      </c>
      <c r="Q9441" s="356" t="s">
        <v>154</v>
      </c>
    </row>
    <row r="9442" spans="1:17" ht="168" x14ac:dyDescent="0.25">
      <c r="A9442" s="314">
        <v>44800</v>
      </c>
      <c r="B9442" s="314">
        <v>44801</v>
      </c>
      <c r="C9442" s="315">
        <v>2022</v>
      </c>
      <c r="D9442" s="351" t="s">
        <v>23</v>
      </c>
      <c r="E9442" s="316" t="s">
        <v>86</v>
      </c>
      <c r="F9442" s="7" t="s">
        <v>75</v>
      </c>
      <c r="G9442" s="317" t="s">
        <v>3959</v>
      </c>
      <c r="H9442" s="318" t="s">
        <v>12747</v>
      </c>
      <c r="I9442" s="317">
        <v>0</v>
      </c>
      <c r="J9442" s="356">
        <v>4</v>
      </c>
      <c r="K9442" s="356">
        <v>1</v>
      </c>
      <c r="L9442" s="356">
        <v>0</v>
      </c>
      <c r="M9442" s="356">
        <v>0</v>
      </c>
      <c r="N9442" s="356">
        <v>1</v>
      </c>
      <c r="O9442" s="356">
        <v>0</v>
      </c>
      <c r="P9442" s="362">
        <v>1.3340250000000002E-3</v>
      </c>
      <c r="Q9442" s="356" t="s">
        <v>154</v>
      </c>
    </row>
    <row r="9443" spans="1:17" ht="156" x14ac:dyDescent="0.25">
      <c r="A9443" s="314">
        <v>44799</v>
      </c>
      <c r="B9443" s="314">
        <v>44799</v>
      </c>
      <c r="C9443" s="315">
        <v>2022</v>
      </c>
      <c r="D9443" s="35" t="s">
        <v>28</v>
      </c>
      <c r="E9443" s="316" t="s">
        <v>133</v>
      </c>
      <c r="F9443" s="7" t="s">
        <v>75</v>
      </c>
      <c r="G9443" s="317" t="s">
        <v>5046</v>
      </c>
      <c r="H9443" s="318" t="s">
        <v>12748</v>
      </c>
      <c r="I9443" s="317">
        <v>0</v>
      </c>
      <c r="J9443" s="356">
        <v>261</v>
      </c>
      <c r="K9443" s="356">
        <v>6</v>
      </c>
      <c r="L9443" s="356">
        <v>0</v>
      </c>
      <c r="M9443" s="356">
        <v>0</v>
      </c>
      <c r="N9443" s="356">
        <v>0</v>
      </c>
      <c r="O9443" s="356">
        <v>0</v>
      </c>
      <c r="P9443" s="362">
        <v>0.18739875</v>
      </c>
      <c r="Q9443" s="356" t="s">
        <v>154</v>
      </c>
    </row>
    <row r="9444" spans="1:17" ht="336" x14ac:dyDescent="0.25">
      <c r="A9444" s="314">
        <v>44800</v>
      </c>
      <c r="B9444" s="314">
        <v>44800</v>
      </c>
      <c r="C9444" s="315">
        <v>2022</v>
      </c>
      <c r="D9444" s="24" t="s">
        <v>141</v>
      </c>
      <c r="E9444" s="316" t="s">
        <v>1965</v>
      </c>
      <c r="F9444" s="28" t="s">
        <v>157</v>
      </c>
      <c r="G9444" s="317" t="s">
        <v>12749</v>
      </c>
      <c r="H9444" s="329" t="s">
        <v>12750</v>
      </c>
      <c r="I9444" s="317">
        <v>1</v>
      </c>
      <c r="J9444" s="356">
        <v>13</v>
      </c>
      <c r="K9444" s="356">
        <v>1</v>
      </c>
      <c r="L9444" s="356">
        <v>0</v>
      </c>
      <c r="M9444" s="356">
        <v>0</v>
      </c>
      <c r="N9444" s="356">
        <v>0</v>
      </c>
      <c r="O9444" s="356">
        <v>0</v>
      </c>
      <c r="P9444" s="362">
        <v>6.9877500000000018E-3</v>
      </c>
      <c r="Q9444" s="356" t="s">
        <v>154</v>
      </c>
    </row>
    <row r="9445" spans="1:17" ht="96" x14ac:dyDescent="0.25">
      <c r="A9445" s="314">
        <v>44802</v>
      </c>
      <c r="B9445" s="314">
        <v>44802</v>
      </c>
      <c r="C9445" s="315">
        <v>2022</v>
      </c>
      <c r="D9445" s="35" t="s">
        <v>28</v>
      </c>
      <c r="E9445" s="316" t="s">
        <v>149</v>
      </c>
      <c r="F9445" s="28" t="s">
        <v>157</v>
      </c>
      <c r="G9445" s="317" t="s">
        <v>206</v>
      </c>
      <c r="H9445" s="318" t="s">
        <v>12751</v>
      </c>
      <c r="I9445" s="317">
        <v>0</v>
      </c>
      <c r="J9445" s="356">
        <v>100</v>
      </c>
      <c r="K9445" s="356">
        <v>1</v>
      </c>
      <c r="L9445" s="356">
        <v>0</v>
      </c>
      <c r="M9445" s="356">
        <v>0</v>
      </c>
      <c r="N9445" s="356">
        <v>0</v>
      </c>
      <c r="O9445" s="356">
        <v>0</v>
      </c>
      <c r="P9445" s="362">
        <v>6.98775E-3</v>
      </c>
      <c r="Q9445" s="356" t="s">
        <v>154</v>
      </c>
    </row>
    <row r="9446" spans="1:17" ht="180" x14ac:dyDescent="0.25">
      <c r="A9446" s="314">
        <v>44802</v>
      </c>
      <c r="B9446" s="314">
        <v>44802</v>
      </c>
      <c r="C9446" s="315">
        <v>2022</v>
      </c>
      <c r="D9446" s="351" t="s">
        <v>23</v>
      </c>
      <c r="E9446" s="316" t="s">
        <v>323</v>
      </c>
      <c r="F9446" s="7" t="s">
        <v>75</v>
      </c>
      <c r="G9446" s="317" t="s">
        <v>12557</v>
      </c>
      <c r="H9446" s="318" t="s">
        <v>12752</v>
      </c>
      <c r="I9446" s="317">
        <v>1</v>
      </c>
      <c r="J9446" s="356">
        <v>2</v>
      </c>
      <c r="K9446" s="356">
        <v>0</v>
      </c>
      <c r="L9446" s="356">
        <v>0</v>
      </c>
      <c r="M9446" s="356">
        <v>0</v>
      </c>
      <c r="N9446" s="356">
        <v>1</v>
      </c>
      <c r="O9446" s="356">
        <v>0</v>
      </c>
      <c r="P9446" s="362">
        <v>0</v>
      </c>
      <c r="Q9446" s="356" t="s">
        <v>154</v>
      </c>
    </row>
    <row r="9447" spans="1:17" ht="132" x14ac:dyDescent="0.25">
      <c r="A9447" s="314">
        <v>44802</v>
      </c>
      <c r="B9447" s="314">
        <v>44802</v>
      </c>
      <c r="C9447" s="315">
        <v>2022</v>
      </c>
      <c r="D9447" s="351" t="s">
        <v>23</v>
      </c>
      <c r="E9447" s="316" t="s">
        <v>86</v>
      </c>
      <c r="F9447" s="317" t="s">
        <v>36</v>
      </c>
      <c r="G9447" s="317" t="s">
        <v>12753</v>
      </c>
      <c r="H9447" s="318" t="s">
        <v>12754</v>
      </c>
      <c r="I9447" s="317">
        <v>0</v>
      </c>
      <c r="J9447" s="356">
        <v>252</v>
      </c>
      <c r="K9447" s="356">
        <v>63</v>
      </c>
      <c r="L9447" s="356">
        <v>0</v>
      </c>
      <c r="M9447" s="356">
        <v>0</v>
      </c>
      <c r="N9447" s="356">
        <v>0</v>
      </c>
      <c r="O9447" s="356">
        <v>0</v>
      </c>
      <c r="P9447" s="362">
        <v>0.25511004750000005</v>
      </c>
      <c r="Q9447" s="356" t="s">
        <v>154</v>
      </c>
    </row>
    <row r="9448" spans="1:17" ht="156" x14ac:dyDescent="0.25">
      <c r="A9448" s="314">
        <v>44801</v>
      </c>
      <c r="B9448" s="314">
        <v>44802</v>
      </c>
      <c r="C9448" s="315">
        <v>2022</v>
      </c>
      <c r="D9448" s="351" t="s">
        <v>23</v>
      </c>
      <c r="E9448" s="316" t="s">
        <v>86</v>
      </c>
      <c r="F9448" s="317" t="s">
        <v>65</v>
      </c>
      <c r="G9448" s="317" t="s">
        <v>12755</v>
      </c>
      <c r="H9448" s="318" t="s">
        <v>12756</v>
      </c>
      <c r="I9448" s="317">
        <v>0</v>
      </c>
      <c r="J9448" s="356">
        <v>1700</v>
      </c>
      <c r="K9448" s="356">
        <v>425</v>
      </c>
      <c r="L9448" s="356">
        <v>0</v>
      </c>
      <c r="M9448" s="356">
        <v>0</v>
      </c>
      <c r="N9448" s="356">
        <v>0</v>
      </c>
      <c r="O9448" s="356">
        <v>0</v>
      </c>
      <c r="P9448" s="362">
        <v>0.566960625</v>
      </c>
      <c r="Q9448" s="356" t="s">
        <v>154</v>
      </c>
    </row>
    <row r="9449" spans="1:17" ht="228" x14ac:dyDescent="0.25">
      <c r="A9449" s="314">
        <v>44800</v>
      </c>
      <c r="B9449" s="314">
        <v>44803</v>
      </c>
      <c r="C9449" s="315">
        <v>2022</v>
      </c>
      <c r="D9449" s="351" t="s">
        <v>23</v>
      </c>
      <c r="E9449" s="316" t="s">
        <v>86</v>
      </c>
      <c r="F9449" s="317" t="s">
        <v>84</v>
      </c>
      <c r="G9449" s="317" t="s">
        <v>4988</v>
      </c>
      <c r="H9449" s="318" t="s">
        <v>12757</v>
      </c>
      <c r="I9449" s="317">
        <v>0</v>
      </c>
      <c r="J9449" s="356">
        <v>31</v>
      </c>
      <c r="K9449" s="356">
        <v>1</v>
      </c>
      <c r="L9449" s="356">
        <v>0</v>
      </c>
      <c r="M9449" s="356">
        <v>0</v>
      </c>
      <c r="N9449" s="356">
        <v>0</v>
      </c>
      <c r="O9449" s="356">
        <v>0</v>
      </c>
      <c r="P9449" s="362">
        <v>6.9877500000000018E-3</v>
      </c>
      <c r="Q9449" s="356" t="s">
        <v>154</v>
      </c>
    </row>
    <row r="9450" spans="1:17" ht="240" x14ac:dyDescent="0.25">
      <c r="A9450" s="314">
        <v>44802</v>
      </c>
      <c r="B9450" s="314">
        <v>44803</v>
      </c>
      <c r="C9450" s="315">
        <v>2022</v>
      </c>
      <c r="D9450" s="351" t="s">
        <v>23</v>
      </c>
      <c r="E9450" s="316" t="s">
        <v>52</v>
      </c>
      <c r="F9450" s="317" t="s">
        <v>84</v>
      </c>
      <c r="G9450" s="317" t="s">
        <v>3161</v>
      </c>
      <c r="H9450" s="318" t="s">
        <v>12758</v>
      </c>
      <c r="I9450" s="317">
        <v>0</v>
      </c>
      <c r="J9450" s="356">
        <v>15</v>
      </c>
      <c r="K9450" s="356">
        <v>100</v>
      </c>
      <c r="L9450" s="356">
        <v>0</v>
      </c>
      <c r="M9450" s="356">
        <v>0</v>
      </c>
      <c r="N9450" s="356">
        <v>0</v>
      </c>
      <c r="O9450" s="356">
        <v>0</v>
      </c>
      <c r="P9450" s="362">
        <v>0.62216384999999996</v>
      </c>
      <c r="Q9450" s="356" t="s">
        <v>154</v>
      </c>
    </row>
    <row r="9451" spans="1:17" ht="216" x14ac:dyDescent="0.25">
      <c r="A9451" s="314">
        <v>44802</v>
      </c>
      <c r="B9451" s="314">
        <v>44804</v>
      </c>
      <c r="C9451" s="315">
        <v>2022</v>
      </c>
      <c r="D9451" s="351" t="s">
        <v>23</v>
      </c>
      <c r="E9451" s="316" t="s">
        <v>52</v>
      </c>
      <c r="F9451" s="317" t="s">
        <v>84</v>
      </c>
      <c r="G9451" s="317" t="s">
        <v>12759</v>
      </c>
      <c r="H9451" s="318" t="s">
        <v>12760</v>
      </c>
      <c r="I9451" s="317">
        <v>1</v>
      </c>
      <c r="J9451" s="356">
        <v>10</v>
      </c>
      <c r="K9451" s="356">
        <v>2</v>
      </c>
      <c r="L9451" s="356">
        <v>0</v>
      </c>
      <c r="M9451" s="356">
        <v>0</v>
      </c>
      <c r="N9451" s="356">
        <v>0</v>
      </c>
      <c r="O9451" s="356">
        <v>0</v>
      </c>
      <c r="P9451" s="362">
        <v>1.2443277000000001E-2</v>
      </c>
      <c r="Q9451" s="356" t="s">
        <v>154</v>
      </c>
    </row>
    <row r="9452" spans="1:17" ht="204" x14ac:dyDescent="0.25">
      <c r="A9452" s="314">
        <v>44803</v>
      </c>
      <c r="B9452" s="314">
        <v>44804</v>
      </c>
      <c r="C9452" s="315">
        <v>2022</v>
      </c>
      <c r="D9452" s="35" t="s">
        <v>28</v>
      </c>
      <c r="E9452" s="316" t="s">
        <v>125</v>
      </c>
      <c r="F9452" s="317" t="s">
        <v>84</v>
      </c>
      <c r="G9452" s="317" t="s">
        <v>939</v>
      </c>
      <c r="H9452" s="318" t="s">
        <v>12761</v>
      </c>
      <c r="I9452" s="317">
        <v>1</v>
      </c>
      <c r="J9452" s="356">
        <v>1081</v>
      </c>
      <c r="K9452" s="356">
        <v>0</v>
      </c>
      <c r="L9452" s="356">
        <v>0</v>
      </c>
      <c r="M9452" s="356">
        <v>0</v>
      </c>
      <c r="N9452" s="356">
        <v>0</v>
      </c>
      <c r="O9452" s="356">
        <v>0</v>
      </c>
      <c r="P9452" s="362">
        <v>0</v>
      </c>
      <c r="Q9452" s="356" t="s">
        <v>154</v>
      </c>
    </row>
    <row r="9453" spans="1:17" ht="84" x14ac:dyDescent="0.25">
      <c r="A9453" s="314">
        <v>44804</v>
      </c>
      <c r="B9453" s="314">
        <v>44805</v>
      </c>
      <c r="C9453" s="315">
        <v>2022</v>
      </c>
      <c r="D9453" s="351" t="s">
        <v>23</v>
      </c>
      <c r="E9453" s="316" t="s">
        <v>52</v>
      </c>
      <c r="F9453" s="317" t="s">
        <v>58</v>
      </c>
      <c r="G9453" s="317" t="s">
        <v>12762</v>
      </c>
      <c r="H9453" s="332" t="s">
        <v>12763</v>
      </c>
      <c r="I9453" s="317">
        <v>0</v>
      </c>
      <c r="J9453" s="356">
        <v>120</v>
      </c>
      <c r="K9453" s="356">
        <v>30</v>
      </c>
      <c r="L9453" s="356">
        <v>0</v>
      </c>
      <c r="M9453" s="356">
        <v>0</v>
      </c>
      <c r="N9453" s="356">
        <v>0</v>
      </c>
      <c r="O9453" s="356">
        <v>0</v>
      </c>
      <c r="P9453" s="362">
        <v>0</v>
      </c>
      <c r="Q9453" s="356" t="s">
        <v>154</v>
      </c>
    </row>
    <row r="9454" spans="1:17" ht="408" x14ac:dyDescent="0.25">
      <c r="A9454" s="314">
        <v>44804</v>
      </c>
      <c r="B9454" s="314">
        <v>44805</v>
      </c>
      <c r="C9454" s="315">
        <v>2022</v>
      </c>
      <c r="D9454" s="351" t="s">
        <v>23</v>
      </c>
      <c r="E9454" s="316" t="s">
        <v>52</v>
      </c>
      <c r="F9454" s="317" t="s">
        <v>47</v>
      </c>
      <c r="G9454" s="317" t="s">
        <v>12764</v>
      </c>
      <c r="H9454" s="318" t="s">
        <v>12765</v>
      </c>
      <c r="I9454" s="317">
        <v>0</v>
      </c>
      <c r="J9454" s="356">
        <v>16</v>
      </c>
      <c r="K9454" s="356">
        <v>4</v>
      </c>
      <c r="L9454" s="356">
        <v>0</v>
      </c>
      <c r="M9454" s="356">
        <v>0</v>
      </c>
      <c r="N9454" s="356">
        <v>0</v>
      </c>
      <c r="O9454" s="356">
        <v>0</v>
      </c>
      <c r="P9454" s="362">
        <v>5.3361000000000007E-3</v>
      </c>
      <c r="Q9454" s="356" t="s">
        <v>154</v>
      </c>
    </row>
    <row r="9455" spans="1:17" ht="180" x14ac:dyDescent="0.25">
      <c r="A9455" s="314">
        <v>44806</v>
      </c>
      <c r="B9455" s="314">
        <v>44806</v>
      </c>
      <c r="C9455" s="315">
        <v>2022</v>
      </c>
      <c r="D9455" s="24" t="s">
        <v>141</v>
      </c>
      <c r="E9455" s="316" t="s">
        <v>142</v>
      </c>
      <c r="F9455" s="317" t="s">
        <v>56</v>
      </c>
      <c r="G9455" s="319" t="s">
        <v>358</v>
      </c>
      <c r="H9455" s="318" t="s">
        <v>12766</v>
      </c>
      <c r="I9455" s="317">
        <v>7</v>
      </c>
      <c r="J9455" s="356">
        <v>12</v>
      </c>
      <c r="K9455" s="356">
        <v>0</v>
      </c>
      <c r="L9455" s="356">
        <v>0</v>
      </c>
      <c r="M9455" s="356">
        <v>0</v>
      </c>
      <c r="N9455" s="356">
        <v>0</v>
      </c>
      <c r="O9455" s="356">
        <v>0</v>
      </c>
      <c r="P9455" s="362">
        <v>0</v>
      </c>
      <c r="Q9455" s="356" t="s">
        <v>154</v>
      </c>
    </row>
    <row r="9456" spans="1:17" ht="108" x14ac:dyDescent="0.25">
      <c r="A9456" s="314">
        <v>44806</v>
      </c>
      <c r="B9456" s="314">
        <v>44806</v>
      </c>
      <c r="C9456" s="315">
        <v>2022</v>
      </c>
      <c r="D9456" s="35" t="s">
        <v>28</v>
      </c>
      <c r="E9456" s="316" t="s">
        <v>133</v>
      </c>
      <c r="F9456" s="317" t="s">
        <v>56</v>
      </c>
      <c r="G9456" s="317" t="s">
        <v>1160</v>
      </c>
      <c r="H9456" s="318" t="s">
        <v>12767</v>
      </c>
      <c r="I9456" s="317">
        <v>3</v>
      </c>
      <c r="J9456" s="356">
        <v>3</v>
      </c>
      <c r="K9456" s="356">
        <v>0</v>
      </c>
      <c r="L9456" s="356">
        <v>0</v>
      </c>
      <c r="M9456" s="356">
        <v>0</v>
      </c>
      <c r="N9456" s="356">
        <v>0</v>
      </c>
      <c r="O9456" s="356">
        <v>0</v>
      </c>
      <c r="P9456" s="362">
        <v>0</v>
      </c>
      <c r="Q9456" s="356" t="s">
        <v>154</v>
      </c>
    </row>
    <row r="9457" spans="1:17" ht="96" x14ac:dyDescent="0.25">
      <c r="A9457" s="314">
        <v>44806</v>
      </c>
      <c r="B9457" s="314">
        <v>44806</v>
      </c>
      <c r="C9457" s="315">
        <v>2022</v>
      </c>
      <c r="D9457" s="351" t="s">
        <v>23</v>
      </c>
      <c r="E9457" s="316" t="s">
        <v>86</v>
      </c>
      <c r="F9457" s="28" t="s">
        <v>157</v>
      </c>
      <c r="G9457" s="317" t="s">
        <v>206</v>
      </c>
      <c r="H9457" s="318" t="s">
        <v>12768</v>
      </c>
      <c r="I9457" s="317">
        <v>0</v>
      </c>
      <c r="J9457" s="356">
        <v>4</v>
      </c>
      <c r="K9457" s="356">
        <v>0</v>
      </c>
      <c r="L9457" s="356">
        <v>0</v>
      </c>
      <c r="M9457" s="356">
        <v>0</v>
      </c>
      <c r="N9457" s="356">
        <v>0</v>
      </c>
      <c r="O9457" s="356">
        <v>0</v>
      </c>
      <c r="P9457" s="362">
        <v>0</v>
      </c>
      <c r="Q9457" s="356" t="s">
        <v>154</v>
      </c>
    </row>
    <row r="9458" spans="1:17" ht="240" x14ac:dyDescent="0.25">
      <c r="A9458" s="314">
        <v>44807</v>
      </c>
      <c r="B9458" s="314">
        <v>44807</v>
      </c>
      <c r="C9458" s="315">
        <v>2022</v>
      </c>
      <c r="D9458" s="351" t="s">
        <v>23</v>
      </c>
      <c r="E9458" s="316" t="s">
        <v>86</v>
      </c>
      <c r="F9458" s="317" t="s">
        <v>60</v>
      </c>
      <c r="G9458" s="317" t="s">
        <v>2508</v>
      </c>
      <c r="H9458" s="318" t="s">
        <v>12769</v>
      </c>
      <c r="I9458" s="317">
        <v>0</v>
      </c>
      <c r="J9458" s="356">
        <f>18*4</f>
        <v>72</v>
      </c>
      <c r="K9458" s="356">
        <v>18</v>
      </c>
      <c r="L9458" s="356">
        <v>0</v>
      </c>
      <c r="M9458" s="356">
        <v>0</v>
      </c>
      <c r="N9458" s="356">
        <v>0</v>
      </c>
      <c r="O9458" s="356">
        <v>0</v>
      </c>
      <c r="P9458" s="362">
        <v>2.4012450000000001E-2</v>
      </c>
      <c r="Q9458" s="356" t="s">
        <v>154</v>
      </c>
    </row>
    <row r="9459" spans="1:17" ht="144" x14ac:dyDescent="0.25">
      <c r="A9459" s="314">
        <v>44808</v>
      </c>
      <c r="B9459" s="314">
        <v>44808</v>
      </c>
      <c r="C9459" s="315">
        <v>2022</v>
      </c>
      <c r="D9459" s="24" t="s">
        <v>141</v>
      </c>
      <c r="E9459" s="316" t="s">
        <v>142</v>
      </c>
      <c r="F9459" s="7" t="s">
        <v>87</v>
      </c>
      <c r="G9459" s="317" t="s">
        <v>874</v>
      </c>
      <c r="H9459" s="318" t="s">
        <v>12770</v>
      </c>
      <c r="I9459" s="317">
        <v>2</v>
      </c>
      <c r="J9459" s="356">
        <v>2</v>
      </c>
      <c r="K9459" s="356"/>
      <c r="L9459" s="356">
        <v>0</v>
      </c>
      <c r="M9459" s="356">
        <v>0</v>
      </c>
      <c r="N9459" s="356">
        <v>0</v>
      </c>
      <c r="O9459" s="356">
        <v>0</v>
      </c>
      <c r="P9459" s="362">
        <v>0.1749</v>
      </c>
      <c r="Q9459" s="356" t="s">
        <v>154</v>
      </c>
    </row>
    <row r="9460" spans="1:17" ht="240" x14ac:dyDescent="0.25">
      <c r="A9460" s="314">
        <v>44806</v>
      </c>
      <c r="B9460" s="314">
        <v>44809</v>
      </c>
      <c r="C9460" s="315">
        <v>2022</v>
      </c>
      <c r="D9460" s="351" t="s">
        <v>23</v>
      </c>
      <c r="E9460" s="316" t="s">
        <v>32</v>
      </c>
      <c r="F9460" s="317" t="s">
        <v>33</v>
      </c>
      <c r="G9460" s="317" t="s">
        <v>12771</v>
      </c>
      <c r="H9460" s="318" t="s">
        <v>12772</v>
      </c>
      <c r="I9460" s="317">
        <v>0</v>
      </c>
      <c r="J9460" s="356">
        <v>207</v>
      </c>
      <c r="K9460" s="356">
        <v>50</v>
      </c>
      <c r="L9460" s="356">
        <v>0</v>
      </c>
      <c r="M9460" s="356">
        <v>1</v>
      </c>
      <c r="N9460" s="356">
        <v>0</v>
      </c>
      <c r="O9460" s="356">
        <v>0</v>
      </c>
      <c r="P9460" s="362">
        <v>116.51893800000001</v>
      </c>
      <c r="Q9460" s="356" t="s">
        <v>12586</v>
      </c>
    </row>
    <row r="9461" spans="1:17" ht="36" x14ac:dyDescent="0.25">
      <c r="A9461" s="314">
        <v>44811</v>
      </c>
      <c r="B9461" s="314">
        <v>44813</v>
      </c>
      <c r="C9461" s="315">
        <v>2022</v>
      </c>
      <c r="D9461" s="351" t="s">
        <v>23</v>
      </c>
      <c r="E9461" s="316" t="s">
        <v>32</v>
      </c>
      <c r="F9461" s="317" t="s">
        <v>33</v>
      </c>
      <c r="G9461" s="317" t="s">
        <v>12773</v>
      </c>
      <c r="H9461" s="318" t="s">
        <v>12774</v>
      </c>
      <c r="I9461" s="317">
        <v>0</v>
      </c>
      <c r="J9461" s="356">
        <v>0</v>
      </c>
      <c r="K9461" s="356">
        <v>0</v>
      </c>
      <c r="L9461" s="356">
        <v>0</v>
      </c>
      <c r="M9461" s="356">
        <v>0</v>
      </c>
      <c r="N9461" s="356">
        <v>0</v>
      </c>
      <c r="O9461" s="356">
        <v>0</v>
      </c>
      <c r="P9461" s="362">
        <v>577.42108367999992</v>
      </c>
      <c r="Q9461" s="356" t="s">
        <v>12447</v>
      </c>
    </row>
    <row r="9462" spans="1:17" ht="38.25" x14ac:dyDescent="0.25">
      <c r="A9462" s="314">
        <v>44813</v>
      </c>
      <c r="B9462" s="314">
        <v>44815</v>
      </c>
      <c r="C9462" s="315">
        <v>2022</v>
      </c>
      <c r="D9462" s="351" t="s">
        <v>23</v>
      </c>
      <c r="E9462" s="316" t="s">
        <v>32</v>
      </c>
      <c r="F9462" s="317" t="s">
        <v>30</v>
      </c>
      <c r="G9462" s="317" t="s">
        <v>12775</v>
      </c>
      <c r="H9462" s="318" t="s">
        <v>12776</v>
      </c>
      <c r="I9462" s="317">
        <v>0</v>
      </c>
      <c r="J9462" s="356">
        <v>0</v>
      </c>
      <c r="K9462" s="356">
        <v>0</v>
      </c>
      <c r="L9462" s="356">
        <v>0</v>
      </c>
      <c r="M9462" s="356">
        <v>0</v>
      </c>
      <c r="N9462" s="356">
        <v>0</v>
      </c>
      <c r="O9462" s="356">
        <v>0</v>
      </c>
      <c r="P9462" s="362">
        <v>461.64877157999996</v>
      </c>
      <c r="Q9462" s="356" t="s">
        <v>12447</v>
      </c>
    </row>
    <row r="9463" spans="1:17" ht="144" x14ac:dyDescent="0.25">
      <c r="A9463" s="314">
        <v>44809</v>
      </c>
      <c r="B9463" s="314">
        <v>44809</v>
      </c>
      <c r="C9463" s="315">
        <v>2022</v>
      </c>
      <c r="D9463" s="35" t="s">
        <v>28</v>
      </c>
      <c r="E9463" s="316" t="s">
        <v>133</v>
      </c>
      <c r="F9463" s="317" t="s">
        <v>97</v>
      </c>
      <c r="G9463" s="317" t="s">
        <v>895</v>
      </c>
      <c r="H9463" s="318" t="s">
        <v>12777</v>
      </c>
      <c r="I9463" s="317">
        <v>1</v>
      </c>
      <c r="J9463" s="356">
        <v>3</v>
      </c>
      <c r="K9463" s="356">
        <v>0</v>
      </c>
      <c r="L9463" s="356">
        <v>0</v>
      </c>
      <c r="M9463" s="356">
        <v>0</v>
      </c>
      <c r="N9463" s="356">
        <v>1</v>
      </c>
      <c r="O9463" s="356">
        <v>0</v>
      </c>
      <c r="P9463" s="362">
        <v>2.3958E-3</v>
      </c>
      <c r="Q9463" s="356" t="s">
        <v>154</v>
      </c>
    </row>
    <row r="9464" spans="1:17" ht="168" x14ac:dyDescent="0.25">
      <c r="A9464" s="314">
        <v>44809</v>
      </c>
      <c r="B9464" s="314">
        <v>44809</v>
      </c>
      <c r="C9464" s="315">
        <v>2022</v>
      </c>
      <c r="D9464" s="35" t="s">
        <v>28</v>
      </c>
      <c r="E9464" s="316" t="s">
        <v>125</v>
      </c>
      <c r="F9464" s="317" t="s">
        <v>60</v>
      </c>
      <c r="G9464" s="317" t="s">
        <v>1605</v>
      </c>
      <c r="H9464" s="318" t="s">
        <v>12778</v>
      </c>
      <c r="I9464" s="317">
        <v>0</v>
      </c>
      <c r="J9464" s="356">
        <v>67</v>
      </c>
      <c r="K9464" s="356">
        <v>0</v>
      </c>
      <c r="L9464" s="356">
        <v>0</v>
      </c>
      <c r="M9464" s="356">
        <v>0</v>
      </c>
      <c r="N9464" s="356">
        <v>0</v>
      </c>
      <c r="O9464" s="356">
        <v>0</v>
      </c>
      <c r="P9464" s="362">
        <v>1.1979E-3</v>
      </c>
      <c r="Q9464" s="356" t="s">
        <v>154</v>
      </c>
    </row>
    <row r="9465" spans="1:17" ht="60" x14ac:dyDescent="0.25">
      <c r="A9465" s="314">
        <v>44805</v>
      </c>
      <c r="B9465" s="314">
        <v>44807</v>
      </c>
      <c r="C9465" s="315">
        <v>2022</v>
      </c>
      <c r="D9465" s="351" t="s">
        <v>23</v>
      </c>
      <c r="E9465" s="316" t="s">
        <v>86</v>
      </c>
      <c r="F9465" s="7" t="s">
        <v>49</v>
      </c>
      <c r="G9465" s="317" t="s">
        <v>12779</v>
      </c>
      <c r="H9465" s="318" t="s">
        <v>12780</v>
      </c>
      <c r="I9465" s="317">
        <v>4</v>
      </c>
      <c r="J9465" s="356">
        <v>46</v>
      </c>
      <c r="K9465" s="356">
        <v>9</v>
      </c>
      <c r="L9465" s="356">
        <v>0</v>
      </c>
      <c r="M9465" s="356">
        <v>0</v>
      </c>
      <c r="N9465" s="356">
        <v>0</v>
      </c>
      <c r="O9465" s="356">
        <v>0</v>
      </c>
      <c r="P9465" s="362">
        <v>0.22606950300000003</v>
      </c>
      <c r="Q9465" s="356" t="s">
        <v>154</v>
      </c>
    </row>
    <row r="9466" spans="1:17" ht="276" x14ac:dyDescent="0.25">
      <c r="A9466" s="314">
        <v>44811</v>
      </c>
      <c r="B9466" s="314">
        <v>44811</v>
      </c>
      <c r="C9466" s="315">
        <v>2022</v>
      </c>
      <c r="D9466" s="24" t="s">
        <v>141</v>
      </c>
      <c r="E9466" s="316" t="s">
        <v>1965</v>
      </c>
      <c r="F9466" s="317" t="s">
        <v>56</v>
      </c>
      <c r="G9466" s="317" t="s">
        <v>358</v>
      </c>
      <c r="H9466" s="318" t="s">
        <v>12781</v>
      </c>
      <c r="I9466" s="317">
        <v>2</v>
      </c>
      <c r="J9466" s="356">
        <v>2</v>
      </c>
      <c r="K9466" s="356">
        <v>0</v>
      </c>
      <c r="L9466" s="356">
        <v>0</v>
      </c>
      <c r="M9466" s="356">
        <v>0</v>
      </c>
      <c r="N9466" s="356">
        <v>0</v>
      </c>
      <c r="O9466" s="356">
        <v>0</v>
      </c>
      <c r="P9466" s="362">
        <v>0</v>
      </c>
      <c r="Q9466" s="356" t="s">
        <v>154</v>
      </c>
    </row>
    <row r="9467" spans="1:17" ht="348" x14ac:dyDescent="0.25">
      <c r="A9467" s="314">
        <v>44810</v>
      </c>
      <c r="B9467" s="314">
        <v>44811</v>
      </c>
      <c r="C9467" s="315">
        <v>2022</v>
      </c>
      <c r="D9467" s="351" t="s">
        <v>23</v>
      </c>
      <c r="E9467" s="316" t="s">
        <v>52</v>
      </c>
      <c r="F9467" s="7" t="s">
        <v>101</v>
      </c>
      <c r="G9467" s="317" t="s">
        <v>1461</v>
      </c>
      <c r="H9467" s="318" t="s">
        <v>12782</v>
      </c>
      <c r="I9467" s="317">
        <v>0</v>
      </c>
      <c r="J9467" s="356">
        <v>260</v>
      </c>
      <c r="K9467" s="356">
        <v>65</v>
      </c>
      <c r="L9467" s="356">
        <v>0</v>
      </c>
      <c r="M9467" s="356">
        <v>0</v>
      </c>
      <c r="N9467" s="356">
        <v>0</v>
      </c>
      <c r="O9467" s="356">
        <v>0</v>
      </c>
      <c r="P9467" s="362">
        <v>1.2294065025000003</v>
      </c>
      <c r="Q9467" s="356" t="s">
        <v>154</v>
      </c>
    </row>
    <row r="9468" spans="1:17" ht="276" x14ac:dyDescent="0.25">
      <c r="A9468" s="314">
        <v>44807</v>
      </c>
      <c r="B9468" s="314">
        <v>44811</v>
      </c>
      <c r="C9468" s="315">
        <v>2022</v>
      </c>
      <c r="D9468" s="351" t="s">
        <v>23</v>
      </c>
      <c r="E9468" s="316" t="s">
        <v>86</v>
      </c>
      <c r="F9468" s="317" t="s">
        <v>58</v>
      </c>
      <c r="G9468" s="317" t="s">
        <v>12783</v>
      </c>
      <c r="H9468" s="318" t="s">
        <v>12784</v>
      </c>
      <c r="I9468" s="317">
        <v>3</v>
      </c>
      <c r="J9468" s="356">
        <v>44</v>
      </c>
      <c r="K9468" s="356">
        <v>11</v>
      </c>
      <c r="L9468" s="356">
        <v>0</v>
      </c>
      <c r="M9468" s="356">
        <v>0</v>
      </c>
      <c r="N9468" s="356">
        <v>0</v>
      </c>
      <c r="O9468" s="356">
        <v>0</v>
      </c>
      <c r="P9468" s="362">
        <v>0.15798667499999999</v>
      </c>
      <c r="Q9468" s="356" t="s">
        <v>154</v>
      </c>
    </row>
    <row r="9469" spans="1:17" ht="132" x14ac:dyDescent="0.25">
      <c r="A9469" s="314">
        <v>44812</v>
      </c>
      <c r="B9469" s="314">
        <v>44812</v>
      </c>
      <c r="C9469" s="315">
        <v>2022</v>
      </c>
      <c r="D9469" s="24" t="s">
        <v>141</v>
      </c>
      <c r="E9469" s="316" t="s">
        <v>142</v>
      </c>
      <c r="F9469" s="7" t="s">
        <v>53</v>
      </c>
      <c r="G9469" s="317" t="s">
        <v>5966</v>
      </c>
      <c r="H9469" s="318" t="s">
        <v>12785</v>
      </c>
      <c r="I9469" s="317">
        <v>0</v>
      </c>
      <c r="J9469" s="356">
        <v>30</v>
      </c>
      <c r="K9469" s="356">
        <v>0</v>
      </c>
      <c r="L9469" s="356">
        <v>0</v>
      </c>
      <c r="M9469" s="356">
        <v>0</v>
      </c>
      <c r="N9469" s="356">
        <v>0</v>
      </c>
      <c r="O9469" s="356">
        <v>0</v>
      </c>
      <c r="P9469" s="362">
        <v>1.7968499999999998E-2</v>
      </c>
      <c r="Q9469" s="356" t="s">
        <v>154</v>
      </c>
    </row>
    <row r="9470" spans="1:17" ht="96" x14ac:dyDescent="0.25">
      <c r="A9470" s="314">
        <v>44812</v>
      </c>
      <c r="B9470" s="314">
        <v>44812</v>
      </c>
      <c r="C9470" s="315">
        <v>2022</v>
      </c>
      <c r="D9470" s="351" t="s">
        <v>23</v>
      </c>
      <c r="E9470" s="316" t="s">
        <v>86</v>
      </c>
      <c r="F9470" s="317" t="s">
        <v>65</v>
      </c>
      <c r="G9470" s="317" t="s">
        <v>12786</v>
      </c>
      <c r="H9470" s="318" t="s">
        <v>12787</v>
      </c>
      <c r="I9470" s="317">
        <v>0</v>
      </c>
      <c r="J9470" s="356">
        <f>55*4</f>
        <v>220</v>
      </c>
      <c r="K9470" s="356">
        <v>55</v>
      </c>
      <c r="L9470" s="356">
        <v>0</v>
      </c>
      <c r="M9470" s="356">
        <v>0</v>
      </c>
      <c r="N9470" s="356">
        <v>0</v>
      </c>
      <c r="O9470" s="356">
        <v>0</v>
      </c>
      <c r="P9470" s="362">
        <v>7.3371375000000003E-2</v>
      </c>
      <c r="Q9470" s="356" t="s">
        <v>154</v>
      </c>
    </row>
    <row r="9471" spans="1:17" ht="156" x14ac:dyDescent="0.25">
      <c r="A9471" s="314">
        <v>44810</v>
      </c>
      <c r="B9471" s="314">
        <v>44812</v>
      </c>
      <c r="C9471" s="315">
        <v>2022</v>
      </c>
      <c r="D9471" s="351" t="s">
        <v>23</v>
      </c>
      <c r="E9471" s="316" t="s">
        <v>86</v>
      </c>
      <c r="F9471" s="317" t="s">
        <v>84</v>
      </c>
      <c r="G9471" s="317" t="s">
        <v>12788</v>
      </c>
      <c r="H9471" s="318" t="s">
        <v>12789</v>
      </c>
      <c r="I9471" s="317">
        <v>0</v>
      </c>
      <c r="J9471" s="356">
        <v>160</v>
      </c>
      <c r="K9471" s="356">
        <v>192</v>
      </c>
      <c r="L9471" s="356">
        <v>0</v>
      </c>
      <c r="M9471" s="356">
        <v>0</v>
      </c>
      <c r="N9471" s="356">
        <v>0</v>
      </c>
      <c r="O9471" s="356">
        <v>0</v>
      </c>
      <c r="P9471" s="362">
        <v>0.5755728</v>
      </c>
      <c r="Q9471" s="356" t="s">
        <v>154</v>
      </c>
    </row>
    <row r="9472" spans="1:17" ht="192" x14ac:dyDescent="0.25">
      <c r="A9472" s="314">
        <v>44810</v>
      </c>
      <c r="B9472" s="314">
        <v>44813</v>
      </c>
      <c r="C9472" s="315">
        <v>2022</v>
      </c>
      <c r="D9472" s="351" t="s">
        <v>23</v>
      </c>
      <c r="E9472" s="316" t="s">
        <v>86</v>
      </c>
      <c r="F9472" s="7" t="s">
        <v>49</v>
      </c>
      <c r="G9472" s="317" t="s">
        <v>12790</v>
      </c>
      <c r="H9472" s="318" t="s">
        <v>12791</v>
      </c>
      <c r="I9472" s="317">
        <v>0</v>
      </c>
      <c r="J9472" s="356">
        <v>6300</v>
      </c>
      <c r="K9472" s="356">
        <v>1575</v>
      </c>
      <c r="L9472" s="356">
        <v>0</v>
      </c>
      <c r="M9472" s="356">
        <v>0</v>
      </c>
      <c r="N9472" s="356">
        <v>0</v>
      </c>
      <c r="O9472" s="356">
        <v>0</v>
      </c>
      <c r="P9472" s="362">
        <v>2.1010893749999999</v>
      </c>
      <c r="Q9472" s="356" t="s">
        <v>154</v>
      </c>
    </row>
    <row r="9473" spans="1:17" ht="168" x14ac:dyDescent="0.25">
      <c r="A9473" s="314">
        <v>44813</v>
      </c>
      <c r="B9473" s="314">
        <v>44813</v>
      </c>
      <c r="C9473" s="315">
        <v>2022</v>
      </c>
      <c r="D9473" s="35" t="s">
        <v>28</v>
      </c>
      <c r="E9473" s="316" t="s">
        <v>149</v>
      </c>
      <c r="F9473" s="317" t="s">
        <v>45</v>
      </c>
      <c r="G9473" s="317" t="s">
        <v>259</v>
      </c>
      <c r="H9473" s="318" t="s">
        <v>12792</v>
      </c>
      <c r="I9473" s="317">
        <v>0</v>
      </c>
      <c r="J9473" s="356">
        <v>2004</v>
      </c>
      <c r="K9473" s="356">
        <v>0</v>
      </c>
      <c r="L9473" s="356">
        <v>0</v>
      </c>
      <c r="M9473" s="356">
        <v>0</v>
      </c>
      <c r="N9473" s="356">
        <v>0</v>
      </c>
      <c r="O9473" s="356">
        <v>0</v>
      </c>
      <c r="P9473" s="362">
        <v>0.172325901</v>
      </c>
      <c r="Q9473" s="356" t="s">
        <v>154</v>
      </c>
    </row>
    <row r="9474" spans="1:17" ht="336" x14ac:dyDescent="0.25">
      <c r="A9474" s="314">
        <v>44813</v>
      </c>
      <c r="B9474" s="314">
        <v>44814</v>
      </c>
      <c r="C9474" s="315">
        <v>2022</v>
      </c>
      <c r="D9474" s="351" t="s">
        <v>23</v>
      </c>
      <c r="E9474" s="316" t="s">
        <v>86</v>
      </c>
      <c r="F9474" s="317" t="s">
        <v>47</v>
      </c>
      <c r="G9474" s="317" t="s">
        <v>12793</v>
      </c>
      <c r="H9474" s="318" t="s">
        <v>12794</v>
      </c>
      <c r="I9474" s="317">
        <v>0</v>
      </c>
      <c r="J9474" s="356">
        <v>21</v>
      </c>
      <c r="K9474" s="356">
        <v>4</v>
      </c>
      <c r="L9474" s="356">
        <v>0</v>
      </c>
      <c r="M9474" s="356">
        <v>0</v>
      </c>
      <c r="N9474" s="356">
        <v>0</v>
      </c>
      <c r="O9474" s="356">
        <v>0</v>
      </c>
      <c r="P9474" s="362">
        <v>0.53773609999999994</v>
      </c>
      <c r="Q9474" s="356" t="s">
        <v>154</v>
      </c>
    </row>
    <row r="9475" spans="1:17" ht="156" x14ac:dyDescent="0.25">
      <c r="A9475" s="314">
        <v>44814</v>
      </c>
      <c r="B9475" s="314">
        <v>44814</v>
      </c>
      <c r="C9475" s="315">
        <v>2022</v>
      </c>
      <c r="D9475" s="24" t="s">
        <v>141</v>
      </c>
      <c r="E9475" s="316" t="s">
        <v>1965</v>
      </c>
      <c r="F9475" s="317" t="s">
        <v>91</v>
      </c>
      <c r="G9475" s="317" t="s">
        <v>12795</v>
      </c>
      <c r="H9475" s="318" t="s">
        <v>12796</v>
      </c>
      <c r="I9475" s="317">
        <v>18</v>
      </c>
      <c r="J9475" s="356">
        <v>18</v>
      </c>
      <c r="K9475" s="356">
        <v>0</v>
      </c>
      <c r="L9475" s="356">
        <v>0</v>
      </c>
      <c r="M9475" s="356">
        <v>0</v>
      </c>
      <c r="N9475" s="356">
        <v>0</v>
      </c>
      <c r="O9475" s="356">
        <v>0</v>
      </c>
      <c r="P9475" s="362">
        <v>0</v>
      </c>
      <c r="Q9475" s="356" t="s">
        <v>154</v>
      </c>
    </row>
    <row r="9476" spans="1:17" ht="276" x14ac:dyDescent="0.25">
      <c r="A9476" s="314">
        <v>44813</v>
      </c>
      <c r="B9476" s="314">
        <v>44814</v>
      </c>
      <c r="C9476" s="315">
        <v>2022</v>
      </c>
      <c r="D9476" s="351" t="s">
        <v>23</v>
      </c>
      <c r="E9476" s="316" t="s">
        <v>86</v>
      </c>
      <c r="F9476" s="317" t="s">
        <v>210</v>
      </c>
      <c r="G9476" s="319" t="s">
        <v>6688</v>
      </c>
      <c r="H9476" s="318" t="s">
        <v>12797</v>
      </c>
      <c r="I9476" s="317">
        <v>0</v>
      </c>
      <c r="J9476" s="356">
        <v>50</v>
      </c>
      <c r="K9476" s="356">
        <v>1</v>
      </c>
      <c r="L9476" s="356">
        <v>0</v>
      </c>
      <c r="M9476" s="356">
        <v>0</v>
      </c>
      <c r="N9476" s="356">
        <v>0</v>
      </c>
      <c r="O9476" s="356">
        <v>0</v>
      </c>
      <c r="P9476" s="362">
        <v>1947.38963812</v>
      </c>
      <c r="Q9476" s="356" t="s">
        <v>12586</v>
      </c>
    </row>
    <row r="9477" spans="1:17" ht="132" x14ac:dyDescent="0.25">
      <c r="A9477" s="314">
        <v>44814</v>
      </c>
      <c r="B9477" s="314">
        <v>44814</v>
      </c>
      <c r="C9477" s="315">
        <v>2022</v>
      </c>
      <c r="D9477" s="24" t="s">
        <v>141</v>
      </c>
      <c r="E9477" s="316" t="s">
        <v>1965</v>
      </c>
      <c r="F9477" s="7" t="s">
        <v>87</v>
      </c>
      <c r="G9477" s="317" t="s">
        <v>12798</v>
      </c>
      <c r="H9477" s="318" t="s">
        <v>12799</v>
      </c>
      <c r="I9477" s="317">
        <v>1</v>
      </c>
      <c r="J9477" s="356">
        <v>2</v>
      </c>
      <c r="K9477" s="356">
        <v>0</v>
      </c>
      <c r="L9477" s="356">
        <v>0</v>
      </c>
      <c r="M9477" s="356">
        <v>0</v>
      </c>
      <c r="N9477" s="356">
        <v>0</v>
      </c>
      <c r="O9477" s="356">
        <v>0</v>
      </c>
      <c r="P9477" s="362">
        <v>0</v>
      </c>
      <c r="Q9477" s="356" t="s">
        <v>154</v>
      </c>
    </row>
    <row r="9478" spans="1:17" ht="132" x14ac:dyDescent="0.25">
      <c r="A9478" s="314">
        <v>44813</v>
      </c>
      <c r="B9478" s="314">
        <v>44814</v>
      </c>
      <c r="C9478" s="315">
        <v>2022</v>
      </c>
      <c r="D9478" s="351" t="s">
        <v>23</v>
      </c>
      <c r="E9478" s="316" t="s">
        <v>52</v>
      </c>
      <c r="F9478" s="317" t="s">
        <v>60</v>
      </c>
      <c r="G9478" s="317" t="s">
        <v>6240</v>
      </c>
      <c r="H9478" s="318" t="s">
        <v>12800</v>
      </c>
      <c r="I9478" s="317">
        <v>0</v>
      </c>
      <c r="J9478" s="356">
        <f>57*4</f>
        <v>228</v>
      </c>
      <c r="K9478" s="356">
        <v>57</v>
      </c>
      <c r="L9478" s="356">
        <v>0</v>
      </c>
      <c r="M9478" s="356">
        <v>0</v>
      </c>
      <c r="N9478" s="356">
        <v>0</v>
      </c>
      <c r="O9478" s="356">
        <v>0</v>
      </c>
      <c r="P9478" s="362">
        <v>7.6039425000000008E-2</v>
      </c>
      <c r="Q9478" s="356" t="s">
        <v>154</v>
      </c>
    </row>
    <row r="9479" spans="1:17" ht="120" x14ac:dyDescent="0.25">
      <c r="A9479" s="314">
        <v>44814</v>
      </c>
      <c r="B9479" s="314">
        <v>44815</v>
      </c>
      <c r="C9479" s="315">
        <v>2022</v>
      </c>
      <c r="D9479" s="35" t="s">
        <v>28</v>
      </c>
      <c r="E9479" s="316" t="s">
        <v>133</v>
      </c>
      <c r="F9479" s="7" t="s">
        <v>53</v>
      </c>
      <c r="G9479" s="317" t="s">
        <v>7379</v>
      </c>
      <c r="H9479" s="318" t="s">
        <v>12801</v>
      </c>
      <c r="I9479" s="317">
        <v>1</v>
      </c>
      <c r="J9479" s="356">
        <v>41</v>
      </c>
      <c r="K9479" s="356">
        <v>0</v>
      </c>
      <c r="L9479" s="356">
        <v>0</v>
      </c>
      <c r="M9479" s="356">
        <v>0</v>
      </c>
      <c r="N9479" s="356">
        <v>0</v>
      </c>
      <c r="O9479" s="356">
        <v>0</v>
      </c>
      <c r="P9479" s="362">
        <v>1.3918267E-2</v>
      </c>
      <c r="Q9479" s="356" t="s">
        <v>154</v>
      </c>
    </row>
    <row r="9480" spans="1:17" ht="144" x14ac:dyDescent="0.25">
      <c r="A9480" s="314">
        <v>44814</v>
      </c>
      <c r="B9480" s="314">
        <v>44815</v>
      </c>
      <c r="C9480" s="315">
        <v>2022</v>
      </c>
      <c r="D9480" s="351" t="s">
        <v>23</v>
      </c>
      <c r="E9480" s="316" t="s">
        <v>86</v>
      </c>
      <c r="F9480" s="317" t="s">
        <v>67</v>
      </c>
      <c r="G9480" s="317" t="s">
        <v>12802</v>
      </c>
      <c r="H9480" s="318" t="s">
        <v>12803</v>
      </c>
      <c r="I9480" s="317">
        <v>0</v>
      </c>
      <c r="J9480" s="356">
        <v>12</v>
      </c>
      <c r="K9480" s="356">
        <v>3</v>
      </c>
      <c r="L9480" s="356">
        <v>0</v>
      </c>
      <c r="M9480" s="356">
        <v>0</v>
      </c>
      <c r="N9480" s="356">
        <v>0</v>
      </c>
      <c r="O9480" s="356">
        <v>0</v>
      </c>
      <c r="P9480" s="362">
        <v>1.86649155E-2</v>
      </c>
      <c r="Q9480" s="356" t="s">
        <v>154</v>
      </c>
    </row>
    <row r="9481" spans="1:17" ht="168" x14ac:dyDescent="0.25">
      <c r="A9481" s="314">
        <v>44815</v>
      </c>
      <c r="B9481" s="314">
        <v>44815</v>
      </c>
      <c r="C9481" s="315">
        <v>2022</v>
      </c>
      <c r="D9481" s="35" t="s">
        <v>17</v>
      </c>
      <c r="E9481" s="316" t="s">
        <v>328</v>
      </c>
      <c r="F9481" s="317" t="s">
        <v>36</v>
      </c>
      <c r="G9481" s="317" t="s">
        <v>12804</v>
      </c>
      <c r="H9481" s="318" t="s">
        <v>12805</v>
      </c>
      <c r="I9481" s="317">
        <v>0</v>
      </c>
      <c r="J9481" s="356">
        <v>8</v>
      </c>
      <c r="K9481" s="356">
        <v>2</v>
      </c>
      <c r="L9481" s="356">
        <v>1</v>
      </c>
      <c r="M9481" s="356">
        <v>0</v>
      </c>
      <c r="N9481" s="356">
        <v>0</v>
      </c>
      <c r="O9481" s="356">
        <v>0</v>
      </c>
      <c r="P9481" s="362">
        <v>1.39755E-2</v>
      </c>
      <c r="Q9481" s="356" t="s">
        <v>154</v>
      </c>
    </row>
    <row r="9482" spans="1:17" ht="120" x14ac:dyDescent="0.25">
      <c r="A9482" s="314">
        <v>44814</v>
      </c>
      <c r="B9482" s="314">
        <v>44815</v>
      </c>
      <c r="C9482" s="315">
        <v>2022</v>
      </c>
      <c r="D9482" s="351" t="s">
        <v>23</v>
      </c>
      <c r="E9482" s="316" t="s">
        <v>323</v>
      </c>
      <c r="F9482" s="317" t="s">
        <v>36</v>
      </c>
      <c r="G9482" s="317" t="s">
        <v>3371</v>
      </c>
      <c r="H9482" s="318" t="s">
        <v>12806</v>
      </c>
      <c r="I9482" s="317">
        <v>0</v>
      </c>
      <c r="J9482" s="356">
        <v>12</v>
      </c>
      <c r="K9482" s="356">
        <v>3</v>
      </c>
      <c r="L9482" s="356">
        <v>0</v>
      </c>
      <c r="M9482" s="356">
        <v>0</v>
      </c>
      <c r="N9482" s="356">
        <v>0</v>
      </c>
      <c r="O9482" s="356">
        <v>0</v>
      </c>
      <c r="P9482" s="362">
        <v>1.3975500000000002E-3</v>
      </c>
      <c r="Q9482" s="356" t="s">
        <v>154</v>
      </c>
    </row>
    <row r="9483" spans="1:17" ht="264" x14ac:dyDescent="0.25">
      <c r="A9483" s="314">
        <v>44814</v>
      </c>
      <c r="B9483" s="314">
        <v>44814</v>
      </c>
      <c r="C9483" s="315">
        <v>2022</v>
      </c>
      <c r="D9483" s="351" t="s">
        <v>23</v>
      </c>
      <c r="E9483" s="316" t="s">
        <v>86</v>
      </c>
      <c r="F9483" s="317" t="s">
        <v>62</v>
      </c>
      <c r="G9483" s="317" t="s">
        <v>10399</v>
      </c>
      <c r="H9483" s="318" t="s">
        <v>12807</v>
      </c>
      <c r="I9483" s="317">
        <v>0</v>
      </c>
      <c r="J9483" s="356">
        <v>94</v>
      </c>
      <c r="K9483" s="356">
        <v>23</v>
      </c>
      <c r="L9483" s="356">
        <v>0</v>
      </c>
      <c r="M9483" s="356">
        <v>0</v>
      </c>
      <c r="N9483" s="356">
        <v>0</v>
      </c>
      <c r="O9483" s="356">
        <v>0</v>
      </c>
      <c r="P9483" s="362">
        <v>3.0682575E-2</v>
      </c>
      <c r="Q9483" s="356" t="s">
        <v>154</v>
      </c>
    </row>
    <row r="9484" spans="1:17" ht="276" x14ac:dyDescent="0.25">
      <c r="A9484" s="314">
        <v>44816</v>
      </c>
      <c r="B9484" s="314">
        <v>44816</v>
      </c>
      <c r="C9484" s="315">
        <v>2022</v>
      </c>
      <c r="D9484" s="351" t="s">
        <v>23</v>
      </c>
      <c r="E9484" s="316" t="s">
        <v>86</v>
      </c>
      <c r="F9484" s="317" t="s">
        <v>67</v>
      </c>
      <c r="G9484" s="317" t="s">
        <v>12808</v>
      </c>
      <c r="H9484" s="318" t="s">
        <v>12809</v>
      </c>
      <c r="I9484" s="317">
        <v>1</v>
      </c>
      <c r="J9484" s="356">
        <v>13</v>
      </c>
      <c r="K9484" s="356">
        <v>0</v>
      </c>
      <c r="L9484" s="356">
        <v>0</v>
      </c>
      <c r="M9484" s="356">
        <v>0</v>
      </c>
      <c r="N9484" s="356">
        <v>0</v>
      </c>
      <c r="O9484" s="356">
        <v>0</v>
      </c>
      <c r="P9484" s="362">
        <v>0</v>
      </c>
      <c r="Q9484" s="356" t="s">
        <v>154</v>
      </c>
    </row>
    <row r="9485" spans="1:17" ht="372" x14ac:dyDescent="0.25">
      <c r="A9485" s="314">
        <v>44811</v>
      </c>
      <c r="B9485" s="314">
        <v>44811</v>
      </c>
      <c r="C9485" s="315">
        <v>2022</v>
      </c>
      <c r="D9485" s="351" t="s">
        <v>23</v>
      </c>
      <c r="E9485" s="316" t="s">
        <v>86</v>
      </c>
      <c r="F9485" s="317" t="s">
        <v>45</v>
      </c>
      <c r="G9485" s="317" t="s">
        <v>12810</v>
      </c>
      <c r="H9485" s="318" t="s">
        <v>12811</v>
      </c>
      <c r="I9485" s="317">
        <v>0</v>
      </c>
      <c r="J9485" s="356">
        <v>120</v>
      </c>
      <c r="K9485" s="356">
        <v>0</v>
      </c>
      <c r="L9485" s="356">
        <v>0</v>
      </c>
      <c r="M9485" s="356">
        <v>0</v>
      </c>
      <c r="N9485" s="356">
        <v>0</v>
      </c>
      <c r="O9485" s="356">
        <v>0</v>
      </c>
      <c r="P9485" s="362">
        <v>4.0020750000000001E-2</v>
      </c>
      <c r="Q9485" s="356" t="s">
        <v>154</v>
      </c>
    </row>
    <row r="9486" spans="1:17" ht="192" x14ac:dyDescent="0.25">
      <c r="A9486" s="314">
        <v>44811</v>
      </c>
      <c r="B9486" s="314">
        <v>44811</v>
      </c>
      <c r="C9486" s="315">
        <v>2022</v>
      </c>
      <c r="D9486" s="351" t="s">
        <v>23</v>
      </c>
      <c r="E9486" s="316" t="s">
        <v>86</v>
      </c>
      <c r="F9486" s="7" t="s">
        <v>49</v>
      </c>
      <c r="G9486" s="317" t="s">
        <v>49</v>
      </c>
      <c r="H9486" s="318" t="s">
        <v>12812</v>
      </c>
      <c r="I9486" s="317">
        <v>0</v>
      </c>
      <c r="J9486" s="356">
        <v>100</v>
      </c>
      <c r="K9486" s="356">
        <v>12</v>
      </c>
      <c r="L9486" s="356">
        <v>0</v>
      </c>
      <c r="M9486" s="356">
        <v>0</v>
      </c>
      <c r="N9486" s="356">
        <v>0</v>
      </c>
      <c r="O9486" s="356">
        <v>0</v>
      </c>
      <c r="P9486" s="362">
        <v>1.60083E-2</v>
      </c>
      <c r="Q9486" s="356" t="s">
        <v>154</v>
      </c>
    </row>
    <row r="9487" spans="1:17" x14ac:dyDescent="0.25">
      <c r="A9487" s="314">
        <v>44815</v>
      </c>
      <c r="B9487" s="314">
        <v>44816</v>
      </c>
      <c r="C9487" s="315">
        <v>2022</v>
      </c>
      <c r="D9487" s="351" t="s">
        <v>23</v>
      </c>
      <c r="E9487" s="316" t="s">
        <v>86</v>
      </c>
      <c r="F9487" s="317" t="s">
        <v>30</v>
      </c>
      <c r="G9487" s="317" t="s">
        <v>1070</v>
      </c>
      <c r="H9487" s="320" t="s">
        <v>12813</v>
      </c>
      <c r="I9487" s="317"/>
      <c r="J9487" s="356">
        <v>160</v>
      </c>
      <c r="K9487" s="356">
        <v>22</v>
      </c>
      <c r="L9487" s="356">
        <v>0</v>
      </c>
      <c r="M9487" s="356">
        <v>0</v>
      </c>
      <c r="N9487" s="356">
        <v>0</v>
      </c>
      <c r="O9487" s="356">
        <v>0</v>
      </c>
      <c r="P9487" s="362">
        <v>2.9348549999999998E-2</v>
      </c>
      <c r="Q9487" s="356" t="s">
        <v>154</v>
      </c>
    </row>
    <row r="9488" spans="1:17" ht="288" x14ac:dyDescent="0.25">
      <c r="A9488" s="314">
        <v>44817</v>
      </c>
      <c r="B9488" s="314">
        <v>44817</v>
      </c>
      <c r="C9488" s="315">
        <v>2022</v>
      </c>
      <c r="D9488" s="351" t="s">
        <v>23</v>
      </c>
      <c r="E9488" s="316" t="s">
        <v>52</v>
      </c>
      <c r="F9488" s="317" t="s">
        <v>58</v>
      </c>
      <c r="G9488" s="317" t="s">
        <v>2769</v>
      </c>
      <c r="H9488" s="318" t="s">
        <v>12814</v>
      </c>
      <c r="I9488" s="317">
        <v>0</v>
      </c>
      <c r="J9488" s="356">
        <v>57</v>
      </c>
      <c r="K9488" s="356">
        <v>10</v>
      </c>
      <c r="L9488" s="356">
        <v>0</v>
      </c>
      <c r="M9488" s="356">
        <v>0</v>
      </c>
      <c r="N9488" s="356">
        <v>0</v>
      </c>
      <c r="O9488" s="356">
        <v>0</v>
      </c>
      <c r="P9488" s="362">
        <v>3.5160385699999998E-2</v>
      </c>
      <c r="Q9488" s="356" t="s">
        <v>154</v>
      </c>
    </row>
    <row r="9489" spans="1:17" ht="108" x14ac:dyDescent="0.25">
      <c r="A9489" s="314">
        <v>44817</v>
      </c>
      <c r="B9489" s="314">
        <v>44817</v>
      </c>
      <c r="C9489" s="315">
        <v>2022</v>
      </c>
      <c r="D9489" s="24" t="s">
        <v>141</v>
      </c>
      <c r="E9489" s="316" t="s">
        <v>142</v>
      </c>
      <c r="F9489" s="317" t="s">
        <v>60</v>
      </c>
      <c r="G9489" s="317" t="s">
        <v>12815</v>
      </c>
      <c r="H9489" s="318" t="s">
        <v>12816</v>
      </c>
      <c r="I9489" s="317">
        <v>0</v>
      </c>
      <c r="J9489" s="356">
        <v>9</v>
      </c>
      <c r="K9489" s="356">
        <v>0</v>
      </c>
      <c r="L9489" s="356">
        <v>0</v>
      </c>
      <c r="M9489" s="356">
        <v>0</v>
      </c>
      <c r="N9489" s="356">
        <v>0</v>
      </c>
      <c r="O9489" s="356">
        <v>0</v>
      </c>
      <c r="P9489" s="362">
        <v>8.7606420000000004E-2</v>
      </c>
      <c r="Q9489" s="356" t="s">
        <v>154</v>
      </c>
    </row>
    <row r="9490" spans="1:17" ht="168" x14ac:dyDescent="0.25">
      <c r="A9490" s="314">
        <v>44817</v>
      </c>
      <c r="B9490" s="314">
        <v>44817</v>
      </c>
      <c r="C9490" s="315">
        <v>2022</v>
      </c>
      <c r="D9490" s="351" t="s">
        <v>23</v>
      </c>
      <c r="E9490" s="316" t="s">
        <v>86</v>
      </c>
      <c r="F9490" s="317" t="s">
        <v>65</v>
      </c>
      <c r="G9490" s="317" t="s">
        <v>12817</v>
      </c>
      <c r="H9490" s="318" t="s">
        <v>12818</v>
      </c>
      <c r="I9490" s="317">
        <v>0</v>
      </c>
      <c r="J9490" s="356">
        <v>140</v>
      </c>
      <c r="K9490" s="356">
        <v>35</v>
      </c>
      <c r="L9490" s="356">
        <v>0</v>
      </c>
      <c r="M9490" s="356">
        <v>0</v>
      </c>
      <c r="N9490" s="356">
        <v>0</v>
      </c>
      <c r="O9490" s="356">
        <v>0</v>
      </c>
      <c r="P9490" s="362">
        <v>4.6690875E-2</v>
      </c>
      <c r="Q9490" s="356" t="s">
        <v>154</v>
      </c>
    </row>
    <row r="9491" spans="1:17" ht="120" x14ac:dyDescent="0.25">
      <c r="A9491" s="314">
        <v>44817</v>
      </c>
      <c r="B9491" s="314">
        <v>44817</v>
      </c>
      <c r="C9491" s="315">
        <v>2022</v>
      </c>
      <c r="D9491" s="35" t="s">
        <v>28</v>
      </c>
      <c r="E9491" s="316" t="s">
        <v>149</v>
      </c>
      <c r="F9491" s="317" t="s">
        <v>82</v>
      </c>
      <c r="G9491" s="317" t="s">
        <v>12819</v>
      </c>
      <c r="H9491" s="318" t="s">
        <v>12820</v>
      </c>
      <c r="I9491" s="317">
        <v>3</v>
      </c>
      <c r="J9491" s="356">
        <v>14</v>
      </c>
      <c r="K9491" s="356">
        <v>0</v>
      </c>
      <c r="L9491" s="356">
        <v>0</v>
      </c>
      <c r="M9491" s="356">
        <v>0</v>
      </c>
      <c r="N9491" s="356">
        <v>0</v>
      </c>
      <c r="O9491" s="356">
        <v>0</v>
      </c>
      <c r="P9491" s="362">
        <v>8.3853000000000018E-3</v>
      </c>
      <c r="Q9491" s="356" t="s">
        <v>154</v>
      </c>
    </row>
    <row r="9492" spans="1:17" ht="240" x14ac:dyDescent="0.25">
      <c r="A9492" s="314">
        <v>44818</v>
      </c>
      <c r="B9492" s="314">
        <v>44818</v>
      </c>
      <c r="C9492" s="315">
        <v>2022</v>
      </c>
      <c r="D9492" s="35" t="s">
        <v>17</v>
      </c>
      <c r="E9492" s="316" t="s">
        <v>328</v>
      </c>
      <c r="F9492" s="317" t="s">
        <v>65</v>
      </c>
      <c r="G9492" s="317" t="s">
        <v>1511</v>
      </c>
      <c r="H9492" s="318" t="s">
        <v>12821</v>
      </c>
      <c r="I9492" s="317">
        <v>3</v>
      </c>
      <c r="J9492" s="356">
        <v>6</v>
      </c>
      <c r="K9492" s="356">
        <v>2</v>
      </c>
      <c r="L9492" s="356">
        <v>0</v>
      </c>
      <c r="M9492" s="356">
        <v>0</v>
      </c>
      <c r="N9492" s="356">
        <v>0</v>
      </c>
      <c r="O9492" s="356">
        <v>0</v>
      </c>
      <c r="P9492" s="362">
        <v>0.3085137</v>
      </c>
      <c r="Q9492" s="356" t="s">
        <v>154</v>
      </c>
    </row>
    <row r="9493" spans="1:17" ht="132" x14ac:dyDescent="0.25">
      <c r="A9493" s="314">
        <v>44819</v>
      </c>
      <c r="B9493" s="314">
        <v>44819</v>
      </c>
      <c r="C9493" s="315">
        <v>2022</v>
      </c>
      <c r="D9493" s="24" t="s">
        <v>141</v>
      </c>
      <c r="E9493" s="316" t="s">
        <v>142</v>
      </c>
      <c r="F9493" s="317" t="s">
        <v>56</v>
      </c>
      <c r="G9493" s="317" t="s">
        <v>1160</v>
      </c>
      <c r="H9493" s="318" t="s">
        <v>12822</v>
      </c>
      <c r="I9493" s="317">
        <v>1</v>
      </c>
      <c r="J9493" s="356">
        <v>1</v>
      </c>
      <c r="K9493" s="356">
        <v>0</v>
      </c>
      <c r="L9493" s="356">
        <v>0</v>
      </c>
      <c r="M9493" s="356">
        <v>0</v>
      </c>
      <c r="N9493" s="356">
        <v>0</v>
      </c>
      <c r="O9493" s="356">
        <v>0</v>
      </c>
      <c r="P9493" s="362">
        <v>1.9920535354057374</v>
      </c>
      <c r="Q9493" s="356" t="s">
        <v>154</v>
      </c>
    </row>
    <row r="9494" spans="1:17" ht="216" x14ac:dyDescent="0.25">
      <c r="A9494" s="314">
        <v>44819</v>
      </c>
      <c r="B9494" s="314">
        <v>44819</v>
      </c>
      <c r="C9494" s="315">
        <v>2022</v>
      </c>
      <c r="D9494" s="351" t="s">
        <v>23</v>
      </c>
      <c r="E9494" s="316" t="s">
        <v>86</v>
      </c>
      <c r="F9494" s="317" t="s">
        <v>210</v>
      </c>
      <c r="G9494" s="319" t="s">
        <v>12823</v>
      </c>
      <c r="H9494" s="318" t="s">
        <v>12824</v>
      </c>
      <c r="I9494" s="317">
        <v>0</v>
      </c>
      <c r="J9494" s="356">
        <v>21</v>
      </c>
      <c r="K9494" s="356">
        <v>2</v>
      </c>
      <c r="L9494" s="356">
        <v>0</v>
      </c>
      <c r="M9494" s="356">
        <v>0</v>
      </c>
      <c r="N9494" s="356">
        <v>13</v>
      </c>
      <c r="O9494" s="356">
        <v>0</v>
      </c>
      <c r="P9494" s="362">
        <v>1.2443277000000001E-2</v>
      </c>
      <c r="Q9494" s="356" t="s">
        <v>154</v>
      </c>
    </row>
    <row r="9495" spans="1:17" ht="180" x14ac:dyDescent="0.25">
      <c r="A9495" s="314">
        <v>44822</v>
      </c>
      <c r="B9495" s="314">
        <v>44825</v>
      </c>
      <c r="C9495" s="315">
        <v>2022</v>
      </c>
      <c r="D9495" s="351" t="s">
        <v>23</v>
      </c>
      <c r="E9495" s="316" t="s">
        <v>86</v>
      </c>
      <c r="F9495" s="317" t="s">
        <v>65</v>
      </c>
      <c r="G9495" s="317" t="s">
        <v>12825</v>
      </c>
      <c r="H9495" s="318" t="s">
        <v>12826</v>
      </c>
      <c r="I9495" s="317">
        <v>0</v>
      </c>
      <c r="J9495" s="356">
        <f>53-4</f>
        <v>49</v>
      </c>
      <c r="K9495" s="356">
        <v>23</v>
      </c>
      <c r="L9495" s="356">
        <v>0</v>
      </c>
      <c r="M9495" s="356">
        <v>0</v>
      </c>
      <c r="N9495" s="356">
        <v>0</v>
      </c>
      <c r="O9495" s="356">
        <v>0</v>
      </c>
      <c r="P9495" s="362">
        <v>0.32974684049999997</v>
      </c>
      <c r="Q9495" s="356" t="s">
        <v>154</v>
      </c>
    </row>
    <row r="9496" spans="1:17" ht="38.25" x14ac:dyDescent="0.25">
      <c r="A9496" s="314">
        <v>44823</v>
      </c>
      <c r="B9496" s="314">
        <v>44823</v>
      </c>
      <c r="C9496" s="315">
        <v>2022</v>
      </c>
      <c r="D9496" s="35" t="s">
        <v>17</v>
      </c>
      <c r="E9496" s="316" t="s">
        <v>122</v>
      </c>
      <c r="F9496" s="317" t="s">
        <v>62</v>
      </c>
      <c r="G9496" s="317" t="s">
        <v>12827</v>
      </c>
      <c r="H9496" s="318" t="s">
        <v>12828</v>
      </c>
      <c r="I9496" s="317">
        <v>0</v>
      </c>
      <c r="J9496" s="356">
        <v>18846</v>
      </c>
      <c r="K9496" s="356">
        <v>5119</v>
      </c>
      <c r="L9496" s="356">
        <v>269</v>
      </c>
      <c r="M9496" s="356">
        <v>41</v>
      </c>
      <c r="N9496" s="356">
        <v>30</v>
      </c>
      <c r="O9496" s="356">
        <v>0</v>
      </c>
      <c r="P9496" s="362">
        <v>789</v>
      </c>
      <c r="Q9496" s="356" t="s">
        <v>12541</v>
      </c>
    </row>
    <row r="9497" spans="1:17" ht="89.25" x14ac:dyDescent="0.25">
      <c r="A9497" s="314">
        <v>44823</v>
      </c>
      <c r="B9497" s="314">
        <v>44823</v>
      </c>
      <c r="C9497" s="315">
        <v>2022</v>
      </c>
      <c r="D9497" s="35" t="s">
        <v>17</v>
      </c>
      <c r="E9497" s="316" t="s">
        <v>122</v>
      </c>
      <c r="F9497" s="317" t="s">
        <v>47</v>
      </c>
      <c r="G9497" s="317" t="s">
        <v>12829</v>
      </c>
      <c r="H9497" s="318" t="s">
        <v>12828</v>
      </c>
      <c r="I9497" s="317">
        <v>3</v>
      </c>
      <c r="J9497" s="356">
        <v>10381</v>
      </c>
      <c r="K9497" s="356">
        <v>7226</v>
      </c>
      <c r="L9497" s="356">
        <v>181</v>
      </c>
      <c r="M9497" s="356">
        <v>10</v>
      </c>
      <c r="N9497" s="356">
        <v>180</v>
      </c>
      <c r="O9497" s="356">
        <v>0</v>
      </c>
      <c r="P9497" s="362">
        <v>1021</v>
      </c>
      <c r="Q9497" s="356" t="s">
        <v>12541</v>
      </c>
    </row>
    <row r="9498" spans="1:17" ht="228" x14ac:dyDescent="0.25">
      <c r="A9498" s="314">
        <v>44821</v>
      </c>
      <c r="B9498" s="314">
        <v>44825</v>
      </c>
      <c r="C9498" s="315">
        <v>2022</v>
      </c>
      <c r="D9498" s="351" t="s">
        <v>23</v>
      </c>
      <c r="E9498" s="316" t="s">
        <v>86</v>
      </c>
      <c r="F9498" s="317" t="s">
        <v>781</v>
      </c>
      <c r="G9498" s="317" t="s">
        <v>12830</v>
      </c>
      <c r="H9498" s="318" t="s">
        <v>12831</v>
      </c>
      <c r="I9498" s="317">
        <v>0</v>
      </c>
      <c r="J9498" s="356">
        <f>35*4</f>
        <v>140</v>
      </c>
      <c r="K9498" s="356">
        <v>35</v>
      </c>
      <c r="L9498" s="356">
        <v>0</v>
      </c>
      <c r="M9498" s="356">
        <v>0</v>
      </c>
      <c r="N9498" s="356">
        <v>0</v>
      </c>
      <c r="O9498" s="356">
        <v>0</v>
      </c>
      <c r="P9498" s="362">
        <v>4.6690875E-2</v>
      </c>
      <c r="Q9498" s="356" t="s">
        <v>154</v>
      </c>
    </row>
    <row r="9499" spans="1:17" ht="156" x14ac:dyDescent="0.25">
      <c r="A9499" s="314">
        <v>44824</v>
      </c>
      <c r="B9499" s="314">
        <v>44825</v>
      </c>
      <c r="C9499" s="315">
        <v>2022</v>
      </c>
      <c r="D9499" s="24" t="s">
        <v>141</v>
      </c>
      <c r="E9499" s="316" t="s">
        <v>1965</v>
      </c>
      <c r="F9499" s="7" t="s">
        <v>53</v>
      </c>
      <c r="G9499" s="317" t="s">
        <v>4816</v>
      </c>
      <c r="H9499" s="318" t="s">
        <v>12832</v>
      </c>
      <c r="I9499" s="317">
        <v>0</v>
      </c>
      <c r="J9499" s="356">
        <v>12</v>
      </c>
      <c r="K9499" s="356">
        <v>0</v>
      </c>
      <c r="L9499" s="356">
        <v>0</v>
      </c>
      <c r="M9499" s="356">
        <v>0</v>
      </c>
      <c r="N9499" s="356">
        <v>0</v>
      </c>
      <c r="O9499" s="356">
        <v>0</v>
      </c>
      <c r="P9499" s="362">
        <v>1.4374800000000002E-2</v>
      </c>
      <c r="Q9499" s="356" t="s">
        <v>154</v>
      </c>
    </row>
    <row r="9500" spans="1:17" ht="120" x14ac:dyDescent="0.25">
      <c r="A9500" s="314">
        <v>44824</v>
      </c>
      <c r="B9500" s="314">
        <v>44825</v>
      </c>
      <c r="C9500" s="315">
        <v>2022</v>
      </c>
      <c r="D9500" s="24" t="s">
        <v>141</v>
      </c>
      <c r="E9500" s="316" t="s">
        <v>142</v>
      </c>
      <c r="F9500" s="317" t="s">
        <v>72</v>
      </c>
      <c r="G9500" s="317" t="s">
        <v>72</v>
      </c>
      <c r="H9500" s="318" t="s">
        <v>12833</v>
      </c>
      <c r="I9500" s="317">
        <v>1</v>
      </c>
      <c r="J9500" s="356">
        <v>31</v>
      </c>
      <c r="K9500" s="356">
        <v>0</v>
      </c>
      <c r="L9500" s="356">
        <v>0</v>
      </c>
      <c r="M9500" s="356">
        <v>0</v>
      </c>
      <c r="N9500" s="356">
        <v>0</v>
      </c>
      <c r="O9500" s="356">
        <v>0</v>
      </c>
      <c r="P9500" s="362">
        <v>3.5936999999999997E-2</v>
      </c>
      <c r="Q9500" s="356" t="s">
        <v>154</v>
      </c>
    </row>
    <row r="9501" spans="1:17" ht="288" x14ac:dyDescent="0.25">
      <c r="A9501" s="314">
        <v>44823</v>
      </c>
      <c r="B9501" s="314">
        <v>44825</v>
      </c>
      <c r="C9501" s="315">
        <v>2022</v>
      </c>
      <c r="D9501" s="351" t="s">
        <v>23</v>
      </c>
      <c r="E9501" s="316" t="s">
        <v>86</v>
      </c>
      <c r="F9501" s="317" t="s">
        <v>210</v>
      </c>
      <c r="G9501" s="319" t="s">
        <v>12834</v>
      </c>
      <c r="H9501" s="318" t="s">
        <v>12835</v>
      </c>
      <c r="I9501" s="317">
        <v>0</v>
      </c>
      <c r="J9501" s="356">
        <v>4000</v>
      </c>
      <c r="K9501" s="356">
        <v>0</v>
      </c>
      <c r="L9501" s="356">
        <v>3</v>
      </c>
      <c r="M9501" s="356">
        <v>0</v>
      </c>
      <c r="N9501" s="356">
        <v>0</v>
      </c>
      <c r="O9501" s="356">
        <v>0</v>
      </c>
      <c r="P9501" s="362">
        <v>1.3380270750000003</v>
      </c>
      <c r="Q9501" s="356" t="s">
        <v>154</v>
      </c>
    </row>
    <row r="9502" spans="1:17" ht="72" x14ac:dyDescent="0.25">
      <c r="A9502" s="314">
        <v>44825</v>
      </c>
      <c r="B9502" s="314">
        <v>44825</v>
      </c>
      <c r="C9502" s="315">
        <v>2022</v>
      </c>
      <c r="D9502" s="351" t="s">
        <v>23</v>
      </c>
      <c r="E9502" s="316" t="s">
        <v>86</v>
      </c>
      <c r="F9502" s="317" t="s">
        <v>210</v>
      </c>
      <c r="G9502" s="319" t="s">
        <v>2331</v>
      </c>
      <c r="H9502" s="318" t="s">
        <v>12836</v>
      </c>
      <c r="I9502" s="317">
        <v>0</v>
      </c>
      <c r="J9502" s="356">
        <v>4</v>
      </c>
      <c r="K9502" s="356">
        <v>1</v>
      </c>
      <c r="L9502" s="356">
        <v>0</v>
      </c>
      <c r="M9502" s="356">
        <v>0</v>
      </c>
      <c r="N9502" s="356">
        <v>0</v>
      </c>
      <c r="O9502" s="356">
        <v>0</v>
      </c>
      <c r="P9502" s="362">
        <v>6.98775E-3</v>
      </c>
      <c r="Q9502" s="356" t="s">
        <v>154</v>
      </c>
    </row>
    <row r="9503" spans="1:17" ht="96" x14ac:dyDescent="0.25">
      <c r="A9503" s="314">
        <v>44825</v>
      </c>
      <c r="B9503" s="314">
        <v>44825</v>
      </c>
      <c r="C9503" s="315">
        <v>2022</v>
      </c>
      <c r="D9503" s="24" t="s">
        <v>141</v>
      </c>
      <c r="E9503" s="316" t="s">
        <v>142</v>
      </c>
      <c r="F9503" s="317" t="s">
        <v>56</v>
      </c>
      <c r="G9503" s="317" t="s">
        <v>2786</v>
      </c>
      <c r="H9503" s="318" t="s">
        <v>12837</v>
      </c>
      <c r="I9503" s="317">
        <v>0</v>
      </c>
      <c r="J9503" s="356">
        <v>21</v>
      </c>
      <c r="K9503" s="356">
        <v>0</v>
      </c>
      <c r="L9503" s="356">
        <v>0</v>
      </c>
      <c r="M9503" s="356">
        <v>0</v>
      </c>
      <c r="N9503" s="356">
        <v>0</v>
      </c>
      <c r="O9503" s="356">
        <v>0</v>
      </c>
      <c r="P9503" s="362">
        <v>2.5155900000000002E-2</v>
      </c>
      <c r="Q9503" s="356" t="s">
        <v>154</v>
      </c>
    </row>
    <row r="9504" spans="1:17" ht="409.5" x14ac:dyDescent="0.25">
      <c r="A9504" s="314">
        <v>44824</v>
      </c>
      <c r="B9504" s="314">
        <v>44825</v>
      </c>
      <c r="C9504" s="315">
        <v>2022</v>
      </c>
      <c r="D9504" s="351" t="s">
        <v>23</v>
      </c>
      <c r="E9504" s="316" t="s">
        <v>86</v>
      </c>
      <c r="F9504" s="317" t="s">
        <v>36</v>
      </c>
      <c r="G9504" s="317" t="s">
        <v>12838</v>
      </c>
      <c r="H9504" s="318" t="s">
        <v>12839</v>
      </c>
      <c r="I9504" s="317">
        <v>0</v>
      </c>
      <c r="J9504" s="356">
        <v>56</v>
      </c>
      <c r="K9504" s="356">
        <v>14</v>
      </c>
      <c r="L9504" s="356">
        <v>1</v>
      </c>
      <c r="M9504" s="356">
        <v>0</v>
      </c>
      <c r="N9504" s="356">
        <v>0</v>
      </c>
      <c r="O9504" s="356">
        <v>0</v>
      </c>
      <c r="P9504" s="362">
        <v>3.3117170625000001</v>
      </c>
      <c r="Q9504" s="356" t="s">
        <v>154</v>
      </c>
    </row>
    <row r="9505" spans="1:17" ht="84" x14ac:dyDescent="0.25">
      <c r="A9505" s="314">
        <v>44825</v>
      </c>
      <c r="B9505" s="314">
        <v>44826</v>
      </c>
      <c r="C9505" s="315">
        <v>2022</v>
      </c>
      <c r="D9505" s="35" t="s">
        <v>28</v>
      </c>
      <c r="E9505" s="316" t="s">
        <v>133</v>
      </c>
      <c r="F9505" s="317" t="s">
        <v>25</v>
      </c>
      <c r="G9505" s="317" t="s">
        <v>2519</v>
      </c>
      <c r="H9505" s="318" t="s">
        <v>12840</v>
      </c>
      <c r="I9505" s="317">
        <v>0</v>
      </c>
      <c r="J9505" s="356">
        <v>12</v>
      </c>
      <c r="K9505" s="356">
        <v>0</v>
      </c>
      <c r="L9505" s="356">
        <v>0</v>
      </c>
      <c r="M9505" s="356">
        <v>0</v>
      </c>
      <c r="N9505" s="356">
        <v>1</v>
      </c>
      <c r="O9505" s="356">
        <v>0</v>
      </c>
      <c r="P9505" s="362">
        <v>1.4374800000000002E-2</v>
      </c>
      <c r="Q9505" s="356" t="s">
        <v>154</v>
      </c>
    </row>
    <row r="9506" spans="1:17" ht="264" x14ac:dyDescent="0.25">
      <c r="A9506" s="314">
        <v>44824</v>
      </c>
      <c r="B9506" s="314">
        <v>44826</v>
      </c>
      <c r="C9506" s="315">
        <v>2022</v>
      </c>
      <c r="D9506" s="351" t="s">
        <v>23</v>
      </c>
      <c r="E9506" s="316" t="s">
        <v>86</v>
      </c>
      <c r="F9506" s="317" t="s">
        <v>62</v>
      </c>
      <c r="G9506" s="317" t="s">
        <v>12841</v>
      </c>
      <c r="H9506" s="318" t="s">
        <v>12842</v>
      </c>
      <c r="I9506" s="317">
        <v>0</v>
      </c>
      <c r="J9506" s="356">
        <v>80</v>
      </c>
      <c r="K9506" s="356">
        <v>20</v>
      </c>
      <c r="L9506" s="356">
        <v>0</v>
      </c>
      <c r="M9506" s="356">
        <v>0</v>
      </c>
      <c r="N9506" s="356">
        <v>0</v>
      </c>
      <c r="O9506" s="356">
        <v>0</v>
      </c>
      <c r="P9506" s="362">
        <v>2.6680499999999999E-2</v>
      </c>
      <c r="Q9506" s="356" t="s">
        <v>154</v>
      </c>
    </row>
    <row r="9507" spans="1:17" ht="216" x14ac:dyDescent="0.25">
      <c r="A9507" s="314">
        <v>44822</v>
      </c>
      <c r="B9507" s="314">
        <v>44827</v>
      </c>
      <c r="C9507" s="315">
        <v>2022</v>
      </c>
      <c r="D9507" s="351" t="s">
        <v>23</v>
      </c>
      <c r="E9507" s="316" t="s">
        <v>52</v>
      </c>
      <c r="F9507" s="317" t="s">
        <v>36</v>
      </c>
      <c r="G9507" s="317" t="s">
        <v>12843</v>
      </c>
      <c r="H9507" s="318" t="s">
        <v>12844</v>
      </c>
      <c r="I9507" s="317">
        <v>0</v>
      </c>
      <c r="J9507" s="356">
        <f>105*4</f>
        <v>420</v>
      </c>
      <c r="K9507" s="356">
        <v>105</v>
      </c>
      <c r="L9507" s="356">
        <v>0</v>
      </c>
      <c r="M9507" s="356">
        <v>0</v>
      </c>
      <c r="N9507" s="356">
        <v>0</v>
      </c>
      <c r="O9507" s="356">
        <v>0</v>
      </c>
      <c r="P9507" s="362">
        <v>589.44875200000001</v>
      </c>
      <c r="Q9507" s="356" t="s">
        <v>12586</v>
      </c>
    </row>
    <row r="9508" spans="1:17" ht="180" x14ac:dyDescent="0.25">
      <c r="A9508" s="314">
        <v>44826</v>
      </c>
      <c r="B9508" s="314">
        <v>44827</v>
      </c>
      <c r="C9508" s="315">
        <v>2022</v>
      </c>
      <c r="D9508" s="351" t="s">
        <v>23</v>
      </c>
      <c r="E9508" s="316" t="s">
        <v>323</v>
      </c>
      <c r="F9508" s="317" t="s">
        <v>84</v>
      </c>
      <c r="G9508" s="317" t="s">
        <v>12845</v>
      </c>
      <c r="H9508" s="318" t="s">
        <v>12846</v>
      </c>
      <c r="I9508" s="317">
        <v>0</v>
      </c>
      <c r="J9508" s="356">
        <v>8</v>
      </c>
      <c r="K9508" s="356">
        <v>4</v>
      </c>
      <c r="L9508" s="356">
        <v>0</v>
      </c>
      <c r="M9508" s="356">
        <v>0</v>
      </c>
      <c r="N9508" s="356">
        <v>0</v>
      </c>
      <c r="O9508" s="356">
        <v>0</v>
      </c>
      <c r="P9508" s="362">
        <v>1.8634000000000001E-3</v>
      </c>
      <c r="Q9508" s="356" t="s">
        <v>154</v>
      </c>
    </row>
    <row r="9509" spans="1:17" ht="372" x14ac:dyDescent="0.25">
      <c r="A9509" s="314">
        <v>44825</v>
      </c>
      <c r="B9509" s="314">
        <v>44827</v>
      </c>
      <c r="C9509" s="315">
        <v>2022</v>
      </c>
      <c r="D9509" s="351" t="s">
        <v>23</v>
      </c>
      <c r="E9509" s="316" t="s">
        <v>86</v>
      </c>
      <c r="F9509" s="317" t="s">
        <v>47</v>
      </c>
      <c r="G9509" s="317" t="s">
        <v>12847</v>
      </c>
      <c r="H9509" s="318" t="s">
        <v>12848</v>
      </c>
      <c r="I9509" s="317">
        <v>1</v>
      </c>
      <c r="J9509" s="356">
        <v>1</v>
      </c>
      <c r="K9509" s="356">
        <v>0</v>
      </c>
      <c r="L9509" s="356">
        <v>0</v>
      </c>
      <c r="M9509" s="356">
        <v>0</v>
      </c>
      <c r="N9509" s="356">
        <v>0</v>
      </c>
      <c r="O9509" s="356">
        <v>0</v>
      </c>
      <c r="P9509" s="362">
        <v>0.10648000000000002</v>
      </c>
      <c r="Q9509" s="356" t="s">
        <v>154</v>
      </c>
    </row>
    <row r="9510" spans="1:17" ht="156" x14ac:dyDescent="0.25">
      <c r="A9510" s="314">
        <v>44828</v>
      </c>
      <c r="B9510" s="314">
        <v>44828</v>
      </c>
      <c r="C9510" s="315">
        <v>2022</v>
      </c>
      <c r="D9510" s="35" t="s">
        <v>28</v>
      </c>
      <c r="E9510" s="316" t="s">
        <v>125</v>
      </c>
      <c r="F9510" s="317" t="s">
        <v>60</v>
      </c>
      <c r="G9510" s="317" t="s">
        <v>4458</v>
      </c>
      <c r="H9510" s="318" t="s">
        <v>12849</v>
      </c>
      <c r="I9510" s="317">
        <v>0</v>
      </c>
      <c r="J9510" s="356">
        <v>63</v>
      </c>
      <c r="K9510" s="356">
        <v>0</v>
      </c>
      <c r="L9510" s="356">
        <v>0</v>
      </c>
      <c r="M9510" s="356">
        <v>0</v>
      </c>
      <c r="N9510" s="356">
        <v>1</v>
      </c>
      <c r="O9510" s="356">
        <v>0</v>
      </c>
      <c r="P9510" s="362">
        <v>1.07811E-2</v>
      </c>
      <c r="Q9510" s="356" t="s">
        <v>154</v>
      </c>
    </row>
    <row r="9511" spans="1:17" ht="312" x14ac:dyDescent="0.25">
      <c r="A9511" s="314">
        <v>44828</v>
      </c>
      <c r="B9511" s="314">
        <v>44829</v>
      </c>
      <c r="C9511" s="315">
        <v>2022</v>
      </c>
      <c r="D9511" s="351" t="s">
        <v>23</v>
      </c>
      <c r="E9511" s="316" t="s">
        <v>86</v>
      </c>
      <c r="F9511" s="7" t="s">
        <v>75</v>
      </c>
      <c r="G9511" s="317" t="s">
        <v>12557</v>
      </c>
      <c r="H9511" s="318" t="s">
        <v>12850</v>
      </c>
      <c r="I9511" s="317">
        <v>0</v>
      </c>
      <c r="J9511" s="356">
        <f>24*4</f>
        <v>96</v>
      </c>
      <c r="K9511" s="356">
        <v>24</v>
      </c>
      <c r="L9511" s="356">
        <v>1</v>
      </c>
      <c r="M9511" s="356">
        <v>0</v>
      </c>
      <c r="N9511" s="356">
        <v>1</v>
      </c>
      <c r="O9511" s="356">
        <v>0</v>
      </c>
      <c r="P9511" s="362">
        <v>3.2016599999999999E-2</v>
      </c>
      <c r="Q9511" s="356" t="s">
        <v>154</v>
      </c>
    </row>
    <row r="9512" spans="1:17" ht="144" x14ac:dyDescent="0.25">
      <c r="A9512" s="314">
        <v>44830</v>
      </c>
      <c r="B9512" s="314">
        <v>44831</v>
      </c>
      <c r="C9512" s="315">
        <v>2022</v>
      </c>
      <c r="D9512" s="35" t="s">
        <v>28</v>
      </c>
      <c r="E9512" s="316" t="s">
        <v>149</v>
      </c>
      <c r="F9512" s="28" t="s">
        <v>157</v>
      </c>
      <c r="G9512" s="317" t="s">
        <v>12851</v>
      </c>
      <c r="H9512" s="318" t="s">
        <v>12852</v>
      </c>
      <c r="I9512" s="317">
        <v>0</v>
      </c>
      <c r="J9512" s="356">
        <v>150</v>
      </c>
      <c r="K9512" s="356">
        <v>2</v>
      </c>
      <c r="L9512" s="356">
        <v>0</v>
      </c>
      <c r="M9512" s="356">
        <v>0</v>
      </c>
      <c r="N9512" s="356">
        <v>0</v>
      </c>
      <c r="O9512" s="356">
        <v>0</v>
      </c>
      <c r="P9512" s="362">
        <v>1.39755E-2</v>
      </c>
      <c r="Q9512" s="356" t="s">
        <v>154</v>
      </c>
    </row>
    <row r="9513" spans="1:17" ht="84" x14ac:dyDescent="0.25">
      <c r="A9513" s="314">
        <v>44830</v>
      </c>
      <c r="B9513" s="314">
        <v>44831</v>
      </c>
      <c r="C9513" s="315">
        <v>2022</v>
      </c>
      <c r="D9513" s="24" t="s">
        <v>141</v>
      </c>
      <c r="E9513" s="316" t="s">
        <v>1965</v>
      </c>
      <c r="F9513" s="317" t="s">
        <v>67</v>
      </c>
      <c r="G9513" s="317" t="s">
        <v>5349</v>
      </c>
      <c r="H9513" s="318" t="s">
        <v>12853</v>
      </c>
      <c r="I9513" s="317">
        <v>1</v>
      </c>
      <c r="J9513" s="356">
        <v>15</v>
      </c>
      <c r="K9513" s="356">
        <v>0</v>
      </c>
      <c r="L9513" s="356">
        <v>0</v>
      </c>
      <c r="M9513" s="356">
        <v>0</v>
      </c>
      <c r="N9513" s="356">
        <v>0</v>
      </c>
      <c r="O9513" s="356">
        <v>0</v>
      </c>
      <c r="P9513" s="362">
        <v>0.23497195700000006</v>
      </c>
      <c r="Q9513" s="356" t="s">
        <v>154</v>
      </c>
    </row>
    <row r="9514" spans="1:17" ht="168" x14ac:dyDescent="0.25">
      <c r="A9514" s="314">
        <v>44823</v>
      </c>
      <c r="B9514" s="314">
        <v>44831</v>
      </c>
      <c r="C9514" s="315">
        <v>2022</v>
      </c>
      <c r="D9514" s="351" t="s">
        <v>23</v>
      </c>
      <c r="E9514" s="316" t="s">
        <v>86</v>
      </c>
      <c r="F9514" s="317" t="s">
        <v>58</v>
      </c>
      <c r="G9514" s="317" t="s">
        <v>12854</v>
      </c>
      <c r="H9514" s="318" t="s">
        <v>12855</v>
      </c>
      <c r="I9514" s="317">
        <v>7</v>
      </c>
      <c r="J9514" s="356">
        <v>7</v>
      </c>
      <c r="K9514" s="356">
        <v>149</v>
      </c>
      <c r="L9514" s="356">
        <v>2</v>
      </c>
      <c r="M9514" s="356">
        <v>0</v>
      </c>
      <c r="N9514" s="356">
        <v>0</v>
      </c>
      <c r="O9514" s="356">
        <v>0</v>
      </c>
      <c r="P9514" s="362">
        <v>9.4174541999999999</v>
      </c>
      <c r="Q9514" s="356" t="s">
        <v>154</v>
      </c>
    </row>
    <row r="9515" spans="1:17" ht="127.5" x14ac:dyDescent="0.25">
      <c r="A9515" s="314">
        <v>44819</v>
      </c>
      <c r="B9515" s="314">
        <v>44831</v>
      </c>
      <c r="C9515" s="315">
        <v>2022</v>
      </c>
      <c r="D9515" s="351" t="s">
        <v>23</v>
      </c>
      <c r="E9515" s="316" t="s">
        <v>32</v>
      </c>
      <c r="F9515" s="317" t="s">
        <v>72</v>
      </c>
      <c r="G9515" s="317" t="s">
        <v>12856</v>
      </c>
      <c r="H9515" s="318" t="s">
        <v>12857</v>
      </c>
      <c r="I9515" s="317">
        <v>0</v>
      </c>
      <c r="J9515" s="356">
        <v>6</v>
      </c>
      <c r="K9515" s="356">
        <v>1</v>
      </c>
      <c r="L9515" s="356">
        <v>0</v>
      </c>
      <c r="M9515" s="356">
        <v>0</v>
      </c>
      <c r="N9515" s="356">
        <v>0</v>
      </c>
      <c r="O9515" s="356">
        <v>0</v>
      </c>
      <c r="P9515" s="362">
        <v>0.43773673899999999</v>
      </c>
      <c r="Q9515" s="356" t="s">
        <v>154</v>
      </c>
    </row>
    <row r="9516" spans="1:17" ht="132" x14ac:dyDescent="0.25">
      <c r="A9516" s="314">
        <v>44830</v>
      </c>
      <c r="B9516" s="314">
        <v>44832</v>
      </c>
      <c r="C9516" s="315">
        <v>2022</v>
      </c>
      <c r="D9516" s="351" t="s">
        <v>23</v>
      </c>
      <c r="E9516" s="316" t="s">
        <v>86</v>
      </c>
      <c r="F9516" s="317" t="s">
        <v>36</v>
      </c>
      <c r="G9516" s="317" t="s">
        <v>12858</v>
      </c>
      <c r="H9516" s="318" t="s">
        <v>12859</v>
      </c>
      <c r="I9516" s="317">
        <v>0</v>
      </c>
      <c r="J9516" s="356">
        <f>210+47</f>
        <v>257</v>
      </c>
      <c r="K9516" s="356">
        <v>194</v>
      </c>
      <c r="L9516" s="356">
        <v>0</v>
      </c>
      <c r="M9516" s="356">
        <v>0</v>
      </c>
      <c r="N9516" s="356">
        <v>0</v>
      </c>
      <c r="O9516" s="356">
        <v>0</v>
      </c>
      <c r="P9516" s="362">
        <v>0.25078177499999998</v>
      </c>
      <c r="Q9516" s="356" t="s">
        <v>154</v>
      </c>
    </row>
    <row r="9517" spans="1:17" x14ac:dyDescent="0.25">
      <c r="A9517" s="314">
        <v>44832</v>
      </c>
      <c r="B9517" s="314">
        <v>44833</v>
      </c>
      <c r="C9517" s="315">
        <v>2022</v>
      </c>
      <c r="D9517" s="351" t="s">
        <v>23</v>
      </c>
      <c r="E9517" s="316" t="s">
        <v>86</v>
      </c>
      <c r="F9517" s="317" t="s">
        <v>33</v>
      </c>
      <c r="G9517" s="317" t="s">
        <v>9168</v>
      </c>
      <c r="H9517" s="320" t="s">
        <v>12860</v>
      </c>
      <c r="I9517" s="317">
        <v>0</v>
      </c>
      <c r="J9517" s="356">
        <v>374</v>
      </c>
      <c r="K9517" s="356">
        <v>85</v>
      </c>
      <c r="L9517" s="356">
        <v>0</v>
      </c>
      <c r="M9517" s="356">
        <v>0</v>
      </c>
      <c r="N9517" s="356">
        <v>0</v>
      </c>
      <c r="O9517" s="356">
        <v>0</v>
      </c>
      <c r="P9517" s="362">
        <v>2.0518200000000002</v>
      </c>
      <c r="Q9517" s="356" t="s">
        <v>154</v>
      </c>
    </row>
    <row r="9518" spans="1:17" ht="132" x14ac:dyDescent="0.25">
      <c r="A9518" s="314">
        <v>44833</v>
      </c>
      <c r="B9518" s="314">
        <v>44833</v>
      </c>
      <c r="C9518" s="315">
        <v>2022</v>
      </c>
      <c r="D9518" s="24" t="s">
        <v>141</v>
      </c>
      <c r="E9518" s="316" t="s">
        <v>1965</v>
      </c>
      <c r="F9518" s="7" t="s">
        <v>49</v>
      </c>
      <c r="G9518" s="317" t="s">
        <v>12861</v>
      </c>
      <c r="H9518" s="318" t="s">
        <v>12862</v>
      </c>
      <c r="I9518" s="317">
        <v>1</v>
      </c>
      <c r="J9518" s="356">
        <v>2</v>
      </c>
      <c r="K9518" s="356">
        <v>0</v>
      </c>
      <c r="L9518" s="356">
        <v>0</v>
      </c>
      <c r="M9518" s="356">
        <v>0</v>
      </c>
      <c r="N9518" s="356">
        <v>0</v>
      </c>
      <c r="O9518" s="356">
        <v>0</v>
      </c>
      <c r="P9518" s="362">
        <v>1.1522466999999998E-2</v>
      </c>
      <c r="Q9518" s="356" t="s">
        <v>154</v>
      </c>
    </row>
    <row r="9519" spans="1:17" ht="168" x14ac:dyDescent="0.25">
      <c r="A9519" s="314">
        <v>44830</v>
      </c>
      <c r="B9519" s="314">
        <v>44831</v>
      </c>
      <c r="C9519" s="315">
        <v>2022</v>
      </c>
      <c r="D9519" s="351" t="s">
        <v>23</v>
      </c>
      <c r="E9519" s="316" t="s">
        <v>86</v>
      </c>
      <c r="F9519" s="317" t="s">
        <v>91</v>
      </c>
      <c r="G9519" s="317" t="s">
        <v>2342</v>
      </c>
      <c r="H9519" s="318" t="s">
        <v>12863</v>
      </c>
      <c r="I9519" s="317">
        <v>0</v>
      </c>
      <c r="J9519" s="356">
        <v>3</v>
      </c>
      <c r="K9519" s="356">
        <v>0</v>
      </c>
      <c r="L9519" s="356">
        <v>0</v>
      </c>
      <c r="M9519" s="356">
        <v>0</v>
      </c>
      <c r="N9519" s="356">
        <v>0</v>
      </c>
      <c r="O9519" s="356">
        <v>0</v>
      </c>
      <c r="P9519" s="362">
        <v>3.5937000000000005E-3</v>
      </c>
      <c r="Q9519" s="356" t="s">
        <v>154</v>
      </c>
    </row>
    <row r="9520" spans="1:17" ht="216" x14ac:dyDescent="0.25">
      <c r="A9520" s="314">
        <v>44833</v>
      </c>
      <c r="B9520" s="314">
        <v>44833</v>
      </c>
      <c r="C9520" s="315">
        <v>2022</v>
      </c>
      <c r="D9520" s="351" t="s">
        <v>23</v>
      </c>
      <c r="E9520" s="316" t="s">
        <v>86</v>
      </c>
      <c r="F9520" s="317" t="s">
        <v>210</v>
      </c>
      <c r="G9520" s="319" t="s">
        <v>921</v>
      </c>
      <c r="H9520" s="318" t="s">
        <v>12864</v>
      </c>
      <c r="I9520" s="317">
        <v>0</v>
      </c>
      <c r="J9520" s="356">
        <v>13</v>
      </c>
      <c r="K9520" s="356">
        <v>3</v>
      </c>
      <c r="L9520" s="356">
        <v>0</v>
      </c>
      <c r="M9520" s="356">
        <v>0</v>
      </c>
      <c r="N9520" s="356">
        <v>0</v>
      </c>
      <c r="O9520" s="356">
        <v>0</v>
      </c>
      <c r="P9520" s="362">
        <v>4.0020749999999999E-3</v>
      </c>
      <c r="Q9520" s="356" t="s">
        <v>154</v>
      </c>
    </row>
    <row r="9521" spans="1:17" ht="84" x14ac:dyDescent="0.25">
      <c r="A9521" s="314">
        <v>44834</v>
      </c>
      <c r="B9521" s="314">
        <v>44834</v>
      </c>
      <c r="C9521" s="315">
        <v>2022</v>
      </c>
      <c r="D9521" s="24" t="s">
        <v>141</v>
      </c>
      <c r="E9521" s="316" t="s">
        <v>142</v>
      </c>
      <c r="F9521" s="7" t="s">
        <v>53</v>
      </c>
      <c r="G9521" s="317" t="s">
        <v>10781</v>
      </c>
      <c r="H9521" s="318" t="s">
        <v>12865</v>
      </c>
      <c r="I9521" s="317">
        <v>3</v>
      </c>
      <c r="J9521" s="356">
        <v>3</v>
      </c>
      <c r="K9521" s="356">
        <v>0</v>
      </c>
      <c r="L9521" s="356">
        <v>0</v>
      </c>
      <c r="M9521" s="356">
        <v>0</v>
      </c>
      <c r="N9521" s="356">
        <v>0</v>
      </c>
      <c r="O9521" s="356">
        <v>0</v>
      </c>
      <c r="P9521" s="362">
        <v>1.9920535354057374</v>
      </c>
      <c r="Q9521" s="356" t="s">
        <v>154</v>
      </c>
    </row>
    <row r="9522" spans="1:17" ht="120" x14ac:dyDescent="0.25">
      <c r="A9522" s="314">
        <v>44834</v>
      </c>
      <c r="B9522" s="314">
        <v>44834</v>
      </c>
      <c r="C9522" s="315">
        <v>2022</v>
      </c>
      <c r="D9522" s="35" t="s">
        <v>28</v>
      </c>
      <c r="E9522" s="316" t="s">
        <v>133</v>
      </c>
      <c r="F9522" s="317" t="s">
        <v>58</v>
      </c>
      <c r="G9522" s="317" t="s">
        <v>12866</v>
      </c>
      <c r="H9522" s="318" t="s">
        <v>12867</v>
      </c>
      <c r="I9522" s="317">
        <v>0</v>
      </c>
      <c r="J9522" s="356">
        <v>6</v>
      </c>
      <c r="K9522" s="356">
        <v>0</v>
      </c>
      <c r="L9522" s="356">
        <v>0</v>
      </c>
      <c r="M9522" s="356">
        <v>0</v>
      </c>
      <c r="N9522" s="356">
        <v>0</v>
      </c>
      <c r="O9522" s="356">
        <v>0</v>
      </c>
      <c r="P9522" s="362">
        <v>7.1874000000000009E-3</v>
      </c>
      <c r="Q9522" s="356" t="s">
        <v>154</v>
      </c>
    </row>
    <row r="9523" spans="1:17" ht="180" x14ac:dyDescent="0.25">
      <c r="A9523" s="314">
        <v>44835</v>
      </c>
      <c r="B9523" s="314">
        <v>44835</v>
      </c>
      <c r="C9523" s="315">
        <v>2022</v>
      </c>
      <c r="D9523" s="24" t="s">
        <v>141</v>
      </c>
      <c r="E9523" s="316" t="s">
        <v>142</v>
      </c>
      <c r="F9523" s="317" t="s">
        <v>781</v>
      </c>
      <c r="G9523" s="317" t="s">
        <v>1116</v>
      </c>
      <c r="H9523" s="318" t="s">
        <v>12868</v>
      </c>
      <c r="I9523" s="317">
        <v>3</v>
      </c>
      <c r="J9523" s="356">
        <v>5</v>
      </c>
      <c r="K9523" s="356">
        <v>0</v>
      </c>
      <c r="L9523" s="356">
        <v>0</v>
      </c>
      <c r="M9523" s="356">
        <v>0</v>
      </c>
      <c r="N9523" s="356">
        <v>0</v>
      </c>
      <c r="O9523" s="356">
        <v>0</v>
      </c>
      <c r="P9523" s="362">
        <v>2.3958E-3</v>
      </c>
      <c r="Q9523" s="356" t="s">
        <v>154</v>
      </c>
    </row>
    <row r="9524" spans="1:17" ht="96" x14ac:dyDescent="0.25">
      <c r="A9524" s="314">
        <v>44835</v>
      </c>
      <c r="B9524" s="314">
        <v>44835</v>
      </c>
      <c r="C9524" s="315">
        <v>2022</v>
      </c>
      <c r="D9524" s="24" t="s">
        <v>141</v>
      </c>
      <c r="E9524" s="316" t="s">
        <v>142</v>
      </c>
      <c r="F9524" s="28" t="s">
        <v>157</v>
      </c>
      <c r="G9524" s="317" t="s">
        <v>4412</v>
      </c>
      <c r="H9524" s="318" t="s">
        <v>12869</v>
      </c>
      <c r="I9524" s="317">
        <v>1</v>
      </c>
      <c r="J9524" s="356">
        <v>16</v>
      </c>
      <c r="K9524" s="356">
        <v>0</v>
      </c>
      <c r="L9524" s="356">
        <v>0</v>
      </c>
      <c r="M9524" s="356">
        <v>0</v>
      </c>
      <c r="N9524" s="356">
        <v>0</v>
      </c>
      <c r="O9524" s="356">
        <v>0</v>
      </c>
      <c r="P9524" s="362">
        <v>0.23616985700000004</v>
      </c>
      <c r="Q9524" s="356" t="s">
        <v>154</v>
      </c>
    </row>
    <row r="9525" spans="1:17" ht="144" x14ac:dyDescent="0.25">
      <c r="A9525" s="314">
        <v>44835</v>
      </c>
      <c r="B9525" s="314">
        <v>44835</v>
      </c>
      <c r="C9525" s="315">
        <v>2022</v>
      </c>
      <c r="D9525" s="24" t="s">
        <v>141</v>
      </c>
      <c r="E9525" s="316" t="s">
        <v>142</v>
      </c>
      <c r="F9525" s="317" t="s">
        <v>56</v>
      </c>
      <c r="G9525" s="317" t="s">
        <v>4286</v>
      </c>
      <c r="H9525" s="318" t="s">
        <v>12870</v>
      </c>
      <c r="I9525" s="317">
        <v>0</v>
      </c>
      <c r="J9525" s="356">
        <v>10</v>
      </c>
      <c r="K9525" s="356">
        <v>0</v>
      </c>
      <c r="L9525" s="356">
        <v>0</v>
      </c>
      <c r="M9525" s="356">
        <v>0</v>
      </c>
      <c r="N9525" s="356">
        <v>0</v>
      </c>
      <c r="O9525" s="356">
        <v>0</v>
      </c>
      <c r="P9525" s="362">
        <v>1.1979E-2</v>
      </c>
      <c r="Q9525" s="356" t="s">
        <v>154</v>
      </c>
    </row>
    <row r="9526" spans="1:17" ht="84" x14ac:dyDescent="0.25">
      <c r="A9526" s="314">
        <v>44836</v>
      </c>
      <c r="B9526" s="314">
        <v>44837</v>
      </c>
      <c r="C9526" s="315">
        <v>2022</v>
      </c>
      <c r="D9526" s="24" t="s">
        <v>141</v>
      </c>
      <c r="E9526" s="316" t="s">
        <v>142</v>
      </c>
      <c r="F9526" s="317" t="s">
        <v>62</v>
      </c>
      <c r="G9526" s="317" t="s">
        <v>857</v>
      </c>
      <c r="H9526" s="318" t="s">
        <v>12871</v>
      </c>
      <c r="I9526" s="317">
        <v>0</v>
      </c>
      <c r="J9526" s="356">
        <v>5</v>
      </c>
      <c r="K9526" s="356">
        <v>0</v>
      </c>
      <c r="L9526" s="356">
        <v>0</v>
      </c>
      <c r="M9526" s="356">
        <v>0</v>
      </c>
      <c r="N9526" s="356">
        <v>0</v>
      </c>
      <c r="O9526" s="356">
        <v>0</v>
      </c>
      <c r="P9526" s="362">
        <v>9.2398019999999997E-2</v>
      </c>
      <c r="Q9526" s="356" t="s">
        <v>154</v>
      </c>
    </row>
    <row r="9527" spans="1:17" ht="409.5" x14ac:dyDescent="0.25">
      <c r="A9527" s="314">
        <v>44838</v>
      </c>
      <c r="B9527" s="314">
        <v>44839</v>
      </c>
      <c r="C9527" s="315">
        <v>2022</v>
      </c>
      <c r="D9527" s="351" t="s">
        <v>23</v>
      </c>
      <c r="E9527" s="316" t="s">
        <v>86</v>
      </c>
      <c r="F9527" s="7" t="s">
        <v>53</v>
      </c>
      <c r="G9527" s="317" t="s">
        <v>12872</v>
      </c>
      <c r="H9527" s="318" t="s">
        <v>12873</v>
      </c>
      <c r="I9527" s="317">
        <v>0</v>
      </c>
      <c r="J9527" s="356">
        <v>16</v>
      </c>
      <c r="K9527" s="356">
        <v>4</v>
      </c>
      <c r="L9527" s="356">
        <v>0</v>
      </c>
      <c r="M9527" s="356">
        <v>0</v>
      </c>
      <c r="N9527" s="356">
        <v>0</v>
      </c>
      <c r="O9527" s="356">
        <v>0</v>
      </c>
      <c r="P9527" s="362">
        <v>5.3361000000000007E-3</v>
      </c>
      <c r="Q9527" s="356" t="s">
        <v>154</v>
      </c>
    </row>
    <row r="9528" spans="1:17" ht="108" x14ac:dyDescent="0.25">
      <c r="A9528" s="314">
        <v>44839</v>
      </c>
      <c r="B9528" s="314">
        <v>44839</v>
      </c>
      <c r="C9528" s="315">
        <v>2022</v>
      </c>
      <c r="D9528" s="24" t="s">
        <v>141</v>
      </c>
      <c r="E9528" s="316" t="s">
        <v>142</v>
      </c>
      <c r="F9528" s="317" t="s">
        <v>97</v>
      </c>
      <c r="G9528" s="317" t="s">
        <v>489</v>
      </c>
      <c r="H9528" s="318" t="s">
        <v>12874</v>
      </c>
      <c r="I9528" s="317">
        <v>1</v>
      </c>
      <c r="J9528" s="356">
        <v>11</v>
      </c>
      <c r="K9528" s="356">
        <v>0</v>
      </c>
      <c r="L9528" s="356">
        <v>0</v>
      </c>
      <c r="M9528" s="356">
        <v>0</v>
      </c>
      <c r="N9528" s="356">
        <v>0</v>
      </c>
      <c r="O9528" s="356">
        <v>0</v>
      </c>
      <c r="P9528" s="362">
        <v>0</v>
      </c>
      <c r="Q9528" s="356" t="s">
        <v>154</v>
      </c>
    </row>
    <row r="9529" spans="1:17" ht="180" x14ac:dyDescent="0.25">
      <c r="A9529" s="314">
        <v>44839</v>
      </c>
      <c r="B9529" s="314">
        <v>44840</v>
      </c>
      <c r="C9529" s="315">
        <v>2022</v>
      </c>
      <c r="D9529" s="35" t="s">
        <v>28</v>
      </c>
      <c r="E9529" s="316" t="s">
        <v>136</v>
      </c>
      <c r="F9529" s="317" t="s">
        <v>56</v>
      </c>
      <c r="G9529" s="317" t="s">
        <v>12875</v>
      </c>
      <c r="H9529" s="318" t="s">
        <v>12876</v>
      </c>
      <c r="I9529" s="317">
        <v>0</v>
      </c>
      <c r="J9529" s="356">
        <v>230</v>
      </c>
      <c r="K9529" s="356">
        <v>0</v>
      </c>
      <c r="L9529" s="356">
        <v>0</v>
      </c>
      <c r="M9529" s="356">
        <v>0</v>
      </c>
      <c r="N9529" s="356">
        <v>0</v>
      </c>
      <c r="O9529" s="356">
        <v>0</v>
      </c>
      <c r="P9529" s="362">
        <v>2.3958E-2</v>
      </c>
      <c r="Q9529" s="356" t="s">
        <v>154</v>
      </c>
    </row>
    <row r="9530" spans="1:17" ht="96" x14ac:dyDescent="0.25">
      <c r="A9530" s="314">
        <v>44840</v>
      </c>
      <c r="B9530" s="314">
        <v>44841</v>
      </c>
      <c r="C9530" s="315">
        <v>2022</v>
      </c>
      <c r="D9530" s="24" t="s">
        <v>141</v>
      </c>
      <c r="E9530" s="316" t="s">
        <v>142</v>
      </c>
      <c r="F9530" s="317" t="s">
        <v>72</v>
      </c>
      <c r="G9530" s="317" t="s">
        <v>12877</v>
      </c>
      <c r="H9530" s="318" t="s">
        <v>12878</v>
      </c>
      <c r="I9530" s="317">
        <v>1</v>
      </c>
      <c r="J9530" s="356">
        <v>18</v>
      </c>
      <c r="K9530" s="356">
        <v>0</v>
      </c>
      <c r="L9530" s="356">
        <v>0</v>
      </c>
      <c r="M9530" s="356">
        <v>0</v>
      </c>
      <c r="N9530" s="356">
        <v>0</v>
      </c>
      <c r="O9530" s="356">
        <v>0</v>
      </c>
      <c r="P9530" s="362">
        <v>2.0364300000000002E-2</v>
      </c>
      <c r="Q9530" s="356" t="s">
        <v>154</v>
      </c>
    </row>
    <row r="9531" spans="1:17" ht="180" x14ac:dyDescent="0.25">
      <c r="A9531" s="314">
        <v>44841</v>
      </c>
      <c r="B9531" s="314">
        <v>44841</v>
      </c>
      <c r="C9531" s="315">
        <v>2022</v>
      </c>
      <c r="D9531" s="24" t="s">
        <v>141</v>
      </c>
      <c r="E9531" s="316" t="s">
        <v>142</v>
      </c>
      <c r="F9531" s="317" t="s">
        <v>68</v>
      </c>
      <c r="G9531" s="317" t="s">
        <v>2071</v>
      </c>
      <c r="H9531" s="318" t="s">
        <v>12879</v>
      </c>
      <c r="I9531" s="317">
        <v>0</v>
      </c>
      <c r="J9531" s="356">
        <v>11</v>
      </c>
      <c r="K9531" s="356">
        <v>0</v>
      </c>
      <c r="L9531" s="356">
        <v>0</v>
      </c>
      <c r="M9531" s="356">
        <v>0</v>
      </c>
      <c r="N9531" s="356">
        <v>0</v>
      </c>
      <c r="O9531" s="356">
        <v>0</v>
      </c>
      <c r="P9531" s="362">
        <v>1.3176900000000002E-2</v>
      </c>
      <c r="Q9531" s="356" t="s">
        <v>154</v>
      </c>
    </row>
    <row r="9532" spans="1:17" ht="108" x14ac:dyDescent="0.25">
      <c r="A9532" s="314">
        <v>44842</v>
      </c>
      <c r="B9532" s="314">
        <v>44842</v>
      </c>
      <c r="C9532" s="315">
        <v>2022</v>
      </c>
      <c r="D9532" s="24" t="s">
        <v>141</v>
      </c>
      <c r="E9532" s="316" t="s">
        <v>142</v>
      </c>
      <c r="F9532" s="317" t="s">
        <v>62</v>
      </c>
      <c r="G9532" s="317" t="s">
        <v>10904</v>
      </c>
      <c r="H9532" s="318" t="s">
        <v>12880</v>
      </c>
      <c r="I9532" s="317">
        <v>0</v>
      </c>
      <c r="J9532" s="356">
        <v>8</v>
      </c>
      <c r="K9532" s="356">
        <v>0</v>
      </c>
      <c r="L9532" s="356">
        <v>0</v>
      </c>
      <c r="M9532" s="356">
        <v>0</v>
      </c>
      <c r="N9532" s="356">
        <v>0</v>
      </c>
      <c r="O9532" s="356">
        <v>0</v>
      </c>
      <c r="P9532" s="362">
        <v>9.5832000000000001E-3</v>
      </c>
      <c r="Q9532" s="356" t="s">
        <v>154</v>
      </c>
    </row>
    <row r="9533" spans="1:17" ht="409.5" x14ac:dyDescent="0.25">
      <c r="A9533" s="314">
        <v>44840</v>
      </c>
      <c r="B9533" s="314">
        <v>44844</v>
      </c>
      <c r="C9533" s="315">
        <v>2022</v>
      </c>
      <c r="D9533" s="35" t="s">
        <v>28</v>
      </c>
      <c r="E9533" s="316" t="s">
        <v>125</v>
      </c>
      <c r="F9533" s="317" t="s">
        <v>781</v>
      </c>
      <c r="G9533" s="317" t="s">
        <v>2337</v>
      </c>
      <c r="H9533" s="318" t="s">
        <v>12881</v>
      </c>
      <c r="I9533" s="317">
        <v>1</v>
      </c>
      <c r="J9533" s="356">
        <v>390</v>
      </c>
      <c r="K9533" s="356">
        <v>11</v>
      </c>
      <c r="L9533" s="356">
        <v>0</v>
      </c>
      <c r="M9533" s="356">
        <v>0</v>
      </c>
      <c r="N9533" s="356">
        <v>0</v>
      </c>
      <c r="O9533" s="356">
        <v>0</v>
      </c>
      <c r="P9533" s="362">
        <v>7.6865249999999996E-2</v>
      </c>
      <c r="Q9533" s="356" t="s">
        <v>154</v>
      </c>
    </row>
    <row r="9534" spans="1:17" ht="120" x14ac:dyDescent="0.25">
      <c r="A9534" s="314">
        <v>44847</v>
      </c>
      <c r="B9534" s="314">
        <v>44847</v>
      </c>
      <c r="C9534" s="315">
        <v>2022</v>
      </c>
      <c r="D9534" s="24" t="s">
        <v>141</v>
      </c>
      <c r="E9534" s="316" t="s">
        <v>142</v>
      </c>
      <c r="F9534" s="317" t="s">
        <v>56</v>
      </c>
      <c r="G9534" s="317" t="s">
        <v>358</v>
      </c>
      <c r="H9534" s="318" t="s">
        <v>12882</v>
      </c>
      <c r="I9534" s="317">
        <v>2</v>
      </c>
      <c r="J9534" s="356">
        <v>19</v>
      </c>
      <c r="K9534" s="356">
        <v>0</v>
      </c>
      <c r="L9534" s="356">
        <v>0</v>
      </c>
      <c r="M9534" s="356">
        <v>0</v>
      </c>
      <c r="N9534" s="356">
        <v>0</v>
      </c>
      <c r="O9534" s="356">
        <v>0</v>
      </c>
      <c r="P9534" s="362">
        <v>2.0364300000000002E-2</v>
      </c>
      <c r="Q9534" s="356" t="s">
        <v>154</v>
      </c>
    </row>
    <row r="9535" spans="1:17" ht="96" x14ac:dyDescent="0.25">
      <c r="A9535" s="314">
        <v>44850</v>
      </c>
      <c r="B9535" s="314">
        <v>44850</v>
      </c>
      <c r="C9535" s="315">
        <v>2022</v>
      </c>
      <c r="D9535" s="24" t="s">
        <v>141</v>
      </c>
      <c r="E9535" s="316" t="s">
        <v>142</v>
      </c>
      <c r="F9535" s="7" t="s">
        <v>53</v>
      </c>
      <c r="G9535" s="317" t="s">
        <v>1885</v>
      </c>
      <c r="H9535" s="318" t="s">
        <v>12883</v>
      </c>
      <c r="I9535" s="317">
        <v>1</v>
      </c>
      <c r="J9535" s="356">
        <v>4</v>
      </c>
      <c r="K9535" s="356">
        <v>0</v>
      </c>
      <c r="L9535" s="356">
        <v>0</v>
      </c>
      <c r="M9535" s="356">
        <v>0</v>
      </c>
      <c r="N9535" s="356">
        <v>0</v>
      </c>
      <c r="O9535" s="356">
        <v>0</v>
      </c>
      <c r="P9535" s="362">
        <v>0.20279905354057401</v>
      </c>
      <c r="Q9535" s="356" t="s">
        <v>154</v>
      </c>
    </row>
    <row r="9536" spans="1:17" ht="38.25" x14ac:dyDescent="0.25">
      <c r="A9536" s="314">
        <v>44848</v>
      </c>
      <c r="B9536" s="314">
        <v>44848</v>
      </c>
      <c r="C9536" s="315">
        <v>2022</v>
      </c>
      <c r="D9536" s="351" t="s">
        <v>23</v>
      </c>
      <c r="E9536" s="316" t="s">
        <v>86</v>
      </c>
      <c r="F9536" s="317" t="s">
        <v>36</v>
      </c>
      <c r="G9536" s="317" t="s">
        <v>12884</v>
      </c>
      <c r="H9536" s="330" t="s">
        <v>12885</v>
      </c>
      <c r="I9536" s="317">
        <v>0</v>
      </c>
      <c r="J9536" s="356">
        <v>31148</v>
      </c>
      <c r="K9536" s="356">
        <v>0</v>
      </c>
      <c r="L9536" s="356">
        <v>0</v>
      </c>
      <c r="M9536" s="356">
        <v>0</v>
      </c>
      <c r="N9536" s="356">
        <v>0</v>
      </c>
      <c r="O9536" s="356">
        <v>0</v>
      </c>
      <c r="P9536" s="362">
        <v>1393.8112289999999</v>
      </c>
      <c r="Q9536" s="356" t="s">
        <v>12447</v>
      </c>
    </row>
    <row r="9537" spans="1:17" x14ac:dyDescent="0.25">
      <c r="A9537" s="314">
        <v>44849</v>
      </c>
      <c r="B9537" s="314">
        <v>44850</v>
      </c>
      <c r="C9537" s="315">
        <v>2022</v>
      </c>
      <c r="D9537" s="35" t="s">
        <v>28</v>
      </c>
      <c r="E9537" s="316" t="s">
        <v>369</v>
      </c>
      <c r="F9537" s="317" t="s">
        <v>33</v>
      </c>
      <c r="G9537" s="317" t="s">
        <v>247</v>
      </c>
      <c r="H9537" s="320" t="s">
        <v>12886</v>
      </c>
      <c r="I9537" s="317">
        <v>0</v>
      </c>
      <c r="J9537" s="356"/>
      <c r="K9537" s="356">
        <v>0</v>
      </c>
      <c r="L9537" s="356">
        <v>0</v>
      </c>
      <c r="M9537" s="356">
        <v>0</v>
      </c>
      <c r="N9537" s="356">
        <v>0</v>
      </c>
      <c r="O9537" s="356">
        <v>0</v>
      </c>
      <c r="P9537" s="362">
        <v>0.12155000000000001</v>
      </c>
      <c r="Q9537" s="356" t="s">
        <v>154</v>
      </c>
    </row>
    <row r="9538" spans="1:17" x14ac:dyDescent="0.25">
      <c r="A9538" s="314">
        <v>44849</v>
      </c>
      <c r="B9538" s="314">
        <v>44850</v>
      </c>
      <c r="C9538" s="315">
        <v>2022</v>
      </c>
      <c r="D9538" s="351" t="s">
        <v>23</v>
      </c>
      <c r="E9538" s="316" t="s">
        <v>86</v>
      </c>
      <c r="F9538" s="317" t="s">
        <v>30</v>
      </c>
      <c r="G9538" s="317" t="s">
        <v>901</v>
      </c>
      <c r="H9538" s="320" t="s">
        <v>12887</v>
      </c>
      <c r="I9538" s="317">
        <v>0</v>
      </c>
      <c r="J9538" s="356">
        <v>25</v>
      </c>
      <c r="K9538" s="356">
        <v>7</v>
      </c>
      <c r="L9538" s="356">
        <v>0</v>
      </c>
      <c r="M9538" s="356">
        <v>0</v>
      </c>
      <c r="N9538" s="356">
        <v>0</v>
      </c>
      <c r="O9538" s="356">
        <v>0</v>
      </c>
      <c r="P9538" s="362">
        <v>2.5431175E-2</v>
      </c>
      <c r="Q9538" s="356" t="s">
        <v>154</v>
      </c>
    </row>
    <row r="9539" spans="1:17" ht="264" x14ac:dyDescent="0.25">
      <c r="A9539" s="314">
        <v>44853</v>
      </c>
      <c r="B9539" s="314">
        <v>44853</v>
      </c>
      <c r="C9539" s="315">
        <v>2022</v>
      </c>
      <c r="D9539" s="351" t="s">
        <v>23</v>
      </c>
      <c r="E9539" s="316" t="s">
        <v>86</v>
      </c>
      <c r="F9539" s="317" t="s">
        <v>781</v>
      </c>
      <c r="G9539" s="317" t="s">
        <v>6135</v>
      </c>
      <c r="H9539" s="318" t="s">
        <v>12888</v>
      </c>
      <c r="I9539" s="317">
        <v>0</v>
      </c>
      <c r="J9539" s="356">
        <v>80</v>
      </c>
      <c r="K9539" s="356">
        <v>20</v>
      </c>
      <c r="L9539" s="356">
        <v>0</v>
      </c>
      <c r="M9539" s="356">
        <v>0</v>
      </c>
      <c r="N9539" s="356">
        <v>0</v>
      </c>
      <c r="O9539" s="356">
        <v>0</v>
      </c>
      <c r="P9539" s="362">
        <v>2.6680499999999999E-2</v>
      </c>
      <c r="Q9539" s="356" t="s">
        <v>154</v>
      </c>
    </row>
    <row r="9540" spans="1:17" ht="156" x14ac:dyDescent="0.25">
      <c r="A9540" s="314">
        <v>44853</v>
      </c>
      <c r="B9540" s="314">
        <v>44853</v>
      </c>
      <c r="C9540" s="315">
        <v>2022</v>
      </c>
      <c r="D9540" s="24" t="s">
        <v>141</v>
      </c>
      <c r="E9540" s="316" t="s">
        <v>142</v>
      </c>
      <c r="F9540" s="317" t="s">
        <v>210</v>
      </c>
      <c r="G9540" s="319" t="s">
        <v>6785</v>
      </c>
      <c r="H9540" s="318" t="s">
        <v>12889</v>
      </c>
      <c r="I9540" s="317">
        <v>0</v>
      </c>
      <c r="J9540" s="356">
        <v>14</v>
      </c>
      <c r="K9540" s="356">
        <v>0</v>
      </c>
      <c r="L9540" s="356">
        <v>0</v>
      </c>
      <c r="M9540" s="356">
        <v>0</v>
      </c>
      <c r="N9540" s="356">
        <v>0</v>
      </c>
      <c r="O9540" s="356">
        <v>0</v>
      </c>
      <c r="P9540" s="362">
        <v>0.356742698860466</v>
      </c>
      <c r="Q9540" s="356" t="s">
        <v>154</v>
      </c>
    </row>
    <row r="9541" spans="1:17" ht="108" x14ac:dyDescent="0.25">
      <c r="A9541" s="314">
        <v>44853</v>
      </c>
      <c r="B9541" s="314">
        <v>44853</v>
      </c>
      <c r="C9541" s="315">
        <v>2022</v>
      </c>
      <c r="D9541" s="24" t="s">
        <v>141</v>
      </c>
      <c r="E9541" s="316" t="s">
        <v>142</v>
      </c>
      <c r="F9541" s="317" t="s">
        <v>36</v>
      </c>
      <c r="G9541" s="317" t="s">
        <v>5228</v>
      </c>
      <c r="H9541" s="318" t="s">
        <v>12890</v>
      </c>
      <c r="I9541" s="317">
        <v>2</v>
      </c>
      <c r="J9541" s="356">
        <v>8</v>
      </c>
      <c r="K9541" s="356">
        <v>0</v>
      </c>
      <c r="L9541" s="356">
        <v>0</v>
      </c>
      <c r="M9541" s="356">
        <v>0</v>
      </c>
      <c r="N9541" s="356">
        <v>0</v>
      </c>
      <c r="O9541" s="356">
        <v>0</v>
      </c>
      <c r="P9541" s="362">
        <v>7.1874000000000009E-3</v>
      </c>
      <c r="Q9541" s="356" t="s">
        <v>154</v>
      </c>
    </row>
    <row r="9542" spans="1:17" ht="120" x14ac:dyDescent="0.25">
      <c r="A9542" s="314">
        <v>44855</v>
      </c>
      <c r="B9542" s="314">
        <v>44855</v>
      </c>
      <c r="C9542" s="315">
        <v>2022</v>
      </c>
      <c r="D9542" s="24" t="s">
        <v>141</v>
      </c>
      <c r="E9542" s="316" t="s">
        <v>142</v>
      </c>
      <c r="F9542" s="317" t="s">
        <v>25</v>
      </c>
      <c r="G9542" s="317" t="s">
        <v>25</v>
      </c>
      <c r="H9542" s="318" t="s">
        <v>12891</v>
      </c>
      <c r="I9542" s="317">
        <v>0</v>
      </c>
      <c r="J9542" s="356">
        <v>3</v>
      </c>
      <c r="K9542" s="356">
        <v>120</v>
      </c>
      <c r="L9542" s="356">
        <v>0</v>
      </c>
      <c r="M9542" s="356">
        <v>0</v>
      </c>
      <c r="N9542" s="356">
        <v>0</v>
      </c>
      <c r="O9542" s="356">
        <v>0</v>
      </c>
      <c r="P9542" s="362">
        <v>3.5937000000000005E-3</v>
      </c>
      <c r="Q9542" s="356" t="s">
        <v>154</v>
      </c>
    </row>
    <row r="9543" spans="1:17" ht="156" x14ac:dyDescent="0.25">
      <c r="A9543" s="314">
        <v>44857</v>
      </c>
      <c r="B9543" s="314">
        <v>44857</v>
      </c>
      <c r="C9543" s="315">
        <v>2022</v>
      </c>
      <c r="D9543" s="24" t="s">
        <v>141</v>
      </c>
      <c r="E9543" s="316" t="s">
        <v>142</v>
      </c>
      <c r="F9543" s="317" t="s">
        <v>58</v>
      </c>
      <c r="G9543" s="317" t="s">
        <v>1194</v>
      </c>
      <c r="H9543" s="318" t="s">
        <v>12892</v>
      </c>
      <c r="I9543" s="317">
        <v>2</v>
      </c>
      <c r="J9543" s="356">
        <v>23</v>
      </c>
      <c r="K9543" s="356">
        <v>0</v>
      </c>
      <c r="L9543" s="356">
        <v>0</v>
      </c>
      <c r="M9543" s="356">
        <v>0</v>
      </c>
      <c r="N9543" s="356">
        <v>0</v>
      </c>
      <c r="O9543" s="356">
        <v>0</v>
      </c>
      <c r="P9543" s="362">
        <v>2.5155900000000002E-2</v>
      </c>
      <c r="Q9543" s="356" t="s">
        <v>154</v>
      </c>
    </row>
    <row r="9544" spans="1:17" ht="84" x14ac:dyDescent="0.25">
      <c r="A9544" s="314">
        <v>44855</v>
      </c>
      <c r="B9544" s="314">
        <v>44857</v>
      </c>
      <c r="C9544" s="315">
        <v>2022</v>
      </c>
      <c r="D9544" s="35" t="s">
        <v>28</v>
      </c>
      <c r="E9544" s="316" t="s">
        <v>136</v>
      </c>
      <c r="F9544" s="317" t="s">
        <v>160</v>
      </c>
      <c r="G9544" s="317" t="s">
        <v>7046</v>
      </c>
      <c r="H9544" s="318" t="s">
        <v>12893</v>
      </c>
      <c r="I9544" s="317">
        <v>0</v>
      </c>
      <c r="J9544" s="356">
        <v>19</v>
      </c>
      <c r="K9544" s="356">
        <v>0</v>
      </c>
      <c r="L9544" s="356">
        <v>0</v>
      </c>
      <c r="M9544" s="356">
        <v>0</v>
      </c>
      <c r="N9544" s="356">
        <v>0</v>
      </c>
      <c r="O9544" s="356">
        <v>0</v>
      </c>
      <c r="P9544" s="362">
        <v>0</v>
      </c>
      <c r="Q9544" s="356" t="s">
        <v>154</v>
      </c>
    </row>
    <row r="9545" spans="1:17" ht="144" x14ac:dyDescent="0.25">
      <c r="A9545" s="314">
        <v>44855</v>
      </c>
      <c r="B9545" s="314">
        <v>44857</v>
      </c>
      <c r="C9545" s="315">
        <v>2022</v>
      </c>
      <c r="D9545" s="35" t="s">
        <v>28</v>
      </c>
      <c r="E9545" s="316" t="s">
        <v>133</v>
      </c>
      <c r="F9545" s="317" t="s">
        <v>58</v>
      </c>
      <c r="G9545" s="317" t="s">
        <v>9987</v>
      </c>
      <c r="H9545" s="318" t="s">
        <v>12894</v>
      </c>
      <c r="I9545" s="317">
        <v>0</v>
      </c>
      <c r="J9545" s="356">
        <v>8</v>
      </c>
      <c r="K9545" s="356">
        <v>1</v>
      </c>
      <c r="L9545" s="356">
        <v>0</v>
      </c>
      <c r="M9545" s="356">
        <v>0</v>
      </c>
      <c r="N9545" s="356">
        <v>0</v>
      </c>
      <c r="O9545" s="356">
        <v>0</v>
      </c>
      <c r="P9545" s="362">
        <v>0.25161018299999999</v>
      </c>
      <c r="Q9545" s="356" t="s">
        <v>154</v>
      </c>
    </row>
    <row r="9546" spans="1:17" ht="132" x14ac:dyDescent="0.25">
      <c r="A9546" s="314">
        <v>44857</v>
      </c>
      <c r="B9546" s="314">
        <v>44857</v>
      </c>
      <c r="C9546" s="315">
        <v>2022</v>
      </c>
      <c r="D9546" s="24" t="s">
        <v>141</v>
      </c>
      <c r="E9546" s="316" t="s">
        <v>142</v>
      </c>
      <c r="F9546" s="7" t="s">
        <v>87</v>
      </c>
      <c r="G9546" s="317" t="s">
        <v>2168</v>
      </c>
      <c r="H9546" s="318" t="s">
        <v>12895</v>
      </c>
      <c r="I9546" s="317">
        <v>2</v>
      </c>
      <c r="J9546" s="356">
        <v>11</v>
      </c>
      <c r="K9546" s="356">
        <v>0</v>
      </c>
      <c r="L9546" s="356">
        <v>0</v>
      </c>
      <c r="M9546" s="356">
        <v>0</v>
      </c>
      <c r="N9546" s="356">
        <v>0</v>
      </c>
      <c r="O9546" s="356">
        <v>0</v>
      </c>
      <c r="P9546" s="362">
        <v>1.07811E-2</v>
      </c>
      <c r="Q9546" s="356" t="s">
        <v>154</v>
      </c>
    </row>
    <row r="9547" spans="1:17" ht="216" x14ac:dyDescent="0.25">
      <c r="A9547" s="314">
        <v>44859</v>
      </c>
      <c r="B9547" s="314">
        <v>44859</v>
      </c>
      <c r="C9547" s="315">
        <v>2022</v>
      </c>
      <c r="D9547" s="24" t="s">
        <v>141</v>
      </c>
      <c r="E9547" s="316" t="s">
        <v>142</v>
      </c>
      <c r="F9547" s="317" t="s">
        <v>82</v>
      </c>
      <c r="G9547" s="317" t="s">
        <v>82</v>
      </c>
      <c r="H9547" s="318" t="s">
        <v>12896</v>
      </c>
      <c r="I9547" s="317">
        <v>1</v>
      </c>
      <c r="J9547" s="356">
        <v>41</v>
      </c>
      <c r="K9547" s="356">
        <v>0</v>
      </c>
      <c r="L9547" s="356">
        <v>0</v>
      </c>
      <c r="M9547" s="356">
        <v>0</v>
      </c>
      <c r="N9547" s="356">
        <v>0</v>
      </c>
      <c r="O9547" s="356">
        <v>0</v>
      </c>
      <c r="P9547" s="362">
        <v>1.3176900000000002E-2</v>
      </c>
      <c r="Q9547" s="356" t="s">
        <v>154</v>
      </c>
    </row>
    <row r="9548" spans="1:17" ht="24" x14ac:dyDescent="0.25">
      <c r="A9548" s="314">
        <v>44859</v>
      </c>
      <c r="B9548" s="314">
        <v>44859</v>
      </c>
      <c r="C9548" s="315">
        <v>2022</v>
      </c>
      <c r="D9548" s="24" t="s">
        <v>141</v>
      </c>
      <c r="E9548" s="316" t="s">
        <v>142</v>
      </c>
      <c r="F9548" s="317" t="s">
        <v>33</v>
      </c>
      <c r="G9548" s="317" t="s">
        <v>7767</v>
      </c>
      <c r="H9548" s="320" t="s">
        <v>12897</v>
      </c>
      <c r="I9548" s="317">
        <v>0</v>
      </c>
      <c r="J9548" s="356">
        <v>8</v>
      </c>
      <c r="K9548" s="356">
        <v>0</v>
      </c>
      <c r="L9548" s="356">
        <v>0</v>
      </c>
      <c r="M9548" s="356">
        <v>0</v>
      </c>
      <c r="N9548" s="356">
        <v>0</v>
      </c>
      <c r="O9548" s="356">
        <v>0</v>
      </c>
      <c r="P9548" s="362">
        <v>9.5832000000000001E-3</v>
      </c>
      <c r="Q9548" s="356" t="s">
        <v>154</v>
      </c>
    </row>
    <row r="9549" spans="1:17" ht="156" x14ac:dyDescent="0.25">
      <c r="A9549" s="314">
        <v>44859</v>
      </c>
      <c r="B9549" s="314">
        <v>44861</v>
      </c>
      <c r="C9549" s="315">
        <v>2022</v>
      </c>
      <c r="D9549" s="24" t="s">
        <v>141</v>
      </c>
      <c r="E9549" s="316" t="s">
        <v>1965</v>
      </c>
      <c r="F9549" s="317" t="s">
        <v>45</v>
      </c>
      <c r="G9549" s="317" t="s">
        <v>2799</v>
      </c>
      <c r="H9549" s="318" t="s">
        <v>12898</v>
      </c>
      <c r="I9549" s="317">
        <v>1</v>
      </c>
      <c r="J9549" s="356">
        <v>3</v>
      </c>
      <c r="K9549" s="356">
        <v>0</v>
      </c>
      <c r="L9549" s="356">
        <v>0</v>
      </c>
      <c r="M9549" s="356">
        <v>0</v>
      </c>
      <c r="N9549" s="356">
        <v>0</v>
      </c>
      <c r="O9549" s="356">
        <v>0</v>
      </c>
      <c r="P9549" s="362">
        <v>2.3958E-3</v>
      </c>
      <c r="Q9549" s="356" t="s">
        <v>154</v>
      </c>
    </row>
    <row r="9550" spans="1:17" ht="108" x14ac:dyDescent="0.25">
      <c r="A9550" s="314">
        <v>44862</v>
      </c>
      <c r="B9550" s="314">
        <v>44862</v>
      </c>
      <c r="C9550" s="315">
        <v>2022</v>
      </c>
      <c r="D9550" s="24" t="s">
        <v>141</v>
      </c>
      <c r="E9550" s="316" t="s">
        <v>142</v>
      </c>
      <c r="F9550" s="7" t="s">
        <v>77</v>
      </c>
      <c r="G9550" s="317" t="s">
        <v>2954</v>
      </c>
      <c r="H9550" s="318" t="s">
        <v>12899</v>
      </c>
      <c r="I9550" s="317">
        <v>0</v>
      </c>
      <c r="J9550" s="356">
        <v>3</v>
      </c>
      <c r="K9550" s="356">
        <v>0</v>
      </c>
      <c r="L9550" s="356">
        <v>0</v>
      </c>
      <c r="M9550" s="356">
        <v>0</v>
      </c>
      <c r="N9550" s="356">
        <v>0</v>
      </c>
      <c r="O9550" s="356">
        <v>0</v>
      </c>
      <c r="P9550" s="362">
        <v>0.22179505700000005</v>
      </c>
      <c r="Q9550" s="356" t="s">
        <v>154</v>
      </c>
    </row>
    <row r="9551" spans="1:17" ht="96" x14ac:dyDescent="0.25">
      <c r="A9551" s="314">
        <v>44862</v>
      </c>
      <c r="B9551" s="314">
        <v>44862</v>
      </c>
      <c r="C9551" s="315">
        <v>2022</v>
      </c>
      <c r="D9551" s="24" t="s">
        <v>141</v>
      </c>
      <c r="E9551" s="316" t="s">
        <v>142</v>
      </c>
      <c r="F9551" s="317" t="s">
        <v>84</v>
      </c>
      <c r="G9551" s="317" t="s">
        <v>1559</v>
      </c>
      <c r="H9551" s="318" t="s">
        <v>12900</v>
      </c>
      <c r="I9551" s="317">
        <v>1</v>
      </c>
      <c r="J9551" s="356">
        <v>5</v>
      </c>
      <c r="K9551" s="356">
        <v>0</v>
      </c>
      <c r="L9551" s="356">
        <v>0</v>
      </c>
      <c r="M9551" s="356">
        <v>0</v>
      </c>
      <c r="N9551" s="356">
        <v>0</v>
      </c>
      <c r="O9551" s="356">
        <v>0</v>
      </c>
      <c r="P9551" s="362">
        <v>1.0870781570000001</v>
      </c>
      <c r="Q9551" s="356" t="s">
        <v>154</v>
      </c>
    </row>
    <row r="9552" spans="1:17" ht="120" x14ac:dyDescent="0.25">
      <c r="A9552" s="314">
        <v>44862</v>
      </c>
      <c r="B9552" s="314">
        <v>44862</v>
      </c>
      <c r="C9552" s="315">
        <v>2022</v>
      </c>
      <c r="D9552" s="35" t="s">
        <v>28</v>
      </c>
      <c r="E9552" s="316" t="s">
        <v>149</v>
      </c>
      <c r="F9552" s="317" t="s">
        <v>210</v>
      </c>
      <c r="G9552" s="319" t="s">
        <v>3046</v>
      </c>
      <c r="H9552" s="318" t="s">
        <v>12901</v>
      </c>
      <c r="I9552" s="317">
        <v>0</v>
      </c>
      <c r="J9552" s="356">
        <v>8</v>
      </c>
      <c r="K9552" s="356">
        <v>0</v>
      </c>
      <c r="L9552" s="356">
        <v>0</v>
      </c>
      <c r="M9552" s="356">
        <v>0</v>
      </c>
      <c r="N9552" s="356">
        <v>0</v>
      </c>
      <c r="O9552" s="356">
        <v>0</v>
      </c>
      <c r="P9552" s="362">
        <v>9.5832000000000001E-3</v>
      </c>
      <c r="Q9552" s="356" t="s">
        <v>154</v>
      </c>
    </row>
    <row r="9553" spans="1:17" ht="156" x14ac:dyDescent="0.25">
      <c r="A9553" s="314">
        <v>44863</v>
      </c>
      <c r="B9553" s="314">
        <v>44863</v>
      </c>
      <c r="C9553" s="315">
        <v>2022</v>
      </c>
      <c r="D9553" s="35" t="s">
        <v>28</v>
      </c>
      <c r="E9553" s="316" t="s">
        <v>149</v>
      </c>
      <c r="F9553" s="317" t="s">
        <v>60</v>
      </c>
      <c r="G9553" s="317" t="s">
        <v>1256</v>
      </c>
      <c r="H9553" s="318" t="s">
        <v>12902</v>
      </c>
      <c r="I9553" s="317">
        <v>0</v>
      </c>
      <c r="J9553" s="356">
        <v>300</v>
      </c>
      <c r="K9553" s="356">
        <v>8</v>
      </c>
      <c r="L9553" s="356">
        <v>0</v>
      </c>
      <c r="M9553" s="356">
        <v>0</v>
      </c>
      <c r="N9553" s="356">
        <v>0</v>
      </c>
      <c r="O9553" s="356">
        <v>0</v>
      </c>
      <c r="P9553" s="362">
        <v>4.1926499999999998E-2</v>
      </c>
      <c r="Q9553" s="356" t="s">
        <v>154</v>
      </c>
    </row>
    <row r="9554" spans="1:17" ht="108" x14ac:dyDescent="0.25">
      <c r="A9554" s="314">
        <v>44863</v>
      </c>
      <c r="B9554" s="314">
        <v>44863</v>
      </c>
      <c r="C9554" s="315">
        <v>2022</v>
      </c>
      <c r="D9554" s="24" t="s">
        <v>141</v>
      </c>
      <c r="E9554" s="316" t="s">
        <v>142</v>
      </c>
      <c r="F9554" s="317" t="s">
        <v>160</v>
      </c>
      <c r="G9554" s="317" t="s">
        <v>2460</v>
      </c>
      <c r="H9554" s="318" t="s">
        <v>12903</v>
      </c>
      <c r="I9554" s="317">
        <v>4</v>
      </c>
      <c r="J9554" s="356">
        <v>31</v>
      </c>
      <c r="K9554" s="356">
        <v>0</v>
      </c>
      <c r="L9554" s="356">
        <v>0</v>
      </c>
      <c r="M9554" s="356">
        <v>0</v>
      </c>
      <c r="N9554" s="356">
        <v>0</v>
      </c>
      <c r="O9554" s="356">
        <v>0</v>
      </c>
      <c r="P9554" s="362">
        <v>3.2343300000000005E-2</v>
      </c>
      <c r="Q9554" s="356" t="s">
        <v>154</v>
      </c>
    </row>
    <row r="9555" spans="1:17" ht="156" x14ac:dyDescent="0.25">
      <c r="A9555" s="314">
        <v>44864</v>
      </c>
      <c r="B9555" s="349">
        <v>44864</v>
      </c>
      <c r="C9555" s="315">
        <v>2022</v>
      </c>
      <c r="D9555" s="351" t="s">
        <v>23</v>
      </c>
      <c r="E9555" s="316" t="s">
        <v>52</v>
      </c>
      <c r="F9555" s="7" t="s">
        <v>75</v>
      </c>
      <c r="G9555" s="317" t="s">
        <v>75</v>
      </c>
      <c r="H9555" s="318" t="s">
        <v>12904</v>
      </c>
      <c r="I9555" s="317">
        <v>0</v>
      </c>
      <c r="J9555" s="356">
        <v>26</v>
      </c>
      <c r="K9555" s="356">
        <v>8</v>
      </c>
      <c r="L9555" s="356">
        <v>0</v>
      </c>
      <c r="M9555" s="356">
        <v>0</v>
      </c>
      <c r="N9555" s="356">
        <v>0</v>
      </c>
      <c r="O9555" s="356">
        <v>0</v>
      </c>
      <c r="P9555" s="362">
        <v>7.4560199999999993E-2</v>
      </c>
      <c r="Q9555" s="356" t="s">
        <v>154</v>
      </c>
    </row>
    <row r="9556" spans="1:17" ht="96" x14ac:dyDescent="0.25">
      <c r="A9556" s="314">
        <v>44867</v>
      </c>
      <c r="B9556" s="314">
        <v>44867</v>
      </c>
      <c r="C9556" s="315">
        <v>2022</v>
      </c>
      <c r="D9556" s="24" t="s">
        <v>141</v>
      </c>
      <c r="E9556" s="316" t="s">
        <v>142</v>
      </c>
      <c r="F9556" s="317" t="s">
        <v>68</v>
      </c>
      <c r="G9556" s="317" t="s">
        <v>5096</v>
      </c>
      <c r="H9556" s="318" t="s">
        <v>12905</v>
      </c>
      <c r="I9556" s="317">
        <v>1</v>
      </c>
      <c r="J9556" s="356">
        <v>21</v>
      </c>
      <c r="K9556" s="356">
        <v>0</v>
      </c>
      <c r="L9556" s="356">
        <v>0</v>
      </c>
      <c r="M9556" s="356">
        <v>0</v>
      </c>
      <c r="N9556" s="356">
        <v>0</v>
      </c>
      <c r="O9556" s="356">
        <v>0</v>
      </c>
      <c r="P9556" s="362">
        <v>0.29877360943023257</v>
      </c>
      <c r="Q9556" s="356" t="s">
        <v>154</v>
      </c>
    </row>
    <row r="9557" spans="1:17" ht="120" x14ac:dyDescent="0.25">
      <c r="A9557" s="314">
        <v>44868</v>
      </c>
      <c r="B9557" s="314">
        <v>44869</v>
      </c>
      <c r="C9557" s="315">
        <v>2022</v>
      </c>
      <c r="D9557" s="35" t="s">
        <v>28</v>
      </c>
      <c r="E9557" s="316" t="s">
        <v>149</v>
      </c>
      <c r="F9557" s="317" t="s">
        <v>56</v>
      </c>
      <c r="G9557" s="317" t="s">
        <v>4286</v>
      </c>
      <c r="H9557" s="318" t="s">
        <v>12906</v>
      </c>
      <c r="I9557" s="317">
        <v>0</v>
      </c>
      <c r="J9557" s="356">
        <v>0</v>
      </c>
      <c r="K9557" s="356">
        <v>1</v>
      </c>
      <c r="L9557" s="356">
        <v>0</v>
      </c>
      <c r="M9557" s="356">
        <v>0</v>
      </c>
      <c r="N9557" s="356">
        <v>0</v>
      </c>
      <c r="O9557" s="356">
        <v>0</v>
      </c>
      <c r="P9557" s="362">
        <v>0</v>
      </c>
      <c r="Q9557" s="356" t="s">
        <v>154</v>
      </c>
    </row>
    <row r="9558" spans="1:17" ht="108" x14ac:dyDescent="0.25">
      <c r="A9558" s="314">
        <v>44869</v>
      </c>
      <c r="B9558" s="314">
        <v>44869</v>
      </c>
      <c r="C9558" s="315">
        <v>2022</v>
      </c>
      <c r="D9558" s="35" t="s">
        <v>28</v>
      </c>
      <c r="E9558" s="316" t="s">
        <v>149</v>
      </c>
      <c r="F9558" s="317" t="s">
        <v>60</v>
      </c>
      <c r="G9558" s="317" t="s">
        <v>908</v>
      </c>
      <c r="H9558" s="318" t="s">
        <v>12907</v>
      </c>
      <c r="I9558" s="317">
        <v>0</v>
      </c>
      <c r="J9558" s="356">
        <v>39</v>
      </c>
      <c r="K9558" s="356">
        <v>2</v>
      </c>
      <c r="L9558" s="356">
        <v>0</v>
      </c>
      <c r="M9558" s="356">
        <v>0</v>
      </c>
      <c r="N9558" s="356">
        <v>0</v>
      </c>
      <c r="O9558" s="356">
        <v>0</v>
      </c>
      <c r="P9558" s="362">
        <v>1.39755E-2</v>
      </c>
      <c r="Q9558" s="356" t="s">
        <v>154</v>
      </c>
    </row>
    <row r="9559" spans="1:17" ht="312" x14ac:dyDescent="0.25">
      <c r="A9559" s="314">
        <v>44868</v>
      </c>
      <c r="B9559" s="314">
        <v>44869</v>
      </c>
      <c r="C9559" s="315">
        <v>2022</v>
      </c>
      <c r="D9559" s="351" t="s">
        <v>23</v>
      </c>
      <c r="E9559" s="316" t="s">
        <v>86</v>
      </c>
      <c r="F9559" s="317" t="s">
        <v>210</v>
      </c>
      <c r="G9559" s="317" t="s">
        <v>12908</v>
      </c>
      <c r="H9559" s="318" t="s">
        <v>12909</v>
      </c>
      <c r="I9559" s="317">
        <v>0</v>
      </c>
      <c r="J9559" s="356">
        <f>40+240+92</f>
        <v>372</v>
      </c>
      <c r="K9559" s="356">
        <v>93</v>
      </c>
      <c r="L9559" s="356">
        <v>0</v>
      </c>
      <c r="M9559" s="356">
        <v>0</v>
      </c>
      <c r="N9559" s="356">
        <v>0</v>
      </c>
      <c r="O9559" s="356">
        <v>0</v>
      </c>
      <c r="P9559" s="362">
        <v>0.12406432500000002</v>
      </c>
      <c r="Q9559" s="356" t="s">
        <v>154</v>
      </c>
    </row>
    <row r="9560" spans="1:17" ht="409.5" x14ac:dyDescent="0.25">
      <c r="A9560" s="314">
        <v>44868</v>
      </c>
      <c r="B9560" s="314">
        <v>44869</v>
      </c>
      <c r="C9560" s="315">
        <v>2022</v>
      </c>
      <c r="D9560" s="351" t="s">
        <v>23</v>
      </c>
      <c r="E9560" s="316" t="s">
        <v>86</v>
      </c>
      <c r="F9560" s="317" t="s">
        <v>781</v>
      </c>
      <c r="G9560" s="317" t="s">
        <v>12910</v>
      </c>
      <c r="H9560" s="318" t="s">
        <v>12911</v>
      </c>
      <c r="I9560" s="317">
        <v>0</v>
      </c>
      <c r="J9560" s="356">
        <v>39</v>
      </c>
      <c r="K9560" s="356">
        <v>22</v>
      </c>
      <c r="L9560" s="356">
        <v>0</v>
      </c>
      <c r="M9560" s="356">
        <v>0</v>
      </c>
      <c r="N9560" s="356">
        <v>0</v>
      </c>
      <c r="O9560" s="356">
        <v>0</v>
      </c>
      <c r="P9560" s="362">
        <v>2.9348550000000004E-2</v>
      </c>
      <c r="Q9560" s="356" t="s">
        <v>154</v>
      </c>
    </row>
    <row r="9561" spans="1:17" ht="108" x14ac:dyDescent="0.25">
      <c r="A9561" s="314">
        <v>44870</v>
      </c>
      <c r="B9561" s="314">
        <v>44871</v>
      </c>
      <c r="C9561" s="315">
        <v>2022</v>
      </c>
      <c r="D9561" s="24" t="s">
        <v>141</v>
      </c>
      <c r="E9561" s="316" t="s">
        <v>142</v>
      </c>
      <c r="F9561" s="317" t="s">
        <v>62</v>
      </c>
      <c r="G9561" s="317" t="s">
        <v>8553</v>
      </c>
      <c r="H9561" s="318" t="s">
        <v>12912</v>
      </c>
      <c r="I9561" s="317">
        <v>4</v>
      </c>
      <c r="J9561" s="356">
        <v>13</v>
      </c>
      <c r="K9561" s="356">
        <v>0</v>
      </c>
      <c r="L9561" s="356">
        <v>0</v>
      </c>
      <c r="M9561" s="356">
        <v>0</v>
      </c>
      <c r="N9561" s="356">
        <v>0</v>
      </c>
      <c r="O9561" s="356">
        <v>0</v>
      </c>
      <c r="P9561" s="362">
        <v>1.3842721300023257</v>
      </c>
      <c r="Q9561" s="356" t="s">
        <v>154</v>
      </c>
    </row>
    <row r="9562" spans="1:17" ht="192" x14ac:dyDescent="0.25">
      <c r="A9562" s="314">
        <v>44870</v>
      </c>
      <c r="B9562" s="314">
        <v>44871</v>
      </c>
      <c r="C9562" s="315">
        <v>2022</v>
      </c>
      <c r="D9562" s="35" t="s">
        <v>28</v>
      </c>
      <c r="E9562" s="316" t="s">
        <v>133</v>
      </c>
      <c r="F9562" s="317" t="s">
        <v>160</v>
      </c>
      <c r="G9562" s="317" t="s">
        <v>6171</v>
      </c>
      <c r="H9562" s="318" t="s">
        <v>12913</v>
      </c>
      <c r="I9562" s="317">
        <v>0</v>
      </c>
      <c r="J9562" s="356">
        <v>15</v>
      </c>
      <c r="K9562" s="356">
        <v>0</v>
      </c>
      <c r="L9562" s="356">
        <v>0</v>
      </c>
      <c r="M9562" s="356">
        <v>0</v>
      </c>
      <c r="N9562" s="356">
        <v>0</v>
      </c>
      <c r="O9562" s="356">
        <v>0</v>
      </c>
      <c r="P9562" s="362">
        <v>6.9134801999999995E-2</v>
      </c>
      <c r="Q9562" s="356" t="s">
        <v>154</v>
      </c>
    </row>
    <row r="9563" spans="1:17" ht="108" x14ac:dyDescent="0.25">
      <c r="A9563" s="314">
        <v>44871</v>
      </c>
      <c r="B9563" s="314">
        <v>44871</v>
      </c>
      <c r="C9563" s="315">
        <v>2022</v>
      </c>
      <c r="D9563" s="24" t="s">
        <v>141</v>
      </c>
      <c r="E9563" s="316" t="s">
        <v>142</v>
      </c>
      <c r="F9563" s="317" t="s">
        <v>91</v>
      </c>
      <c r="G9563" s="317" t="s">
        <v>2786</v>
      </c>
      <c r="H9563" s="318" t="s">
        <v>12914</v>
      </c>
      <c r="I9563" s="317">
        <v>7</v>
      </c>
      <c r="J9563" s="356">
        <v>8</v>
      </c>
      <c r="K9563" s="356">
        <v>0</v>
      </c>
      <c r="L9563" s="356">
        <v>0</v>
      </c>
      <c r="M9563" s="356">
        <v>0</v>
      </c>
      <c r="N9563" s="356">
        <v>0</v>
      </c>
      <c r="O9563" s="356">
        <v>0</v>
      </c>
      <c r="P9563" s="362">
        <v>0.22972382400000005</v>
      </c>
      <c r="Q9563" s="356" t="s">
        <v>154</v>
      </c>
    </row>
    <row r="9564" spans="1:17" ht="144" x14ac:dyDescent="0.25">
      <c r="A9564" s="314">
        <v>44872</v>
      </c>
      <c r="B9564" s="314">
        <v>44873</v>
      </c>
      <c r="C9564" s="315">
        <v>2022</v>
      </c>
      <c r="D9564" s="24" t="s">
        <v>141</v>
      </c>
      <c r="E9564" s="316" t="s">
        <v>142</v>
      </c>
      <c r="F9564" s="28" t="s">
        <v>157</v>
      </c>
      <c r="G9564" s="317" t="s">
        <v>206</v>
      </c>
      <c r="H9564" s="318" t="s">
        <v>12915</v>
      </c>
      <c r="I9564" s="317">
        <v>0</v>
      </c>
      <c r="J9564" s="356">
        <v>15</v>
      </c>
      <c r="K9564" s="356">
        <v>0</v>
      </c>
      <c r="L9564" s="356">
        <v>0</v>
      </c>
      <c r="M9564" s="356">
        <v>0</v>
      </c>
      <c r="N9564" s="356">
        <v>0</v>
      </c>
      <c r="O9564" s="356">
        <v>0</v>
      </c>
      <c r="P9564" s="362">
        <v>1.07811E-2</v>
      </c>
      <c r="Q9564" s="356" t="s">
        <v>154</v>
      </c>
    </row>
    <row r="9565" spans="1:17" ht="144" x14ac:dyDescent="0.25">
      <c r="A9565" s="314">
        <v>44874</v>
      </c>
      <c r="B9565" s="314">
        <v>44875</v>
      </c>
      <c r="C9565" s="315">
        <v>2022</v>
      </c>
      <c r="D9565" s="24" t="s">
        <v>141</v>
      </c>
      <c r="E9565" s="316" t="s">
        <v>1965</v>
      </c>
      <c r="F9565" s="317" t="s">
        <v>56</v>
      </c>
      <c r="G9565" s="317" t="s">
        <v>358</v>
      </c>
      <c r="H9565" s="318" t="s">
        <v>12916</v>
      </c>
      <c r="I9565" s="317">
        <v>2</v>
      </c>
      <c r="J9565" s="356">
        <v>9</v>
      </c>
      <c r="K9565" s="356">
        <v>0</v>
      </c>
      <c r="L9565" s="356">
        <v>0</v>
      </c>
      <c r="M9565" s="356">
        <v>0</v>
      </c>
      <c r="N9565" s="356">
        <v>0</v>
      </c>
      <c r="O9565" s="356">
        <v>0</v>
      </c>
      <c r="P9565" s="362">
        <v>8.3853000000000018E-3</v>
      </c>
      <c r="Q9565" s="356" t="s">
        <v>154</v>
      </c>
    </row>
    <row r="9566" spans="1:17" ht="25.5" x14ac:dyDescent="0.25">
      <c r="A9566" s="314">
        <v>44873</v>
      </c>
      <c r="B9566" s="314">
        <v>44875</v>
      </c>
      <c r="C9566" s="315">
        <v>2022</v>
      </c>
      <c r="D9566" s="351" t="s">
        <v>23</v>
      </c>
      <c r="E9566" s="316" t="s">
        <v>86</v>
      </c>
      <c r="F9566" s="317" t="s">
        <v>30</v>
      </c>
      <c r="G9566" s="317" t="s">
        <v>12917</v>
      </c>
      <c r="H9566" s="320" t="s">
        <v>12918</v>
      </c>
      <c r="I9566" s="317">
        <v>1</v>
      </c>
      <c r="J9566" s="356">
        <v>1</v>
      </c>
      <c r="K9566" s="356">
        <v>14</v>
      </c>
      <c r="L9566" s="356">
        <v>0</v>
      </c>
      <c r="M9566" s="356">
        <v>0</v>
      </c>
      <c r="N9566" s="356">
        <v>0</v>
      </c>
      <c r="O9566" s="356">
        <v>0</v>
      </c>
      <c r="P9566" s="362">
        <v>0.23163635000000002</v>
      </c>
      <c r="Q9566" s="356" t="s">
        <v>154</v>
      </c>
    </row>
    <row r="9567" spans="1:17" ht="144" x14ac:dyDescent="0.25">
      <c r="A9567" s="314">
        <v>44875</v>
      </c>
      <c r="B9567" s="314">
        <v>44875</v>
      </c>
      <c r="C9567" s="315">
        <v>2022</v>
      </c>
      <c r="D9567" s="24" t="s">
        <v>141</v>
      </c>
      <c r="E9567" s="316" t="s">
        <v>142</v>
      </c>
      <c r="F9567" s="317" t="s">
        <v>72</v>
      </c>
      <c r="G9567" s="317" t="s">
        <v>12278</v>
      </c>
      <c r="H9567" s="318" t="s">
        <v>12919</v>
      </c>
      <c r="I9567" s="317">
        <v>0</v>
      </c>
      <c r="J9567" s="356">
        <v>20</v>
      </c>
      <c r="K9567" s="356">
        <v>0</v>
      </c>
      <c r="L9567" s="356">
        <v>0</v>
      </c>
      <c r="M9567" s="356">
        <v>0</v>
      </c>
      <c r="N9567" s="356">
        <v>0</v>
      </c>
      <c r="O9567" s="356">
        <v>0</v>
      </c>
      <c r="P9567" s="362">
        <v>2.3958E-2</v>
      </c>
      <c r="Q9567" s="356" t="s">
        <v>154</v>
      </c>
    </row>
    <row r="9568" spans="1:17" ht="96" x14ac:dyDescent="0.25">
      <c r="A9568" s="314">
        <v>44878</v>
      </c>
      <c r="B9568" s="314">
        <v>44878</v>
      </c>
      <c r="C9568" s="315">
        <v>2022</v>
      </c>
      <c r="D9568" s="35" t="s">
        <v>28</v>
      </c>
      <c r="E9568" s="316" t="s">
        <v>149</v>
      </c>
      <c r="F9568" s="28" t="s">
        <v>157</v>
      </c>
      <c r="G9568" s="317" t="s">
        <v>4820</v>
      </c>
      <c r="H9568" s="318" t="s">
        <v>12920</v>
      </c>
      <c r="I9568" s="317">
        <v>0</v>
      </c>
      <c r="J9568" s="356">
        <v>50</v>
      </c>
      <c r="K9568" s="356">
        <v>1</v>
      </c>
      <c r="L9568" s="356">
        <v>0</v>
      </c>
      <c r="M9568" s="356">
        <v>0</v>
      </c>
      <c r="N9568" s="356">
        <v>0</v>
      </c>
      <c r="O9568" s="356">
        <v>0</v>
      </c>
      <c r="P9568" s="362">
        <v>3.5574000000000001E-2</v>
      </c>
      <c r="Q9568" s="356" t="s">
        <v>154</v>
      </c>
    </row>
    <row r="9569" spans="1:17" ht="132" x14ac:dyDescent="0.25">
      <c r="A9569" s="314">
        <v>44879</v>
      </c>
      <c r="B9569" s="314">
        <v>44879</v>
      </c>
      <c r="C9569" s="315">
        <v>2022</v>
      </c>
      <c r="D9569" s="24" t="s">
        <v>141</v>
      </c>
      <c r="E9569" s="316" t="s">
        <v>142</v>
      </c>
      <c r="F9569" s="317" t="s">
        <v>160</v>
      </c>
      <c r="G9569" s="317" t="s">
        <v>12921</v>
      </c>
      <c r="H9569" s="318" t="s">
        <v>12922</v>
      </c>
      <c r="I9569" s="317">
        <v>0</v>
      </c>
      <c r="J9569" s="356">
        <v>13</v>
      </c>
      <c r="K9569" s="356">
        <v>0</v>
      </c>
      <c r="L9569" s="356">
        <v>0</v>
      </c>
      <c r="M9569" s="356">
        <v>0</v>
      </c>
      <c r="N9569" s="356">
        <v>0</v>
      </c>
      <c r="O9569" s="356">
        <v>0</v>
      </c>
      <c r="P9569" s="362">
        <v>1.55727E-2</v>
      </c>
      <c r="Q9569" s="356" t="s">
        <v>154</v>
      </c>
    </row>
    <row r="9570" spans="1:17" ht="168" x14ac:dyDescent="0.25">
      <c r="A9570" s="314">
        <v>44882</v>
      </c>
      <c r="B9570" s="314">
        <v>44882</v>
      </c>
      <c r="C9570" s="315">
        <v>2022</v>
      </c>
      <c r="D9570" s="24" t="s">
        <v>141</v>
      </c>
      <c r="E9570" s="316" t="s">
        <v>142</v>
      </c>
      <c r="F9570" s="317" t="s">
        <v>25</v>
      </c>
      <c r="G9570" s="317" t="s">
        <v>2519</v>
      </c>
      <c r="H9570" s="318" t="s">
        <v>12923</v>
      </c>
      <c r="I9570" s="317">
        <v>5</v>
      </c>
      <c r="J9570" s="356">
        <v>5</v>
      </c>
      <c r="K9570" s="356">
        <v>0</v>
      </c>
      <c r="L9570" s="356">
        <v>0</v>
      </c>
      <c r="M9570" s="356">
        <v>0</v>
      </c>
      <c r="N9570" s="356">
        <v>0</v>
      </c>
      <c r="O9570" s="356">
        <v>0</v>
      </c>
      <c r="P9570" s="362">
        <v>1.9920535354057374</v>
      </c>
      <c r="Q9570" s="356" t="s">
        <v>154</v>
      </c>
    </row>
    <row r="9571" spans="1:17" ht="168" x14ac:dyDescent="0.25">
      <c r="A9571" s="314">
        <v>44882</v>
      </c>
      <c r="B9571" s="314">
        <v>44882</v>
      </c>
      <c r="C9571" s="315">
        <v>2022</v>
      </c>
      <c r="D9571" s="24" t="s">
        <v>141</v>
      </c>
      <c r="E9571" s="316" t="s">
        <v>142</v>
      </c>
      <c r="F9571" s="317" t="s">
        <v>210</v>
      </c>
      <c r="G9571" s="319" t="s">
        <v>2292</v>
      </c>
      <c r="H9571" s="318" t="s">
        <v>12924</v>
      </c>
      <c r="I9571" s="317">
        <v>0</v>
      </c>
      <c r="J9571" s="356">
        <v>11</v>
      </c>
      <c r="K9571" s="356">
        <v>0</v>
      </c>
      <c r="L9571" s="356">
        <v>0</v>
      </c>
      <c r="M9571" s="356">
        <v>0</v>
      </c>
      <c r="N9571" s="356">
        <v>0</v>
      </c>
      <c r="O9571" s="356">
        <v>0</v>
      </c>
      <c r="P9571" s="362">
        <v>0.22788555569999999</v>
      </c>
      <c r="Q9571" s="356" t="s">
        <v>154</v>
      </c>
    </row>
    <row r="9572" spans="1:17" ht="409.5" x14ac:dyDescent="0.25">
      <c r="A9572" s="314">
        <v>44881</v>
      </c>
      <c r="B9572" s="314">
        <v>44882</v>
      </c>
      <c r="C9572" s="315">
        <v>2022</v>
      </c>
      <c r="D9572" s="351" t="s">
        <v>23</v>
      </c>
      <c r="E9572" s="316" t="s">
        <v>86</v>
      </c>
      <c r="F9572" s="317" t="s">
        <v>781</v>
      </c>
      <c r="G9572" s="317" t="s">
        <v>12925</v>
      </c>
      <c r="H9572" s="318" t="s">
        <v>12926</v>
      </c>
      <c r="I9572" s="317">
        <v>0</v>
      </c>
      <c r="J9572" s="356">
        <v>336</v>
      </c>
      <c r="K9572" s="356">
        <v>83</v>
      </c>
      <c r="L9572" s="356">
        <v>0</v>
      </c>
      <c r="M9572" s="356">
        <v>0</v>
      </c>
      <c r="N9572" s="356">
        <v>0</v>
      </c>
      <c r="O9572" s="356">
        <v>0</v>
      </c>
      <c r="P9572" s="362">
        <v>0.11072407500000001</v>
      </c>
      <c r="Q9572" s="356" t="s">
        <v>154</v>
      </c>
    </row>
    <row r="9573" spans="1:17" ht="156" x14ac:dyDescent="0.25">
      <c r="A9573" s="314">
        <v>44885</v>
      </c>
      <c r="B9573" s="314">
        <v>44885</v>
      </c>
      <c r="C9573" s="315">
        <v>2022</v>
      </c>
      <c r="D9573" s="35" t="s">
        <v>28</v>
      </c>
      <c r="E9573" s="316" t="s">
        <v>149</v>
      </c>
      <c r="F9573" s="28" t="s">
        <v>157</v>
      </c>
      <c r="G9573" s="317" t="s">
        <v>716</v>
      </c>
      <c r="H9573" s="318" t="s">
        <v>12927</v>
      </c>
      <c r="I9573" s="317">
        <v>0</v>
      </c>
      <c r="J9573" s="356">
        <v>150</v>
      </c>
      <c r="K9573" s="356">
        <v>3</v>
      </c>
      <c r="L9573" s="356">
        <v>0</v>
      </c>
      <c r="M9573" s="356">
        <v>0</v>
      </c>
      <c r="N9573" s="356">
        <v>0</v>
      </c>
      <c r="O9573" s="356">
        <v>0</v>
      </c>
      <c r="P9573" s="362">
        <v>0.223608</v>
      </c>
      <c r="Q9573" s="356" t="s">
        <v>154</v>
      </c>
    </row>
    <row r="9574" spans="1:17" ht="216" x14ac:dyDescent="0.25">
      <c r="A9574" s="314">
        <v>44885</v>
      </c>
      <c r="B9574" s="314">
        <v>44886</v>
      </c>
      <c r="C9574" s="315">
        <v>2022</v>
      </c>
      <c r="D9574" s="24" t="s">
        <v>141</v>
      </c>
      <c r="E9574" s="316" t="s">
        <v>142</v>
      </c>
      <c r="F9574" s="317" t="s">
        <v>82</v>
      </c>
      <c r="G9574" s="317" t="s">
        <v>4878</v>
      </c>
      <c r="H9574" s="318" t="s">
        <v>12928</v>
      </c>
      <c r="I9574" s="317">
        <v>0</v>
      </c>
      <c r="J9574" s="356">
        <v>45</v>
      </c>
      <c r="K9574" s="356">
        <v>0</v>
      </c>
      <c r="L9574" s="356">
        <v>0</v>
      </c>
      <c r="M9574" s="356">
        <v>0</v>
      </c>
      <c r="N9574" s="356">
        <v>0</v>
      </c>
      <c r="O9574" s="356">
        <v>0</v>
      </c>
      <c r="P9574" s="362">
        <v>0.91799070000000005</v>
      </c>
      <c r="Q9574" s="356" t="s">
        <v>154</v>
      </c>
    </row>
    <row r="9575" spans="1:17" ht="96" x14ac:dyDescent="0.25">
      <c r="A9575" s="314">
        <v>44886</v>
      </c>
      <c r="B9575" s="314">
        <v>44886</v>
      </c>
      <c r="C9575" s="315">
        <v>2022</v>
      </c>
      <c r="D9575" s="24" t="s">
        <v>141</v>
      </c>
      <c r="E9575" s="316" t="s">
        <v>142</v>
      </c>
      <c r="F9575" s="7" t="s">
        <v>53</v>
      </c>
      <c r="G9575" s="317" t="s">
        <v>3073</v>
      </c>
      <c r="H9575" s="318" t="s">
        <v>12929</v>
      </c>
      <c r="I9575" s="317">
        <v>7</v>
      </c>
      <c r="J9575" s="356">
        <f>5+7</f>
        <v>12</v>
      </c>
      <c r="K9575" s="356">
        <v>0</v>
      </c>
      <c r="L9575" s="356">
        <v>0</v>
      </c>
      <c r="M9575" s="356">
        <v>0</v>
      </c>
      <c r="N9575" s="356">
        <v>0</v>
      </c>
      <c r="O9575" s="356">
        <v>0</v>
      </c>
      <c r="P9575" s="362">
        <v>5.9895E-3</v>
      </c>
      <c r="Q9575" s="356" t="s">
        <v>154</v>
      </c>
    </row>
    <row r="9576" spans="1:17" ht="51" x14ac:dyDescent="0.25">
      <c r="A9576" s="314">
        <v>44887</v>
      </c>
      <c r="B9576" s="314">
        <v>44887</v>
      </c>
      <c r="C9576" s="315">
        <v>2022</v>
      </c>
      <c r="D9576" s="351" t="s">
        <v>23</v>
      </c>
      <c r="E9576" s="316" t="s">
        <v>86</v>
      </c>
      <c r="F9576" s="317" t="s">
        <v>36</v>
      </c>
      <c r="G9576" s="317" t="s">
        <v>12930</v>
      </c>
      <c r="H9576" s="318" t="s">
        <v>12931</v>
      </c>
      <c r="I9576" s="317">
        <v>0</v>
      </c>
      <c r="J9576" s="356">
        <v>0</v>
      </c>
      <c r="K9576" s="356">
        <v>0</v>
      </c>
      <c r="L9576" s="356">
        <v>0</v>
      </c>
      <c r="M9576" s="356">
        <v>0</v>
      </c>
      <c r="N9576" s="356">
        <v>0</v>
      </c>
      <c r="O9576" s="356">
        <v>0</v>
      </c>
      <c r="P9576" s="362">
        <v>330.66059300000001</v>
      </c>
      <c r="Q9576" s="356" t="s">
        <v>12447</v>
      </c>
    </row>
    <row r="9577" spans="1:17" ht="144" x14ac:dyDescent="0.25">
      <c r="A9577" s="314">
        <v>44887</v>
      </c>
      <c r="B9577" s="314">
        <v>44889</v>
      </c>
      <c r="C9577" s="315">
        <v>2022</v>
      </c>
      <c r="D9577" s="351" t="s">
        <v>23</v>
      </c>
      <c r="E9577" s="316" t="s">
        <v>86</v>
      </c>
      <c r="F9577" s="317" t="s">
        <v>781</v>
      </c>
      <c r="G9577" s="317" t="s">
        <v>12588</v>
      </c>
      <c r="H9577" s="318" t="s">
        <v>12932</v>
      </c>
      <c r="I9577" s="317">
        <v>0</v>
      </c>
      <c r="J9577" s="356">
        <v>5146</v>
      </c>
      <c r="K9577" s="356">
        <v>1141</v>
      </c>
      <c r="L9577" s="356">
        <v>4</v>
      </c>
      <c r="M9577" s="356">
        <v>1</v>
      </c>
      <c r="N9577" s="356">
        <v>0</v>
      </c>
      <c r="O9577" s="356">
        <v>0</v>
      </c>
      <c r="P9577" s="362">
        <v>1.5221225250000001</v>
      </c>
      <c r="Q9577" s="356" t="s">
        <v>154</v>
      </c>
    </row>
    <row r="9578" spans="1:17" ht="132" x14ac:dyDescent="0.25">
      <c r="A9578" s="314">
        <v>44889</v>
      </c>
      <c r="B9578" s="314">
        <v>44889</v>
      </c>
      <c r="C9578" s="315">
        <v>2022</v>
      </c>
      <c r="D9578" s="24" t="s">
        <v>141</v>
      </c>
      <c r="E9578" s="316" t="s">
        <v>142</v>
      </c>
      <c r="F9578" s="317" t="s">
        <v>60</v>
      </c>
      <c r="G9578" s="317" t="s">
        <v>1491</v>
      </c>
      <c r="H9578" s="318" t="s">
        <v>12933</v>
      </c>
      <c r="I9578" s="317">
        <v>0</v>
      </c>
      <c r="J9578" s="356">
        <v>38</v>
      </c>
      <c r="K9578" s="356">
        <v>0</v>
      </c>
      <c r="L9578" s="356">
        <v>0</v>
      </c>
      <c r="M9578" s="356">
        <v>0</v>
      </c>
      <c r="N9578" s="356">
        <v>0</v>
      </c>
      <c r="O9578" s="356">
        <v>0</v>
      </c>
      <c r="P9578" s="362">
        <v>2.9050596983023258</v>
      </c>
      <c r="Q9578" s="356" t="s">
        <v>154</v>
      </c>
    </row>
    <row r="9579" spans="1:17" ht="409.5" x14ac:dyDescent="0.25">
      <c r="A9579" s="314">
        <v>44889</v>
      </c>
      <c r="B9579" s="314">
        <v>44890</v>
      </c>
      <c r="C9579" s="315">
        <v>2022</v>
      </c>
      <c r="D9579" s="35" t="s">
        <v>28</v>
      </c>
      <c r="E9579" s="316" t="s">
        <v>125</v>
      </c>
      <c r="F9579" s="317" t="s">
        <v>210</v>
      </c>
      <c r="G9579" s="319" t="s">
        <v>12934</v>
      </c>
      <c r="H9579" s="318" t="s">
        <v>12935</v>
      </c>
      <c r="I9579" s="317">
        <v>0</v>
      </c>
      <c r="J9579" s="356">
        <v>230</v>
      </c>
      <c r="K9579" s="356">
        <v>0</v>
      </c>
      <c r="L9579" s="356">
        <v>0</v>
      </c>
      <c r="M9579" s="356">
        <v>0</v>
      </c>
      <c r="N9579" s="356">
        <v>0</v>
      </c>
      <c r="O9579" s="356">
        <v>0</v>
      </c>
      <c r="P9579" s="362">
        <v>8.5958999999999994E-2</v>
      </c>
      <c r="Q9579" s="356" t="s">
        <v>154</v>
      </c>
    </row>
    <row r="9580" spans="1:17" ht="108" x14ac:dyDescent="0.25">
      <c r="A9580" s="314">
        <v>44894</v>
      </c>
      <c r="B9580" s="314">
        <v>44894</v>
      </c>
      <c r="C9580" s="315">
        <v>2022</v>
      </c>
      <c r="D9580" s="35" t="s">
        <v>28</v>
      </c>
      <c r="E9580" s="316" t="s">
        <v>133</v>
      </c>
      <c r="F9580" s="317" t="s">
        <v>160</v>
      </c>
      <c r="G9580" s="317" t="s">
        <v>3649</v>
      </c>
      <c r="H9580" s="318" t="s">
        <v>12936</v>
      </c>
      <c r="I9580" s="317">
        <v>1</v>
      </c>
      <c r="J9580" s="356">
        <v>3</v>
      </c>
      <c r="K9580" s="356">
        <v>1</v>
      </c>
      <c r="L9580" s="356">
        <v>0</v>
      </c>
      <c r="M9580" s="356">
        <v>0</v>
      </c>
      <c r="N9580" s="356">
        <v>0</v>
      </c>
      <c r="O9580" s="356">
        <v>0</v>
      </c>
      <c r="P9580" s="362">
        <v>9.3835499999999992E-3</v>
      </c>
      <c r="Q9580" s="356" t="s">
        <v>154</v>
      </c>
    </row>
    <row r="9581" spans="1:17" ht="276" x14ac:dyDescent="0.25">
      <c r="A9581" s="314">
        <v>44892</v>
      </c>
      <c r="B9581" s="314">
        <v>44894</v>
      </c>
      <c r="C9581" s="315">
        <v>2022</v>
      </c>
      <c r="D9581" s="35" t="s">
        <v>28</v>
      </c>
      <c r="E9581" s="316" t="s">
        <v>125</v>
      </c>
      <c r="F9581" s="317" t="s">
        <v>210</v>
      </c>
      <c r="G9581" s="319" t="s">
        <v>2076</v>
      </c>
      <c r="H9581" s="318" t="s">
        <v>12937</v>
      </c>
      <c r="I9581" s="317">
        <v>0</v>
      </c>
      <c r="J9581" s="356">
        <v>211</v>
      </c>
      <c r="K9581" s="356">
        <v>0</v>
      </c>
      <c r="L9581" s="356">
        <v>0</v>
      </c>
      <c r="M9581" s="356">
        <v>0</v>
      </c>
      <c r="N9581" s="356">
        <v>0</v>
      </c>
      <c r="O9581" s="356">
        <v>0</v>
      </c>
      <c r="P9581" s="362">
        <v>4.4150600999999998E-2</v>
      </c>
      <c r="Q9581" s="356" t="s">
        <v>154</v>
      </c>
    </row>
    <row r="9582" spans="1:17" ht="108" x14ac:dyDescent="0.25">
      <c r="A9582" s="314">
        <v>44896</v>
      </c>
      <c r="B9582" s="314">
        <v>44896</v>
      </c>
      <c r="C9582" s="315">
        <v>2022</v>
      </c>
      <c r="D9582" s="351" t="s">
        <v>23</v>
      </c>
      <c r="E9582" s="316" t="s">
        <v>86</v>
      </c>
      <c r="F9582" s="317" t="s">
        <v>210</v>
      </c>
      <c r="G9582" s="319" t="s">
        <v>12938</v>
      </c>
      <c r="H9582" s="318" t="s">
        <v>12939</v>
      </c>
      <c r="I9582" s="317">
        <v>0</v>
      </c>
      <c r="J9582" s="356">
        <v>580</v>
      </c>
      <c r="K9582" s="356">
        <v>145</v>
      </c>
      <c r="L9582" s="356">
        <v>0</v>
      </c>
      <c r="M9582" s="356">
        <v>0</v>
      </c>
      <c r="N9582" s="356">
        <v>0</v>
      </c>
      <c r="O9582" s="356">
        <v>0</v>
      </c>
      <c r="P9582" s="362">
        <v>0.193433625</v>
      </c>
      <c r="Q9582" s="356" t="s">
        <v>154</v>
      </c>
    </row>
    <row r="9583" spans="1:17" ht="120" x14ac:dyDescent="0.25">
      <c r="A9583" s="314">
        <v>44898</v>
      </c>
      <c r="B9583" s="314">
        <v>44898</v>
      </c>
      <c r="C9583" s="315">
        <v>2022</v>
      </c>
      <c r="D9583" s="24" t="s">
        <v>141</v>
      </c>
      <c r="E9583" s="316" t="s">
        <v>142</v>
      </c>
      <c r="F9583" s="317" t="s">
        <v>210</v>
      </c>
      <c r="G9583" s="319" t="s">
        <v>10918</v>
      </c>
      <c r="H9583" s="318" t="s">
        <v>12940</v>
      </c>
      <c r="I9583" s="317">
        <v>2</v>
      </c>
      <c r="J9583" s="356">
        <v>17</v>
      </c>
      <c r="K9583" s="356">
        <v>0</v>
      </c>
      <c r="L9583" s="356">
        <v>0</v>
      </c>
      <c r="M9583" s="356">
        <v>0</v>
      </c>
      <c r="N9583" s="356">
        <v>0</v>
      </c>
      <c r="O9583" s="356">
        <v>0</v>
      </c>
      <c r="P9583" s="362">
        <v>0.21085702000000001</v>
      </c>
      <c r="Q9583" s="356" t="s">
        <v>154</v>
      </c>
    </row>
    <row r="9584" spans="1:17" ht="132" x14ac:dyDescent="0.25">
      <c r="A9584" s="314">
        <v>44898</v>
      </c>
      <c r="B9584" s="314">
        <v>44898</v>
      </c>
      <c r="C9584" s="315">
        <v>2022</v>
      </c>
      <c r="D9584" s="24" t="s">
        <v>141</v>
      </c>
      <c r="E9584" s="316" t="s">
        <v>142</v>
      </c>
      <c r="F9584" s="317" t="s">
        <v>56</v>
      </c>
      <c r="G9584" s="317" t="s">
        <v>358</v>
      </c>
      <c r="H9584" s="318" t="s">
        <v>12941</v>
      </c>
      <c r="I9584" s="317">
        <v>0</v>
      </c>
      <c r="J9584" s="356">
        <v>14</v>
      </c>
      <c r="K9584" s="356">
        <v>0</v>
      </c>
      <c r="L9584" s="356">
        <v>0</v>
      </c>
      <c r="M9584" s="356">
        <v>0</v>
      </c>
      <c r="N9584" s="356">
        <v>0</v>
      </c>
      <c r="O9584" s="356">
        <v>0</v>
      </c>
      <c r="P9584" s="362">
        <v>0.10317912000000001</v>
      </c>
      <c r="Q9584" s="356" t="s">
        <v>154</v>
      </c>
    </row>
    <row r="9585" spans="1:17" ht="96" x14ac:dyDescent="0.25">
      <c r="A9585" s="314">
        <v>44900</v>
      </c>
      <c r="B9585" s="314">
        <v>44900</v>
      </c>
      <c r="C9585" s="315">
        <v>2022</v>
      </c>
      <c r="D9585" s="35" t="s">
        <v>28</v>
      </c>
      <c r="E9585" s="316" t="s">
        <v>149</v>
      </c>
      <c r="F9585" s="317" t="s">
        <v>60</v>
      </c>
      <c r="G9585" s="317" t="s">
        <v>1605</v>
      </c>
      <c r="H9585" s="318" t="s">
        <v>12942</v>
      </c>
      <c r="I9585" s="317">
        <v>0</v>
      </c>
      <c r="J9585" s="356">
        <v>56</v>
      </c>
      <c r="K9585" s="356">
        <v>1</v>
      </c>
      <c r="L9585" s="356">
        <v>0</v>
      </c>
      <c r="M9585" s="356">
        <v>0</v>
      </c>
      <c r="N9585" s="356">
        <v>0</v>
      </c>
      <c r="O9585" s="356">
        <v>0</v>
      </c>
      <c r="P9585" s="362">
        <v>9.3835499999999992E-3</v>
      </c>
      <c r="Q9585" s="356" t="s">
        <v>154</v>
      </c>
    </row>
    <row r="9586" spans="1:17" ht="120" x14ac:dyDescent="0.25">
      <c r="A9586" s="314">
        <v>44901</v>
      </c>
      <c r="B9586" s="314">
        <v>44901</v>
      </c>
      <c r="C9586" s="315">
        <v>2022</v>
      </c>
      <c r="D9586" s="24" t="s">
        <v>141</v>
      </c>
      <c r="E9586" s="316" t="s">
        <v>142</v>
      </c>
      <c r="F9586" s="28" t="s">
        <v>157</v>
      </c>
      <c r="G9586" s="317" t="s">
        <v>857</v>
      </c>
      <c r="H9586" s="318" t="s">
        <v>12943</v>
      </c>
      <c r="I9586" s="317">
        <v>1</v>
      </c>
      <c r="J9586" s="356">
        <v>56</v>
      </c>
      <c r="K9586" s="356">
        <v>0</v>
      </c>
      <c r="L9586" s="356">
        <v>0</v>
      </c>
      <c r="M9586" s="356">
        <v>0</v>
      </c>
      <c r="N9586" s="356">
        <v>0</v>
      </c>
      <c r="O9586" s="356">
        <v>0</v>
      </c>
      <c r="P9586" s="362">
        <v>0.13672032000000001</v>
      </c>
      <c r="Q9586" s="356" t="s">
        <v>154</v>
      </c>
    </row>
    <row r="9587" spans="1:17" ht="96" x14ac:dyDescent="0.25">
      <c r="A9587" s="314">
        <v>44902</v>
      </c>
      <c r="B9587" s="314">
        <v>44902</v>
      </c>
      <c r="C9587" s="315">
        <v>2022</v>
      </c>
      <c r="D9587" s="35" t="s">
        <v>28</v>
      </c>
      <c r="E9587" s="316" t="s">
        <v>133</v>
      </c>
      <c r="F9587" s="317" t="s">
        <v>210</v>
      </c>
      <c r="G9587" s="319" t="s">
        <v>12944</v>
      </c>
      <c r="H9587" s="318" t="s">
        <v>12945</v>
      </c>
      <c r="I9587" s="317">
        <v>1</v>
      </c>
      <c r="J9587" s="356">
        <v>5</v>
      </c>
      <c r="K9587" s="356">
        <v>0</v>
      </c>
      <c r="L9587" s="356">
        <v>0</v>
      </c>
      <c r="M9587" s="356">
        <v>0</v>
      </c>
      <c r="N9587" s="356">
        <v>0</v>
      </c>
      <c r="O9587" s="356">
        <v>0</v>
      </c>
      <c r="P9587" s="362">
        <v>0.8886762022470589</v>
      </c>
      <c r="Q9587" s="356" t="s">
        <v>154</v>
      </c>
    </row>
    <row r="9588" spans="1:17" ht="240" x14ac:dyDescent="0.25">
      <c r="A9588" s="314">
        <v>44902</v>
      </c>
      <c r="B9588" s="314">
        <v>44902</v>
      </c>
      <c r="C9588" s="315">
        <v>2022</v>
      </c>
      <c r="D9588" s="35" t="s">
        <v>28</v>
      </c>
      <c r="E9588" s="316" t="s">
        <v>133</v>
      </c>
      <c r="F9588" s="317" t="s">
        <v>56</v>
      </c>
      <c r="G9588" s="317" t="s">
        <v>12946</v>
      </c>
      <c r="H9588" s="329" t="s">
        <v>12947</v>
      </c>
      <c r="I9588" s="317">
        <v>5</v>
      </c>
      <c r="J9588" s="356">
        <v>12</v>
      </c>
      <c r="K9588" s="356">
        <v>0</v>
      </c>
      <c r="L9588" s="356">
        <v>0</v>
      </c>
      <c r="M9588" s="356">
        <v>0</v>
      </c>
      <c r="N9588" s="356">
        <v>0</v>
      </c>
      <c r="O9588" s="356">
        <v>0</v>
      </c>
      <c r="P9588" s="362">
        <v>0</v>
      </c>
      <c r="Q9588" s="356" t="s">
        <v>154</v>
      </c>
    </row>
    <row r="9589" spans="1:17" ht="84" x14ac:dyDescent="0.25">
      <c r="A9589" s="314">
        <v>44902</v>
      </c>
      <c r="B9589" s="314">
        <v>44903</v>
      </c>
      <c r="C9589" s="315">
        <v>2022</v>
      </c>
      <c r="D9589" s="35" t="s">
        <v>28</v>
      </c>
      <c r="E9589" s="316" t="s">
        <v>149</v>
      </c>
      <c r="F9589" s="28" t="s">
        <v>157</v>
      </c>
      <c r="G9589" s="317" t="s">
        <v>876</v>
      </c>
      <c r="H9589" s="318" t="s">
        <v>12948</v>
      </c>
      <c r="I9589" s="317">
        <v>0</v>
      </c>
      <c r="J9589" s="356">
        <v>51</v>
      </c>
      <c r="K9589" s="356">
        <v>1</v>
      </c>
      <c r="L9589" s="356">
        <v>0</v>
      </c>
      <c r="M9589" s="356">
        <v>0</v>
      </c>
      <c r="N9589" s="356">
        <v>0</v>
      </c>
      <c r="O9589" s="356">
        <v>0</v>
      </c>
      <c r="P9589" s="362">
        <v>8.1856499999999992E-3</v>
      </c>
      <c r="Q9589" s="356" t="s">
        <v>154</v>
      </c>
    </row>
    <row r="9590" spans="1:17" ht="60" x14ac:dyDescent="0.25">
      <c r="A9590" s="314">
        <v>44903</v>
      </c>
      <c r="B9590" s="314">
        <v>44903</v>
      </c>
      <c r="C9590" s="315">
        <v>2022</v>
      </c>
      <c r="D9590" s="24" t="s">
        <v>141</v>
      </c>
      <c r="E9590" s="316" t="s">
        <v>142</v>
      </c>
      <c r="F9590" s="7" t="s">
        <v>53</v>
      </c>
      <c r="G9590" s="317" t="s">
        <v>5966</v>
      </c>
      <c r="H9590" s="318" t="s">
        <v>12949</v>
      </c>
      <c r="I9590" s="317">
        <v>0</v>
      </c>
      <c r="J9590" s="356">
        <v>9</v>
      </c>
      <c r="K9590" s="356">
        <v>0</v>
      </c>
      <c r="L9590" s="356">
        <v>0</v>
      </c>
      <c r="M9590" s="356">
        <v>0</v>
      </c>
      <c r="N9590" s="356">
        <v>0</v>
      </c>
      <c r="O9590" s="356">
        <v>0</v>
      </c>
      <c r="P9590" s="362">
        <v>6.2403934999999994E-2</v>
      </c>
      <c r="Q9590" s="356" t="s">
        <v>154</v>
      </c>
    </row>
    <row r="9591" spans="1:17" ht="156" x14ac:dyDescent="0.25">
      <c r="A9591" s="314">
        <v>44904</v>
      </c>
      <c r="B9591" s="314">
        <v>44904</v>
      </c>
      <c r="C9591" s="315">
        <v>2022</v>
      </c>
      <c r="D9591" s="24" t="s">
        <v>141</v>
      </c>
      <c r="E9591" s="316" t="s">
        <v>142</v>
      </c>
      <c r="F9591" s="317" t="s">
        <v>72</v>
      </c>
      <c r="G9591" s="317" t="s">
        <v>12950</v>
      </c>
      <c r="H9591" s="318" t="s">
        <v>12951</v>
      </c>
      <c r="I9591" s="317">
        <v>2</v>
      </c>
      <c r="J9591" s="356">
        <v>4</v>
      </c>
      <c r="K9591" s="356">
        <v>0</v>
      </c>
      <c r="L9591" s="356">
        <v>0</v>
      </c>
      <c r="M9591" s="356">
        <v>0</v>
      </c>
      <c r="N9591" s="356">
        <v>0</v>
      </c>
      <c r="O9591" s="356">
        <v>0</v>
      </c>
      <c r="P9591" s="362">
        <v>2.42159357E-2</v>
      </c>
      <c r="Q9591" s="356" t="s">
        <v>154</v>
      </c>
    </row>
    <row r="9592" spans="1:17" ht="72" x14ac:dyDescent="0.25">
      <c r="A9592" s="314">
        <v>44905</v>
      </c>
      <c r="B9592" s="314">
        <v>44905</v>
      </c>
      <c r="C9592" s="315">
        <v>2022</v>
      </c>
      <c r="D9592" s="24" t="s">
        <v>141</v>
      </c>
      <c r="E9592" s="316" t="s">
        <v>142</v>
      </c>
      <c r="F9592" s="317" t="s">
        <v>62</v>
      </c>
      <c r="G9592" s="317" t="s">
        <v>165</v>
      </c>
      <c r="H9592" s="318" t="s">
        <v>12952</v>
      </c>
      <c r="I9592" s="317">
        <v>1</v>
      </c>
      <c r="J9592" s="356">
        <v>24</v>
      </c>
      <c r="K9592" s="356">
        <v>0</v>
      </c>
      <c r="L9592" s="356">
        <v>0</v>
      </c>
      <c r="M9592" s="356">
        <v>0</v>
      </c>
      <c r="N9592" s="356">
        <v>0</v>
      </c>
      <c r="O9592" s="356">
        <v>0</v>
      </c>
      <c r="P9592" s="362">
        <v>0.16135592000000004</v>
      </c>
      <c r="Q9592" s="356" t="s">
        <v>154</v>
      </c>
    </row>
    <row r="9593" spans="1:17" ht="132" x14ac:dyDescent="0.25">
      <c r="A9593" s="314">
        <v>44875</v>
      </c>
      <c r="B9593" s="314">
        <v>44906</v>
      </c>
      <c r="C9593" s="315">
        <v>2022</v>
      </c>
      <c r="D9593" s="35" t="s">
        <v>28</v>
      </c>
      <c r="E9593" s="316" t="s">
        <v>125</v>
      </c>
      <c r="F9593" s="7" t="s">
        <v>87</v>
      </c>
      <c r="G9593" s="317" t="s">
        <v>567</v>
      </c>
      <c r="H9593" s="318" t="s">
        <v>12953</v>
      </c>
      <c r="I9593" s="317">
        <v>0</v>
      </c>
      <c r="J9593" s="356">
        <v>524</v>
      </c>
      <c r="K9593" s="356">
        <v>0</v>
      </c>
      <c r="L9593" s="356">
        <v>0</v>
      </c>
      <c r="M9593" s="356">
        <v>0</v>
      </c>
      <c r="N9593" s="356">
        <v>0</v>
      </c>
      <c r="O9593" s="356">
        <v>0</v>
      </c>
      <c r="P9593" s="362">
        <v>7.1874000000000009E-3</v>
      </c>
      <c r="Q9593" s="356" t="s">
        <v>154</v>
      </c>
    </row>
    <row r="9594" spans="1:17" ht="96" x14ac:dyDescent="0.25">
      <c r="A9594" s="314">
        <v>44906</v>
      </c>
      <c r="B9594" s="314">
        <v>44906</v>
      </c>
      <c r="C9594" s="315">
        <v>2022</v>
      </c>
      <c r="D9594" s="24" t="s">
        <v>141</v>
      </c>
      <c r="E9594" s="316" t="s">
        <v>142</v>
      </c>
      <c r="F9594" s="317" t="s">
        <v>56</v>
      </c>
      <c r="G9594" s="317" t="s">
        <v>711</v>
      </c>
      <c r="H9594" s="318" t="s">
        <v>12954</v>
      </c>
      <c r="I9594" s="317">
        <v>1</v>
      </c>
      <c r="J9594" s="356">
        <v>18</v>
      </c>
      <c r="K9594" s="356">
        <v>0</v>
      </c>
      <c r="L9594" s="356">
        <v>0</v>
      </c>
      <c r="M9594" s="356">
        <v>0</v>
      </c>
      <c r="N9594" s="356">
        <v>0</v>
      </c>
      <c r="O9594" s="356">
        <v>0</v>
      </c>
      <c r="P9594" s="362">
        <v>0.88444950000000011</v>
      </c>
      <c r="Q9594" s="356" t="s">
        <v>154</v>
      </c>
    </row>
    <row r="9595" spans="1:17" ht="156" x14ac:dyDescent="0.25">
      <c r="A9595" s="314">
        <v>44907</v>
      </c>
      <c r="B9595" s="314">
        <v>44907</v>
      </c>
      <c r="C9595" s="315">
        <v>2022</v>
      </c>
      <c r="D9595" s="35" t="s">
        <v>28</v>
      </c>
      <c r="E9595" s="316" t="s">
        <v>133</v>
      </c>
      <c r="F9595" s="7" t="s">
        <v>53</v>
      </c>
      <c r="G9595" s="317" t="s">
        <v>7797</v>
      </c>
      <c r="H9595" s="318" t="s">
        <v>12955</v>
      </c>
      <c r="I9595" s="317">
        <v>0</v>
      </c>
      <c r="J9595" s="356">
        <v>18</v>
      </c>
      <c r="K9595" s="356">
        <v>3</v>
      </c>
      <c r="L9595" s="356">
        <v>0</v>
      </c>
      <c r="M9595" s="356">
        <v>0</v>
      </c>
      <c r="N9595" s="356">
        <v>0</v>
      </c>
      <c r="O9595" s="356">
        <v>0</v>
      </c>
      <c r="P9595" s="362">
        <v>0.53525160700000007</v>
      </c>
      <c r="Q9595" s="356" t="s">
        <v>154</v>
      </c>
    </row>
    <row r="9596" spans="1:17" ht="144" x14ac:dyDescent="0.25">
      <c r="A9596" s="314">
        <v>44907</v>
      </c>
      <c r="B9596" s="314">
        <v>44907</v>
      </c>
      <c r="C9596" s="315">
        <v>2022</v>
      </c>
      <c r="D9596" s="35" t="s">
        <v>28</v>
      </c>
      <c r="E9596" s="316" t="s">
        <v>149</v>
      </c>
      <c r="F9596" s="7" t="s">
        <v>53</v>
      </c>
      <c r="G9596" s="317" t="s">
        <v>9630</v>
      </c>
      <c r="H9596" s="318" t="s">
        <v>12956</v>
      </c>
      <c r="I9596" s="317">
        <v>1</v>
      </c>
      <c r="J9596" s="356">
        <v>10</v>
      </c>
      <c r="K9596" s="356">
        <v>0</v>
      </c>
      <c r="L9596" s="356">
        <v>0</v>
      </c>
      <c r="M9596" s="356">
        <v>0</v>
      </c>
      <c r="N9596" s="356">
        <v>0</v>
      </c>
      <c r="O9596" s="356">
        <v>0</v>
      </c>
      <c r="P9596" s="362">
        <v>1.6578089</v>
      </c>
      <c r="Q9596" s="356" t="s">
        <v>154</v>
      </c>
    </row>
    <row r="9597" spans="1:17" ht="156" x14ac:dyDescent="0.25">
      <c r="A9597" s="314">
        <v>44906</v>
      </c>
      <c r="B9597" s="314">
        <v>44907</v>
      </c>
      <c r="C9597" s="315">
        <v>2022</v>
      </c>
      <c r="D9597" s="35" t="s">
        <v>17</v>
      </c>
      <c r="E9597" s="316" t="s">
        <v>122</v>
      </c>
      <c r="F9597" s="317" t="s">
        <v>58</v>
      </c>
      <c r="G9597" s="317" t="s">
        <v>12957</v>
      </c>
      <c r="H9597" s="318" t="s">
        <v>12958</v>
      </c>
      <c r="I9597" s="317">
        <v>0</v>
      </c>
      <c r="J9597" s="356">
        <v>20</v>
      </c>
      <c r="K9597" s="356">
        <v>6</v>
      </c>
      <c r="L9597" s="356">
        <v>0</v>
      </c>
      <c r="M9597" s="356">
        <v>0</v>
      </c>
      <c r="N9597" s="356">
        <v>0</v>
      </c>
      <c r="O9597" s="356">
        <v>0</v>
      </c>
      <c r="P9597" s="362">
        <v>4.1926499999999998E-2</v>
      </c>
      <c r="Q9597" s="356" t="s">
        <v>154</v>
      </c>
    </row>
    <row r="9598" spans="1:17" ht="96" x14ac:dyDescent="0.25">
      <c r="A9598" s="314">
        <v>44908</v>
      </c>
      <c r="B9598" s="314">
        <v>44908</v>
      </c>
      <c r="C9598" s="315">
        <v>2022</v>
      </c>
      <c r="D9598" s="24" t="s">
        <v>141</v>
      </c>
      <c r="E9598" s="316" t="s">
        <v>142</v>
      </c>
      <c r="F9598" s="317" t="s">
        <v>68</v>
      </c>
      <c r="G9598" s="317" t="s">
        <v>2071</v>
      </c>
      <c r="H9598" s="318" t="s">
        <v>12959</v>
      </c>
      <c r="I9598" s="317">
        <v>1</v>
      </c>
      <c r="J9598" s="356">
        <v>5</v>
      </c>
      <c r="K9598" s="356">
        <v>0</v>
      </c>
      <c r="L9598" s="356">
        <v>0</v>
      </c>
      <c r="M9598" s="356">
        <v>0</v>
      </c>
      <c r="N9598" s="356">
        <v>0</v>
      </c>
      <c r="O9598" s="356">
        <v>0</v>
      </c>
      <c r="P9598" s="362">
        <v>0.86648100000000017</v>
      </c>
      <c r="Q9598" s="356" t="s">
        <v>154</v>
      </c>
    </row>
    <row r="9599" spans="1:17" ht="108" x14ac:dyDescent="0.25">
      <c r="A9599" s="314">
        <v>44906</v>
      </c>
      <c r="B9599" s="314">
        <v>44907</v>
      </c>
      <c r="C9599" s="315">
        <v>2022</v>
      </c>
      <c r="D9599" s="24" t="s">
        <v>141</v>
      </c>
      <c r="E9599" s="316" t="s">
        <v>447</v>
      </c>
      <c r="F9599" s="317" t="s">
        <v>97</v>
      </c>
      <c r="G9599" s="317" t="s">
        <v>12960</v>
      </c>
      <c r="H9599" s="318" t="s">
        <v>12961</v>
      </c>
      <c r="I9599" s="317">
        <v>0</v>
      </c>
      <c r="J9599" s="356">
        <v>9</v>
      </c>
      <c r="K9599" s="356">
        <v>0</v>
      </c>
      <c r="L9599" s="356">
        <v>0</v>
      </c>
      <c r="M9599" s="356">
        <v>0</v>
      </c>
      <c r="N9599" s="356">
        <v>0</v>
      </c>
      <c r="O9599" s="356">
        <v>0</v>
      </c>
      <c r="P9599" s="362">
        <v>1.1979E-3</v>
      </c>
      <c r="Q9599" s="356" t="s">
        <v>154</v>
      </c>
    </row>
    <row r="9600" spans="1:17" ht="120" x14ac:dyDescent="0.25">
      <c r="A9600" s="314">
        <v>44911</v>
      </c>
      <c r="B9600" s="314">
        <v>44912</v>
      </c>
      <c r="C9600" s="315">
        <v>2022</v>
      </c>
      <c r="D9600" s="24" t="s">
        <v>141</v>
      </c>
      <c r="E9600" s="316" t="s">
        <v>142</v>
      </c>
      <c r="F9600" s="317" t="s">
        <v>56</v>
      </c>
      <c r="G9600" s="317" t="s">
        <v>6919</v>
      </c>
      <c r="H9600" s="318" t="s">
        <v>12962</v>
      </c>
      <c r="I9600" s="317">
        <v>1</v>
      </c>
      <c r="J9600" s="356">
        <v>8</v>
      </c>
      <c r="K9600" s="356">
        <v>0</v>
      </c>
      <c r="L9600" s="356">
        <v>0</v>
      </c>
      <c r="M9600" s="356">
        <v>0</v>
      </c>
      <c r="N9600" s="356">
        <v>0</v>
      </c>
      <c r="O9600" s="356">
        <v>0</v>
      </c>
      <c r="P9600" s="362">
        <v>0.1366854357</v>
      </c>
      <c r="Q9600" s="356" t="s">
        <v>154</v>
      </c>
    </row>
    <row r="9601" spans="1:17" ht="168" x14ac:dyDescent="0.25">
      <c r="A9601" s="314">
        <v>44914</v>
      </c>
      <c r="B9601" s="314">
        <v>44915</v>
      </c>
      <c r="C9601" s="315">
        <v>2022</v>
      </c>
      <c r="D9601" s="35" t="s">
        <v>28</v>
      </c>
      <c r="E9601" s="316" t="s">
        <v>149</v>
      </c>
      <c r="F9601" s="7" t="s">
        <v>53</v>
      </c>
      <c r="G9601" s="317" t="s">
        <v>12963</v>
      </c>
      <c r="H9601" s="318" t="s">
        <v>12964</v>
      </c>
      <c r="I9601" s="317">
        <v>0</v>
      </c>
      <c r="J9601" s="356">
        <v>52</v>
      </c>
      <c r="K9601" s="356">
        <v>1</v>
      </c>
      <c r="L9601" s="356">
        <v>0</v>
      </c>
      <c r="M9601" s="356">
        <v>0</v>
      </c>
      <c r="N9601" s="356">
        <v>0</v>
      </c>
      <c r="O9601" s="356">
        <v>0</v>
      </c>
      <c r="P9601" s="362">
        <v>9.3835499999999992E-3</v>
      </c>
      <c r="Q9601" s="356" t="s">
        <v>154</v>
      </c>
    </row>
    <row r="9602" spans="1:17" x14ac:dyDescent="0.25">
      <c r="A9602" s="314">
        <v>44917</v>
      </c>
      <c r="B9602" s="314">
        <v>44918</v>
      </c>
      <c r="C9602" s="315">
        <v>2022</v>
      </c>
      <c r="D9602" s="35" t="s">
        <v>28</v>
      </c>
      <c r="E9602" s="316" t="s">
        <v>133</v>
      </c>
      <c r="F9602" s="317" t="s">
        <v>30</v>
      </c>
      <c r="G9602" s="317" t="s">
        <v>8504</v>
      </c>
      <c r="H9602" s="320" t="s">
        <v>12965</v>
      </c>
      <c r="I9602" s="317">
        <v>1</v>
      </c>
      <c r="J9602" s="356">
        <v>3</v>
      </c>
      <c r="K9602" s="356">
        <v>0</v>
      </c>
      <c r="L9602" s="356">
        <v>0</v>
      </c>
      <c r="M9602" s="356">
        <v>0</v>
      </c>
      <c r="N9602" s="356">
        <v>0</v>
      </c>
      <c r="O9602" s="356">
        <v>0</v>
      </c>
      <c r="P9602" s="362">
        <v>2.3958E-3</v>
      </c>
      <c r="Q9602" s="356" t="s">
        <v>154</v>
      </c>
    </row>
    <row r="9603" spans="1:17" ht="120" x14ac:dyDescent="0.25">
      <c r="A9603" s="314">
        <v>44917</v>
      </c>
      <c r="B9603" s="314">
        <v>44918</v>
      </c>
      <c r="C9603" s="315">
        <v>2022</v>
      </c>
      <c r="D9603" s="35" t="s">
        <v>28</v>
      </c>
      <c r="E9603" s="316" t="s">
        <v>133</v>
      </c>
      <c r="F9603" s="317" t="s">
        <v>60</v>
      </c>
      <c r="G9603" s="317" t="s">
        <v>455</v>
      </c>
      <c r="H9603" s="318" t="s">
        <v>12966</v>
      </c>
      <c r="I9603" s="317">
        <v>0</v>
      </c>
      <c r="J9603" s="356">
        <v>2</v>
      </c>
      <c r="K9603" s="356">
        <v>1</v>
      </c>
      <c r="L9603" s="356">
        <v>0</v>
      </c>
      <c r="M9603" s="356">
        <v>0</v>
      </c>
      <c r="N9603" s="356">
        <v>0</v>
      </c>
      <c r="O9603" s="356">
        <v>0</v>
      </c>
      <c r="P9603" s="362">
        <v>9.3835499999999992E-3</v>
      </c>
      <c r="Q9603" s="356" t="s">
        <v>154</v>
      </c>
    </row>
    <row r="9604" spans="1:17" ht="120" x14ac:dyDescent="0.25">
      <c r="A9604" s="314">
        <v>44918</v>
      </c>
      <c r="B9604" s="314">
        <v>44918</v>
      </c>
      <c r="C9604" s="315">
        <v>2022</v>
      </c>
      <c r="D9604" s="24" t="s">
        <v>141</v>
      </c>
      <c r="E9604" s="316" t="s">
        <v>142</v>
      </c>
      <c r="F9604" s="7" t="s">
        <v>87</v>
      </c>
      <c r="G9604" s="317" t="s">
        <v>2608</v>
      </c>
      <c r="H9604" s="318" t="s">
        <v>12967</v>
      </c>
      <c r="I9604" s="317">
        <v>1</v>
      </c>
      <c r="J9604" s="356">
        <v>45</v>
      </c>
      <c r="K9604" s="356">
        <v>0</v>
      </c>
      <c r="L9604" s="356">
        <v>0</v>
      </c>
      <c r="M9604" s="356">
        <v>0</v>
      </c>
      <c r="N9604" s="356">
        <v>0</v>
      </c>
      <c r="O9604" s="356">
        <v>0</v>
      </c>
      <c r="P9604" s="362">
        <v>2.2277350943023255</v>
      </c>
      <c r="Q9604" s="356" t="s">
        <v>154</v>
      </c>
    </row>
    <row r="9605" spans="1:17" ht="144" x14ac:dyDescent="0.25">
      <c r="A9605" s="314">
        <v>44918</v>
      </c>
      <c r="B9605" s="314">
        <v>44920</v>
      </c>
      <c r="C9605" s="315">
        <v>2022</v>
      </c>
      <c r="D9605" s="351" t="s">
        <v>23</v>
      </c>
      <c r="E9605" s="316" t="s">
        <v>86</v>
      </c>
      <c r="F9605" s="317" t="s">
        <v>210</v>
      </c>
      <c r="G9605" s="317" t="s">
        <v>12968</v>
      </c>
      <c r="H9605" s="318" t="s">
        <v>12969</v>
      </c>
      <c r="I9605" s="317">
        <v>0</v>
      </c>
      <c r="J9605" s="356">
        <v>70</v>
      </c>
      <c r="K9605" s="356">
        <v>19</v>
      </c>
      <c r="L9605" s="356">
        <v>0</v>
      </c>
      <c r="M9605" s="356">
        <v>0</v>
      </c>
      <c r="N9605" s="356">
        <v>0</v>
      </c>
      <c r="O9605" s="356">
        <v>0</v>
      </c>
      <c r="P9605" s="362">
        <v>2.189495E-2</v>
      </c>
      <c r="Q9605" s="356" t="s">
        <v>154</v>
      </c>
    </row>
    <row r="9606" spans="1:17" ht="96" x14ac:dyDescent="0.25">
      <c r="A9606" s="314">
        <v>44918</v>
      </c>
      <c r="B9606" s="314">
        <v>44921</v>
      </c>
      <c r="C9606" s="315">
        <v>2022</v>
      </c>
      <c r="D9606" s="351" t="s">
        <v>23</v>
      </c>
      <c r="E9606" s="316" t="s">
        <v>86</v>
      </c>
      <c r="F9606" s="317" t="s">
        <v>36</v>
      </c>
      <c r="G9606" s="317" t="s">
        <v>12970</v>
      </c>
      <c r="H9606" s="318" t="s">
        <v>12971</v>
      </c>
      <c r="I9606" s="317">
        <v>0</v>
      </c>
      <c r="J9606" s="356">
        <v>20</v>
      </c>
      <c r="K9606" s="356">
        <v>10</v>
      </c>
      <c r="L9606" s="356">
        <v>0</v>
      </c>
      <c r="M9606" s="356">
        <v>0</v>
      </c>
      <c r="N9606" s="356">
        <v>0</v>
      </c>
      <c r="O9606" s="356">
        <v>0</v>
      </c>
      <c r="P9606" s="362">
        <v>1.334025E-2</v>
      </c>
      <c r="Q9606" s="356" t="s">
        <v>154</v>
      </c>
    </row>
    <row r="9607" spans="1:17" ht="144" x14ac:dyDescent="0.25">
      <c r="A9607" s="314">
        <v>44922</v>
      </c>
      <c r="B9607" s="314">
        <v>44923</v>
      </c>
      <c r="C9607" s="315">
        <v>2022</v>
      </c>
      <c r="D9607" s="35" t="s">
        <v>28</v>
      </c>
      <c r="E9607" s="316" t="s">
        <v>133</v>
      </c>
      <c r="F9607" s="7" t="s">
        <v>77</v>
      </c>
      <c r="G9607" s="317" t="s">
        <v>4900</v>
      </c>
      <c r="H9607" s="318" t="s">
        <v>12972</v>
      </c>
      <c r="I9607" s="317">
        <v>1</v>
      </c>
      <c r="J9607" s="356">
        <v>2</v>
      </c>
      <c r="K9607" s="356">
        <v>0</v>
      </c>
      <c r="L9607" s="356">
        <v>0</v>
      </c>
      <c r="M9607" s="356">
        <v>0</v>
      </c>
      <c r="N9607" s="356">
        <v>0</v>
      </c>
      <c r="O9607" s="356">
        <v>0</v>
      </c>
      <c r="P9607" s="362">
        <v>0.17352380100000001</v>
      </c>
      <c r="Q9607" s="356" t="s">
        <v>154</v>
      </c>
    </row>
    <row r="9608" spans="1:17" ht="204" x14ac:dyDescent="0.25">
      <c r="A9608" s="314">
        <v>44925</v>
      </c>
      <c r="B9608" s="314">
        <v>44925</v>
      </c>
      <c r="C9608" s="315">
        <v>2022</v>
      </c>
      <c r="D9608" s="35" t="s">
        <v>28</v>
      </c>
      <c r="E9608" s="316" t="s">
        <v>136</v>
      </c>
      <c r="F9608" s="28" t="s">
        <v>157</v>
      </c>
      <c r="G9608" s="317" t="s">
        <v>876</v>
      </c>
      <c r="H9608" s="318" t="s">
        <v>12973</v>
      </c>
      <c r="I9608" s="317">
        <v>0</v>
      </c>
      <c r="J9608" s="356">
        <v>163</v>
      </c>
      <c r="K9608" s="356">
        <v>0</v>
      </c>
      <c r="L9608" s="356">
        <v>0</v>
      </c>
      <c r="M9608" s="356">
        <v>0</v>
      </c>
      <c r="N9608" s="356">
        <v>0</v>
      </c>
      <c r="O9608" s="356">
        <v>0</v>
      </c>
      <c r="P9608" s="362">
        <v>0</v>
      </c>
      <c r="Q9608" s="356" t="s">
        <v>154</v>
      </c>
    </row>
    <row r="9609" spans="1:17" ht="96" x14ac:dyDescent="0.25">
      <c r="A9609" s="314">
        <v>44925</v>
      </c>
      <c r="B9609" s="314">
        <v>44925</v>
      </c>
      <c r="C9609" s="315">
        <v>2022</v>
      </c>
      <c r="D9609" s="24" t="s">
        <v>141</v>
      </c>
      <c r="E9609" s="316" t="s">
        <v>142</v>
      </c>
      <c r="F9609" s="317" t="s">
        <v>67</v>
      </c>
      <c r="G9609" s="317" t="s">
        <v>5164</v>
      </c>
      <c r="H9609" s="318" t="s">
        <v>12974</v>
      </c>
      <c r="I9609" s="317">
        <v>5</v>
      </c>
      <c r="J9609" s="356">
        <v>49</v>
      </c>
      <c r="K9609" s="356">
        <v>0</v>
      </c>
      <c r="L9609" s="356">
        <v>0</v>
      </c>
      <c r="M9609" s="356">
        <v>0</v>
      </c>
      <c r="N9609" s="356">
        <v>0</v>
      </c>
      <c r="O9609" s="356">
        <v>0</v>
      </c>
      <c r="P9609" s="362">
        <v>0.86408520000000011</v>
      </c>
      <c r="Q9609" s="356" t="s">
        <v>154</v>
      </c>
    </row>
    <row r="9610" spans="1:17" ht="132" x14ac:dyDescent="0.25">
      <c r="A9610" s="314">
        <v>44925</v>
      </c>
      <c r="B9610" s="314">
        <v>44926</v>
      </c>
      <c r="C9610" s="315">
        <v>2022</v>
      </c>
      <c r="D9610" s="24" t="s">
        <v>141</v>
      </c>
      <c r="E9610" s="316" t="s">
        <v>142</v>
      </c>
      <c r="F9610" s="317" t="s">
        <v>82</v>
      </c>
      <c r="G9610" s="317" t="s">
        <v>9700</v>
      </c>
      <c r="H9610" s="318" t="s">
        <v>12975</v>
      </c>
      <c r="I9610" s="317">
        <v>2</v>
      </c>
      <c r="J9610" s="356">
        <v>2</v>
      </c>
      <c r="K9610" s="356">
        <v>0</v>
      </c>
      <c r="L9610" s="356">
        <v>0</v>
      </c>
      <c r="M9610" s="356">
        <v>0</v>
      </c>
      <c r="N9610" s="356">
        <v>0</v>
      </c>
      <c r="O9610" s="356">
        <v>0</v>
      </c>
      <c r="P9610" s="362">
        <v>1.9920535354057374</v>
      </c>
      <c r="Q9610" s="356" t="s">
        <v>154</v>
      </c>
    </row>
    <row r="9611" spans="1:17" ht="60" x14ac:dyDescent="0.25">
      <c r="A9611" s="314">
        <v>44857</v>
      </c>
      <c r="B9611" s="314">
        <v>44858</v>
      </c>
      <c r="C9611" s="315">
        <v>2022</v>
      </c>
      <c r="D9611" s="351" t="s">
        <v>23</v>
      </c>
      <c r="E9611" s="316" t="s">
        <v>32</v>
      </c>
      <c r="F9611" s="317" t="s">
        <v>67</v>
      </c>
      <c r="G9611" s="317" t="s">
        <v>12976</v>
      </c>
      <c r="H9611" s="318" t="s">
        <v>12977</v>
      </c>
      <c r="I9611" s="317">
        <v>0</v>
      </c>
      <c r="J9611" s="356">
        <v>34375</v>
      </c>
      <c r="K9611" s="356">
        <v>0</v>
      </c>
      <c r="L9611" s="356">
        <v>0</v>
      </c>
      <c r="M9611" s="356">
        <v>0</v>
      </c>
      <c r="N9611" s="356">
        <v>0</v>
      </c>
      <c r="O9611" s="356">
        <v>0</v>
      </c>
      <c r="P9611" s="362">
        <v>990.64619550999998</v>
      </c>
      <c r="Q9611" s="356" t="s">
        <v>12978</v>
      </c>
    </row>
    <row r="9612" spans="1:17" ht="60" x14ac:dyDescent="0.25">
      <c r="A9612" s="314">
        <v>44562</v>
      </c>
      <c r="B9612" s="314">
        <v>44926</v>
      </c>
      <c r="C9612" s="315">
        <v>2022</v>
      </c>
      <c r="D9612" s="351" t="s">
        <v>23</v>
      </c>
      <c r="E9612" s="316" t="s">
        <v>42</v>
      </c>
      <c r="F9612" s="317" t="s">
        <v>40</v>
      </c>
      <c r="G9612" s="317" t="s">
        <v>26</v>
      </c>
      <c r="H9612" s="318" t="s">
        <v>12979</v>
      </c>
      <c r="I9612" s="317">
        <v>21</v>
      </c>
      <c r="J9612" s="356">
        <v>76</v>
      </c>
      <c r="K9612" s="356">
        <v>0</v>
      </c>
      <c r="L9612" s="356">
        <v>0</v>
      </c>
      <c r="M9612" s="356">
        <v>0</v>
      </c>
      <c r="N9612" s="356">
        <v>0</v>
      </c>
      <c r="O9612" s="356">
        <v>0</v>
      </c>
      <c r="P9612" s="362">
        <v>0</v>
      </c>
      <c r="Q9612" s="356" t="s">
        <v>12980</v>
      </c>
    </row>
    <row r="9613" spans="1:17" ht="60" x14ac:dyDescent="0.25">
      <c r="A9613" s="314">
        <v>44562</v>
      </c>
      <c r="B9613" s="314">
        <v>44926</v>
      </c>
      <c r="C9613" s="315">
        <v>2022</v>
      </c>
      <c r="D9613" s="351" t="s">
        <v>23</v>
      </c>
      <c r="E9613" s="316" t="s">
        <v>42</v>
      </c>
      <c r="F9613" s="7" t="s">
        <v>87</v>
      </c>
      <c r="G9613" s="317" t="s">
        <v>26</v>
      </c>
      <c r="H9613" s="318" t="s">
        <v>12981</v>
      </c>
      <c r="I9613" s="317">
        <v>5</v>
      </c>
      <c r="J9613" s="356">
        <v>33</v>
      </c>
      <c r="K9613" s="356">
        <v>0</v>
      </c>
      <c r="L9613" s="356">
        <v>0</v>
      </c>
      <c r="M9613" s="356">
        <v>0</v>
      </c>
      <c r="N9613" s="356">
        <v>0</v>
      </c>
      <c r="O9613" s="356">
        <v>0</v>
      </c>
      <c r="P9613" s="362">
        <v>0</v>
      </c>
      <c r="Q9613" s="356" t="s">
        <v>12980</v>
      </c>
    </row>
    <row r="9614" spans="1:17" x14ac:dyDescent="0.25">
      <c r="A9614" s="314">
        <v>44562</v>
      </c>
      <c r="B9614" s="314">
        <v>44926</v>
      </c>
      <c r="C9614" s="315">
        <v>2022</v>
      </c>
      <c r="D9614" s="351" t="s">
        <v>23</v>
      </c>
      <c r="E9614" s="316" t="s">
        <v>42</v>
      </c>
      <c r="F9614" s="7" t="s">
        <v>75</v>
      </c>
      <c r="G9614" s="317" t="s">
        <v>26</v>
      </c>
      <c r="H9614" s="318" t="s">
        <v>12982</v>
      </c>
      <c r="I9614" s="317">
        <v>0</v>
      </c>
      <c r="J9614" s="356">
        <v>6</v>
      </c>
      <c r="K9614" s="356">
        <v>0</v>
      </c>
      <c r="L9614" s="356">
        <v>0</v>
      </c>
      <c r="M9614" s="356">
        <v>0</v>
      </c>
      <c r="N9614" s="356">
        <v>0</v>
      </c>
      <c r="O9614" s="356">
        <v>0</v>
      </c>
      <c r="P9614" s="362">
        <v>0</v>
      </c>
      <c r="Q9614" s="356" t="s">
        <v>12980</v>
      </c>
    </row>
    <row r="9615" spans="1:17" ht="24" x14ac:dyDescent="0.25">
      <c r="A9615" s="314">
        <v>44562</v>
      </c>
      <c r="B9615" s="314">
        <v>44926</v>
      </c>
      <c r="C9615" s="315">
        <v>2022</v>
      </c>
      <c r="D9615" s="351" t="s">
        <v>23</v>
      </c>
      <c r="E9615" s="316" t="s">
        <v>42</v>
      </c>
      <c r="F9615" s="317" t="s">
        <v>210</v>
      </c>
      <c r="G9615" s="319" t="s">
        <v>26</v>
      </c>
      <c r="H9615" s="318" t="s">
        <v>12983</v>
      </c>
      <c r="I9615" s="317">
        <v>2</v>
      </c>
      <c r="J9615" s="356">
        <v>4</v>
      </c>
      <c r="K9615" s="356">
        <v>0</v>
      </c>
      <c r="L9615" s="356">
        <v>0</v>
      </c>
      <c r="M9615" s="356">
        <v>0</v>
      </c>
      <c r="N9615" s="356">
        <v>0</v>
      </c>
      <c r="O9615" s="356">
        <v>0</v>
      </c>
      <c r="P9615" s="362">
        <v>0</v>
      </c>
      <c r="Q9615" s="356" t="s">
        <v>12980</v>
      </c>
    </row>
    <row r="9616" spans="1:17" x14ac:dyDescent="0.25">
      <c r="A9616" s="314">
        <v>44562</v>
      </c>
      <c r="B9616" s="314">
        <v>44926</v>
      </c>
      <c r="C9616" s="315">
        <v>2022</v>
      </c>
      <c r="D9616" s="351" t="s">
        <v>23</v>
      </c>
      <c r="E9616" s="316" t="s">
        <v>42</v>
      </c>
      <c r="F9616" s="317" t="s">
        <v>36</v>
      </c>
      <c r="G9616" s="317" t="s">
        <v>26</v>
      </c>
      <c r="H9616" s="318" t="s">
        <v>12982</v>
      </c>
      <c r="I9616" s="317">
        <v>0</v>
      </c>
      <c r="J9616" s="356">
        <v>6</v>
      </c>
      <c r="K9616" s="356">
        <v>0</v>
      </c>
      <c r="L9616" s="356">
        <v>0</v>
      </c>
      <c r="M9616" s="356">
        <v>0</v>
      </c>
      <c r="N9616" s="356">
        <v>0</v>
      </c>
      <c r="O9616" s="356">
        <v>0</v>
      </c>
      <c r="P9616" s="362">
        <v>0</v>
      </c>
      <c r="Q9616" s="356" t="s">
        <v>12980</v>
      </c>
    </row>
    <row r="9617" spans="1:17" ht="24" x14ac:dyDescent="0.25">
      <c r="A9617" s="314">
        <v>44562</v>
      </c>
      <c r="B9617" s="314">
        <v>44926</v>
      </c>
      <c r="C9617" s="315">
        <v>2022</v>
      </c>
      <c r="D9617" s="351" t="s">
        <v>23</v>
      </c>
      <c r="E9617" s="316" t="s">
        <v>42</v>
      </c>
      <c r="F9617" s="317" t="s">
        <v>82</v>
      </c>
      <c r="G9617" s="317" t="s">
        <v>26</v>
      </c>
      <c r="H9617" s="318" t="s">
        <v>12984</v>
      </c>
      <c r="I9617" s="317">
        <v>1</v>
      </c>
      <c r="J9617" s="356">
        <v>1</v>
      </c>
      <c r="K9617" s="356">
        <v>0</v>
      </c>
      <c r="L9617" s="356">
        <v>0</v>
      </c>
      <c r="M9617" s="356">
        <v>0</v>
      </c>
      <c r="N9617" s="356">
        <v>0</v>
      </c>
      <c r="O9617" s="356">
        <v>0</v>
      </c>
      <c r="P9617" s="362">
        <v>0</v>
      </c>
      <c r="Q9617" s="356" t="s">
        <v>12980</v>
      </c>
    </row>
    <row r="9618" spans="1:17" x14ac:dyDescent="0.25">
      <c r="A9618" s="314">
        <v>44562</v>
      </c>
      <c r="B9618" s="314">
        <v>44926</v>
      </c>
      <c r="C9618" s="315">
        <v>2022</v>
      </c>
      <c r="D9618" s="351" t="s">
        <v>23</v>
      </c>
      <c r="E9618" s="316" t="s">
        <v>42</v>
      </c>
      <c r="F9618" s="7" t="s">
        <v>49</v>
      </c>
      <c r="G9618" s="317" t="s">
        <v>26</v>
      </c>
      <c r="H9618" s="318" t="s">
        <v>12985</v>
      </c>
      <c r="I9618" s="317">
        <v>0</v>
      </c>
      <c r="J9618" s="356">
        <v>7</v>
      </c>
      <c r="K9618" s="356">
        <v>0</v>
      </c>
      <c r="L9618" s="356">
        <v>0</v>
      </c>
      <c r="M9618" s="356">
        <v>0</v>
      </c>
      <c r="N9618" s="356">
        <v>0</v>
      </c>
      <c r="O9618" s="356">
        <v>0</v>
      </c>
      <c r="P9618" s="362">
        <v>0</v>
      </c>
      <c r="Q9618" s="356" t="s">
        <v>12980</v>
      </c>
    </row>
    <row r="9619" spans="1:17" x14ac:dyDescent="0.25">
      <c r="A9619" s="314">
        <v>44562</v>
      </c>
      <c r="B9619" s="314">
        <v>44926</v>
      </c>
      <c r="C9619" s="315">
        <v>2022</v>
      </c>
      <c r="D9619" s="351" t="s">
        <v>23</v>
      </c>
      <c r="E9619" s="316" t="s">
        <v>42</v>
      </c>
      <c r="F9619" s="317" t="s">
        <v>30</v>
      </c>
      <c r="G9619" s="317" t="s">
        <v>26</v>
      </c>
      <c r="H9619" s="320" t="s">
        <v>12986</v>
      </c>
      <c r="I9619" s="317">
        <v>0</v>
      </c>
      <c r="J9619" s="356">
        <v>9</v>
      </c>
      <c r="K9619" s="356">
        <v>0</v>
      </c>
      <c r="L9619" s="356">
        <v>0</v>
      </c>
      <c r="M9619" s="356">
        <v>0</v>
      </c>
      <c r="N9619" s="356">
        <v>0</v>
      </c>
      <c r="O9619" s="356">
        <v>0</v>
      </c>
      <c r="P9619" s="362">
        <v>0</v>
      </c>
      <c r="Q9619" s="356" t="s">
        <v>12980</v>
      </c>
    </row>
    <row r="9620" spans="1:17" ht="24" x14ac:dyDescent="0.25">
      <c r="A9620" s="314">
        <v>44562</v>
      </c>
      <c r="B9620" s="314">
        <v>44926</v>
      </c>
      <c r="C9620" s="315">
        <v>2022</v>
      </c>
      <c r="D9620" s="351" t="s">
        <v>23</v>
      </c>
      <c r="E9620" s="316" t="s">
        <v>42</v>
      </c>
      <c r="F9620" s="317" t="s">
        <v>91</v>
      </c>
      <c r="G9620" s="317" t="s">
        <v>26</v>
      </c>
      <c r="H9620" s="318" t="s">
        <v>12987</v>
      </c>
      <c r="I9620" s="317">
        <v>0</v>
      </c>
      <c r="J9620" s="356">
        <v>18</v>
      </c>
      <c r="K9620" s="356">
        <v>0</v>
      </c>
      <c r="L9620" s="356">
        <v>0</v>
      </c>
      <c r="M9620" s="356">
        <v>0</v>
      </c>
      <c r="N9620" s="356">
        <v>0</v>
      </c>
      <c r="O9620" s="356">
        <v>0</v>
      </c>
      <c r="P9620" s="362">
        <v>0</v>
      </c>
      <c r="Q9620" s="356" t="s">
        <v>12980</v>
      </c>
    </row>
    <row r="9621" spans="1:17" x14ac:dyDescent="0.25">
      <c r="A9621" s="314">
        <v>44562</v>
      </c>
      <c r="B9621" s="314">
        <v>44926</v>
      </c>
      <c r="C9621" s="315">
        <v>2022</v>
      </c>
      <c r="D9621" s="351" t="s">
        <v>23</v>
      </c>
      <c r="E9621" s="316" t="s">
        <v>42</v>
      </c>
      <c r="F9621" s="317" t="s">
        <v>68</v>
      </c>
      <c r="G9621" s="317" t="s">
        <v>26</v>
      </c>
      <c r="H9621" s="318" t="s">
        <v>12988</v>
      </c>
      <c r="I9621" s="317">
        <v>0</v>
      </c>
      <c r="J9621" s="356">
        <v>3</v>
      </c>
      <c r="K9621" s="356">
        <v>0</v>
      </c>
      <c r="L9621" s="356">
        <v>0</v>
      </c>
      <c r="M9621" s="356">
        <v>0</v>
      </c>
      <c r="N9621" s="356">
        <v>0</v>
      </c>
      <c r="O9621" s="356">
        <v>0</v>
      </c>
      <c r="P9621" s="362">
        <v>0</v>
      </c>
      <c r="Q9621" s="356" t="s">
        <v>12980</v>
      </c>
    </row>
    <row r="9622" spans="1:17" x14ac:dyDescent="0.25">
      <c r="A9622" s="314">
        <v>44562</v>
      </c>
      <c r="B9622" s="314">
        <v>44926</v>
      </c>
      <c r="C9622" s="315">
        <v>2022</v>
      </c>
      <c r="D9622" s="351" t="s">
        <v>23</v>
      </c>
      <c r="E9622" s="316" t="s">
        <v>42</v>
      </c>
      <c r="F9622" s="317" t="s">
        <v>160</v>
      </c>
      <c r="G9622" s="317" t="s">
        <v>26</v>
      </c>
      <c r="H9622" s="318" t="s">
        <v>12989</v>
      </c>
      <c r="I9622" s="317">
        <v>0</v>
      </c>
      <c r="J9622" s="356">
        <v>4</v>
      </c>
      <c r="K9622" s="356">
        <v>0</v>
      </c>
      <c r="L9622" s="356">
        <v>0</v>
      </c>
      <c r="M9622" s="356">
        <v>0</v>
      </c>
      <c r="N9622" s="356">
        <v>0</v>
      </c>
      <c r="O9622" s="356">
        <v>0</v>
      </c>
      <c r="P9622" s="362">
        <v>0</v>
      </c>
      <c r="Q9622" s="356" t="s">
        <v>12980</v>
      </c>
    </row>
    <row r="9623" spans="1:17" ht="24" x14ac:dyDescent="0.25">
      <c r="A9623" s="314">
        <v>44562</v>
      </c>
      <c r="B9623" s="314">
        <v>44926</v>
      </c>
      <c r="C9623" s="315">
        <v>2022</v>
      </c>
      <c r="D9623" s="351" t="s">
        <v>23</v>
      </c>
      <c r="E9623" s="316" t="s">
        <v>12990</v>
      </c>
      <c r="F9623" s="317" t="s">
        <v>45</v>
      </c>
      <c r="G9623" s="317" t="s">
        <v>26</v>
      </c>
      <c r="H9623" s="318" t="s">
        <v>12991</v>
      </c>
      <c r="I9623" s="317">
        <v>0</v>
      </c>
      <c r="J9623" s="356">
        <v>327</v>
      </c>
      <c r="K9623" s="356">
        <v>0</v>
      </c>
      <c r="L9623" s="356">
        <v>0</v>
      </c>
      <c r="M9623" s="356">
        <v>0</v>
      </c>
      <c r="N9623" s="356">
        <v>0</v>
      </c>
      <c r="O9623" s="356">
        <v>0</v>
      </c>
      <c r="P9623" s="362">
        <v>0</v>
      </c>
      <c r="Q9623" s="356" t="s">
        <v>12980</v>
      </c>
    </row>
    <row r="9624" spans="1:17" ht="36" x14ac:dyDescent="0.25">
      <c r="A9624" s="314">
        <v>44562</v>
      </c>
      <c r="B9624" s="314">
        <v>44926</v>
      </c>
      <c r="C9624" s="315">
        <v>2022</v>
      </c>
      <c r="D9624" s="351" t="s">
        <v>23</v>
      </c>
      <c r="E9624" s="316" t="s">
        <v>12990</v>
      </c>
      <c r="F9624" s="317" t="s">
        <v>781</v>
      </c>
      <c r="G9624" s="317" t="s">
        <v>26</v>
      </c>
      <c r="H9624" s="318" t="s">
        <v>12992</v>
      </c>
      <c r="I9624" s="317">
        <v>1</v>
      </c>
      <c r="J9624" s="356">
        <v>197</v>
      </c>
      <c r="K9624" s="356">
        <v>0</v>
      </c>
      <c r="L9624" s="356">
        <v>0</v>
      </c>
      <c r="M9624" s="356">
        <v>0</v>
      </c>
      <c r="N9624" s="356">
        <v>0</v>
      </c>
      <c r="O9624" s="356">
        <v>0</v>
      </c>
      <c r="P9624" s="362">
        <v>0</v>
      </c>
      <c r="Q9624" s="356" t="s">
        <v>12980</v>
      </c>
    </row>
    <row r="9625" spans="1:17" ht="24" x14ac:dyDescent="0.25">
      <c r="A9625" s="314">
        <v>44562</v>
      </c>
      <c r="B9625" s="314">
        <v>44926</v>
      </c>
      <c r="C9625" s="315">
        <v>2022</v>
      </c>
      <c r="D9625" s="351" t="s">
        <v>23</v>
      </c>
      <c r="E9625" s="316" t="s">
        <v>12990</v>
      </c>
      <c r="F9625" s="317" t="s">
        <v>30</v>
      </c>
      <c r="G9625" s="317" t="s">
        <v>26</v>
      </c>
      <c r="H9625" s="320" t="s">
        <v>12993</v>
      </c>
      <c r="I9625" s="317">
        <v>25</v>
      </c>
      <c r="J9625" s="356">
        <v>160</v>
      </c>
      <c r="K9625" s="356">
        <v>0</v>
      </c>
      <c r="L9625" s="356">
        <v>0</v>
      </c>
      <c r="M9625" s="356">
        <v>0</v>
      </c>
      <c r="N9625" s="356">
        <v>0</v>
      </c>
      <c r="O9625" s="356">
        <v>0</v>
      </c>
      <c r="P9625" s="362">
        <v>0</v>
      </c>
      <c r="Q9625" s="356" t="s">
        <v>12980</v>
      </c>
    </row>
    <row r="9626" spans="1:17" ht="36" x14ac:dyDescent="0.25">
      <c r="A9626" s="314">
        <v>44562</v>
      </c>
      <c r="B9626" s="314">
        <v>44926</v>
      </c>
      <c r="C9626" s="315">
        <v>2022</v>
      </c>
      <c r="D9626" s="351" t="s">
        <v>23</v>
      </c>
      <c r="E9626" s="316" t="s">
        <v>12990</v>
      </c>
      <c r="F9626" s="7" t="s">
        <v>87</v>
      </c>
      <c r="G9626" s="317" t="s">
        <v>26</v>
      </c>
      <c r="H9626" s="318" t="s">
        <v>12994</v>
      </c>
      <c r="I9626" s="317">
        <v>7</v>
      </c>
      <c r="J9626" s="356">
        <v>36971</v>
      </c>
      <c r="K9626" s="356">
        <v>0</v>
      </c>
      <c r="L9626" s="356">
        <v>0</v>
      </c>
      <c r="M9626" s="356">
        <v>0</v>
      </c>
      <c r="N9626" s="356">
        <v>0</v>
      </c>
      <c r="O9626" s="356">
        <v>0</v>
      </c>
      <c r="P9626" s="362">
        <v>0</v>
      </c>
      <c r="Q9626" s="356" t="s">
        <v>12980</v>
      </c>
    </row>
    <row r="9627" spans="1:17" ht="36" x14ac:dyDescent="0.25">
      <c r="A9627" s="314">
        <v>44562</v>
      </c>
      <c r="B9627" s="314">
        <v>44926</v>
      </c>
      <c r="C9627" s="315">
        <v>2022</v>
      </c>
      <c r="D9627" s="351" t="s">
        <v>23</v>
      </c>
      <c r="E9627" s="316" t="s">
        <v>12990</v>
      </c>
      <c r="F9627" s="317" t="s">
        <v>84</v>
      </c>
      <c r="G9627" s="317" t="s">
        <v>26</v>
      </c>
      <c r="H9627" s="318" t="s">
        <v>12995</v>
      </c>
      <c r="I9627" s="317">
        <v>0</v>
      </c>
      <c r="J9627" s="356">
        <v>36971</v>
      </c>
      <c r="K9627" s="356">
        <v>0</v>
      </c>
      <c r="L9627" s="356">
        <v>0</v>
      </c>
      <c r="M9627" s="356">
        <v>0</v>
      </c>
      <c r="N9627" s="356">
        <v>0</v>
      </c>
      <c r="O9627" s="356">
        <v>0</v>
      </c>
      <c r="P9627" s="362">
        <v>6.7152770000000004</v>
      </c>
      <c r="Q9627" s="356" t="s">
        <v>12980</v>
      </c>
    </row>
    <row r="9628" spans="1:17" ht="48" x14ac:dyDescent="0.25">
      <c r="A9628" s="314">
        <v>44562</v>
      </c>
      <c r="B9628" s="314">
        <v>44926</v>
      </c>
      <c r="C9628" s="315">
        <v>2022</v>
      </c>
      <c r="D9628" s="351" t="s">
        <v>23</v>
      </c>
      <c r="E9628" s="316" t="s">
        <v>12990</v>
      </c>
      <c r="F9628" s="317" t="s">
        <v>91</v>
      </c>
      <c r="G9628" s="317" t="s">
        <v>26</v>
      </c>
      <c r="H9628" s="318" t="s">
        <v>12996</v>
      </c>
      <c r="I9628" s="317">
        <v>1</v>
      </c>
      <c r="J9628" s="356">
        <v>34</v>
      </c>
      <c r="K9628" s="356">
        <v>0</v>
      </c>
      <c r="L9628" s="356">
        <v>0</v>
      </c>
      <c r="M9628" s="356">
        <v>0</v>
      </c>
      <c r="N9628" s="356">
        <v>0</v>
      </c>
      <c r="O9628" s="356">
        <v>0</v>
      </c>
      <c r="P9628" s="362">
        <v>0</v>
      </c>
      <c r="Q9628" s="356" t="s">
        <v>12980</v>
      </c>
    </row>
    <row r="9629" spans="1:17" ht="48" x14ac:dyDescent="0.25">
      <c r="A9629" s="314">
        <v>44562</v>
      </c>
      <c r="B9629" s="314">
        <v>44926</v>
      </c>
      <c r="C9629" s="315">
        <v>2022</v>
      </c>
      <c r="D9629" s="351" t="s">
        <v>23</v>
      </c>
      <c r="E9629" s="316" t="s">
        <v>12990</v>
      </c>
      <c r="F9629" s="317" t="s">
        <v>40</v>
      </c>
      <c r="G9629" s="317" t="s">
        <v>26</v>
      </c>
      <c r="H9629" s="318" t="s">
        <v>12997</v>
      </c>
      <c r="I9629" s="317">
        <v>2</v>
      </c>
      <c r="J9629" s="356">
        <v>31</v>
      </c>
      <c r="K9629" s="356">
        <v>0</v>
      </c>
      <c r="L9629" s="356">
        <v>0</v>
      </c>
      <c r="M9629" s="356">
        <v>0</v>
      </c>
      <c r="N9629" s="356">
        <v>0</v>
      </c>
      <c r="O9629" s="356">
        <v>0</v>
      </c>
      <c r="P9629" s="362">
        <v>0</v>
      </c>
      <c r="Q9629" s="356" t="s">
        <v>12980</v>
      </c>
    </row>
    <row r="9630" spans="1:17" ht="24" x14ac:dyDescent="0.25">
      <c r="A9630" s="314">
        <v>44562</v>
      </c>
      <c r="B9630" s="314">
        <v>44926</v>
      </c>
      <c r="C9630" s="315">
        <v>2022</v>
      </c>
      <c r="D9630" s="351" t="s">
        <v>23</v>
      </c>
      <c r="E9630" s="316" t="s">
        <v>12990</v>
      </c>
      <c r="F9630" s="317" t="s">
        <v>210</v>
      </c>
      <c r="G9630" s="319" t="s">
        <v>26</v>
      </c>
      <c r="H9630" s="318" t="s">
        <v>12998</v>
      </c>
      <c r="I9630" s="317">
        <v>0</v>
      </c>
      <c r="J9630" s="356">
        <v>24</v>
      </c>
      <c r="K9630" s="356">
        <v>0</v>
      </c>
      <c r="L9630" s="356">
        <v>0</v>
      </c>
      <c r="M9630" s="356">
        <v>0</v>
      </c>
      <c r="N9630" s="356">
        <v>0</v>
      </c>
      <c r="O9630" s="356">
        <v>0</v>
      </c>
      <c r="P9630" s="362">
        <v>0</v>
      </c>
      <c r="Q9630" s="356" t="s">
        <v>12980</v>
      </c>
    </row>
    <row r="9631" spans="1:17" ht="36" x14ac:dyDescent="0.25">
      <c r="A9631" s="314">
        <v>44562</v>
      </c>
      <c r="B9631" s="314">
        <v>44926</v>
      </c>
      <c r="C9631" s="315">
        <v>2022</v>
      </c>
      <c r="D9631" s="351" t="s">
        <v>23</v>
      </c>
      <c r="E9631" s="316" t="s">
        <v>12990</v>
      </c>
      <c r="F9631" s="317" t="s">
        <v>80</v>
      </c>
      <c r="G9631" s="317" t="s">
        <v>26</v>
      </c>
      <c r="H9631" s="318" t="s">
        <v>12999</v>
      </c>
      <c r="I9631" s="317">
        <v>1</v>
      </c>
      <c r="J9631" s="356">
        <v>19</v>
      </c>
      <c r="K9631" s="356">
        <v>0</v>
      </c>
      <c r="L9631" s="356">
        <v>0</v>
      </c>
      <c r="M9631" s="356">
        <v>0</v>
      </c>
      <c r="N9631" s="356">
        <v>0</v>
      </c>
      <c r="O9631" s="356">
        <v>0</v>
      </c>
      <c r="P9631" s="362">
        <v>0</v>
      </c>
      <c r="Q9631" s="356" t="s">
        <v>12980</v>
      </c>
    </row>
    <row r="9632" spans="1:17" ht="24" x14ac:dyDescent="0.25">
      <c r="A9632" s="314">
        <v>44562</v>
      </c>
      <c r="B9632" s="314">
        <v>44926</v>
      </c>
      <c r="C9632" s="315">
        <v>2022</v>
      </c>
      <c r="D9632" s="351" t="s">
        <v>23</v>
      </c>
      <c r="E9632" s="316" t="s">
        <v>12990</v>
      </c>
      <c r="F9632" s="317" t="s">
        <v>33</v>
      </c>
      <c r="G9632" s="317" t="s">
        <v>26</v>
      </c>
      <c r="H9632" s="320" t="s">
        <v>13000</v>
      </c>
      <c r="I9632" s="317">
        <v>1</v>
      </c>
      <c r="J9632" s="356">
        <v>18</v>
      </c>
      <c r="K9632" s="356">
        <v>0</v>
      </c>
      <c r="L9632" s="356">
        <v>0</v>
      </c>
      <c r="M9632" s="356">
        <v>0</v>
      </c>
      <c r="N9632" s="356">
        <v>0</v>
      </c>
      <c r="O9632" s="356">
        <v>0</v>
      </c>
      <c r="P9632" s="362">
        <v>0</v>
      </c>
      <c r="Q9632" s="356" t="s">
        <v>12980</v>
      </c>
    </row>
    <row r="9633" spans="1:17" ht="24" x14ac:dyDescent="0.25">
      <c r="A9633" s="314">
        <v>44562</v>
      </c>
      <c r="B9633" s="314">
        <v>44926</v>
      </c>
      <c r="C9633" s="315">
        <v>2022</v>
      </c>
      <c r="D9633" s="351" t="s">
        <v>23</v>
      </c>
      <c r="E9633" s="316" t="s">
        <v>12990</v>
      </c>
      <c r="F9633" s="317" t="s">
        <v>163</v>
      </c>
      <c r="G9633" s="317" t="s">
        <v>26</v>
      </c>
      <c r="H9633" s="318" t="s">
        <v>13001</v>
      </c>
      <c r="I9633" s="317">
        <v>0</v>
      </c>
      <c r="J9633" s="356">
        <v>17</v>
      </c>
      <c r="K9633" s="356">
        <v>0</v>
      </c>
      <c r="L9633" s="356">
        <v>0</v>
      </c>
      <c r="M9633" s="356">
        <v>0</v>
      </c>
      <c r="N9633" s="356">
        <v>0</v>
      </c>
      <c r="O9633" s="356">
        <v>0</v>
      </c>
      <c r="P9633" s="362">
        <v>0</v>
      </c>
      <c r="Q9633" s="356" t="s">
        <v>12980</v>
      </c>
    </row>
    <row r="9634" spans="1:17" ht="36" x14ac:dyDescent="0.25">
      <c r="A9634" s="314">
        <v>44562</v>
      </c>
      <c r="B9634" s="314">
        <v>44926</v>
      </c>
      <c r="C9634" s="315">
        <v>2022</v>
      </c>
      <c r="D9634" s="351" t="s">
        <v>23</v>
      </c>
      <c r="E9634" s="316" t="s">
        <v>12990</v>
      </c>
      <c r="F9634" s="317" t="s">
        <v>60</v>
      </c>
      <c r="G9634" s="317" t="s">
        <v>26</v>
      </c>
      <c r="H9634" s="318" t="s">
        <v>13002</v>
      </c>
      <c r="I9634" s="317">
        <v>0</v>
      </c>
      <c r="J9634" s="356">
        <v>12</v>
      </c>
      <c r="K9634" s="356">
        <v>0</v>
      </c>
      <c r="L9634" s="356">
        <v>0</v>
      </c>
      <c r="M9634" s="356">
        <v>0</v>
      </c>
      <c r="N9634" s="356">
        <v>0</v>
      </c>
      <c r="O9634" s="356">
        <v>0</v>
      </c>
      <c r="P9634" s="362">
        <v>0</v>
      </c>
      <c r="Q9634" s="356" t="s">
        <v>12980</v>
      </c>
    </row>
    <row r="9635" spans="1:17" ht="48" x14ac:dyDescent="0.25">
      <c r="A9635" s="314">
        <v>44562</v>
      </c>
      <c r="B9635" s="314">
        <v>44926</v>
      </c>
      <c r="C9635" s="315">
        <v>2022</v>
      </c>
      <c r="D9635" s="351" t="s">
        <v>23</v>
      </c>
      <c r="E9635" s="316" t="s">
        <v>12990</v>
      </c>
      <c r="F9635" s="317" t="s">
        <v>72</v>
      </c>
      <c r="G9635" s="317" t="s">
        <v>26</v>
      </c>
      <c r="H9635" s="318" t="s">
        <v>13003</v>
      </c>
      <c r="I9635" s="317">
        <v>1</v>
      </c>
      <c r="J9635" s="356">
        <v>10</v>
      </c>
      <c r="K9635" s="356">
        <v>0</v>
      </c>
      <c r="L9635" s="356">
        <v>0</v>
      </c>
      <c r="M9635" s="356">
        <v>0</v>
      </c>
      <c r="N9635" s="356">
        <v>0</v>
      </c>
      <c r="O9635" s="356">
        <v>0</v>
      </c>
      <c r="P9635" s="362">
        <v>0</v>
      </c>
      <c r="Q9635" s="356" t="s">
        <v>12980</v>
      </c>
    </row>
    <row r="9636" spans="1:17" ht="36" x14ac:dyDescent="0.25">
      <c r="A9636" s="314">
        <v>44562</v>
      </c>
      <c r="B9636" s="314">
        <v>44926</v>
      </c>
      <c r="C9636" s="315">
        <v>2022</v>
      </c>
      <c r="D9636" s="351" t="s">
        <v>23</v>
      </c>
      <c r="E9636" s="316" t="s">
        <v>12990</v>
      </c>
      <c r="F9636" s="28" t="s">
        <v>151</v>
      </c>
      <c r="G9636" s="317" t="s">
        <v>26</v>
      </c>
      <c r="H9636" s="318" t="s">
        <v>13004</v>
      </c>
      <c r="I9636" s="317">
        <v>1</v>
      </c>
      <c r="J9636" s="356">
        <v>9</v>
      </c>
      <c r="K9636" s="356">
        <v>0</v>
      </c>
      <c r="L9636" s="356">
        <v>0</v>
      </c>
      <c r="M9636" s="356">
        <v>0</v>
      </c>
      <c r="N9636" s="356">
        <v>0</v>
      </c>
      <c r="O9636" s="356">
        <v>0</v>
      </c>
      <c r="P9636" s="362">
        <v>0</v>
      </c>
      <c r="Q9636" s="356" t="s">
        <v>12980</v>
      </c>
    </row>
    <row r="9637" spans="1:17" ht="24" x14ac:dyDescent="0.25">
      <c r="A9637" s="314">
        <v>44562</v>
      </c>
      <c r="B9637" s="314">
        <v>44926</v>
      </c>
      <c r="C9637" s="315">
        <v>2022</v>
      </c>
      <c r="D9637" s="351" t="s">
        <v>23</v>
      </c>
      <c r="E9637" s="316" t="s">
        <v>12990</v>
      </c>
      <c r="F9637" s="317" t="s">
        <v>36</v>
      </c>
      <c r="G9637" s="317" t="s">
        <v>26</v>
      </c>
      <c r="H9637" s="318" t="s">
        <v>13005</v>
      </c>
      <c r="I9637" s="317">
        <v>0</v>
      </c>
      <c r="J9637" s="356">
        <v>7</v>
      </c>
      <c r="K9637" s="356">
        <v>0</v>
      </c>
      <c r="L9637" s="356">
        <v>0</v>
      </c>
      <c r="M9637" s="356">
        <v>0</v>
      </c>
      <c r="N9637" s="356">
        <v>0</v>
      </c>
      <c r="O9637" s="356">
        <v>0</v>
      </c>
      <c r="P9637" s="362">
        <v>0</v>
      </c>
      <c r="Q9637" s="356" t="s">
        <v>12980</v>
      </c>
    </row>
    <row r="9638" spans="1:17" ht="24" x14ac:dyDescent="0.25">
      <c r="A9638" s="314">
        <v>44562</v>
      </c>
      <c r="B9638" s="314">
        <v>44926</v>
      </c>
      <c r="C9638" s="315">
        <v>2022</v>
      </c>
      <c r="D9638" s="351" t="s">
        <v>23</v>
      </c>
      <c r="E9638" s="316" t="s">
        <v>12990</v>
      </c>
      <c r="F9638" s="317" t="s">
        <v>68</v>
      </c>
      <c r="G9638" s="317" t="s">
        <v>26</v>
      </c>
      <c r="H9638" s="318" t="s">
        <v>13006</v>
      </c>
      <c r="I9638" s="317">
        <v>0</v>
      </c>
      <c r="J9638" s="356">
        <v>6</v>
      </c>
      <c r="K9638" s="356">
        <v>0</v>
      </c>
      <c r="L9638" s="356">
        <v>0</v>
      </c>
      <c r="M9638" s="356">
        <v>0</v>
      </c>
      <c r="N9638" s="356">
        <v>0</v>
      </c>
      <c r="O9638" s="356">
        <v>0</v>
      </c>
      <c r="P9638" s="362">
        <v>0</v>
      </c>
      <c r="Q9638" s="356" t="s">
        <v>12980</v>
      </c>
    </row>
    <row r="9639" spans="1:17" ht="36" x14ac:dyDescent="0.25">
      <c r="A9639" s="314">
        <v>44562</v>
      </c>
      <c r="B9639" s="314">
        <v>44926</v>
      </c>
      <c r="C9639" s="315">
        <v>2022</v>
      </c>
      <c r="D9639" s="351" t="s">
        <v>23</v>
      </c>
      <c r="E9639" s="316" t="s">
        <v>12990</v>
      </c>
      <c r="F9639" s="317" t="s">
        <v>67</v>
      </c>
      <c r="G9639" s="317" t="s">
        <v>26</v>
      </c>
      <c r="H9639" s="318" t="s">
        <v>13007</v>
      </c>
      <c r="I9639" s="317">
        <v>1</v>
      </c>
      <c r="J9639" s="356">
        <v>5</v>
      </c>
      <c r="K9639" s="356">
        <v>0</v>
      </c>
      <c r="L9639" s="356">
        <v>0</v>
      </c>
      <c r="M9639" s="356">
        <v>0</v>
      </c>
      <c r="N9639" s="356">
        <v>0</v>
      </c>
      <c r="O9639" s="356">
        <v>0</v>
      </c>
      <c r="P9639" s="362">
        <v>0</v>
      </c>
      <c r="Q9639" s="356" t="s">
        <v>12980</v>
      </c>
    </row>
    <row r="9640" spans="1:17" ht="24" x14ac:dyDescent="0.25">
      <c r="A9640" s="314">
        <v>44562</v>
      </c>
      <c r="B9640" s="314">
        <v>44926</v>
      </c>
      <c r="C9640" s="315">
        <v>2022</v>
      </c>
      <c r="D9640" s="351" t="s">
        <v>23</v>
      </c>
      <c r="E9640" s="316" t="s">
        <v>12990</v>
      </c>
      <c r="F9640" s="317" t="s">
        <v>56</v>
      </c>
      <c r="G9640" s="317" t="s">
        <v>26</v>
      </c>
      <c r="H9640" s="318" t="s">
        <v>13008</v>
      </c>
      <c r="I9640" s="317">
        <v>0</v>
      </c>
      <c r="J9640" s="356">
        <v>4</v>
      </c>
      <c r="K9640" s="356">
        <v>0</v>
      </c>
      <c r="L9640" s="356">
        <v>0</v>
      </c>
      <c r="M9640" s="356">
        <v>0</v>
      </c>
      <c r="N9640" s="356">
        <v>0</v>
      </c>
      <c r="O9640" s="356">
        <v>0</v>
      </c>
      <c r="P9640" s="362">
        <v>0</v>
      </c>
      <c r="Q9640" s="356" t="s">
        <v>12980</v>
      </c>
    </row>
    <row r="9641" spans="1:17" ht="24" x14ac:dyDescent="0.25">
      <c r="A9641" s="314">
        <v>44562</v>
      </c>
      <c r="B9641" s="314">
        <v>44926</v>
      </c>
      <c r="C9641" s="315">
        <v>2022</v>
      </c>
      <c r="D9641" s="351" t="s">
        <v>23</v>
      </c>
      <c r="E9641" s="316" t="s">
        <v>12990</v>
      </c>
      <c r="F9641" s="317" t="s">
        <v>62</v>
      </c>
      <c r="G9641" s="317" t="s">
        <v>26</v>
      </c>
      <c r="H9641" s="318" t="s">
        <v>13008</v>
      </c>
      <c r="I9641" s="317">
        <v>0</v>
      </c>
      <c r="J9641" s="356">
        <v>4</v>
      </c>
      <c r="K9641" s="356">
        <v>0</v>
      </c>
      <c r="L9641" s="356">
        <v>0</v>
      </c>
      <c r="M9641" s="356">
        <v>0</v>
      </c>
      <c r="N9641" s="356">
        <v>0</v>
      </c>
      <c r="O9641" s="356">
        <v>0</v>
      </c>
      <c r="P9641" s="362">
        <v>0</v>
      </c>
      <c r="Q9641" s="356" t="s">
        <v>12980</v>
      </c>
    </row>
    <row r="9642" spans="1:17" ht="36" x14ac:dyDescent="0.25">
      <c r="A9642" s="314">
        <v>44562</v>
      </c>
      <c r="B9642" s="314">
        <v>44926</v>
      </c>
      <c r="C9642" s="315">
        <v>2022</v>
      </c>
      <c r="D9642" s="351" t="s">
        <v>23</v>
      </c>
      <c r="E9642" s="316" t="s">
        <v>12990</v>
      </c>
      <c r="F9642" s="317" t="s">
        <v>160</v>
      </c>
      <c r="G9642" s="317" t="s">
        <v>26</v>
      </c>
      <c r="H9642" s="318" t="s">
        <v>13009</v>
      </c>
      <c r="I9642" s="317">
        <v>0</v>
      </c>
      <c r="J9642" s="356">
        <v>3</v>
      </c>
      <c r="K9642" s="356">
        <v>0</v>
      </c>
      <c r="L9642" s="356">
        <v>0</v>
      </c>
      <c r="M9642" s="356">
        <v>0</v>
      </c>
      <c r="N9642" s="356">
        <v>0</v>
      </c>
      <c r="O9642" s="356">
        <v>0</v>
      </c>
      <c r="P9642" s="362">
        <v>0</v>
      </c>
      <c r="Q9642" s="356" t="s">
        <v>12980</v>
      </c>
    </row>
    <row r="9643" spans="1:17" ht="24" x14ac:dyDescent="0.25">
      <c r="A9643" s="314">
        <v>44562</v>
      </c>
      <c r="B9643" s="314">
        <v>44926</v>
      </c>
      <c r="C9643" s="315">
        <v>2022</v>
      </c>
      <c r="D9643" s="351" t="s">
        <v>23</v>
      </c>
      <c r="E9643" s="316" t="s">
        <v>12990</v>
      </c>
      <c r="F9643" s="7" t="s">
        <v>49</v>
      </c>
      <c r="G9643" s="317" t="s">
        <v>26</v>
      </c>
      <c r="H9643" s="318" t="s">
        <v>13010</v>
      </c>
      <c r="I9643" s="317">
        <v>0</v>
      </c>
      <c r="J9643" s="356">
        <v>3</v>
      </c>
      <c r="K9643" s="356">
        <v>0</v>
      </c>
      <c r="L9643" s="356">
        <v>0</v>
      </c>
      <c r="M9643" s="356">
        <v>0</v>
      </c>
      <c r="N9643" s="356">
        <v>0</v>
      </c>
      <c r="O9643" s="356">
        <v>0</v>
      </c>
      <c r="P9643" s="362">
        <v>0</v>
      </c>
      <c r="Q9643" s="356" t="s">
        <v>12980</v>
      </c>
    </row>
    <row r="9644" spans="1:17" ht="36" x14ac:dyDescent="0.25">
      <c r="A9644" s="314">
        <v>44562</v>
      </c>
      <c r="B9644" s="314">
        <v>44926</v>
      </c>
      <c r="C9644" s="315">
        <v>2022</v>
      </c>
      <c r="D9644" s="351" t="s">
        <v>23</v>
      </c>
      <c r="E9644" s="316" t="s">
        <v>12990</v>
      </c>
      <c r="F9644" s="317" t="s">
        <v>47</v>
      </c>
      <c r="G9644" s="317" t="s">
        <v>26</v>
      </c>
      <c r="H9644" s="318" t="s">
        <v>13011</v>
      </c>
      <c r="I9644" s="317">
        <v>1</v>
      </c>
      <c r="J9644" s="356">
        <v>3</v>
      </c>
      <c r="K9644" s="356">
        <v>0</v>
      </c>
      <c r="L9644" s="356">
        <v>0</v>
      </c>
      <c r="M9644" s="356">
        <v>0</v>
      </c>
      <c r="N9644" s="356">
        <v>0</v>
      </c>
      <c r="O9644" s="356">
        <v>0</v>
      </c>
      <c r="P9644" s="362">
        <v>0</v>
      </c>
      <c r="Q9644" s="356" t="s">
        <v>12980</v>
      </c>
    </row>
    <row r="9645" spans="1:17" ht="24" x14ac:dyDescent="0.25">
      <c r="A9645" s="314">
        <v>44562</v>
      </c>
      <c r="B9645" s="314">
        <v>44926</v>
      </c>
      <c r="C9645" s="315">
        <v>2022</v>
      </c>
      <c r="D9645" s="351" t="s">
        <v>23</v>
      </c>
      <c r="E9645" s="316" t="s">
        <v>12990</v>
      </c>
      <c r="F9645" s="317" t="s">
        <v>82</v>
      </c>
      <c r="G9645" s="317" t="s">
        <v>26</v>
      </c>
      <c r="H9645" s="318" t="s">
        <v>13012</v>
      </c>
      <c r="I9645" s="317">
        <v>0</v>
      </c>
      <c r="J9645" s="356">
        <v>1</v>
      </c>
      <c r="K9645" s="356">
        <v>0</v>
      </c>
      <c r="L9645" s="356">
        <v>0</v>
      </c>
      <c r="M9645" s="356">
        <v>0</v>
      </c>
      <c r="N9645" s="356">
        <v>0</v>
      </c>
      <c r="O9645" s="356">
        <v>0</v>
      </c>
      <c r="P9645" s="362">
        <v>0</v>
      </c>
      <c r="Q9645" s="356" t="s">
        <v>12980</v>
      </c>
    </row>
    <row r="9646" spans="1:17" ht="36" x14ac:dyDescent="0.25">
      <c r="A9646" s="314">
        <v>44562</v>
      </c>
      <c r="B9646" s="314">
        <v>44926</v>
      </c>
      <c r="C9646" s="315">
        <v>2022</v>
      </c>
      <c r="D9646" s="35" t="s">
        <v>28</v>
      </c>
      <c r="E9646" s="316" t="s">
        <v>29</v>
      </c>
      <c r="F9646" s="317" t="s">
        <v>25</v>
      </c>
      <c r="G9646" s="317" t="s">
        <v>538</v>
      </c>
      <c r="H9646" s="318" t="s">
        <v>13013</v>
      </c>
      <c r="I9646" s="317">
        <v>0</v>
      </c>
      <c r="J9646" s="356">
        <v>0</v>
      </c>
      <c r="K9646" s="356">
        <v>0</v>
      </c>
      <c r="L9646" s="356">
        <v>0</v>
      </c>
      <c r="M9646" s="356">
        <v>0</v>
      </c>
      <c r="N9646" s="356">
        <v>0</v>
      </c>
      <c r="O9646" s="356">
        <v>2637.36</v>
      </c>
      <c r="P9646" s="362">
        <v>3.6830204928000003</v>
      </c>
      <c r="Q9646" s="356" t="s">
        <v>2387</v>
      </c>
    </row>
    <row r="9647" spans="1:17" x14ac:dyDescent="0.25">
      <c r="A9647" s="314">
        <v>44562</v>
      </c>
      <c r="B9647" s="314">
        <v>44926</v>
      </c>
      <c r="C9647" s="315">
        <v>2022</v>
      </c>
      <c r="D9647" s="35" t="s">
        <v>28</v>
      </c>
      <c r="E9647" s="316" t="s">
        <v>29</v>
      </c>
      <c r="F9647" s="317" t="s">
        <v>30</v>
      </c>
      <c r="G9647" s="317" t="s">
        <v>538</v>
      </c>
      <c r="H9647" s="320" t="s">
        <v>13014</v>
      </c>
      <c r="I9647" s="317">
        <v>0</v>
      </c>
      <c r="J9647" s="356">
        <v>0</v>
      </c>
      <c r="K9647" s="356">
        <v>0</v>
      </c>
      <c r="L9647" s="356">
        <v>0</v>
      </c>
      <c r="M9647" s="356">
        <v>0</v>
      </c>
      <c r="N9647" s="356">
        <v>0</v>
      </c>
      <c r="O9647" s="356">
        <v>7095.42</v>
      </c>
      <c r="P9647" s="362">
        <v>9.9086121216000009</v>
      </c>
      <c r="Q9647" s="356" t="s">
        <v>2387</v>
      </c>
    </row>
    <row r="9648" spans="1:17" x14ac:dyDescent="0.25">
      <c r="A9648" s="314">
        <v>44562</v>
      </c>
      <c r="B9648" s="314">
        <v>44926</v>
      </c>
      <c r="C9648" s="315">
        <v>2022</v>
      </c>
      <c r="D9648" s="35" t="s">
        <v>28</v>
      </c>
      <c r="E9648" s="316" t="s">
        <v>29</v>
      </c>
      <c r="F9648" s="317" t="s">
        <v>33</v>
      </c>
      <c r="G9648" s="317" t="s">
        <v>538</v>
      </c>
      <c r="H9648" s="320" t="s">
        <v>13015</v>
      </c>
      <c r="I9648" s="317">
        <v>0</v>
      </c>
      <c r="J9648" s="356">
        <v>0</v>
      </c>
      <c r="K9648" s="356">
        <v>0</v>
      </c>
      <c r="L9648" s="356">
        <v>0</v>
      </c>
      <c r="M9648" s="356">
        <v>0</v>
      </c>
      <c r="N9648" s="356">
        <v>0</v>
      </c>
      <c r="O9648" s="356">
        <v>90.78</v>
      </c>
      <c r="P9648" s="362">
        <v>0.12677245440000001</v>
      </c>
      <c r="Q9648" s="356" t="s">
        <v>2387</v>
      </c>
    </row>
    <row r="9649" spans="1:17" ht="36" x14ac:dyDescent="0.25">
      <c r="A9649" s="314">
        <v>44562</v>
      </c>
      <c r="B9649" s="314">
        <v>44926</v>
      </c>
      <c r="C9649" s="315">
        <v>2022</v>
      </c>
      <c r="D9649" s="35" t="s">
        <v>28</v>
      </c>
      <c r="E9649" s="316" t="s">
        <v>29</v>
      </c>
      <c r="F9649" s="28" t="s">
        <v>151</v>
      </c>
      <c r="G9649" s="317" t="s">
        <v>538</v>
      </c>
      <c r="H9649" s="318" t="s">
        <v>13016</v>
      </c>
      <c r="I9649" s="317">
        <v>0</v>
      </c>
      <c r="J9649" s="356">
        <v>0</v>
      </c>
      <c r="K9649" s="356">
        <v>0</v>
      </c>
      <c r="L9649" s="356">
        <v>0</v>
      </c>
      <c r="M9649" s="356">
        <v>0</v>
      </c>
      <c r="N9649" s="356">
        <v>0</v>
      </c>
      <c r="O9649" s="356">
        <v>17897.34</v>
      </c>
      <c r="P9649" s="362">
        <v>24.99327736</v>
      </c>
      <c r="Q9649" s="356" t="s">
        <v>2387</v>
      </c>
    </row>
    <row r="9650" spans="1:17" ht="36" x14ac:dyDescent="0.25">
      <c r="A9650" s="314">
        <v>44562</v>
      </c>
      <c r="B9650" s="314">
        <v>44926</v>
      </c>
      <c r="C9650" s="315">
        <v>2022</v>
      </c>
      <c r="D9650" s="35" t="s">
        <v>28</v>
      </c>
      <c r="E9650" s="316" t="s">
        <v>29</v>
      </c>
      <c r="F9650" s="317" t="s">
        <v>36</v>
      </c>
      <c r="G9650" s="317" t="s">
        <v>538</v>
      </c>
      <c r="H9650" s="318" t="s">
        <v>13017</v>
      </c>
      <c r="I9650" s="317">
        <v>0</v>
      </c>
      <c r="J9650" s="356">
        <v>0</v>
      </c>
      <c r="K9650" s="356">
        <v>0</v>
      </c>
      <c r="L9650" s="356">
        <v>0</v>
      </c>
      <c r="M9650" s="356">
        <v>0</v>
      </c>
      <c r="N9650" s="356">
        <v>0</v>
      </c>
      <c r="O9650" s="356">
        <v>70486.509999999995</v>
      </c>
      <c r="P9650" s="362">
        <v>98.433001484800002</v>
      </c>
      <c r="Q9650" s="356" t="s">
        <v>2387</v>
      </c>
    </row>
    <row r="9651" spans="1:17" ht="36" x14ac:dyDescent="0.25">
      <c r="A9651" s="314">
        <v>44562</v>
      </c>
      <c r="B9651" s="314">
        <v>44926</v>
      </c>
      <c r="C9651" s="315">
        <v>2022</v>
      </c>
      <c r="D9651" s="35" t="s">
        <v>28</v>
      </c>
      <c r="E9651" s="316" t="s">
        <v>29</v>
      </c>
      <c r="F9651" s="317" t="s">
        <v>40</v>
      </c>
      <c r="G9651" s="317" t="s">
        <v>538</v>
      </c>
      <c r="H9651" s="318" t="s">
        <v>13018</v>
      </c>
      <c r="I9651" s="317">
        <v>0</v>
      </c>
      <c r="J9651" s="356">
        <v>0</v>
      </c>
      <c r="K9651" s="356">
        <v>0</v>
      </c>
      <c r="L9651" s="356">
        <v>0</v>
      </c>
      <c r="M9651" s="356">
        <v>0</v>
      </c>
      <c r="N9651" s="356">
        <v>0</v>
      </c>
      <c r="O9651" s="356">
        <v>78660.800000000003</v>
      </c>
      <c r="P9651" s="362">
        <v>109.84823398400002</v>
      </c>
      <c r="Q9651" s="356" t="s">
        <v>2387</v>
      </c>
    </row>
    <row r="9652" spans="1:17" ht="36" x14ac:dyDescent="0.25">
      <c r="A9652" s="314">
        <v>44562</v>
      </c>
      <c r="B9652" s="314">
        <v>44926</v>
      </c>
      <c r="C9652" s="315">
        <v>2022</v>
      </c>
      <c r="D9652" s="35" t="s">
        <v>28</v>
      </c>
      <c r="E9652" s="316" t="s">
        <v>29</v>
      </c>
      <c r="F9652" s="28" t="s">
        <v>157</v>
      </c>
      <c r="G9652" s="317" t="s">
        <v>538</v>
      </c>
      <c r="H9652" s="318" t="s">
        <v>13019</v>
      </c>
      <c r="I9652" s="317">
        <v>0</v>
      </c>
      <c r="J9652" s="356">
        <v>0</v>
      </c>
      <c r="K9652" s="356">
        <v>0</v>
      </c>
      <c r="L9652" s="356">
        <v>0</v>
      </c>
      <c r="M9652" s="356">
        <v>0</v>
      </c>
      <c r="N9652" s="356">
        <v>0</v>
      </c>
      <c r="O9652" s="356">
        <v>1944.49</v>
      </c>
      <c r="P9652" s="362">
        <v>2.7154413952000001</v>
      </c>
      <c r="Q9652" s="356" t="s">
        <v>2387</v>
      </c>
    </row>
    <row r="9653" spans="1:17" ht="36" x14ac:dyDescent="0.25">
      <c r="A9653" s="314">
        <v>44562</v>
      </c>
      <c r="B9653" s="314">
        <v>44926</v>
      </c>
      <c r="C9653" s="315">
        <v>2022</v>
      </c>
      <c r="D9653" s="35" t="s">
        <v>28</v>
      </c>
      <c r="E9653" s="316" t="s">
        <v>29</v>
      </c>
      <c r="F9653" s="317" t="s">
        <v>45</v>
      </c>
      <c r="G9653" s="317" t="s">
        <v>538</v>
      </c>
      <c r="H9653" s="318" t="s">
        <v>13020</v>
      </c>
      <c r="I9653" s="317">
        <v>0</v>
      </c>
      <c r="J9653" s="356">
        <v>0</v>
      </c>
      <c r="K9653" s="356">
        <v>0</v>
      </c>
      <c r="L9653" s="356">
        <v>0</v>
      </c>
      <c r="M9653" s="356">
        <v>0</v>
      </c>
      <c r="N9653" s="356">
        <v>0</v>
      </c>
      <c r="O9653" s="356">
        <v>22895.96</v>
      </c>
      <c r="P9653" s="362">
        <v>31.973750220799996</v>
      </c>
      <c r="Q9653" s="356" t="s">
        <v>2387</v>
      </c>
    </row>
    <row r="9654" spans="1:17" ht="36" x14ac:dyDescent="0.25">
      <c r="A9654" s="314">
        <v>44562</v>
      </c>
      <c r="B9654" s="314">
        <v>44926</v>
      </c>
      <c r="C9654" s="315">
        <v>2022</v>
      </c>
      <c r="D9654" s="35" t="s">
        <v>28</v>
      </c>
      <c r="E9654" s="316" t="s">
        <v>29</v>
      </c>
      <c r="F9654" s="317" t="s">
        <v>47</v>
      </c>
      <c r="G9654" s="317" t="s">
        <v>538</v>
      </c>
      <c r="H9654" s="318" t="s">
        <v>13021</v>
      </c>
      <c r="I9654" s="317">
        <v>0</v>
      </c>
      <c r="J9654" s="356">
        <v>0</v>
      </c>
      <c r="K9654" s="356">
        <v>0</v>
      </c>
      <c r="L9654" s="356">
        <v>0</v>
      </c>
      <c r="M9654" s="356">
        <v>0</v>
      </c>
      <c r="N9654" s="356">
        <v>0</v>
      </c>
      <c r="O9654" s="356">
        <v>2831.19</v>
      </c>
      <c r="P9654" s="362">
        <v>3.9537002112000001</v>
      </c>
      <c r="Q9654" s="356" t="s">
        <v>2387</v>
      </c>
    </row>
    <row r="9655" spans="1:17" ht="36" x14ac:dyDescent="0.25">
      <c r="A9655" s="314">
        <v>44562</v>
      </c>
      <c r="B9655" s="314">
        <v>44926</v>
      </c>
      <c r="C9655" s="315">
        <v>2022</v>
      </c>
      <c r="D9655" s="35" t="s">
        <v>28</v>
      </c>
      <c r="E9655" s="316" t="s">
        <v>29</v>
      </c>
      <c r="F9655" s="7" t="s">
        <v>49</v>
      </c>
      <c r="G9655" s="317" t="s">
        <v>538</v>
      </c>
      <c r="H9655" s="318" t="s">
        <v>13022</v>
      </c>
      <c r="I9655" s="317">
        <v>0</v>
      </c>
      <c r="J9655" s="356">
        <v>0</v>
      </c>
      <c r="K9655" s="356">
        <v>0</v>
      </c>
      <c r="L9655" s="356">
        <v>0</v>
      </c>
      <c r="M9655" s="356">
        <v>0</v>
      </c>
      <c r="N9655" s="356">
        <v>0</v>
      </c>
      <c r="O9655" s="356">
        <v>86124.01</v>
      </c>
      <c r="P9655" s="362">
        <v>120.27045748479999</v>
      </c>
      <c r="Q9655" s="356" t="s">
        <v>2387</v>
      </c>
    </row>
    <row r="9656" spans="1:17" ht="36" x14ac:dyDescent="0.25">
      <c r="A9656" s="314">
        <v>44562</v>
      </c>
      <c r="B9656" s="314">
        <v>44926</v>
      </c>
      <c r="C9656" s="315">
        <v>2022</v>
      </c>
      <c r="D9656" s="35" t="s">
        <v>28</v>
      </c>
      <c r="E9656" s="316" t="s">
        <v>29</v>
      </c>
      <c r="F9656" s="317" t="s">
        <v>56</v>
      </c>
      <c r="G9656" s="317" t="s">
        <v>538</v>
      </c>
      <c r="H9656" s="318" t="s">
        <v>13023</v>
      </c>
      <c r="I9656" s="317">
        <v>0</v>
      </c>
      <c r="J9656" s="356">
        <v>0</v>
      </c>
      <c r="K9656" s="356">
        <v>0</v>
      </c>
      <c r="L9656" s="356">
        <v>0</v>
      </c>
      <c r="M9656" s="356">
        <v>0</v>
      </c>
      <c r="N9656" s="356">
        <v>0</v>
      </c>
      <c r="O9656" s="356">
        <v>2646.76</v>
      </c>
      <c r="P9656" s="362">
        <v>3.6961474048</v>
      </c>
      <c r="Q9656" s="356" t="s">
        <v>2387</v>
      </c>
    </row>
    <row r="9657" spans="1:17" ht="36" x14ac:dyDescent="0.25">
      <c r="A9657" s="314">
        <v>44562</v>
      </c>
      <c r="B9657" s="314">
        <v>44926</v>
      </c>
      <c r="C9657" s="315">
        <v>2022</v>
      </c>
      <c r="D9657" s="35" t="s">
        <v>28</v>
      </c>
      <c r="E9657" s="316" t="s">
        <v>29</v>
      </c>
      <c r="F9657" s="317" t="s">
        <v>58</v>
      </c>
      <c r="G9657" s="317" t="s">
        <v>538</v>
      </c>
      <c r="H9657" s="318" t="s">
        <v>13024</v>
      </c>
      <c r="I9657" s="317">
        <v>0</v>
      </c>
      <c r="J9657" s="356">
        <v>0</v>
      </c>
      <c r="K9657" s="356">
        <v>0</v>
      </c>
      <c r="L9657" s="356">
        <v>0</v>
      </c>
      <c r="M9657" s="356">
        <v>0</v>
      </c>
      <c r="N9657" s="356">
        <v>0</v>
      </c>
      <c r="O9657" s="356">
        <v>108597.09</v>
      </c>
      <c r="P9657" s="362">
        <v>151.65366424320001</v>
      </c>
      <c r="Q9657" s="356" t="s">
        <v>2387</v>
      </c>
    </row>
    <row r="9658" spans="1:17" ht="36" x14ac:dyDescent="0.25">
      <c r="A9658" s="314">
        <v>44562</v>
      </c>
      <c r="B9658" s="314">
        <v>44926</v>
      </c>
      <c r="C9658" s="315">
        <v>2022</v>
      </c>
      <c r="D9658" s="35" t="s">
        <v>28</v>
      </c>
      <c r="E9658" s="316" t="s">
        <v>29</v>
      </c>
      <c r="F9658" s="317" t="s">
        <v>160</v>
      </c>
      <c r="G9658" s="317" t="s">
        <v>538</v>
      </c>
      <c r="H9658" s="318" t="s">
        <v>13025</v>
      </c>
      <c r="I9658" s="317">
        <v>0</v>
      </c>
      <c r="J9658" s="356">
        <v>0</v>
      </c>
      <c r="K9658" s="356">
        <v>0</v>
      </c>
      <c r="L9658" s="356">
        <v>0</v>
      </c>
      <c r="M9658" s="356">
        <v>0</v>
      </c>
      <c r="N9658" s="356">
        <v>0</v>
      </c>
      <c r="O9658" s="356">
        <v>1332.32</v>
      </c>
      <c r="P9658" s="362">
        <v>1.8605582335999999</v>
      </c>
      <c r="Q9658" s="356" t="s">
        <v>2387</v>
      </c>
    </row>
    <row r="9659" spans="1:17" ht="36" x14ac:dyDescent="0.25">
      <c r="A9659" s="314">
        <v>44562</v>
      </c>
      <c r="B9659" s="314">
        <v>44926</v>
      </c>
      <c r="C9659" s="315">
        <v>2022</v>
      </c>
      <c r="D9659" s="35" t="s">
        <v>28</v>
      </c>
      <c r="E9659" s="316" t="s">
        <v>29</v>
      </c>
      <c r="F9659" s="317" t="s">
        <v>60</v>
      </c>
      <c r="G9659" s="317" t="s">
        <v>538</v>
      </c>
      <c r="H9659" s="318" t="s">
        <v>13026</v>
      </c>
      <c r="I9659" s="317">
        <v>0</v>
      </c>
      <c r="J9659" s="356">
        <v>0</v>
      </c>
      <c r="K9659" s="356">
        <v>0</v>
      </c>
      <c r="L9659" s="356">
        <v>0</v>
      </c>
      <c r="M9659" s="356">
        <v>0</v>
      </c>
      <c r="N9659" s="356">
        <v>0</v>
      </c>
      <c r="O9659" s="356">
        <v>82721.56</v>
      </c>
      <c r="P9659" s="362">
        <v>115.51900410879999</v>
      </c>
      <c r="Q9659" s="356" t="s">
        <v>2387</v>
      </c>
    </row>
    <row r="9660" spans="1:17" ht="36" x14ac:dyDescent="0.25">
      <c r="A9660" s="314">
        <v>44562</v>
      </c>
      <c r="B9660" s="314">
        <v>44926</v>
      </c>
      <c r="C9660" s="315">
        <v>2022</v>
      </c>
      <c r="D9660" s="35" t="s">
        <v>28</v>
      </c>
      <c r="E9660" s="316" t="s">
        <v>29</v>
      </c>
      <c r="F9660" s="7" t="s">
        <v>53</v>
      </c>
      <c r="G9660" s="317" t="s">
        <v>538</v>
      </c>
      <c r="H9660" s="318" t="s">
        <v>13027</v>
      </c>
      <c r="I9660" s="317">
        <v>0</v>
      </c>
      <c r="J9660" s="356">
        <v>0</v>
      </c>
      <c r="K9660" s="356">
        <v>0</v>
      </c>
      <c r="L9660" s="356">
        <v>0</v>
      </c>
      <c r="M9660" s="356">
        <v>0</v>
      </c>
      <c r="N9660" s="356">
        <v>0</v>
      </c>
      <c r="O9660" s="356">
        <v>9467.2999999999993</v>
      </c>
      <c r="P9660" s="362">
        <v>13.220895103999998</v>
      </c>
      <c r="Q9660" s="356" t="s">
        <v>2387</v>
      </c>
    </row>
    <row r="9661" spans="1:17" ht="36" x14ac:dyDescent="0.25">
      <c r="A9661" s="314">
        <v>44562</v>
      </c>
      <c r="B9661" s="314">
        <v>44926</v>
      </c>
      <c r="C9661" s="315">
        <v>2022</v>
      </c>
      <c r="D9661" s="35" t="s">
        <v>28</v>
      </c>
      <c r="E9661" s="316" t="s">
        <v>29</v>
      </c>
      <c r="F9661" s="317" t="s">
        <v>62</v>
      </c>
      <c r="G9661" s="317" t="s">
        <v>538</v>
      </c>
      <c r="H9661" s="318" t="s">
        <v>13028</v>
      </c>
      <c r="I9661" s="317">
        <v>0</v>
      </c>
      <c r="J9661" s="356">
        <v>0</v>
      </c>
      <c r="K9661" s="356">
        <v>0</v>
      </c>
      <c r="L9661" s="356">
        <v>0</v>
      </c>
      <c r="M9661" s="356">
        <v>0</v>
      </c>
      <c r="N9661" s="356">
        <v>0</v>
      </c>
      <c r="O9661" s="356">
        <v>24042.53</v>
      </c>
      <c r="P9661" s="362">
        <v>33.574912294400001</v>
      </c>
      <c r="Q9661" s="356" t="s">
        <v>2387</v>
      </c>
    </row>
    <row r="9662" spans="1:17" ht="36" x14ac:dyDescent="0.25">
      <c r="A9662" s="314">
        <v>44562</v>
      </c>
      <c r="B9662" s="314">
        <v>44926</v>
      </c>
      <c r="C9662" s="315">
        <v>2022</v>
      </c>
      <c r="D9662" s="35" t="s">
        <v>28</v>
      </c>
      <c r="E9662" s="316" t="s">
        <v>29</v>
      </c>
      <c r="F9662" s="317" t="s">
        <v>65</v>
      </c>
      <c r="G9662" s="317" t="s">
        <v>538</v>
      </c>
      <c r="H9662" s="318" t="s">
        <v>13029</v>
      </c>
      <c r="I9662" s="317">
        <v>0</v>
      </c>
      <c r="J9662" s="356">
        <v>0</v>
      </c>
      <c r="K9662" s="356">
        <v>0</v>
      </c>
      <c r="L9662" s="356">
        <v>0</v>
      </c>
      <c r="M9662" s="356">
        <v>0</v>
      </c>
      <c r="N9662" s="356">
        <v>0</v>
      </c>
      <c r="O9662" s="356">
        <v>1722.02</v>
      </c>
      <c r="P9662" s="362">
        <v>2.4047664896000001</v>
      </c>
      <c r="Q9662" s="356" t="s">
        <v>2387</v>
      </c>
    </row>
    <row r="9663" spans="1:17" ht="36" x14ac:dyDescent="0.25">
      <c r="A9663" s="314">
        <v>44562</v>
      </c>
      <c r="B9663" s="314">
        <v>44926</v>
      </c>
      <c r="C9663" s="315">
        <v>2022</v>
      </c>
      <c r="D9663" s="35" t="s">
        <v>28</v>
      </c>
      <c r="E9663" s="316" t="s">
        <v>29</v>
      </c>
      <c r="F9663" s="317" t="s">
        <v>67</v>
      </c>
      <c r="G9663" s="317" t="s">
        <v>538</v>
      </c>
      <c r="H9663" s="318" t="s">
        <v>13030</v>
      </c>
      <c r="I9663" s="317">
        <v>0</v>
      </c>
      <c r="J9663" s="356">
        <v>0</v>
      </c>
      <c r="K9663" s="356">
        <v>0</v>
      </c>
      <c r="L9663" s="356">
        <v>0</v>
      </c>
      <c r="M9663" s="356">
        <v>0</v>
      </c>
      <c r="N9663" s="356">
        <v>0</v>
      </c>
      <c r="O9663" s="356">
        <v>50423.69</v>
      </c>
      <c r="P9663" s="362">
        <v>70.415674611200004</v>
      </c>
      <c r="Q9663" s="356" t="s">
        <v>2387</v>
      </c>
    </row>
    <row r="9664" spans="1:17" ht="144" x14ac:dyDescent="0.25">
      <c r="A9664" s="314">
        <v>44562</v>
      </c>
      <c r="B9664" s="314">
        <v>44926</v>
      </c>
      <c r="C9664" s="315">
        <v>2022</v>
      </c>
      <c r="D9664" s="35" t="s">
        <v>28</v>
      </c>
      <c r="E9664" s="316" t="s">
        <v>29</v>
      </c>
      <c r="F9664" s="317" t="s">
        <v>68</v>
      </c>
      <c r="G9664" s="317" t="s">
        <v>538</v>
      </c>
      <c r="H9664" s="318" t="s">
        <v>13031</v>
      </c>
      <c r="I9664" s="317">
        <v>0</v>
      </c>
      <c r="J9664" s="356">
        <v>195</v>
      </c>
      <c r="K9664" s="356">
        <v>0</v>
      </c>
      <c r="L9664" s="356">
        <v>0</v>
      </c>
      <c r="M9664" s="356">
        <v>0</v>
      </c>
      <c r="N9664" s="356">
        <v>0</v>
      </c>
      <c r="O9664" s="356">
        <v>11986.8</v>
      </c>
      <c r="P9664" s="362">
        <v>16.789426464000002</v>
      </c>
      <c r="Q9664" s="356" t="s">
        <v>2387</v>
      </c>
    </row>
    <row r="9665" spans="1:17" ht="24" x14ac:dyDescent="0.25">
      <c r="A9665" s="314">
        <v>44562</v>
      </c>
      <c r="B9665" s="314">
        <v>44926</v>
      </c>
      <c r="C9665" s="315">
        <v>2022</v>
      </c>
      <c r="D9665" s="35" t="s">
        <v>28</v>
      </c>
      <c r="E9665" s="316" t="s">
        <v>29</v>
      </c>
      <c r="F9665" s="317" t="s">
        <v>72</v>
      </c>
      <c r="G9665" s="317" t="s">
        <v>538</v>
      </c>
      <c r="H9665" s="318" t="s">
        <v>13032</v>
      </c>
      <c r="I9665" s="317">
        <v>1</v>
      </c>
      <c r="J9665" s="356">
        <v>1</v>
      </c>
      <c r="K9665" s="356">
        <v>0</v>
      </c>
      <c r="L9665" s="356">
        <v>0</v>
      </c>
      <c r="M9665" s="356">
        <v>0</v>
      </c>
      <c r="N9665" s="356">
        <v>0</v>
      </c>
      <c r="O9665" s="356">
        <v>37235.53</v>
      </c>
      <c r="P9665" s="362">
        <v>51.998672934399998</v>
      </c>
      <c r="Q9665" s="356" t="s">
        <v>2387</v>
      </c>
    </row>
    <row r="9666" spans="1:17" ht="36" x14ac:dyDescent="0.25">
      <c r="A9666" s="314">
        <v>44562</v>
      </c>
      <c r="B9666" s="314">
        <v>44926</v>
      </c>
      <c r="C9666" s="315">
        <v>2022</v>
      </c>
      <c r="D9666" s="35" t="s">
        <v>28</v>
      </c>
      <c r="E9666" s="316" t="s">
        <v>29</v>
      </c>
      <c r="F9666" s="7" t="s">
        <v>75</v>
      </c>
      <c r="G9666" s="317" t="s">
        <v>538</v>
      </c>
      <c r="H9666" s="318" t="s">
        <v>13033</v>
      </c>
      <c r="I9666" s="317">
        <v>0</v>
      </c>
      <c r="J9666" s="356">
        <v>0</v>
      </c>
      <c r="K9666" s="356">
        <v>0</v>
      </c>
      <c r="L9666" s="356">
        <v>0</v>
      </c>
      <c r="M9666" s="356">
        <v>0</v>
      </c>
      <c r="N9666" s="356">
        <v>0</v>
      </c>
      <c r="O9666" s="356">
        <v>5686.3</v>
      </c>
      <c r="P9666" s="362">
        <v>7.9408042240000007</v>
      </c>
      <c r="Q9666" s="356" t="s">
        <v>2387</v>
      </c>
    </row>
    <row r="9667" spans="1:17" ht="36" x14ac:dyDescent="0.25">
      <c r="A9667" s="314">
        <v>44562</v>
      </c>
      <c r="B9667" s="314">
        <v>44926</v>
      </c>
      <c r="C9667" s="315">
        <v>2022</v>
      </c>
      <c r="D9667" s="35" t="s">
        <v>28</v>
      </c>
      <c r="E9667" s="316" t="s">
        <v>29</v>
      </c>
      <c r="F9667" s="7" t="s">
        <v>77</v>
      </c>
      <c r="G9667" s="317" t="s">
        <v>538</v>
      </c>
      <c r="H9667" s="318" t="s">
        <v>13034</v>
      </c>
      <c r="I9667" s="317">
        <v>0</v>
      </c>
      <c r="J9667" s="356">
        <v>0</v>
      </c>
      <c r="K9667" s="356">
        <v>0</v>
      </c>
      <c r="L9667" s="356">
        <v>0</v>
      </c>
      <c r="M9667" s="356">
        <v>0</v>
      </c>
      <c r="N9667" s="356">
        <v>0</v>
      </c>
      <c r="O9667" s="356">
        <v>449.96</v>
      </c>
      <c r="P9667" s="362">
        <v>0.62836014079999991</v>
      </c>
      <c r="Q9667" s="356" t="s">
        <v>2387</v>
      </c>
    </row>
    <row r="9668" spans="1:17" ht="36" x14ac:dyDescent="0.25">
      <c r="A9668" s="314">
        <v>44562</v>
      </c>
      <c r="B9668" s="314">
        <v>44926</v>
      </c>
      <c r="C9668" s="315">
        <v>2022</v>
      </c>
      <c r="D9668" s="35" t="s">
        <v>28</v>
      </c>
      <c r="E9668" s="316" t="s">
        <v>29</v>
      </c>
      <c r="F9668" s="317" t="s">
        <v>80</v>
      </c>
      <c r="G9668" s="317" t="s">
        <v>538</v>
      </c>
      <c r="H9668" s="318" t="s">
        <v>13035</v>
      </c>
      <c r="I9668" s="317">
        <v>0</v>
      </c>
      <c r="J9668" s="356">
        <v>0</v>
      </c>
      <c r="K9668" s="356">
        <v>0</v>
      </c>
      <c r="L9668" s="356">
        <v>0</v>
      </c>
      <c r="M9668" s="356">
        <v>0</v>
      </c>
      <c r="N9668" s="356">
        <v>0</v>
      </c>
      <c r="O9668" s="356">
        <v>8245.14</v>
      </c>
      <c r="P9668" s="362">
        <v>11.514173107199998</v>
      </c>
      <c r="Q9668" s="356" t="s">
        <v>2387</v>
      </c>
    </row>
    <row r="9669" spans="1:17" ht="36" x14ac:dyDescent="0.25">
      <c r="A9669" s="314">
        <v>44562</v>
      </c>
      <c r="B9669" s="314">
        <v>44926</v>
      </c>
      <c r="C9669" s="315">
        <v>2022</v>
      </c>
      <c r="D9669" s="35" t="s">
        <v>28</v>
      </c>
      <c r="E9669" s="316" t="s">
        <v>29</v>
      </c>
      <c r="F9669" s="317" t="s">
        <v>82</v>
      </c>
      <c r="G9669" s="317" t="s">
        <v>538</v>
      </c>
      <c r="H9669" s="318" t="s">
        <v>13036</v>
      </c>
      <c r="I9669" s="317">
        <v>0</v>
      </c>
      <c r="J9669" s="356">
        <v>0</v>
      </c>
      <c r="K9669" s="356">
        <v>0</v>
      </c>
      <c r="L9669" s="356">
        <v>0</v>
      </c>
      <c r="M9669" s="356">
        <v>0</v>
      </c>
      <c r="N9669" s="356">
        <v>0</v>
      </c>
      <c r="O9669" s="356">
        <v>9594.2000000000007</v>
      </c>
      <c r="P9669" s="362">
        <v>13.398108416000001</v>
      </c>
      <c r="Q9669" s="356" t="s">
        <v>2387</v>
      </c>
    </row>
    <row r="9670" spans="1:17" ht="36" x14ac:dyDescent="0.25">
      <c r="A9670" s="314">
        <v>44562</v>
      </c>
      <c r="B9670" s="314">
        <v>44926</v>
      </c>
      <c r="C9670" s="315">
        <v>2022</v>
      </c>
      <c r="D9670" s="35" t="s">
        <v>28</v>
      </c>
      <c r="E9670" s="316" t="s">
        <v>29</v>
      </c>
      <c r="F9670" s="317" t="s">
        <v>84</v>
      </c>
      <c r="G9670" s="317" t="s">
        <v>538</v>
      </c>
      <c r="H9670" s="318" t="s">
        <v>13037</v>
      </c>
      <c r="I9670" s="317">
        <v>0</v>
      </c>
      <c r="J9670" s="356">
        <v>0</v>
      </c>
      <c r="K9670" s="356">
        <v>0</v>
      </c>
      <c r="L9670" s="356">
        <v>0</v>
      </c>
      <c r="M9670" s="356">
        <v>0</v>
      </c>
      <c r="N9670" s="356">
        <v>0</v>
      </c>
      <c r="O9670" s="356">
        <v>7616.26</v>
      </c>
      <c r="P9670" s="362">
        <v>10.635954764800001</v>
      </c>
      <c r="Q9670" s="356" t="s">
        <v>2387</v>
      </c>
    </row>
    <row r="9671" spans="1:17" ht="36" x14ac:dyDescent="0.25">
      <c r="A9671" s="314">
        <v>44562</v>
      </c>
      <c r="B9671" s="314">
        <v>44926</v>
      </c>
      <c r="C9671" s="315">
        <v>2022</v>
      </c>
      <c r="D9671" s="35" t="s">
        <v>28</v>
      </c>
      <c r="E9671" s="316" t="s">
        <v>29</v>
      </c>
      <c r="F9671" s="7" t="s">
        <v>87</v>
      </c>
      <c r="G9671" s="317" t="s">
        <v>538</v>
      </c>
      <c r="H9671" s="318" t="s">
        <v>13038</v>
      </c>
      <c r="I9671" s="317">
        <v>0</v>
      </c>
      <c r="J9671" s="356">
        <v>0</v>
      </c>
      <c r="K9671" s="356">
        <v>0</v>
      </c>
      <c r="L9671" s="356">
        <v>0</v>
      </c>
      <c r="M9671" s="356">
        <v>0</v>
      </c>
      <c r="N9671" s="356">
        <v>0</v>
      </c>
      <c r="O9671" s="356">
        <v>33697.11</v>
      </c>
      <c r="P9671" s="362">
        <v>47.057340172800004</v>
      </c>
      <c r="Q9671" s="356" t="s">
        <v>2387</v>
      </c>
    </row>
    <row r="9672" spans="1:17" ht="24" x14ac:dyDescent="0.25">
      <c r="A9672" s="314">
        <v>44562</v>
      </c>
      <c r="B9672" s="314">
        <v>44926</v>
      </c>
      <c r="C9672" s="315">
        <v>2022</v>
      </c>
      <c r="D9672" s="35" t="s">
        <v>28</v>
      </c>
      <c r="E9672" s="316" t="s">
        <v>29</v>
      </c>
      <c r="F9672" s="317" t="s">
        <v>781</v>
      </c>
      <c r="G9672" s="317" t="s">
        <v>538</v>
      </c>
      <c r="H9672" s="318" t="s">
        <v>13039</v>
      </c>
      <c r="I9672" s="317">
        <v>0</v>
      </c>
      <c r="J9672" s="356">
        <v>0</v>
      </c>
      <c r="K9672" s="356">
        <v>0</v>
      </c>
      <c r="L9672" s="356">
        <v>0</v>
      </c>
      <c r="M9672" s="356">
        <v>0</v>
      </c>
      <c r="N9672" s="356">
        <v>0</v>
      </c>
      <c r="O9672" s="356">
        <v>5692.91</v>
      </c>
      <c r="P9672" s="362">
        <v>7.9500349567999997</v>
      </c>
      <c r="Q9672" s="356" t="s">
        <v>2387</v>
      </c>
    </row>
    <row r="9673" spans="1:17" ht="36" x14ac:dyDescent="0.25">
      <c r="A9673" s="314">
        <v>44562</v>
      </c>
      <c r="B9673" s="314">
        <v>44926</v>
      </c>
      <c r="C9673" s="315">
        <v>2022</v>
      </c>
      <c r="D9673" s="35" t="s">
        <v>28</v>
      </c>
      <c r="E9673" s="316" t="s">
        <v>29</v>
      </c>
      <c r="F9673" s="317" t="s">
        <v>91</v>
      </c>
      <c r="G9673" s="317" t="s">
        <v>538</v>
      </c>
      <c r="H9673" s="318" t="s">
        <v>13040</v>
      </c>
      <c r="I9673" s="317">
        <v>0</v>
      </c>
      <c r="J9673" s="356">
        <v>0</v>
      </c>
      <c r="K9673" s="356">
        <v>0</v>
      </c>
      <c r="L9673" s="356">
        <v>0</v>
      </c>
      <c r="M9673" s="356">
        <v>0</v>
      </c>
      <c r="N9673" s="356">
        <v>0</v>
      </c>
      <c r="O9673" s="356">
        <v>28276.7</v>
      </c>
      <c r="P9673" s="362">
        <v>39.487846016000006</v>
      </c>
      <c r="Q9673" s="356" t="s">
        <v>2387</v>
      </c>
    </row>
    <row r="9674" spans="1:17" ht="36" x14ac:dyDescent="0.25">
      <c r="A9674" s="314">
        <v>44562</v>
      </c>
      <c r="B9674" s="314">
        <v>44926</v>
      </c>
      <c r="C9674" s="315">
        <v>2022</v>
      </c>
      <c r="D9674" s="35" t="s">
        <v>28</v>
      </c>
      <c r="E9674" s="316" t="s">
        <v>29</v>
      </c>
      <c r="F9674" s="317" t="s">
        <v>97</v>
      </c>
      <c r="G9674" s="317" t="s">
        <v>538</v>
      </c>
      <c r="H9674" s="318" t="s">
        <v>13041</v>
      </c>
      <c r="I9674" s="317">
        <v>0</v>
      </c>
      <c r="J9674" s="356">
        <v>0</v>
      </c>
      <c r="K9674" s="356">
        <v>0</v>
      </c>
      <c r="L9674" s="356">
        <v>0</v>
      </c>
      <c r="M9674" s="356">
        <v>0</v>
      </c>
      <c r="N9674" s="356">
        <v>0</v>
      </c>
      <c r="O9674" s="356">
        <v>577.6</v>
      </c>
      <c r="P9674" s="362">
        <v>0.80660684800000004</v>
      </c>
      <c r="Q9674" s="356" t="s">
        <v>2387</v>
      </c>
    </row>
    <row r="9675" spans="1:17" ht="36" x14ac:dyDescent="0.25">
      <c r="A9675" s="314">
        <v>44562</v>
      </c>
      <c r="B9675" s="314">
        <v>44926</v>
      </c>
      <c r="C9675" s="315">
        <v>2022</v>
      </c>
      <c r="D9675" s="35" t="s">
        <v>28</v>
      </c>
      <c r="E9675" s="316" t="s">
        <v>29</v>
      </c>
      <c r="F9675" s="317" t="s">
        <v>210</v>
      </c>
      <c r="G9675" s="317" t="s">
        <v>538</v>
      </c>
      <c r="H9675" s="318" t="s">
        <v>13042</v>
      </c>
      <c r="I9675" s="317">
        <v>0</v>
      </c>
      <c r="J9675" s="356">
        <v>0</v>
      </c>
      <c r="K9675" s="356">
        <v>0</v>
      </c>
      <c r="L9675" s="356">
        <v>0</v>
      </c>
      <c r="M9675" s="356">
        <v>0</v>
      </c>
      <c r="N9675" s="356">
        <v>0</v>
      </c>
      <c r="O9675" s="356">
        <v>2305.35</v>
      </c>
      <c r="P9675" s="362">
        <v>3.219375168</v>
      </c>
      <c r="Q9675" s="356" t="s">
        <v>2387</v>
      </c>
    </row>
    <row r="9676" spans="1:17" ht="36" x14ac:dyDescent="0.25">
      <c r="A9676" s="314">
        <v>44562</v>
      </c>
      <c r="B9676" s="314">
        <v>44926</v>
      </c>
      <c r="C9676" s="315">
        <v>2022</v>
      </c>
      <c r="D9676" s="35" t="s">
        <v>28</v>
      </c>
      <c r="E9676" s="316" t="s">
        <v>29</v>
      </c>
      <c r="F9676" s="317" t="s">
        <v>163</v>
      </c>
      <c r="G9676" s="317" t="s">
        <v>538</v>
      </c>
      <c r="H9676" s="318" t="s">
        <v>13043</v>
      </c>
      <c r="I9676" s="317">
        <v>0</v>
      </c>
      <c r="J9676" s="356">
        <v>0</v>
      </c>
      <c r="K9676" s="356">
        <v>0</v>
      </c>
      <c r="L9676" s="356">
        <v>0</v>
      </c>
      <c r="M9676" s="356">
        <v>0</v>
      </c>
      <c r="N9676" s="356">
        <v>0</v>
      </c>
      <c r="O9676" s="356">
        <v>1288.97</v>
      </c>
      <c r="P9676" s="362">
        <v>1.80002083</v>
      </c>
      <c r="Q9676" s="356" t="s">
        <v>2387</v>
      </c>
    </row>
    <row r="9677" spans="1:17" ht="36" x14ac:dyDescent="0.25">
      <c r="A9677" s="314">
        <v>44562</v>
      </c>
      <c r="B9677" s="314">
        <v>44926</v>
      </c>
      <c r="C9677" s="315">
        <v>2022</v>
      </c>
      <c r="D9677" s="35" t="s">
        <v>28</v>
      </c>
      <c r="E9677" s="316" t="s">
        <v>29</v>
      </c>
      <c r="F9677" s="7" t="s">
        <v>101</v>
      </c>
      <c r="G9677" s="317" t="s">
        <v>538</v>
      </c>
      <c r="H9677" s="318" t="s">
        <v>13044</v>
      </c>
      <c r="I9677" s="317">
        <v>0</v>
      </c>
      <c r="J9677" s="356">
        <v>0</v>
      </c>
      <c r="K9677" s="356">
        <v>0</v>
      </c>
      <c r="L9677" s="356">
        <v>0</v>
      </c>
      <c r="M9677" s="356">
        <v>0</v>
      </c>
      <c r="N9677" s="356">
        <v>0</v>
      </c>
      <c r="O9677" s="356">
        <v>15355.84</v>
      </c>
      <c r="P9677" s="362">
        <v>21.444123443199999</v>
      </c>
      <c r="Q9677" s="356" t="s">
        <v>2387</v>
      </c>
    </row>
  </sheetData>
  <autoFilter ref="A1:Q9677"/>
  <hyperlinks>
    <hyperlink ref="Q8245" r:id="rId1"/>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Nolasco Mata</dc:creator>
  <cp:lastModifiedBy>Diana Laura González Flores</cp:lastModifiedBy>
  <dcterms:created xsi:type="dcterms:W3CDTF">2023-10-13T17:27:56Z</dcterms:created>
  <dcterms:modified xsi:type="dcterms:W3CDTF">2023-10-17T16:13:08Z</dcterms:modified>
</cp:coreProperties>
</file>